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hidePivotFieldList="1" defaultThemeVersion="124226"/>
  <mc:AlternateContent xmlns:mc="http://schemas.openxmlformats.org/markup-compatibility/2006">
    <mc:Choice Requires="x15">
      <x15ac:absPath xmlns:x15ac="http://schemas.microsoft.com/office/spreadsheetml/2010/11/ac" url="C:\Users\JF8762\AppData\Local\Microsoft\Windows\INetCache\Content.Outlook\GPE6OJW7\"/>
    </mc:Choice>
  </mc:AlternateContent>
  <xr:revisionPtr revIDLastSave="15076" documentId="13_ncr:1_{76E2854C-3803-42CC-BFE5-DDBDD7913F2A}" xr6:coauthVersionLast="47" xr6:coauthVersionMax="47" xr10:uidLastSave="{9B3B6823-0CAF-4B75-8B46-BD02AAC748AC}"/>
  <bookViews>
    <workbookView xWindow="-110" yWindow="-110" windowWidth="19420" windowHeight="10300" tabRatio="762" xr2:uid="{00000000-000D-0000-FFFF-FFFF00000000}"/>
  </bookViews>
  <sheets>
    <sheet name="FOI 2025-26" sheetId="2" r:id="rId1"/>
    <sheet name="EIR 2025-26" sheetId="3" r:id="rId2"/>
    <sheet name="Internal Review" sheetId="5" r:id="rId3"/>
    <sheet name="Stats" sheetId="14" r:id="rId4"/>
    <sheet name="Key data collection" sheetId="10" r:id="rId5"/>
    <sheet name="Additional data collection" sheetId="11" r:id="rId6"/>
    <sheet name="Exemptions &amp; Exceptions" sheetId="12" r:id="rId7"/>
  </sheets>
  <definedNames>
    <definedName name="_xlnm._FilterDatabase" localSheetId="1" hidden="1">'EIR 2025-26'!$A$1:$AI$342</definedName>
    <definedName name="_xlnm._FilterDatabase" localSheetId="0" hidden="1">'FOI 2025-26'!$A$1:$AI$1070</definedName>
    <definedName name="_xlnm._FilterDatabase" localSheetId="2" hidden="1">'Internal Review'!$A$1:$I$41</definedName>
    <definedName name="_ftnref1" localSheetId="0">'FOI 2025-26'!#REF!</definedName>
    <definedName name="_Hlk135727460" localSheetId="1">'EIR 2025-26'!$A$79</definedName>
    <definedName name="Z_022A4286_B4E7_46C4_9348_10B1B1FE68AE_.wvu.FilterData" localSheetId="0" hidden="1">'FOI 2025-26'!$A$1:$AI$5046</definedName>
    <definedName name="Z_090A5F4E_E196_443C_AF51_61D6757F12A3_.wvu.FilterData" localSheetId="0" hidden="1">'FOI 2025-26'!$A$1:$AI$5046</definedName>
    <definedName name="Z_09A41729_FA56_46C5_9436_ED5B7966DED5_.wvu.FilterData" localSheetId="0" hidden="1">'FOI 2025-26'!$A$1:$AI$5046</definedName>
    <definedName name="Z_09B08B8E_E892_44CE_B810_12FD74B9C8E5_.wvu.FilterData" localSheetId="0" hidden="1">'FOI 2025-26'!$A$1:$AI$5046</definedName>
    <definedName name="Z_0C069E83_DC43_4D10_940E_0E650F120028_.wvu.FilterData" localSheetId="0" hidden="1">'FOI 2025-26'!$A$1:$AI$5046</definedName>
    <definedName name="Z_0C6E272D_534B_4BAF_B0C6_3576E0DFB450_.wvu.FilterData" localSheetId="0" hidden="1">'FOI 2025-26'!$A$1:$AI$5046</definedName>
    <definedName name="Z_13318ACA_4079_4744_89BF_3726E999225A_.wvu.Cols" localSheetId="1" hidden="1">'EIR 2025-26'!$M:$M,'EIR 2025-26'!$Q:$Q,'EIR 2025-26'!#REF!,'EIR 2025-26'!$T:$T,'EIR 2025-26'!$W:$W</definedName>
    <definedName name="Z_13318ACA_4079_4744_89BF_3726E999225A_.wvu.FilterData" localSheetId="1" hidden="1">'EIR 2025-26'!$A$1:$AI$63</definedName>
    <definedName name="Z_13318ACA_4079_4744_89BF_3726E999225A_.wvu.FilterData" localSheetId="0" hidden="1">'FOI 2025-26'!$A$1:$AI$5046</definedName>
    <definedName name="Z_174D9078_8BF1_48C3_A4EB_74356A217C32_.wvu.FilterData" localSheetId="0" hidden="1">'FOI 2025-26'!$A$1:$AI$5046</definedName>
    <definedName name="Z_19819CFE_109A_4866_8BB3_0A3DF4AD8887_.wvu.FilterData" localSheetId="0" hidden="1">'FOI 2025-26'!$A$1:$AI$5046</definedName>
    <definedName name="Z_1A62D6B3_DFA9_42C0_946D_A5C54892B6A9_.wvu.FilterData" localSheetId="0" hidden="1">'FOI 2025-26'!$A$1:$AI$5046</definedName>
    <definedName name="Z_1E939972_06BE_4137_8FB0_071864366766_.wvu.FilterData" localSheetId="0" hidden="1">'FOI 2025-26'!$A$1:$AI$5046</definedName>
    <definedName name="Z_232C10B5_4546_49D0_9587_4F32DD2AD976_.wvu.FilterData" localSheetId="0" hidden="1">'FOI 2025-26'!$A$1:$AI$5046</definedName>
    <definedName name="Z_234A0515_F58D_449C_A252_54190781D681_.wvu.FilterData" localSheetId="0" hidden="1">'FOI 2025-26'!$A$1:$AI$5046</definedName>
    <definedName name="Z_25B3A8E2_35F6_429F_BC13_9991C7408538_.wvu.FilterData" localSheetId="0" hidden="1">'FOI 2025-26'!$A$1:$AI$5046</definedName>
    <definedName name="Z_27CDEBF2_32E0_482D_A5A4_6B67AAA1EC32_.wvu.FilterData" localSheetId="0" hidden="1">'FOI 2025-26'!$A$1:$AI$5046</definedName>
    <definedName name="Z_2A732638_E983_441D_8D37_63721267D838_.wvu.FilterData" localSheetId="0" hidden="1">'FOI 2025-26'!$A$1:$AI$5046</definedName>
    <definedName name="Z_3303B2FD_AAAE_42DF_83DA_45950C7F76A8_.wvu.FilterData" localSheetId="0" hidden="1">'FOI 2025-26'!$A$1:$AI$5046</definedName>
    <definedName name="Z_3480DE0B_64E2_40A6_BF19_4BE533D34112_.wvu.FilterData" localSheetId="0" hidden="1">'FOI 2025-26'!$A$1:$AI$5046</definedName>
    <definedName name="Z_378DF0DA_D225_4DD2_8FEF_EABCF5BE9C95_.wvu.FilterData" localSheetId="0" hidden="1">'FOI 2025-26'!$A$1:$AI$5046</definedName>
    <definedName name="Z_3BFA6030_318E_4566_B329_020D58313903_.wvu.FilterData" localSheetId="0" hidden="1">'FOI 2025-26'!$A$1:$AI$5046</definedName>
    <definedName name="Z_409D8D49_E19A_48EB_8D9F_77E0A9153294_.wvu.FilterData" localSheetId="0" hidden="1">'FOI 2025-26'!$A$1:$AI$5046</definedName>
    <definedName name="Z_46D64065_B3F7_4884_896C_B6A2140222DE_.wvu.FilterData" localSheetId="0" hidden="1">'FOI 2025-26'!$A$1:$AI$5046</definedName>
    <definedName name="Z_49D60E3E_0432_44D9_8F4F_7E30DED1E521_.wvu.FilterData" localSheetId="0" hidden="1">'FOI 2025-26'!$A$1:$AI$5046</definedName>
    <definedName name="Z_532350FF_58DF_4DFB_B911_3FD78D73B169_.wvu.FilterData" localSheetId="0" hidden="1">'FOI 2025-26'!$A$1:$AI$5046</definedName>
    <definedName name="Z_53CC8A20_3722_45FA_AA68_237A260A62EA_.wvu.FilterData" localSheetId="0" hidden="1">'FOI 2025-26'!$A$1:$AI$5046</definedName>
    <definedName name="Z_5528985F_BCB7_4D1C_B5A2_CE26ACE39EC6_.wvu.FilterData" localSheetId="0" hidden="1">'FOI 2025-26'!$A$1:$AI$5046</definedName>
    <definedName name="Z_5A22D02A_B77E_4027_BF2F_1BF31CD9987E_.wvu.FilterData" localSheetId="1" hidden="1">'EIR 2025-26'!$A$1:$AI$63</definedName>
    <definedName name="Z_5A22D02A_B77E_4027_BF2F_1BF31CD9987E_.wvu.FilterData" localSheetId="0" hidden="1">'FOI 2025-26'!$A$1:$AI$5046</definedName>
    <definedName name="Z_5A39BEFA_5978_4F17_9AA9_49645E13D9C1_.wvu.FilterData" localSheetId="0" hidden="1">'FOI 2025-26'!$A$1:$AI$5046</definedName>
    <definedName name="Z_5A49A7B4_193E_4D05_8F6E_2176696BE1B1_.wvu.FilterData" localSheetId="0" hidden="1">'FOI 2025-26'!$A$1:$AI$5046</definedName>
    <definedName name="Z_5A51F8BC_51DF_4EF8_80B6_74D7C9FD640B_.wvu.FilterData" localSheetId="0" hidden="1">'FOI 2025-26'!$A$1:$AI$5046</definedName>
    <definedName name="Z_5B12B512_01C1_430C_88F8_236257A1D269_.wvu.FilterData" localSheetId="0" hidden="1">'FOI 2025-26'!$A$1:$AI$5046</definedName>
    <definedName name="Z_5F030C71_E102_4976_8EDE_753830C0512D_.wvu.FilterData" localSheetId="0" hidden="1">'FOI 2025-26'!$A$1:$AI$5046</definedName>
    <definedName name="Z_607F27E4_2C42_4C2D_B527_BA6CA827866F_.wvu.FilterData" localSheetId="0" hidden="1">'FOI 2025-26'!$A$1:$AI$5046</definedName>
    <definedName name="Z_615EE67A_4901_4B7A_B994_35A6AB0F9414_.wvu.FilterData" localSheetId="0" hidden="1">'FOI 2025-26'!$A$1:$AI$5046</definedName>
    <definedName name="Z_62D397FD_485A_4FC8_B744_E4E5A1640759_.wvu.FilterData" localSheetId="0" hidden="1">'FOI 2025-26'!$A$1:$AI$5046</definedName>
    <definedName name="Z_63F2399D_A40E_4D9C_8407_8E790A52ECC2_.wvu.FilterData" localSheetId="0" hidden="1">'FOI 2025-26'!$A$1:$AI$5046</definedName>
    <definedName name="Z_649EE045_044F_43B7_9B08_83F7A13EC48D_.wvu.FilterData" localSheetId="0" hidden="1">'FOI 2025-26'!$A$1:$AI$5046</definedName>
    <definedName name="Z_66E56B64_3B50_4BE2_9FF4_A752B3235265_.wvu.FilterData" localSheetId="0" hidden="1">'FOI 2025-26'!$A$1:$AI$5046</definedName>
    <definedName name="Z_6C9B7DD1_FC71_4681_9DAC_72450FDE6462_.wvu.FilterData" localSheetId="0" hidden="1">'FOI 2025-26'!$A$1:$AI$5046</definedName>
    <definedName name="Z_6D1929D5_2782_43A2_A78C_9C306954F206_.wvu.FilterData" localSheetId="0" hidden="1">'FOI 2025-26'!$A$1:$AI$5046</definedName>
    <definedName name="Z_71B1DC13_32E4_407B_B44D_501039045ABF_.wvu.FilterData" localSheetId="0" hidden="1">'FOI 2025-26'!$A$1:$AI$5046</definedName>
    <definedName name="Z_74AE7486_5F16_4E4A_96E9_308AA7435916_.wvu.FilterData" localSheetId="0" hidden="1">'FOI 2025-26'!$A$1:$AI$5046</definedName>
    <definedName name="Z_764EFB30_A7EA_4844_BEBC_0BDF51851234_.wvu.FilterData" localSheetId="0" hidden="1">'FOI 2025-26'!$A$1:$AI$5046</definedName>
    <definedName name="Z_7685C114_10C3_41BC_BA04_266B345CE62F_.wvu.FilterData" localSheetId="0" hidden="1">'FOI 2025-26'!$A$1:$AI$5046</definedName>
    <definedName name="Z_7A5B6D13_67AC_4F85_83D4_AA23594E04E6_.wvu.FilterData" localSheetId="0" hidden="1">'FOI 2025-26'!$A$1:$AI$5046</definedName>
    <definedName name="Z_81122DE4_A7C5_4234_A3E0_6F423675EA3D_.wvu.FilterData" localSheetId="0" hidden="1">'FOI 2025-26'!$A$1:$AI$5046</definedName>
    <definedName name="Z_826940D0_9F9E_446F_80EC_DF528F31844C_.wvu.FilterData" localSheetId="0" hidden="1">'FOI 2025-26'!$A$1:$AI$5046</definedName>
    <definedName name="Z_8312D9C4_969D_414C_9536_FB1C8DB16476_.wvu.FilterData" localSheetId="0" hidden="1">'FOI 2025-26'!$A$1:$AI$5046</definedName>
    <definedName name="Z_864C0158_CD31_469C_BF19_AD2EA9DA26F8_.wvu.FilterData" localSheetId="0" hidden="1">'FOI 2025-26'!$A$1:$AI$5046</definedName>
    <definedName name="Z_90031741_1898_4442_8E6D_0816486EA86E_.wvu.FilterData" localSheetId="0" hidden="1">'FOI 2025-26'!$A$1:$AI$5046</definedName>
    <definedName name="Z_900C1D27_E895_4D8E_B5D7_A7E4332B8E8D_.wvu.FilterData" localSheetId="0" hidden="1">'FOI 2025-26'!$A$1:$AI$5046</definedName>
    <definedName name="Z_973085D6_F93A_4B6F_A399_D5133BB5F0AE_.wvu.FilterData" localSheetId="0" hidden="1">'FOI 2025-26'!$A$1:$AI$5046</definedName>
    <definedName name="Z_9765E9E6_D2BF_4B2C_AEAF_CBC336E5AD34_.wvu.FilterData" localSheetId="0" hidden="1">'FOI 2025-26'!$A$1:$AI$5046</definedName>
    <definedName name="Z_9778D57D_40C5_457B_8843_6C207CB82BEE_.wvu.FilterData" localSheetId="0" hidden="1">'FOI 2025-26'!$A$1:$AI$5046</definedName>
    <definedName name="Z_9AFE0C9F_FD02_4B70_B043_5E2CDBA74563_.wvu.FilterData" localSheetId="0" hidden="1">'FOI 2025-26'!$A$1:$AI$5046</definedName>
    <definedName name="Z_9DC31DB2_9774_4758_88AB_0BAD3D4672C1_.wvu.FilterData" localSheetId="0" hidden="1">'FOI 2025-26'!$A$1:$AI$5046</definedName>
    <definedName name="Z_A70B2EEC_11E9_4B62_964B_1172D9B54EEB_.wvu.FilterData" localSheetId="0" hidden="1">'FOI 2025-26'!$A$1:$AI$5046</definedName>
    <definedName name="Z_A7D81723_E2AD_45E5_B55B_962AAA675F7E_.wvu.FilterData" localSheetId="0" hidden="1">'FOI 2025-26'!$A$1:$AI$5046</definedName>
    <definedName name="Z_AA39A773_7EE5_45C9_A693_7DB8522756F3_.wvu.FilterData" localSheetId="0" hidden="1">'FOI 2025-26'!$A$1:$AI$5046</definedName>
    <definedName name="Z_ABDF30B9_BD79_49B8_9332_561663B1D7A2_.wvu.FilterData" localSheetId="0" hidden="1">'FOI 2025-26'!$A$1:$AI$5046</definedName>
    <definedName name="Z_AD46DA74_700E_4A28_9A4B_CDBBDF09404A_.wvu.FilterData" localSheetId="0" hidden="1">'FOI 2025-26'!$A$1:$AI$5046</definedName>
    <definedName name="Z_AE25B1E5_414D_431D_A35C_FCDFF745CC19_.wvu.FilterData" localSheetId="0" hidden="1">'FOI 2025-26'!$A$1:$AI$5046</definedName>
    <definedName name="Z_B0B4550D_173B_4A14_BB51_8CFEF4925F40_.wvu.FilterData" localSheetId="0" hidden="1">'FOI 2025-26'!$A$1:$AI$5046</definedName>
    <definedName name="Z_B1B7F171_700E_425B_8D1B_8EEAB59CDB56_.wvu.FilterData" localSheetId="0" hidden="1">'FOI 2025-26'!$A$1:$AI$5046</definedName>
    <definedName name="Z_BCCD868B_9FB9_4F78_8E4F_8E7691FCFF69_.wvu.FilterData" localSheetId="0" hidden="1">'FOI 2025-26'!$A$1:$AI$5046</definedName>
    <definedName name="Z_BD39D130_95E7_4EAD_AE03_C3AF1A6AC1A2_.wvu.FilterData" localSheetId="0" hidden="1">'FOI 2025-26'!$A$1:$AI$5046</definedName>
    <definedName name="Z_BDDC4ACD_31A0_41BF_A66A_FAE842C4CB00_.wvu.FilterData" localSheetId="0" hidden="1">'FOI 2025-26'!$A$1:$AI$5046</definedName>
    <definedName name="Z_BE8E4C1D_9CB6_4499_A3DE_16BAA72927BE_.wvu.FilterData" localSheetId="0" hidden="1">'FOI 2025-26'!$A$1:$AI$5046</definedName>
    <definedName name="Z_C0E4056E_8994_46C6_B18D_F876DD5D3478_.wvu.FilterData" localSheetId="0" hidden="1">'FOI 2025-26'!$A$1:$AI$5046</definedName>
    <definedName name="Z_C97E2D6D_D229_4662_BA20_EEDB6E84225A_.wvu.FilterData" localSheetId="0" hidden="1">'FOI 2025-26'!$A$1:$AI$5046</definedName>
    <definedName name="Z_CAE80AE8_DA91_48CB_829B_8C4CD1193C02_.wvu.FilterData" localSheetId="0" hidden="1">'FOI 2025-26'!$A$1:$AI$5046</definedName>
    <definedName name="Z_CB8FA477_5540_478E_9792_669429684C02_.wvu.FilterData" localSheetId="0" hidden="1">'FOI 2025-26'!$A$1:$AI$5046</definedName>
    <definedName name="Z_CF72E3A6_6C1B_41AF_9B61_0D366108755F_.wvu.FilterData" localSheetId="0" hidden="1">'FOI 2025-26'!$A$1:$AI$5046</definedName>
    <definedName name="Z_CF837D75_E11D_4A49_BB0F_756C0EF5BD1D_.wvu.FilterData" localSheetId="1" hidden="1">'EIR 2025-26'!$A$1:$AI$63</definedName>
    <definedName name="Z_CF837D75_E11D_4A49_BB0F_756C0EF5BD1D_.wvu.FilterData" localSheetId="0" hidden="1">'FOI 2025-26'!$A$1:$AI$5046</definedName>
    <definedName name="Z_D38E9DE2_79AB_4CAF_AC90_64D8DF650D38_.wvu.FilterData" localSheetId="0" hidden="1">'FOI 2025-26'!$A$1:$AI$5046</definedName>
    <definedName name="Z_D3D17023_817E_489A_A031_287FA6E02B2E_.wvu.FilterData" localSheetId="0" hidden="1">'FOI 2025-26'!$A$1:$AI$5046</definedName>
    <definedName name="Z_D52B615B_EC6B_487A_B6FC_7B6D51F88EB9_.wvu.FilterData" localSheetId="0" hidden="1">'FOI 2025-26'!$A$1:$AI$5046</definedName>
    <definedName name="Z_D5DDAEFF_9B8F_41EF_A53C_3AF9AE7BAC51_.wvu.FilterData" localSheetId="0" hidden="1">'FOI 2025-26'!$A$1:$AI$5046</definedName>
    <definedName name="Z_D73FC4F5_144C_4C1F_80FA_D59D23E1E7ED_.wvu.FilterData" localSheetId="0" hidden="1">'FOI 2025-26'!$A$1:$AI$5046</definedName>
    <definedName name="Z_D8FC8303_7225_47DE_A65C_71A6644451F9_.wvu.FilterData" localSheetId="0" hidden="1">'FOI 2025-26'!$A$1:$AI$5046</definedName>
    <definedName name="Z_DAB67CF3_5A54_41B8_8209_47EDBA1E25EC_.wvu.FilterData" localSheetId="0" hidden="1">'FOI 2025-26'!$A$1:$AI$5046</definedName>
    <definedName name="Z_DD494D8F_F7DB_4C13_BD60_371CDBC3FE98_.wvu.FilterData" localSheetId="0" hidden="1">'FOI 2025-26'!$A$1:$AI$5046</definedName>
    <definedName name="Z_DE822F6C_FECA_4712_9666_8F2B1010CEB7_.wvu.FilterData" localSheetId="0" hidden="1">'FOI 2025-26'!$A$1:$AI$5046</definedName>
    <definedName name="Z_E25617DC_9AB1_466C_83F9_328424AC54C3_.wvu.FilterData" localSheetId="0" hidden="1">'FOI 2025-26'!$A$1:$AI$5046</definedName>
    <definedName name="Z_E9590ABA_F556_4E24_8EEE_876676847594_.wvu.FilterData" localSheetId="0" hidden="1">'FOI 2025-26'!$A$1:$AI$5046</definedName>
    <definedName name="Z_EDEA0188_918A_4C73_A2B8_679F5F53E347_.wvu.Cols" localSheetId="1" hidden="1">'EIR 2025-26'!$M:$M,'EIR 2025-26'!$Q:$Q,'EIR 2025-26'!#REF!,'EIR 2025-26'!$T:$T,'EIR 2025-26'!$W:$W</definedName>
    <definedName name="Z_EDEA0188_918A_4C73_A2B8_679F5F53E347_.wvu.Cols" localSheetId="0" hidden="1">'FOI 2025-26'!$I:$I,'FOI 2025-26'!$L:$L,'FOI 2025-26'!$P:$Q,'FOI 2025-26'!$S:$S,'FOI 2025-26'!$U:$U,'FOI 2025-26'!$X:$X</definedName>
    <definedName name="Z_EDEA0188_918A_4C73_A2B8_679F5F53E347_.wvu.FilterData" localSheetId="1" hidden="1">'EIR 2025-26'!$A$1:$AI$63</definedName>
    <definedName name="Z_EDEA0188_918A_4C73_A2B8_679F5F53E347_.wvu.FilterData" localSheetId="0" hidden="1">'FOI 2025-26'!$A$1:$AI$5046</definedName>
    <definedName name="Z_EE13D3FC_9C1D_42DB_9D1D_0A818DDD4E1C_.wvu.FilterData" localSheetId="0" hidden="1">'FOI 2025-26'!$A$1:$AI$5046</definedName>
    <definedName name="Z_F0A247BB_40B2_421C_B718_7E39A4A830CF_.wvu.FilterData" localSheetId="0" hidden="1">'FOI 2025-26'!$A$1:$AI$5046</definedName>
    <definedName name="Z_F6385429_1E25_4CC6_AA9D_7AB54F4DF994_.wvu.FilterData" localSheetId="0" hidden="1">'FOI 2025-26'!$A$1:$AI$5046</definedName>
    <definedName name="Z_F9982AD0_928B_443E_A38C_0AE6494CD740_.wvu.FilterData" localSheetId="0" hidden="1">'FOI 2025-26'!$A$1:$AI$5046</definedName>
  </definedNames>
  <calcPr calcId="191028"/>
  <customWorkbookViews>
    <customWorkbookView name="Cathrine Bird - Personal View" guid="{13318ACA-4079-4744-89BF-3726E999225A}" autoUpdate="1" mergeInterval="15" personalView="1" maximized="1" xWindow="-1928" yWindow="-7" windowWidth="1936" windowHeight="1056" activeSheetId="2"/>
    <customWorkbookView name="Monique Tate - Personal View" guid="{EDEA0188-918A-4C73-A2B8-679F5F53E347}" mergeInterval="0" personalView="1" maximized="1" xWindow="-377" yWindow="-1088" windowWidth="1936" windowHeight="1056"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70" i="2" l="1"/>
  <c r="I4" i="2"/>
  <c r="I3" i="2"/>
  <c r="H1069" i="2"/>
  <c r="H1068" i="2"/>
  <c r="H1067" i="2"/>
  <c r="H1066" i="2"/>
  <c r="H1065" i="2"/>
  <c r="H1064" i="2"/>
  <c r="H1063" i="2"/>
  <c r="H1062" i="2"/>
  <c r="H1061" i="2"/>
  <c r="H1060" i="2"/>
  <c r="H1059" i="2"/>
  <c r="H1058" i="2"/>
  <c r="H1057" i="2"/>
  <c r="H1056" i="2"/>
  <c r="H1055" i="2"/>
  <c r="H1054" i="2"/>
  <c r="H1053" i="2"/>
  <c r="H1052" i="2"/>
  <c r="H1051" i="2"/>
  <c r="H1050" i="2"/>
  <c r="H1049" i="2"/>
  <c r="H1048" i="2"/>
  <c r="H1047" i="2"/>
  <c r="H1046" i="2"/>
  <c r="H1045" i="2"/>
  <c r="H1044" i="2"/>
  <c r="H1043" i="2"/>
  <c r="H1042" i="2"/>
  <c r="H1041" i="2"/>
  <c r="H1040" i="2"/>
  <c r="H1039" i="2"/>
  <c r="H1038" i="2"/>
  <c r="H1037" i="2"/>
  <c r="H1036" i="2"/>
  <c r="H1035" i="2"/>
  <c r="H1034" i="2"/>
  <c r="H1033" i="2"/>
  <c r="H1032" i="2"/>
  <c r="H1031" i="2"/>
  <c r="H1030" i="2"/>
  <c r="H1029" i="2"/>
  <c r="H1028" i="2"/>
  <c r="H1027" i="2"/>
  <c r="H1026" i="2"/>
  <c r="G1064" i="2"/>
  <c r="F1065" i="2"/>
  <c r="G1069" i="2"/>
  <c r="F1069" i="2"/>
  <c r="G1068" i="2"/>
  <c r="F1068" i="2"/>
  <c r="G1067" i="2"/>
  <c r="F1067" i="2"/>
  <c r="G1066" i="2"/>
  <c r="F1066" i="2"/>
  <c r="G1065" i="2"/>
  <c r="F1064" i="2"/>
  <c r="G1063" i="2"/>
  <c r="G1062" i="2"/>
  <c r="G1061" i="2"/>
  <c r="O303" i="3"/>
  <c r="P303" i="3" s="1"/>
  <c r="K2" i="3" l="1"/>
  <c r="K3" i="3"/>
  <c r="K4" i="3"/>
  <c r="K5" i="3"/>
  <c r="K6" i="3"/>
  <c r="K7" i="3"/>
  <c r="K8" i="3"/>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9" i="3"/>
  <c r="K80" i="3"/>
  <c r="K81" i="3"/>
  <c r="K82" i="3"/>
  <c r="K83" i="3"/>
  <c r="K84" i="3"/>
  <c r="K85" i="3"/>
  <c r="K86" i="3"/>
  <c r="K87" i="3"/>
  <c r="K88" i="3"/>
  <c r="K89" i="3"/>
  <c r="K90" i="3"/>
  <c r="K91" i="3"/>
  <c r="K92" i="3"/>
  <c r="K93" i="3"/>
  <c r="K94" i="3"/>
  <c r="K95" i="3"/>
  <c r="K96" i="3"/>
  <c r="K97" i="3"/>
  <c r="K98" i="3"/>
  <c r="K99" i="3"/>
  <c r="K100" i="3"/>
  <c r="K101" i="3"/>
  <c r="K103" i="3"/>
  <c r="K104" i="3"/>
  <c r="K105" i="3"/>
  <c r="K106" i="3"/>
  <c r="K107" i="3"/>
  <c r="K108" i="3"/>
  <c r="K109" i="3"/>
  <c r="K110" i="3"/>
  <c r="K111" i="3"/>
  <c r="K112" i="3"/>
  <c r="K113" i="3"/>
  <c r="K114" i="3"/>
  <c r="K115" i="3"/>
  <c r="K116" i="3"/>
  <c r="K117" i="3"/>
  <c r="K118" i="3"/>
  <c r="K119" i="3"/>
  <c r="K120" i="3"/>
  <c r="K121" i="3"/>
  <c r="K122" i="3"/>
  <c r="K123" i="3"/>
  <c r="K124" i="3"/>
  <c r="K125" i="3"/>
  <c r="K126" i="3"/>
  <c r="K127" i="3"/>
  <c r="K128" i="3"/>
  <c r="K129" i="3"/>
  <c r="K130" i="3"/>
  <c r="K131" i="3"/>
  <c r="K132" i="3"/>
  <c r="K133" i="3"/>
  <c r="K134" i="3"/>
  <c r="K135" i="3"/>
  <c r="K136" i="3"/>
  <c r="K137" i="3"/>
  <c r="K138" i="3"/>
  <c r="K139" i="3"/>
  <c r="K140" i="3"/>
  <c r="K141" i="3"/>
  <c r="K142" i="3"/>
  <c r="K143" i="3"/>
  <c r="K144" i="3"/>
  <c r="K145" i="3"/>
  <c r="K146" i="3"/>
  <c r="K147" i="3"/>
  <c r="K148" i="3"/>
  <c r="K149" i="3"/>
  <c r="K150" i="3"/>
  <c r="K151" i="3"/>
  <c r="K152" i="3"/>
  <c r="K153" i="3"/>
  <c r="K154" i="3"/>
  <c r="K155" i="3"/>
  <c r="K156" i="3"/>
  <c r="K157" i="3"/>
  <c r="K158" i="3"/>
  <c r="K159" i="3"/>
  <c r="K160" i="3"/>
  <c r="K161" i="3"/>
  <c r="K162" i="3"/>
  <c r="K163" i="3"/>
  <c r="K164" i="3"/>
  <c r="K165" i="3"/>
  <c r="K166" i="3"/>
  <c r="K167" i="3"/>
  <c r="K168" i="3"/>
  <c r="K169" i="3"/>
  <c r="K170" i="3"/>
  <c r="K171" i="3"/>
  <c r="K172" i="3"/>
  <c r="K173" i="3"/>
  <c r="K174" i="3"/>
  <c r="K175" i="3"/>
  <c r="K176" i="3"/>
  <c r="K177" i="3"/>
  <c r="K178" i="3"/>
  <c r="K179" i="3"/>
  <c r="K180" i="3"/>
  <c r="K181" i="3"/>
  <c r="K182" i="3"/>
  <c r="K183" i="3"/>
  <c r="K184" i="3"/>
  <c r="K185" i="3"/>
  <c r="K186" i="3"/>
  <c r="K187" i="3"/>
  <c r="K188" i="3"/>
  <c r="K189" i="3"/>
  <c r="K190" i="3"/>
  <c r="K191" i="3"/>
  <c r="K192" i="3"/>
  <c r="K193" i="3"/>
  <c r="K194" i="3"/>
  <c r="K195" i="3"/>
  <c r="K196" i="3"/>
  <c r="K197" i="3"/>
  <c r="K198" i="3"/>
  <c r="K199" i="3"/>
  <c r="K200" i="3"/>
  <c r="K201" i="3"/>
  <c r="K202" i="3"/>
  <c r="K203" i="3"/>
  <c r="K204" i="3"/>
  <c r="K205" i="3"/>
  <c r="K206" i="3"/>
  <c r="K207" i="3"/>
  <c r="K208" i="3"/>
  <c r="K209" i="3"/>
  <c r="K210" i="3"/>
  <c r="K211" i="3"/>
  <c r="K212" i="3"/>
  <c r="K213" i="3"/>
  <c r="K214" i="3"/>
  <c r="K215" i="3"/>
  <c r="K216" i="3"/>
  <c r="K217" i="3"/>
  <c r="K218" i="3"/>
  <c r="K219" i="3"/>
  <c r="K220" i="3"/>
  <c r="K221" i="3"/>
  <c r="K222" i="3"/>
  <c r="K223" i="3"/>
  <c r="K224" i="3"/>
  <c r="K225" i="3"/>
  <c r="K226" i="3"/>
  <c r="K227" i="3"/>
  <c r="K228" i="3"/>
  <c r="K229" i="3"/>
  <c r="K230" i="3"/>
  <c r="K231" i="3"/>
  <c r="K232" i="3"/>
  <c r="K233" i="3"/>
  <c r="K234" i="3"/>
  <c r="K235" i="3"/>
  <c r="K236" i="3"/>
  <c r="K237" i="3"/>
  <c r="K238" i="3"/>
  <c r="K239" i="3"/>
  <c r="K240" i="3"/>
  <c r="K241" i="3"/>
  <c r="K242" i="3"/>
  <c r="K243" i="3"/>
  <c r="K244" i="3"/>
  <c r="K245" i="3"/>
  <c r="K246" i="3"/>
  <c r="K247" i="3"/>
  <c r="K248" i="3"/>
  <c r="K249" i="3"/>
  <c r="K250" i="3"/>
  <c r="K251" i="3"/>
  <c r="K252" i="3"/>
  <c r="K254" i="3"/>
  <c r="K255" i="3"/>
  <c r="K256" i="3"/>
  <c r="K257" i="3"/>
  <c r="K258" i="3"/>
  <c r="K259" i="3"/>
  <c r="K260" i="3"/>
  <c r="K261" i="3"/>
  <c r="K262" i="3"/>
  <c r="K263" i="3"/>
  <c r="K264" i="3"/>
  <c r="K265" i="3"/>
  <c r="K266" i="3"/>
  <c r="K267" i="3"/>
  <c r="K268" i="3"/>
  <c r="K269" i="3"/>
  <c r="K270" i="3"/>
  <c r="K271" i="3"/>
  <c r="K272" i="3"/>
  <c r="K273" i="3"/>
  <c r="K274" i="3"/>
  <c r="K275" i="3"/>
  <c r="K276" i="3"/>
  <c r="K277" i="3"/>
  <c r="K278" i="3"/>
  <c r="K279" i="3"/>
  <c r="K280" i="3"/>
  <c r="K281" i="3"/>
  <c r="K282" i="3"/>
  <c r="K283" i="3"/>
  <c r="K284" i="3"/>
  <c r="K285" i="3"/>
  <c r="K286" i="3"/>
  <c r="K287" i="3"/>
  <c r="K288" i="3"/>
  <c r="K289" i="3"/>
  <c r="K290" i="3"/>
  <c r="K292" i="3"/>
  <c r="K294" i="3"/>
  <c r="K295" i="3"/>
  <c r="K296" i="3"/>
  <c r="K297" i="3"/>
  <c r="K298" i="3"/>
  <c r="K299" i="3"/>
  <c r="K300" i="3"/>
  <c r="K301" i="3"/>
  <c r="K302" i="3"/>
  <c r="K304" i="3"/>
  <c r="K305" i="3"/>
  <c r="K306" i="3"/>
  <c r="K307" i="3"/>
  <c r="K308" i="3"/>
  <c r="K309" i="3"/>
  <c r="K310" i="3"/>
  <c r="K311" i="3"/>
  <c r="K312" i="3"/>
  <c r="K313" i="3"/>
  <c r="K314" i="3"/>
  <c r="K315" i="3"/>
  <c r="K316" i="3"/>
  <c r="K317" i="3"/>
  <c r="K319" i="3"/>
  <c r="K320" i="3"/>
  <c r="K321" i="3"/>
  <c r="K322" i="3"/>
  <c r="K323" i="3"/>
  <c r="K328" i="3"/>
  <c r="K331" i="3"/>
  <c r="K332" i="3"/>
  <c r="K338" i="3"/>
  <c r="O342" i="3"/>
  <c r="P342" i="3" s="1"/>
  <c r="J342" i="3"/>
  <c r="I342" i="3"/>
  <c r="H342" i="3"/>
  <c r="K342" i="3" s="1"/>
  <c r="G342" i="3"/>
  <c r="F342" i="3"/>
  <c r="O341" i="3"/>
  <c r="P341" i="3" s="1"/>
  <c r="J341" i="3"/>
  <c r="I341" i="3"/>
  <c r="H341" i="3"/>
  <c r="K341" i="3" s="1"/>
  <c r="G341" i="3"/>
  <c r="F341" i="3"/>
  <c r="O340" i="3"/>
  <c r="P340" i="3" s="1"/>
  <c r="J340" i="3"/>
  <c r="I340" i="3"/>
  <c r="H340" i="3"/>
  <c r="K340" i="3" s="1"/>
  <c r="G340" i="3"/>
  <c r="F340" i="3"/>
  <c r="O339" i="3"/>
  <c r="P339" i="3" s="1"/>
  <c r="J339" i="3"/>
  <c r="I339" i="3"/>
  <c r="H339" i="3"/>
  <c r="K339" i="3" s="1"/>
  <c r="G339" i="3"/>
  <c r="F339" i="3"/>
  <c r="O338" i="3"/>
  <c r="P338" i="3" s="1"/>
  <c r="J338" i="3"/>
  <c r="I338" i="3"/>
  <c r="H338" i="3"/>
  <c r="G338" i="3"/>
  <c r="F338" i="3"/>
  <c r="O337" i="3"/>
  <c r="P337" i="3" s="1"/>
  <c r="J337" i="3"/>
  <c r="I337" i="3"/>
  <c r="H337" i="3"/>
  <c r="K337" i="3" s="1"/>
  <c r="G337" i="3"/>
  <c r="F337" i="3"/>
  <c r="O336" i="3"/>
  <c r="P336" i="3" s="1"/>
  <c r="J336" i="3"/>
  <c r="I336" i="3"/>
  <c r="H336" i="3"/>
  <c r="K336" i="3" s="1"/>
  <c r="G336" i="3"/>
  <c r="F336" i="3"/>
  <c r="O335" i="3"/>
  <c r="P335" i="3" s="1"/>
  <c r="J335" i="3"/>
  <c r="I335" i="3"/>
  <c r="H335" i="3"/>
  <c r="K335" i="3" s="1"/>
  <c r="G335" i="3"/>
  <c r="F335" i="3"/>
  <c r="O334" i="3"/>
  <c r="P334" i="3" s="1"/>
  <c r="J334" i="3"/>
  <c r="I334" i="3"/>
  <c r="H334" i="3"/>
  <c r="K334" i="3" s="1"/>
  <c r="G334" i="3"/>
  <c r="F334" i="3"/>
  <c r="O333" i="3"/>
  <c r="P333" i="3" s="1"/>
  <c r="J333" i="3"/>
  <c r="I333" i="3"/>
  <c r="H333" i="3"/>
  <c r="K333" i="3" s="1"/>
  <c r="G333" i="3"/>
  <c r="F333" i="3"/>
  <c r="F1026" i="2" l="1"/>
  <c r="G1026" i="2"/>
  <c r="I1026" i="2"/>
  <c r="J695" i="2"/>
  <c r="F1006" i="2"/>
  <c r="F1025" i="2"/>
  <c r="G1025" i="2"/>
  <c r="H1025" i="2"/>
  <c r="I1025" i="2"/>
  <c r="F1024" i="2"/>
  <c r="G1024" i="2"/>
  <c r="H1024" i="2"/>
  <c r="I1024" i="2"/>
  <c r="F1023" i="2"/>
  <c r="G1023" i="2"/>
  <c r="H1023" i="2"/>
  <c r="I1023" i="2"/>
  <c r="F1022" i="2"/>
  <c r="G1022" i="2"/>
  <c r="H1022" i="2"/>
  <c r="I1022" i="2"/>
  <c r="F1021" i="2" l="1"/>
  <c r="G1021" i="2"/>
  <c r="H1021" i="2"/>
  <c r="I1021" i="2"/>
  <c r="F1020" i="2"/>
  <c r="G1020" i="2"/>
  <c r="H1020" i="2"/>
  <c r="I1020" i="2"/>
  <c r="F1019" i="2"/>
  <c r="G1019" i="2"/>
  <c r="H1019" i="2"/>
  <c r="I1019" i="2"/>
  <c r="F1018" i="2"/>
  <c r="G1018" i="2"/>
  <c r="H1018" i="2"/>
  <c r="I1018" i="2"/>
  <c r="F1017" i="2"/>
  <c r="G1017" i="2"/>
  <c r="H1017" i="2"/>
  <c r="I1017" i="2"/>
  <c r="F1016" i="2" l="1"/>
  <c r="G1016" i="2"/>
  <c r="H1016" i="2"/>
  <c r="I1016" i="2"/>
  <c r="F1015" i="2"/>
  <c r="G1015" i="2"/>
  <c r="H1015" i="2"/>
  <c r="I1015" i="2"/>
  <c r="F1014" i="2"/>
  <c r="G1014" i="2"/>
  <c r="H1014" i="2"/>
  <c r="I1014" i="2"/>
  <c r="F1013" i="2"/>
  <c r="G1013" i="2"/>
  <c r="H1013" i="2"/>
  <c r="I1013" i="2"/>
  <c r="F1012" i="2"/>
  <c r="G1012" i="2"/>
  <c r="H1012" i="2"/>
  <c r="I1012" i="2"/>
  <c r="F1011" i="2"/>
  <c r="G1011" i="2"/>
  <c r="H1011" i="2"/>
  <c r="I1011" i="2"/>
  <c r="F1010" i="2"/>
  <c r="G1010" i="2"/>
  <c r="H1010" i="2"/>
  <c r="I1010" i="2"/>
  <c r="F1008" i="2"/>
  <c r="G1008" i="2"/>
  <c r="H1008" i="2"/>
  <c r="I1008" i="2"/>
  <c r="F886" i="2"/>
  <c r="G886" i="2"/>
  <c r="H886" i="2"/>
  <c r="G1007" i="2"/>
  <c r="H1007" i="2"/>
  <c r="I1007" i="2"/>
  <c r="H316" i="3" l="1"/>
  <c r="H317" i="3"/>
  <c r="H318" i="3"/>
  <c r="K318" i="3" s="1"/>
  <c r="H319" i="3"/>
  <c r="H320" i="3"/>
  <c r="H321" i="3"/>
  <c r="H322" i="3"/>
  <c r="H323" i="3"/>
  <c r="J63" i="14"/>
  <c r="K63" i="14"/>
  <c r="J64" i="14"/>
  <c r="K64" i="14"/>
  <c r="F332" i="3"/>
  <c r="G332" i="3"/>
  <c r="H332" i="3"/>
  <c r="I332" i="3"/>
  <c r="J332" i="3"/>
  <c r="O332" i="3"/>
  <c r="P332" i="3" s="1"/>
  <c r="O331" i="3"/>
  <c r="P331" i="3" s="1"/>
  <c r="J331" i="3"/>
  <c r="I331" i="3"/>
  <c r="H331" i="3"/>
  <c r="G331" i="3"/>
  <c r="F331" i="3"/>
  <c r="O330" i="3"/>
  <c r="P330" i="3" s="1"/>
  <c r="J330" i="3"/>
  <c r="I330" i="3"/>
  <c r="H330" i="3"/>
  <c r="K330" i="3" s="1"/>
  <c r="G330" i="3"/>
  <c r="F330" i="3"/>
  <c r="O329" i="3"/>
  <c r="P329" i="3" s="1"/>
  <c r="J329" i="3"/>
  <c r="I329" i="3"/>
  <c r="H329" i="3"/>
  <c r="K329" i="3" s="1"/>
  <c r="G329" i="3"/>
  <c r="F329" i="3"/>
  <c r="O328" i="3"/>
  <c r="P328" i="3" s="1"/>
  <c r="J328" i="3"/>
  <c r="I328" i="3"/>
  <c r="H328" i="3"/>
  <c r="G328" i="3"/>
  <c r="F328" i="3"/>
  <c r="O327" i="3"/>
  <c r="P327" i="3" s="1"/>
  <c r="J327" i="3"/>
  <c r="I327" i="3"/>
  <c r="H327" i="3"/>
  <c r="K327" i="3" s="1"/>
  <c r="G327" i="3"/>
  <c r="F327" i="3"/>
  <c r="O326" i="3"/>
  <c r="P326" i="3" s="1"/>
  <c r="J326" i="3"/>
  <c r="I326" i="3"/>
  <c r="H326" i="3"/>
  <c r="K326" i="3" s="1"/>
  <c r="G326" i="3"/>
  <c r="F326" i="3"/>
  <c r="G1006" i="2"/>
  <c r="H1006" i="2"/>
  <c r="I1006" i="2"/>
  <c r="F1005" i="2"/>
  <c r="G1005" i="2"/>
  <c r="H1005" i="2"/>
  <c r="I1005" i="2"/>
  <c r="N64" i="14" l="1"/>
  <c r="N63" i="14"/>
  <c r="L65" i="14"/>
  <c r="F1004" i="2"/>
  <c r="G1004" i="2"/>
  <c r="H1004" i="2"/>
  <c r="I1004" i="2"/>
  <c r="F1003" i="2"/>
  <c r="G1003" i="2"/>
  <c r="H1003" i="2"/>
  <c r="I1003" i="2"/>
  <c r="F1002" i="2"/>
  <c r="G1002" i="2"/>
  <c r="H1002" i="2"/>
  <c r="I1002" i="2"/>
  <c r="M65" i="14" l="1"/>
  <c r="I1001" i="2"/>
  <c r="I1000" i="2"/>
  <c r="I999" i="2" l="1"/>
  <c r="I998" i="2"/>
  <c r="I997" i="2"/>
  <c r="O325" i="3" l="1"/>
  <c r="P325" i="3" s="1"/>
  <c r="J325" i="3"/>
  <c r="I325" i="3"/>
  <c r="H325" i="3"/>
  <c r="K325" i="3" s="1"/>
  <c r="G325" i="3"/>
  <c r="F325" i="3"/>
  <c r="O324" i="3"/>
  <c r="P324" i="3" s="1"/>
  <c r="J324" i="3"/>
  <c r="I324" i="3"/>
  <c r="H324" i="3"/>
  <c r="K324" i="3" s="1"/>
  <c r="G324" i="3"/>
  <c r="F324" i="3"/>
  <c r="O323" i="3"/>
  <c r="P323" i="3" s="1"/>
  <c r="J323" i="3"/>
  <c r="I323" i="3"/>
  <c r="G323" i="3"/>
  <c r="F323" i="3"/>
  <c r="I996" i="2" l="1"/>
  <c r="I995" i="2"/>
  <c r="I994" i="2"/>
  <c r="I993" i="2"/>
  <c r="I992" i="2"/>
  <c r="I991" i="2"/>
  <c r="I990" i="2"/>
  <c r="I989" i="2" l="1"/>
  <c r="I988" i="2"/>
  <c r="F987" i="2"/>
  <c r="O321" i="3"/>
  <c r="P321" i="3" s="1"/>
  <c r="J321" i="3"/>
  <c r="I321" i="3"/>
  <c r="G321" i="3"/>
  <c r="F321" i="3"/>
  <c r="O320" i="3"/>
  <c r="P320" i="3" s="1"/>
  <c r="J320" i="3"/>
  <c r="I320" i="3"/>
  <c r="G320" i="3"/>
  <c r="F320" i="3"/>
  <c r="O322" i="3"/>
  <c r="P322" i="3" s="1"/>
  <c r="J322" i="3"/>
  <c r="I322" i="3"/>
  <c r="G322" i="3"/>
  <c r="F322" i="3"/>
  <c r="O319" i="3"/>
  <c r="P319" i="3" s="1"/>
  <c r="J319" i="3"/>
  <c r="I319" i="3"/>
  <c r="G319" i="3"/>
  <c r="F319" i="3"/>
  <c r="O318" i="3"/>
  <c r="P318" i="3" s="1"/>
  <c r="J318" i="3"/>
  <c r="I318" i="3"/>
  <c r="G318" i="3"/>
  <c r="F318" i="3"/>
  <c r="I987" i="2"/>
  <c r="I986" i="2"/>
  <c r="I985" i="2"/>
  <c r="N983" i="2"/>
  <c r="O983" i="2" s="1"/>
  <c r="I983" i="2"/>
  <c r="H983" i="2"/>
  <c r="J983" i="2" s="1"/>
  <c r="G983" i="2"/>
  <c r="F983" i="2"/>
  <c r="I984" i="2"/>
  <c r="H984" i="2"/>
  <c r="J984" i="2" s="1"/>
  <c r="G984" i="2"/>
  <c r="F984" i="2"/>
  <c r="I982" i="2"/>
  <c r="I981" i="2"/>
  <c r="I980" i="2"/>
  <c r="I979" i="2"/>
  <c r="I978" i="2"/>
  <c r="I977" i="2" l="1"/>
  <c r="O317" i="3" l="1"/>
  <c r="P317" i="3" s="1"/>
  <c r="J317" i="3"/>
  <c r="I317" i="3"/>
  <c r="G317" i="3"/>
  <c r="F317" i="3"/>
  <c r="O316" i="3"/>
  <c r="P316" i="3" s="1"/>
  <c r="J316" i="3"/>
  <c r="I316" i="3"/>
  <c r="G316" i="3"/>
  <c r="F316" i="3"/>
  <c r="O315" i="3"/>
  <c r="P315" i="3" s="1"/>
  <c r="J315" i="3"/>
  <c r="I315" i="3"/>
  <c r="H315" i="3"/>
  <c r="G315" i="3"/>
  <c r="F315" i="3"/>
  <c r="O314" i="3"/>
  <c r="P314" i="3" s="1"/>
  <c r="J314" i="3"/>
  <c r="I314" i="3"/>
  <c r="H314" i="3"/>
  <c r="G314" i="3"/>
  <c r="F314" i="3"/>
  <c r="I976" i="2" l="1"/>
  <c r="I975" i="2"/>
  <c r="I974" i="2"/>
  <c r="F962" i="2"/>
  <c r="G962" i="2"/>
  <c r="H962" i="2"/>
  <c r="J962" i="2" s="1"/>
  <c r="I962" i="2"/>
  <c r="C20" i="11"/>
  <c r="D20" i="11"/>
  <c r="E20" i="11"/>
  <c r="O313" i="3" l="1"/>
  <c r="P313" i="3" s="1"/>
  <c r="J313" i="3"/>
  <c r="I313" i="3"/>
  <c r="H313" i="3"/>
  <c r="G313" i="3"/>
  <c r="F313" i="3"/>
  <c r="O312" i="3"/>
  <c r="P312" i="3" s="1"/>
  <c r="J312" i="3"/>
  <c r="I312" i="3"/>
  <c r="H312" i="3"/>
  <c r="G312" i="3"/>
  <c r="F312" i="3"/>
  <c r="O311" i="3"/>
  <c r="P311" i="3" s="1"/>
  <c r="J311" i="3"/>
  <c r="I311" i="3"/>
  <c r="H311" i="3"/>
  <c r="G311" i="3"/>
  <c r="F311" i="3"/>
  <c r="O310" i="3"/>
  <c r="P310" i="3" s="1"/>
  <c r="J310" i="3"/>
  <c r="I310" i="3"/>
  <c r="H310" i="3"/>
  <c r="G310" i="3"/>
  <c r="F310" i="3"/>
  <c r="O309" i="3"/>
  <c r="P309" i="3" s="1"/>
  <c r="J309" i="3"/>
  <c r="I309" i="3"/>
  <c r="H309" i="3"/>
  <c r="G309" i="3"/>
  <c r="F309" i="3"/>
  <c r="O308" i="3"/>
  <c r="P308" i="3" s="1"/>
  <c r="J308" i="3"/>
  <c r="I308" i="3"/>
  <c r="H308" i="3"/>
  <c r="G308" i="3"/>
  <c r="F308" i="3"/>
  <c r="O307" i="3"/>
  <c r="P307" i="3" s="1"/>
  <c r="J307" i="3"/>
  <c r="I307" i="3"/>
  <c r="H307" i="3"/>
  <c r="G307" i="3"/>
  <c r="F307" i="3"/>
  <c r="O306" i="3"/>
  <c r="P306" i="3" s="1"/>
  <c r="J306" i="3"/>
  <c r="I306" i="3"/>
  <c r="H306" i="3"/>
  <c r="G306" i="3"/>
  <c r="F306" i="3"/>
  <c r="O305" i="3"/>
  <c r="P305" i="3" s="1"/>
  <c r="J305" i="3"/>
  <c r="I305" i="3"/>
  <c r="H305" i="3"/>
  <c r="G305" i="3"/>
  <c r="F305" i="3"/>
  <c r="O304" i="3"/>
  <c r="P304" i="3" s="1"/>
  <c r="J304" i="3"/>
  <c r="I304" i="3"/>
  <c r="H304" i="3"/>
  <c r="G304" i="3"/>
  <c r="F304" i="3"/>
  <c r="J303" i="3"/>
  <c r="I303" i="3"/>
  <c r="H303" i="3"/>
  <c r="K303" i="3" s="1"/>
  <c r="G303" i="3"/>
  <c r="F303" i="3"/>
  <c r="O302" i="3"/>
  <c r="P302" i="3" s="1"/>
  <c r="J302" i="3"/>
  <c r="I302" i="3"/>
  <c r="H302" i="3"/>
  <c r="G302" i="3"/>
  <c r="F302" i="3"/>
  <c r="O301" i="3"/>
  <c r="P301" i="3" s="1"/>
  <c r="J301" i="3"/>
  <c r="I301" i="3"/>
  <c r="H301" i="3"/>
  <c r="G301" i="3"/>
  <c r="F301" i="3"/>
  <c r="O300" i="3"/>
  <c r="P300" i="3" s="1"/>
  <c r="J300" i="3"/>
  <c r="I300" i="3"/>
  <c r="H300" i="3"/>
  <c r="G300" i="3"/>
  <c r="F300" i="3"/>
  <c r="P299" i="3"/>
  <c r="O299" i="3"/>
  <c r="F287" i="3" l="1"/>
  <c r="G287" i="3"/>
  <c r="H287" i="3"/>
  <c r="I287" i="3"/>
  <c r="J287" i="3"/>
  <c r="O287" i="3"/>
  <c r="P287" i="3" s="1"/>
  <c r="O298" i="3" l="1"/>
  <c r="P298" i="3" s="1"/>
  <c r="J298" i="3"/>
  <c r="I298" i="3"/>
  <c r="H298" i="3"/>
  <c r="G298" i="3"/>
  <c r="F298" i="3"/>
  <c r="O297" i="3"/>
  <c r="P297" i="3" s="1"/>
  <c r="J297" i="3"/>
  <c r="I297" i="3"/>
  <c r="H297" i="3"/>
  <c r="G297" i="3"/>
  <c r="F297" i="3"/>
  <c r="O296" i="3"/>
  <c r="P296" i="3" s="1"/>
  <c r="J296" i="3"/>
  <c r="I296" i="3"/>
  <c r="H296" i="3"/>
  <c r="G296" i="3"/>
  <c r="F296" i="3"/>
  <c r="O295" i="3"/>
  <c r="P295" i="3" s="1"/>
  <c r="J295" i="3"/>
  <c r="I295" i="3"/>
  <c r="H295" i="3"/>
  <c r="G295" i="3"/>
  <c r="F295" i="3"/>
  <c r="O294" i="3"/>
  <c r="P294" i="3" s="1"/>
  <c r="J294" i="3"/>
  <c r="I294" i="3"/>
  <c r="H294" i="3"/>
  <c r="G294" i="3"/>
  <c r="F294" i="3"/>
  <c r="O293" i="3"/>
  <c r="P293" i="3" s="1"/>
  <c r="J293" i="3"/>
  <c r="I293" i="3"/>
  <c r="H293" i="3"/>
  <c r="K293" i="3" s="1"/>
  <c r="G293" i="3"/>
  <c r="F293" i="3"/>
  <c r="O292" i="3"/>
  <c r="P292" i="3" s="1"/>
  <c r="J292" i="3"/>
  <c r="I292" i="3"/>
  <c r="H292" i="3"/>
  <c r="G292" i="3"/>
  <c r="F292" i="3"/>
  <c r="O291" i="3"/>
  <c r="P291" i="3" s="1"/>
  <c r="J291" i="3"/>
  <c r="I291" i="3"/>
  <c r="H291" i="3"/>
  <c r="K291" i="3" s="1"/>
  <c r="G291" i="3"/>
  <c r="F291" i="3"/>
  <c r="O290" i="3"/>
  <c r="P290" i="3" s="1"/>
  <c r="J290" i="3"/>
  <c r="I290" i="3"/>
  <c r="H290" i="3"/>
  <c r="G290" i="3"/>
  <c r="F290" i="3"/>
  <c r="O289" i="3"/>
  <c r="P289" i="3" s="1"/>
  <c r="J289" i="3"/>
  <c r="I289" i="3"/>
  <c r="H289" i="3"/>
  <c r="G289" i="3"/>
  <c r="F289" i="3"/>
  <c r="O288" i="3"/>
  <c r="P288" i="3" s="1"/>
  <c r="J288" i="3"/>
  <c r="I288" i="3"/>
  <c r="H288" i="3"/>
  <c r="G288" i="3"/>
  <c r="F288" i="3"/>
  <c r="O286" i="3"/>
  <c r="P286" i="3" s="1"/>
  <c r="J286" i="3"/>
  <c r="I286" i="3"/>
  <c r="H286" i="3"/>
  <c r="G286" i="3"/>
  <c r="F286" i="3"/>
  <c r="O285" i="3"/>
  <c r="P285" i="3" s="1"/>
  <c r="J285" i="3"/>
  <c r="I285" i="3"/>
  <c r="H285" i="3"/>
  <c r="G285" i="3"/>
  <c r="F285" i="3"/>
  <c r="F281" i="3"/>
  <c r="G281" i="3"/>
  <c r="H281" i="3"/>
  <c r="I281" i="3"/>
  <c r="J281" i="3"/>
  <c r="O281" i="3"/>
  <c r="P281" i="3" s="1"/>
  <c r="F282" i="3"/>
  <c r="G282" i="3"/>
  <c r="H282" i="3"/>
  <c r="I282" i="3"/>
  <c r="J282" i="3"/>
  <c r="O282" i="3"/>
  <c r="P282" i="3" s="1"/>
  <c r="F283" i="3"/>
  <c r="G283" i="3"/>
  <c r="H283" i="3"/>
  <c r="I283" i="3"/>
  <c r="J283" i="3"/>
  <c r="O283" i="3"/>
  <c r="P283" i="3" s="1"/>
  <c r="F284" i="3"/>
  <c r="G284" i="3"/>
  <c r="H284" i="3"/>
  <c r="I284" i="3"/>
  <c r="J284" i="3"/>
  <c r="O284" i="3"/>
  <c r="P284" i="3" s="1"/>
  <c r="F272" i="3"/>
  <c r="G272" i="3"/>
  <c r="H272" i="3"/>
  <c r="I272" i="3"/>
  <c r="J272" i="3"/>
  <c r="O272" i="3"/>
  <c r="P272" i="3" s="1"/>
  <c r="F273" i="3"/>
  <c r="G273" i="3"/>
  <c r="H273" i="3"/>
  <c r="I273" i="3"/>
  <c r="J273" i="3"/>
  <c r="O273" i="3"/>
  <c r="P273" i="3" s="1"/>
  <c r="F274" i="3"/>
  <c r="G274" i="3"/>
  <c r="H274" i="3"/>
  <c r="I274" i="3"/>
  <c r="J274" i="3"/>
  <c r="O274" i="3"/>
  <c r="P274" i="3" s="1"/>
  <c r="F275" i="3"/>
  <c r="G275" i="3"/>
  <c r="H275" i="3"/>
  <c r="I275" i="3"/>
  <c r="J275" i="3"/>
  <c r="O275" i="3"/>
  <c r="P275" i="3" s="1"/>
  <c r="F276" i="3"/>
  <c r="G276" i="3"/>
  <c r="H276" i="3"/>
  <c r="I276" i="3"/>
  <c r="J276" i="3"/>
  <c r="O276" i="3"/>
  <c r="P276" i="3" s="1"/>
  <c r="F277" i="3"/>
  <c r="G277" i="3"/>
  <c r="H277" i="3"/>
  <c r="I277" i="3"/>
  <c r="J277" i="3"/>
  <c r="O277" i="3"/>
  <c r="P277" i="3" s="1"/>
  <c r="F278" i="3"/>
  <c r="G278" i="3"/>
  <c r="H278" i="3"/>
  <c r="I278" i="3"/>
  <c r="J278" i="3"/>
  <c r="O278" i="3"/>
  <c r="P278" i="3" s="1"/>
  <c r="F279" i="3"/>
  <c r="G279" i="3"/>
  <c r="H279" i="3"/>
  <c r="I279" i="3"/>
  <c r="J279" i="3"/>
  <c r="O279" i="3"/>
  <c r="P279" i="3" s="1"/>
  <c r="F280" i="3"/>
  <c r="G280" i="3"/>
  <c r="H280" i="3"/>
  <c r="I280" i="3"/>
  <c r="J280" i="3"/>
  <c r="O280" i="3"/>
  <c r="P280" i="3" s="1"/>
  <c r="O271" i="3" l="1"/>
  <c r="P271" i="3" s="1"/>
  <c r="J271" i="3"/>
  <c r="I271" i="3"/>
  <c r="H271" i="3"/>
  <c r="G271" i="3"/>
  <c r="F271" i="3"/>
  <c r="O270" i="3"/>
  <c r="P270" i="3" s="1"/>
  <c r="J270" i="3"/>
  <c r="I270" i="3"/>
  <c r="H270" i="3"/>
  <c r="G270" i="3"/>
  <c r="F270" i="3"/>
  <c r="O269" i="3"/>
  <c r="P269" i="3" s="1"/>
  <c r="J269" i="3"/>
  <c r="I269" i="3"/>
  <c r="H269" i="3"/>
  <c r="G269" i="3"/>
  <c r="F269" i="3"/>
  <c r="O268" i="3"/>
  <c r="P268" i="3" s="1"/>
  <c r="J268" i="3"/>
  <c r="I268" i="3"/>
  <c r="H268" i="3"/>
  <c r="G268" i="3"/>
  <c r="F268" i="3"/>
  <c r="O267" i="3"/>
  <c r="P267" i="3" s="1"/>
  <c r="J267" i="3"/>
  <c r="I267" i="3"/>
  <c r="H267" i="3"/>
  <c r="G267" i="3"/>
  <c r="F267" i="3"/>
  <c r="O266" i="3"/>
  <c r="P266" i="3" s="1"/>
  <c r="J266" i="3"/>
  <c r="I266" i="3"/>
  <c r="H266" i="3"/>
  <c r="G266" i="3"/>
  <c r="F266" i="3"/>
  <c r="O265" i="3"/>
  <c r="P265" i="3" s="1"/>
  <c r="J265" i="3"/>
  <c r="I265" i="3"/>
  <c r="H265" i="3"/>
  <c r="G265" i="3"/>
  <c r="F265" i="3"/>
  <c r="O264" i="3"/>
  <c r="P264" i="3" s="1"/>
  <c r="J264" i="3"/>
  <c r="I264" i="3"/>
  <c r="H264" i="3"/>
  <c r="G264" i="3"/>
  <c r="F264" i="3"/>
  <c r="F769" i="2"/>
  <c r="G769" i="2"/>
  <c r="H769" i="2"/>
  <c r="N696" i="2"/>
  <c r="O696" i="2" s="1"/>
  <c r="I973" i="2"/>
  <c r="I972" i="2"/>
  <c r="I971" i="2"/>
  <c r="I970" i="2"/>
  <c r="I969" i="2"/>
  <c r="I968" i="2"/>
  <c r="I967" i="2"/>
  <c r="I966" i="2"/>
  <c r="I965" i="2"/>
  <c r="I964" i="2"/>
  <c r="I963" i="2"/>
  <c r="I961" i="2"/>
  <c r="I960" i="2"/>
  <c r="I959" i="2"/>
  <c r="I958" i="2"/>
  <c r="I957" i="2"/>
  <c r="I956" i="2"/>
  <c r="I955" i="2"/>
  <c r="I954" i="2"/>
  <c r="I953" i="2"/>
  <c r="I952" i="2"/>
  <c r="I951" i="2"/>
  <c r="I950" i="2"/>
  <c r="I949" i="2"/>
  <c r="I948" i="2"/>
  <c r="I947" i="2"/>
  <c r="I946" i="2"/>
  <c r="I945" i="2"/>
  <c r="I944" i="2"/>
  <c r="I943" i="2"/>
  <c r="I942" i="2"/>
  <c r="I941" i="2"/>
  <c r="I940" i="2"/>
  <c r="I939" i="2"/>
  <c r="I938" i="2"/>
  <c r="I937" i="2"/>
  <c r="I936" i="2"/>
  <c r="I935" i="2"/>
  <c r="I934" i="2"/>
  <c r="I933" i="2"/>
  <c r="I932" i="2"/>
  <c r="I931" i="2"/>
  <c r="I930" i="2"/>
  <c r="I929" i="2"/>
  <c r="I928" i="2"/>
  <c r="I927" i="2"/>
  <c r="I926" i="2"/>
  <c r="I925" i="2"/>
  <c r="I924" i="2"/>
  <c r="I923" i="2"/>
  <c r="I922" i="2"/>
  <c r="I921" i="2"/>
  <c r="I920" i="2"/>
  <c r="I919" i="2"/>
  <c r="I918" i="2"/>
  <c r="I917" i="2"/>
  <c r="I916" i="2"/>
  <c r="I915" i="2"/>
  <c r="I914" i="2"/>
  <c r="I913" i="2"/>
  <c r="I912" i="2"/>
  <c r="I911" i="2"/>
  <c r="I910" i="2"/>
  <c r="I909" i="2"/>
  <c r="I908" i="2"/>
  <c r="I907" i="2"/>
  <c r="I906" i="2"/>
  <c r="I905" i="2"/>
  <c r="I904" i="2"/>
  <c r="I903" i="2"/>
  <c r="I902" i="2"/>
  <c r="I901" i="2"/>
  <c r="I899" i="2"/>
  <c r="I898" i="2"/>
  <c r="I897" i="2"/>
  <c r="I896" i="2"/>
  <c r="I895" i="2"/>
  <c r="I894" i="2"/>
  <c r="I893" i="2"/>
  <c r="I892" i="2"/>
  <c r="I891" i="2"/>
  <c r="I890" i="2"/>
  <c r="I889" i="2"/>
  <c r="I888" i="2"/>
  <c r="I887" i="2"/>
  <c r="I885" i="2"/>
  <c r="I884" i="2"/>
  <c r="I883" i="2"/>
  <c r="I882" i="2"/>
  <c r="I881" i="2"/>
  <c r="I880" i="2"/>
  <c r="I879" i="2"/>
  <c r="I878" i="2"/>
  <c r="I877" i="2"/>
  <c r="I876" i="2"/>
  <c r="I875" i="2"/>
  <c r="I874" i="2"/>
  <c r="I873" i="2"/>
  <c r="I872" i="2"/>
  <c r="I871" i="2"/>
  <c r="I870" i="2"/>
  <c r="I869" i="2"/>
  <c r="I868" i="2"/>
  <c r="I867" i="2"/>
  <c r="I866" i="2"/>
  <c r="I865" i="2"/>
  <c r="I864" i="2"/>
  <c r="I863" i="2"/>
  <c r="I862" i="2"/>
  <c r="I861" i="2"/>
  <c r="I860" i="2"/>
  <c r="I859" i="2"/>
  <c r="I858" i="2"/>
  <c r="I857" i="2"/>
  <c r="I856" i="2"/>
  <c r="I855" i="2"/>
  <c r="I854" i="2"/>
  <c r="I853" i="2"/>
  <c r="I852" i="2"/>
  <c r="I851" i="2"/>
  <c r="I850" i="2"/>
  <c r="I849" i="2"/>
  <c r="I848" i="2"/>
  <c r="I847" i="2"/>
  <c r="I846" i="2"/>
  <c r="I845" i="2"/>
  <c r="I844" i="2"/>
  <c r="I843" i="2"/>
  <c r="I842" i="2"/>
  <c r="I841" i="2"/>
  <c r="I840" i="2"/>
  <c r="I839" i="2"/>
  <c r="I838" i="2"/>
  <c r="I837" i="2"/>
  <c r="I836" i="2"/>
  <c r="I835" i="2"/>
  <c r="I834" i="2"/>
  <c r="I833" i="2"/>
  <c r="I831" i="2"/>
  <c r="I830" i="2"/>
  <c r="I829" i="2"/>
  <c r="I828" i="2"/>
  <c r="I827" i="2"/>
  <c r="I826" i="2"/>
  <c r="I825" i="2"/>
  <c r="I824" i="2"/>
  <c r="I823" i="2"/>
  <c r="I822" i="2"/>
  <c r="I821" i="2"/>
  <c r="I820" i="2"/>
  <c r="I819" i="2"/>
  <c r="I818" i="2"/>
  <c r="I817" i="2"/>
  <c r="I816" i="2"/>
  <c r="I815" i="2"/>
  <c r="I814" i="2"/>
  <c r="I813" i="2"/>
  <c r="I812" i="2"/>
  <c r="I811" i="2"/>
  <c r="I810" i="2"/>
  <c r="I809" i="2"/>
  <c r="I808" i="2"/>
  <c r="I807" i="2"/>
  <c r="I806" i="2"/>
  <c r="I805" i="2"/>
  <c r="I804" i="2"/>
  <c r="I803" i="2"/>
  <c r="I802" i="2"/>
  <c r="I801" i="2"/>
  <c r="I800" i="2"/>
  <c r="I799" i="2"/>
  <c r="I798" i="2"/>
  <c r="I797" i="2"/>
  <c r="I796" i="2"/>
  <c r="I795" i="2"/>
  <c r="I794" i="2"/>
  <c r="I793" i="2"/>
  <c r="I792" i="2"/>
  <c r="I791" i="2"/>
  <c r="I790" i="2"/>
  <c r="I789" i="2"/>
  <c r="I788" i="2"/>
  <c r="I787" i="2"/>
  <c r="I786" i="2"/>
  <c r="I785" i="2"/>
  <c r="I784" i="2"/>
  <c r="I783" i="2"/>
  <c r="I782" i="2"/>
  <c r="I781" i="2"/>
  <c r="I780" i="2"/>
  <c r="I779" i="2"/>
  <c r="I778" i="2"/>
  <c r="I777" i="2"/>
  <c r="I776" i="2"/>
  <c r="I775" i="2"/>
  <c r="I774" i="2"/>
  <c r="I773" i="2"/>
  <c r="I772" i="2"/>
  <c r="I771" i="2"/>
  <c r="I770" i="2"/>
  <c r="I769" i="2"/>
  <c r="I768" i="2"/>
  <c r="I767" i="2"/>
  <c r="I766" i="2"/>
  <c r="I765" i="2"/>
  <c r="I764" i="2"/>
  <c r="I763" i="2"/>
  <c r="I762" i="2"/>
  <c r="I761" i="2"/>
  <c r="I760" i="2"/>
  <c r="I759" i="2"/>
  <c r="I758" i="2"/>
  <c r="I757" i="2"/>
  <c r="I756" i="2"/>
  <c r="I755" i="2"/>
  <c r="I754" i="2"/>
  <c r="I753" i="2"/>
  <c r="I752" i="2"/>
  <c r="I751" i="2"/>
  <c r="I750" i="2"/>
  <c r="I749" i="2"/>
  <c r="I748" i="2"/>
  <c r="I747" i="2"/>
  <c r="I746" i="2"/>
  <c r="I745" i="2"/>
  <c r="I744" i="2"/>
  <c r="I743" i="2"/>
  <c r="I742" i="2"/>
  <c r="I741" i="2"/>
  <c r="I740" i="2"/>
  <c r="I739" i="2"/>
  <c r="I738" i="2"/>
  <c r="I737" i="2"/>
  <c r="I736" i="2"/>
  <c r="I735" i="2"/>
  <c r="I734" i="2"/>
  <c r="I733" i="2"/>
  <c r="I732" i="2"/>
  <c r="I731" i="2"/>
  <c r="I730" i="2"/>
  <c r="I729" i="2"/>
  <c r="I728" i="2"/>
  <c r="F725" i="2"/>
  <c r="H704" i="2"/>
  <c r="H705" i="2"/>
  <c r="H706" i="2"/>
  <c r="H707" i="2"/>
  <c r="H708" i="2"/>
  <c r="H709" i="2"/>
  <c r="H710" i="2"/>
  <c r="H711" i="2"/>
  <c r="H712" i="2"/>
  <c r="H713" i="2"/>
  <c r="H714" i="2"/>
  <c r="H715" i="2"/>
  <c r="H716" i="2"/>
  <c r="H717" i="2"/>
  <c r="H718" i="2"/>
  <c r="H719" i="2"/>
  <c r="H720" i="2"/>
  <c r="H721" i="2"/>
  <c r="H722" i="2"/>
  <c r="H723" i="2"/>
  <c r="H724" i="2"/>
  <c r="O263" i="3"/>
  <c r="P263" i="3" s="1"/>
  <c r="J263" i="3"/>
  <c r="I263" i="3"/>
  <c r="H263" i="3"/>
  <c r="G263" i="3"/>
  <c r="F263" i="3"/>
  <c r="O262" i="3"/>
  <c r="P262" i="3" s="1"/>
  <c r="J262" i="3"/>
  <c r="I262" i="3"/>
  <c r="H262" i="3"/>
  <c r="G262" i="3"/>
  <c r="F262" i="3"/>
  <c r="O261" i="3"/>
  <c r="P261" i="3" s="1"/>
  <c r="J261" i="3"/>
  <c r="I261" i="3"/>
  <c r="H261" i="3"/>
  <c r="G261" i="3"/>
  <c r="F261" i="3"/>
  <c r="O260" i="3"/>
  <c r="P260" i="3" s="1"/>
  <c r="J260" i="3"/>
  <c r="I260" i="3"/>
  <c r="H260" i="3"/>
  <c r="G260" i="3"/>
  <c r="F260" i="3"/>
  <c r="O259" i="3"/>
  <c r="P259" i="3" s="1"/>
  <c r="J259" i="3"/>
  <c r="I259" i="3"/>
  <c r="H259" i="3"/>
  <c r="G259" i="3"/>
  <c r="F259" i="3"/>
  <c r="O258" i="3"/>
  <c r="P258" i="3" s="1"/>
  <c r="J258" i="3"/>
  <c r="I258" i="3"/>
  <c r="H258" i="3"/>
  <c r="G258" i="3"/>
  <c r="F258" i="3"/>
  <c r="O257" i="3"/>
  <c r="P257" i="3" s="1"/>
  <c r="J257" i="3"/>
  <c r="I257" i="3"/>
  <c r="H257" i="3"/>
  <c r="G257" i="3"/>
  <c r="F257" i="3"/>
  <c r="O256" i="3"/>
  <c r="P256" i="3" s="1"/>
  <c r="J256" i="3"/>
  <c r="I256" i="3"/>
  <c r="H256" i="3"/>
  <c r="G256" i="3"/>
  <c r="F256" i="3"/>
  <c r="O255" i="3"/>
  <c r="P255" i="3" s="1"/>
  <c r="J255" i="3"/>
  <c r="I255" i="3"/>
  <c r="H255" i="3"/>
  <c r="G255" i="3"/>
  <c r="F255" i="3"/>
  <c r="O254" i="3"/>
  <c r="P254" i="3" s="1"/>
  <c r="J254" i="3"/>
  <c r="I254" i="3"/>
  <c r="H254" i="3"/>
  <c r="G254" i="3"/>
  <c r="F254" i="3"/>
  <c r="O253" i="3"/>
  <c r="P253" i="3" s="1"/>
  <c r="J253" i="3"/>
  <c r="I253" i="3"/>
  <c r="H253" i="3"/>
  <c r="K253" i="3" s="1"/>
  <c r="G253" i="3"/>
  <c r="F253" i="3"/>
  <c r="N611" i="2"/>
  <c r="H225" i="3"/>
  <c r="I694" i="2" l="1"/>
  <c r="H694" i="2"/>
  <c r="J694" i="2" s="1"/>
  <c r="G694" i="2"/>
  <c r="F694" i="2"/>
  <c r="E25" i="5"/>
  <c r="E24" i="5" l="1"/>
  <c r="F556" i="2"/>
  <c r="G556" i="2"/>
  <c r="H556" i="2"/>
  <c r="E23" i="5"/>
  <c r="E20" i="5" l="1"/>
  <c r="E21" i="5"/>
  <c r="E22" i="5"/>
  <c r="E19" i="5"/>
  <c r="I662" i="2"/>
  <c r="I663" i="2"/>
  <c r="I664" i="2"/>
  <c r="I665" i="2"/>
  <c r="I666" i="2"/>
  <c r="I667" i="2"/>
  <c r="I668" i="2"/>
  <c r="I669" i="2"/>
  <c r="I671" i="2"/>
  <c r="I672" i="2"/>
  <c r="I673" i="2"/>
  <c r="I674" i="2"/>
  <c r="I675" i="2"/>
  <c r="I676" i="2"/>
  <c r="I677" i="2"/>
  <c r="I678" i="2"/>
  <c r="I679" i="2"/>
  <c r="I681" i="2"/>
  <c r="I682" i="2"/>
  <c r="I684" i="2"/>
  <c r="I685" i="2"/>
  <c r="I686" i="2"/>
  <c r="I687" i="2"/>
  <c r="I688" i="2"/>
  <c r="I689" i="2"/>
  <c r="I690" i="2"/>
  <c r="I691" i="2"/>
  <c r="I692" i="2"/>
  <c r="I693" i="2"/>
  <c r="I695" i="2"/>
  <c r="I696" i="2"/>
  <c r="I697" i="2"/>
  <c r="I698" i="2"/>
  <c r="I699" i="2"/>
  <c r="I700" i="2"/>
  <c r="I701" i="2"/>
  <c r="I702" i="2"/>
  <c r="I703" i="2"/>
  <c r="I704" i="2"/>
  <c r="I705" i="2"/>
  <c r="I706" i="2"/>
  <c r="I707" i="2"/>
  <c r="I708" i="2"/>
  <c r="I709" i="2"/>
  <c r="I710" i="2"/>
  <c r="I711" i="2"/>
  <c r="I712" i="2"/>
  <c r="I713" i="2"/>
  <c r="I714" i="2"/>
  <c r="I715" i="2"/>
  <c r="I716" i="2"/>
  <c r="I717" i="2"/>
  <c r="I718" i="2"/>
  <c r="I719" i="2"/>
  <c r="I720" i="2"/>
  <c r="I721" i="2"/>
  <c r="I722" i="2"/>
  <c r="I723" i="2"/>
  <c r="I724" i="2"/>
  <c r="I725" i="2"/>
  <c r="I726" i="2"/>
  <c r="I727" i="2"/>
  <c r="I661" i="2"/>
  <c r="I660" i="2"/>
  <c r="I659" i="2" l="1"/>
  <c r="O252" i="3" l="1"/>
  <c r="P252" i="3" s="1"/>
  <c r="J252" i="3"/>
  <c r="I252" i="3"/>
  <c r="H252" i="3"/>
  <c r="G252" i="3"/>
  <c r="F252" i="3"/>
  <c r="O251" i="3"/>
  <c r="P251" i="3" s="1"/>
  <c r="J251" i="3"/>
  <c r="I251" i="3"/>
  <c r="H251" i="3"/>
  <c r="G251" i="3"/>
  <c r="F251" i="3"/>
  <c r="O250" i="3"/>
  <c r="P250" i="3" s="1"/>
  <c r="J250" i="3"/>
  <c r="I250" i="3"/>
  <c r="H250" i="3"/>
  <c r="G250" i="3"/>
  <c r="F250" i="3"/>
  <c r="O249" i="3"/>
  <c r="P249" i="3" s="1"/>
  <c r="J249" i="3"/>
  <c r="I249" i="3"/>
  <c r="H249" i="3"/>
  <c r="G249" i="3"/>
  <c r="F249" i="3"/>
  <c r="O248" i="3"/>
  <c r="P248" i="3" s="1"/>
  <c r="J248" i="3"/>
  <c r="I248" i="3"/>
  <c r="H248" i="3"/>
  <c r="G248" i="3"/>
  <c r="F248" i="3"/>
  <c r="O247" i="3"/>
  <c r="P247" i="3" s="1"/>
  <c r="J247" i="3"/>
  <c r="I247" i="3"/>
  <c r="H247" i="3"/>
  <c r="G247" i="3"/>
  <c r="F247" i="3"/>
  <c r="O246" i="3"/>
  <c r="P246" i="3" s="1"/>
  <c r="J246" i="3"/>
  <c r="I246" i="3"/>
  <c r="H246" i="3"/>
  <c r="G246" i="3"/>
  <c r="F246" i="3"/>
  <c r="O245" i="3"/>
  <c r="P245" i="3" s="1"/>
  <c r="J245" i="3"/>
  <c r="I245" i="3"/>
  <c r="H245" i="3"/>
  <c r="G245" i="3"/>
  <c r="F245" i="3"/>
  <c r="H536" i="2"/>
  <c r="I658" i="2"/>
  <c r="I657" i="2"/>
  <c r="I656" i="2"/>
  <c r="I655" i="2"/>
  <c r="I654" i="2"/>
  <c r="I653" i="2"/>
  <c r="I652" i="2"/>
  <c r="I651" i="2"/>
  <c r="I650" i="2"/>
  <c r="I649" i="2"/>
  <c r="I648" i="2"/>
  <c r="I647" i="2"/>
  <c r="I646" i="2" l="1"/>
  <c r="I645" i="2"/>
  <c r="I644" i="2" l="1"/>
  <c r="I643" i="2"/>
  <c r="I642" i="2"/>
  <c r="I641" i="2"/>
  <c r="I640" i="2" l="1"/>
  <c r="I639" i="2"/>
  <c r="I638" i="2" l="1"/>
  <c r="I637" i="2"/>
  <c r="I636" i="2"/>
  <c r="I635" i="2"/>
  <c r="I634" i="2"/>
  <c r="I633" i="2" l="1"/>
  <c r="I632" i="2" l="1"/>
  <c r="I631" i="2"/>
  <c r="I630" i="2"/>
  <c r="I629" i="2"/>
  <c r="I628" i="2"/>
  <c r="I627" i="2"/>
  <c r="I626" i="2"/>
  <c r="I625" i="2" l="1"/>
  <c r="I624" i="2"/>
  <c r="I623" i="2"/>
  <c r="I622" i="2"/>
  <c r="I621" i="2"/>
  <c r="I620" i="2"/>
  <c r="I619" i="2"/>
  <c r="I618" i="2" l="1"/>
  <c r="I617" i="2"/>
  <c r="G18" i="5"/>
  <c r="F597" i="2"/>
  <c r="G597" i="2"/>
  <c r="H597" i="2"/>
  <c r="J597" i="2" s="1"/>
  <c r="I597" i="2"/>
  <c r="H479" i="2"/>
  <c r="H436" i="2"/>
  <c r="H437" i="2"/>
  <c r="H438" i="2"/>
  <c r="H439" i="2"/>
  <c r="H440" i="2"/>
  <c r="H441" i="2"/>
  <c r="H442" i="2"/>
  <c r="H443" i="2"/>
  <c r="H444" i="2"/>
  <c r="H445" i="2"/>
  <c r="H446" i="2"/>
  <c r="H447" i="2"/>
  <c r="H448" i="2"/>
  <c r="H449" i="2"/>
  <c r="H450" i="2"/>
  <c r="H451" i="2"/>
  <c r="H452" i="2"/>
  <c r="H453" i="2"/>
  <c r="H454" i="2"/>
  <c r="H455"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N705" i="2"/>
  <c r="O705" i="2" s="1"/>
  <c r="N704" i="2"/>
  <c r="O704" i="2" s="1"/>
  <c r="N703" i="2"/>
  <c r="O703" i="2" s="1"/>
  <c r="N702" i="2"/>
  <c r="O702" i="2" s="1"/>
  <c r="N701" i="2"/>
  <c r="O701" i="2" s="1"/>
  <c r="N700" i="2"/>
  <c r="O700" i="2" s="1"/>
  <c r="N699" i="2"/>
  <c r="O699" i="2" s="1"/>
  <c r="N698" i="2"/>
  <c r="O698" i="2" s="1"/>
  <c r="N697" i="2"/>
  <c r="O697" i="2" s="1"/>
  <c r="N695" i="2"/>
  <c r="O695" i="2" s="1"/>
  <c r="N694" i="2"/>
  <c r="O694" i="2" s="1"/>
  <c r="N693" i="2"/>
  <c r="O693" i="2" s="1"/>
  <c r="N692" i="2"/>
  <c r="O692" i="2" s="1"/>
  <c r="N691" i="2"/>
  <c r="O691" i="2" s="1"/>
  <c r="N690" i="2"/>
  <c r="O690" i="2" s="1"/>
  <c r="N689" i="2"/>
  <c r="O689" i="2" s="1"/>
  <c r="N688" i="2"/>
  <c r="O688" i="2" s="1"/>
  <c r="N687" i="2"/>
  <c r="O687" i="2" s="1"/>
  <c r="N686" i="2"/>
  <c r="O686" i="2" s="1"/>
  <c r="N685" i="2"/>
  <c r="O685" i="2" s="1"/>
  <c r="N684" i="2"/>
  <c r="O684" i="2" s="1"/>
  <c r="O683" i="2"/>
  <c r="N683" i="2"/>
  <c r="N682" i="2"/>
  <c r="O682" i="2" s="1"/>
  <c r="N681" i="2"/>
  <c r="O681" i="2" s="1"/>
  <c r="O680" i="2"/>
  <c r="N680" i="2"/>
  <c r="N679" i="2"/>
  <c r="O679" i="2" s="1"/>
  <c r="N678" i="2"/>
  <c r="O678" i="2" s="1"/>
  <c r="N677" i="2"/>
  <c r="O677" i="2" s="1"/>
  <c r="N676" i="2"/>
  <c r="O676" i="2" s="1"/>
  <c r="N675" i="2"/>
  <c r="O675" i="2" s="1"/>
  <c r="N674" i="2"/>
  <c r="O674" i="2" s="1"/>
  <c r="N673" i="2"/>
  <c r="O673" i="2" s="1"/>
  <c r="N672" i="2"/>
  <c r="O672" i="2" s="1"/>
  <c r="N671" i="2"/>
  <c r="O671" i="2" s="1"/>
  <c r="O670" i="2"/>
  <c r="N670" i="2"/>
  <c r="N669" i="2"/>
  <c r="O669" i="2" s="1"/>
  <c r="N668" i="2"/>
  <c r="O668" i="2" s="1"/>
  <c r="N667" i="2"/>
  <c r="O667" i="2" s="1"/>
  <c r="N666" i="2"/>
  <c r="O666" i="2" s="1"/>
  <c r="N665" i="2"/>
  <c r="O665" i="2" s="1"/>
  <c r="N664" i="2"/>
  <c r="O664" i="2" s="1"/>
  <c r="N663" i="2"/>
  <c r="O663" i="2" s="1"/>
  <c r="N662" i="2"/>
  <c r="O662" i="2" s="1"/>
  <c r="N661" i="2"/>
  <c r="O661" i="2" s="1"/>
  <c r="N660" i="2"/>
  <c r="O660" i="2" s="1"/>
  <c r="N659" i="2"/>
  <c r="O659" i="2" s="1"/>
  <c r="N658" i="2"/>
  <c r="O658" i="2" s="1"/>
  <c r="N657" i="2"/>
  <c r="O657" i="2" s="1"/>
  <c r="N656" i="2"/>
  <c r="O656" i="2" s="1"/>
  <c r="N655" i="2"/>
  <c r="O655" i="2" s="1"/>
  <c r="N654" i="2"/>
  <c r="O654" i="2" s="1"/>
  <c r="N653" i="2"/>
  <c r="O653" i="2" s="1"/>
  <c r="N652" i="2"/>
  <c r="O652" i="2" s="1"/>
  <c r="N651" i="2"/>
  <c r="O651" i="2" s="1"/>
  <c r="N650" i="2"/>
  <c r="O650" i="2" s="1"/>
  <c r="N649" i="2"/>
  <c r="O649" i="2" s="1"/>
  <c r="N648" i="2"/>
  <c r="O648" i="2" s="1"/>
  <c r="N647" i="2"/>
  <c r="O647" i="2" s="1"/>
  <c r="N646" i="2"/>
  <c r="O646" i="2" s="1"/>
  <c r="N645" i="2"/>
  <c r="O645" i="2" s="1"/>
  <c r="N644" i="2"/>
  <c r="O644" i="2" s="1"/>
  <c r="N643" i="2"/>
  <c r="O643" i="2" s="1"/>
  <c r="N642" i="2"/>
  <c r="O642" i="2" s="1"/>
  <c r="N641" i="2"/>
  <c r="O641" i="2" s="1"/>
  <c r="N640" i="2"/>
  <c r="O640" i="2" s="1"/>
  <c r="N639" i="2"/>
  <c r="O639" i="2" s="1"/>
  <c r="N638" i="2"/>
  <c r="O638" i="2" s="1"/>
  <c r="N637" i="2"/>
  <c r="O637" i="2" s="1"/>
  <c r="N636" i="2"/>
  <c r="O636" i="2" s="1"/>
  <c r="N635" i="2"/>
  <c r="O635" i="2" s="1"/>
  <c r="N634" i="2"/>
  <c r="O634" i="2" s="1"/>
  <c r="N633" i="2"/>
  <c r="O633" i="2" s="1"/>
  <c r="N632" i="2"/>
  <c r="O632" i="2" s="1"/>
  <c r="N631" i="2"/>
  <c r="O631" i="2" s="1"/>
  <c r="N630" i="2"/>
  <c r="O630" i="2" s="1"/>
  <c r="N629" i="2"/>
  <c r="O629" i="2" s="1"/>
  <c r="N628" i="2"/>
  <c r="O628" i="2" s="1"/>
  <c r="N627" i="2"/>
  <c r="O627" i="2" s="1"/>
  <c r="N626" i="2"/>
  <c r="O626" i="2" s="1"/>
  <c r="N625" i="2"/>
  <c r="O625" i="2" s="1"/>
  <c r="N624" i="2"/>
  <c r="O624" i="2" s="1"/>
  <c r="N623" i="2"/>
  <c r="O623" i="2" s="1"/>
  <c r="N622" i="2"/>
  <c r="O622" i="2" s="1"/>
  <c r="N621" i="2"/>
  <c r="O621" i="2" s="1"/>
  <c r="N620" i="2"/>
  <c r="O620" i="2" s="1"/>
  <c r="N619" i="2"/>
  <c r="O619" i="2" s="1"/>
  <c r="N618" i="2"/>
  <c r="O618" i="2" s="1"/>
  <c r="N617" i="2"/>
  <c r="O617" i="2" s="1"/>
  <c r="N616" i="2"/>
  <c r="O616" i="2" s="1"/>
  <c r="N615" i="2"/>
  <c r="O615" i="2" s="1"/>
  <c r="N614" i="2"/>
  <c r="O614" i="2" s="1"/>
  <c r="N613" i="2"/>
  <c r="O613" i="2" s="1"/>
  <c r="N612" i="2"/>
  <c r="O612" i="2" s="1"/>
  <c r="O611" i="2"/>
  <c r="N610" i="2"/>
  <c r="O610" i="2" s="1"/>
  <c r="N609" i="2"/>
  <c r="O609" i="2" s="1"/>
  <c r="N608" i="2"/>
  <c r="O608" i="2" s="1"/>
  <c r="N607" i="2"/>
  <c r="O607" i="2" s="1"/>
  <c r="N606" i="2"/>
  <c r="O606" i="2" s="1"/>
  <c r="N605" i="2"/>
  <c r="O605" i="2" s="1"/>
  <c r="N604" i="2"/>
  <c r="O604" i="2" s="1"/>
  <c r="N603" i="2"/>
  <c r="O603" i="2" s="1"/>
  <c r="N602" i="2"/>
  <c r="O602" i="2" s="1"/>
  <c r="N601" i="2"/>
  <c r="O601" i="2" s="1"/>
  <c r="N600" i="2"/>
  <c r="O600" i="2" s="1"/>
  <c r="N599" i="2"/>
  <c r="O599" i="2" s="1"/>
  <c r="N598" i="2"/>
  <c r="O598" i="2" s="1"/>
  <c r="N597" i="2"/>
  <c r="O597" i="2" s="1"/>
  <c r="N596" i="2"/>
  <c r="O596" i="2" s="1"/>
  <c r="N595" i="2"/>
  <c r="O595" i="2" s="1"/>
  <c r="N594" i="2"/>
  <c r="O594" i="2" s="1"/>
  <c r="N593" i="2"/>
  <c r="O593" i="2" s="1"/>
  <c r="N592" i="2"/>
  <c r="O592" i="2" s="1"/>
  <c r="N591" i="2"/>
  <c r="O591" i="2" s="1"/>
  <c r="N590" i="2"/>
  <c r="O590" i="2" s="1"/>
  <c r="N589" i="2"/>
  <c r="O589" i="2" s="1"/>
  <c r="N588" i="2"/>
  <c r="O588" i="2" s="1"/>
  <c r="N587" i="2"/>
  <c r="O587" i="2" s="1"/>
  <c r="N586" i="2"/>
  <c r="O586" i="2" s="1"/>
  <c r="O585" i="2"/>
  <c r="N585" i="2"/>
  <c r="N584" i="2"/>
  <c r="O584" i="2" s="1"/>
  <c r="N583" i="2"/>
  <c r="O583" i="2" s="1"/>
  <c r="N582" i="2"/>
  <c r="O582" i="2" s="1"/>
  <c r="N581" i="2"/>
  <c r="O581" i="2" s="1"/>
  <c r="N580" i="2"/>
  <c r="O580" i="2" s="1"/>
  <c r="N579" i="2"/>
  <c r="O579" i="2" s="1"/>
  <c r="N578" i="2"/>
  <c r="O578" i="2" s="1"/>
  <c r="N577" i="2"/>
  <c r="O577" i="2" s="1"/>
  <c r="N576" i="2"/>
  <c r="O576" i="2" s="1"/>
  <c r="N575" i="2"/>
  <c r="O575" i="2" s="1"/>
  <c r="N574" i="2"/>
  <c r="O574" i="2" s="1"/>
  <c r="N573" i="2"/>
  <c r="O573" i="2" s="1"/>
  <c r="N572" i="2"/>
  <c r="O572" i="2" s="1"/>
  <c r="N571" i="2"/>
  <c r="O571" i="2" s="1"/>
  <c r="N570" i="2"/>
  <c r="O570" i="2" s="1"/>
  <c r="N569" i="2"/>
  <c r="O569" i="2" s="1"/>
  <c r="N568" i="2"/>
  <c r="O568" i="2" s="1"/>
  <c r="N567" i="2"/>
  <c r="O567" i="2" s="1"/>
  <c r="N566" i="2"/>
  <c r="O566" i="2" s="1"/>
  <c r="N565" i="2"/>
  <c r="O565" i="2" s="1"/>
  <c r="N564" i="2"/>
  <c r="O564" i="2" s="1"/>
  <c r="N563" i="2"/>
  <c r="O563" i="2" s="1"/>
  <c r="N562" i="2"/>
  <c r="O562" i="2" s="1"/>
  <c r="N561" i="2"/>
  <c r="O561" i="2" s="1"/>
  <c r="N560" i="2"/>
  <c r="O560" i="2" s="1"/>
  <c r="N559" i="2"/>
  <c r="O559" i="2" s="1"/>
  <c r="N558" i="2"/>
  <c r="O558" i="2" s="1"/>
  <c r="N557" i="2"/>
  <c r="O557" i="2" s="1"/>
  <c r="N556" i="2"/>
  <c r="O556" i="2" s="1"/>
  <c r="N555" i="2"/>
  <c r="O555" i="2" s="1"/>
  <c r="N554" i="2"/>
  <c r="O554" i="2" s="1"/>
  <c r="N553" i="2"/>
  <c r="O553" i="2" s="1"/>
  <c r="N552" i="2"/>
  <c r="O552" i="2" s="1"/>
  <c r="N551" i="2"/>
  <c r="O551" i="2" s="1"/>
  <c r="N550" i="2"/>
  <c r="O550" i="2" s="1"/>
  <c r="N549" i="2"/>
  <c r="O549" i="2" s="1"/>
  <c r="N548" i="2"/>
  <c r="O548" i="2" s="1"/>
  <c r="N547" i="2"/>
  <c r="O547" i="2" s="1"/>
  <c r="N546" i="2"/>
  <c r="O546" i="2" s="1"/>
  <c r="N545" i="2"/>
  <c r="O545" i="2" s="1"/>
  <c r="N544" i="2"/>
  <c r="O544" i="2" s="1"/>
  <c r="N543" i="2"/>
  <c r="O543" i="2" s="1"/>
  <c r="N542" i="2"/>
  <c r="O542" i="2" s="1"/>
  <c r="N541" i="2"/>
  <c r="O541" i="2" s="1"/>
  <c r="N540" i="2"/>
  <c r="O540" i="2" s="1"/>
  <c r="N539" i="2"/>
  <c r="O539" i="2" s="1"/>
  <c r="N538" i="2"/>
  <c r="O538" i="2" s="1"/>
  <c r="N537" i="2"/>
  <c r="O537" i="2" s="1"/>
  <c r="N536" i="2"/>
  <c r="O536" i="2" s="1"/>
  <c r="N535" i="2"/>
  <c r="O535" i="2" s="1"/>
  <c r="N534" i="2"/>
  <c r="O534" i="2" s="1"/>
  <c r="N533" i="2"/>
  <c r="O533" i="2" s="1"/>
  <c r="N532" i="2"/>
  <c r="O532" i="2" s="1"/>
  <c r="N531" i="2"/>
  <c r="O531" i="2" s="1"/>
  <c r="N530" i="2"/>
  <c r="O530" i="2" s="1"/>
  <c r="N529" i="2"/>
  <c r="O529" i="2" s="1"/>
  <c r="N528" i="2"/>
  <c r="O528" i="2" s="1"/>
  <c r="N527" i="2"/>
  <c r="O527" i="2" s="1"/>
  <c r="N526" i="2"/>
  <c r="O526" i="2" s="1"/>
  <c r="N525" i="2"/>
  <c r="O525" i="2" s="1"/>
  <c r="N524" i="2"/>
  <c r="O524" i="2" s="1"/>
  <c r="N523" i="2"/>
  <c r="O523" i="2" s="1"/>
  <c r="N522" i="2"/>
  <c r="O522" i="2" s="1"/>
  <c r="N521" i="2"/>
  <c r="O521" i="2" s="1"/>
  <c r="N520" i="2"/>
  <c r="O520" i="2" s="1"/>
  <c r="N519" i="2"/>
  <c r="O519" i="2" s="1"/>
  <c r="N518" i="2"/>
  <c r="O518" i="2" s="1"/>
  <c r="N517" i="2"/>
  <c r="O517" i="2" s="1"/>
  <c r="N516" i="2"/>
  <c r="O516" i="2" s="1"/>
  <c r="N515" i="2"/>
  <c r="O515" i="2" s="1"/>
  <c r="N514" i="2"/>
  <c r="O514" i="2" s="1"/>
  <c r="N513" i="2"/>
  <c r="O513" i="2" s="1"/>
  <c r="N512" i="2"/>
  <c r="O512" i="2" s="1"/>
  <c r="N511" i="2"/>
  <c r="O511" i="2" s="1"/>
  <c r="N510" i="2"/>
  <c r="O510" i="2" s="1"/>
  <c r="N509" i="2"/>
  <c r="O509" i="2" s="1"/>
  <c r="N508" i="2"/>
  <c r="O508" i="2" s="1"/>
  <c r="N507" i="2"/>
  <c r="O507" i="2" s="1"/>
  <c r="N506" i="2"/>
  <c r="O506" i="2" s="1"/>
  <c r="N505" i="2"/>
  <c r="O505" i="2" s="1"/>
  <c r="N504" i="2"/>
  <c r="O504" i="2" s="1"/>
  <c r="N503" i="2"/>
  <c r="O503" i="2" s="1"/>
  <c r="N502" i="2"/>
  <c r="O502" i="2" s="1"/>
  <c r="N501" i="2"/>
  <c r="O501" i="2" s="1"/>
  <c r="N500" i="2"/>
  <c r="O500" i="2" s="1"/>
  <c r="N499" i="2"/>
  <c r="O499" i="2" s="1"/>
  <c r="N498" i="2"/>
  <c r="O498" i="2" s="1"/>
  <c r="N497" i="2"/>
  <c r="O497" i="2" s="1"/>
  <c r="G17" i="5"/>
  <c r="H344" i="2"/>
  <c r="G16" i="5" l="1"/>
  <c r="O154" i="3" l="1"/>
  <c r="J154" i="3"/>
  <c r="I154" i="3"/>
  <c r="H154" i="3"/>
  <c r="G154" i="3"/>
  <c r="F154" i="3"/>
  <c r="O127" i="3" l="1"/>
  <c r="P127" i="3" s="1"/>
  <c r="J123" i="3" l="1"/>
  <c r="I123" i="3"/>
  <c r="H123" i="3"/>
  <c r="G123" i="3"/>
  <c r="F123" i="3"/>
  <c r="F281" i="2"/>
  <c r="E12" i="5"/>
  <c r="F276" i="2"/>
  <c r="G276" i="2"/>
  <c r="H276" i="2"/>
  <c r="J276" i="2" s="1"/>
  <c r="I276" i="2"/>
  <c r="F268" i="2"/>
  <c r="G268" i="2"/>
  <c r="H268" i="2"/>
  <c r="J268" i="2" s="1"/>
  <c r="I268" i="2"/>
  <c r="F110" i="3"/>
  <c r="F193" i="2"/>
  <c r="G193" i="2"/>
  <c r="H193" i="2"/>
  <c r="N194" i="2"/>
  <c r="I616" i="2" l="1"/>
  <c r="H616" i="2"/>
  <c r="J616" i="2" s="1"/>
  <c r="G616" i="2"/>
  <c r="F616" i="2"/>
  <c r="I615" i="2"/>
  <c r="H615" i="2"/>
  <c r="J615" i="2" s="1"/>
  <c r="G615" i="2"/>
  <c r="F615" i="2"/>
  <c r="I614" i="2"/>
  <c r="H614" i="2"/>
  <c r="J614" i="2" s="1"/>
  <c r="G614" i="2"/>
  <c r="F614" i="2"/>
  <c r="I613" i="2"/>
  <c r="H613" i="2"/>
  <c r="J613" i="2" s="1"/>
  <c r="G613" i="2"/>
  <c r="F613" i="2"/>
  <c r="J612" i="2"/>
  <c r="I612" i="2"/>
  <c r="H612" i="2"/>
  <c r="G612" i="2"/>
  <c r="F612" i="2"/>
  <c r="I611" i="2"/>
  <c r="H611" i="2"/>
  <c r="J611" i="2" s="1"/>
  <c r="G611" i="2"/>
  <c r="F611" i="2"/>
  <c r="I610" i="2"/>
  <c r="H610" i="2"/>
  <c r="J610" i="2" s="1"/>
  <c r="G610" i="2"/>
  <c r="F610" i="2"/>
  <c r="I609" i="2"/>
  <c r="H609" i="2"/>
  <c r="J609" i="2" s="1"/>
  <c r="G609" i="2"/>
  <c r="F609" i="2"/>
  <c r="I608" i="2"/>
  <c r="H608" i="2"/>
  <c r="J608" i="2" s="1"/>
  <c r="G608" i="2"/>
  <c r="F608" i="2"/>
  <c r="I607" i="2"/>
  <c r="H607" i="2"/>
  <c r="J607" i="2" s="1"/>
  <c r="G607" i="2"/>
  <c r="F607" i="2"/>
  <c r="I606" i="2"/>
  <c r="H606" i="2"/>
  <c r="J606" i="2" s="1"/>
  <c r="G606" i="2"/>
  <c r="F606" i="2"/>
  <c r="I605" i="2"/>
  <c r="H605" i="2"/>
  <c r="J605" i="2" s="1"/>
  <c r="G605" i="2"/>
  <c r="F605" i="2"/>
  <c r="I604" i="2"/>
  <c r="H604" i="2"/>
  <c r="J604" i="2" s="1"/>
  <c r="G604" i="2"/>
  <c r="F604" i="2"/>
  <c r="I603" i="2"/>
  <c r="H603" i="2"/>
  <c r="J603" i="2" s="1"/>
  <c r="G603" i="2"/>
  <c r="F603" i="2"/>
  <c r="I602" i="2"/>
  <c r="H602" i="2"/>
  <c r="J602" i="2" s="1"/>
  <c r="G602" i="2"/>
  <c r="F602" i="2"/>
  <c r="I601" i="2"/>
  <c r="H601" i="2"/>
  <c r="J601" i="2" s="1"/>
  <c r="G601" i="2"/>
  <c r="F601" i="2"/>
  <c r="I600" i="2"/>
  <c r="H600" i="2"/>
  <c r="J600" i="2" s="1"/>
  <c r="G600" i="2"/>
  <c r="F600" i="2"/>
  <c r="J599" i="2"/>
  <c r="I599" i="2"/>
  <c r="H599" i="2"/>
  <c r="G599" i="2"/>
  <c r="F599" i="2"/>
  <c r="I598" i="2"/>
  <c r="H598" i="2"/>
  <c r="J598" i="2" s="1"/>
  <c r="G598" i="2"/>
  <c r="F598" i="2"/>
  <c r="I596" i="2"/>
  <c r="H596" i="2"/>
  <c r="J596" i="2" s="1"/>
  <c r="G596" i="2"/>
  <c r="F596" i="2"/>
  <c r="I595" i="2"/>
  <c r="H595" i="2"/>
  <c r="J595" i="2" s="1"/>
  <c r="G595" i="2"/>
  <c r="F595" i="2"/>
  <c r="I594" i="2"/>
  <c r="H594" i="2"/>
  <c r="J594" i="2" s="1"/>
  <c r="G594" i="2"/>
  <c r="F594" i="2"/>
  <c r="I593" i="2"/>
  <c r="H593" i="2"/>
  <c r="J593" i="2" s="1"/>
  <c r="G593" i="2"/>
  <c r="F593" i="2"/>
  <c r="I592" i="2"/>
  <c r="H592" i="2"/>
  <c r="J592" i="2" s="1"/>
  <c r="G592" i="2"/>
  <c r="F592" i="2"/>
  <c r="I591" i="2"/>
  <c r="H591" i="2"/>
  <c r="J591" i="2" s="1"/>
  <c r="G591" i="2"/>
  <c r="F591" i="2"/>
  <c r="I590" i="2"/>
  <c r="H590" i="2"/>
  <c r="J590" i="2" s="1"/>
  <c r="G590" i="2"/>
  <c r="F590" i="2"/>
  <c r="I589" i="2"/>
  <c r="H589" i="2"/>
  <c r="J589" i="2" s="1"/>
  <c r="G589" i="2"/>
  <c r="F589" i="2"/>
  <c r="I588" i="2"/>
  <c r="H588" i="2"/>
  <c r="J588" i="2" s="1"/>
  <c r="G588" i="2"/>
  <c r="F588" i="2"/>
  <c r="I587" i="2"/>
  <c r="H587" i="2"/>
  <c r="J587" i="2" s="1"/>
  <c r="G587" i="2"/>
  <c r="F587" i="2"/>
  <c r="I586" i="2"/>
  <c r="H586" i="2"/>
  <c r="J586" i="2" s="1"/>
  <c r="G586" i="2"/>
  <c r="F586" i="2"/>
  <c r="H585" i="2"/>
  <c r="J585" i="2" s="1"/>
  <c r="G585" i="2"/>
  <c r="F585" i="2"/>
  <c r="I584" i="2"/>
  <c r="H584" i="2"/>
  <c r="J584" i="2" s="1"/>
  <c r="G584" i="2"/>
  <c r="F584" i="2"/>
  <c r="I583" i="2"/>
  <c r="H583" i="2"/>
  <c r="J583" i="2" s="1"/>
  <c r="G583" i="2"/>
  <c r="F583" i="2"/>
  <c r="I582" i="2"/>
  <c r="H582" i="2"/>
  <c r="J582" i="2" s="1"/>
  <c r="G582" i="2"/>
  <c r="F582" i="2"/>
  <c r="I581" i="2"/>
  <c r="H581" i="2"/>
  <c r="J581" i="2" s="1"/>
  <c r="G581" i="2"/>
  <c r="F581" i="2"/>
  <c r="I580" i="2"/>
  <c r="H580" i="2"/>
  <c r="J580" i="2" s="1"/>
  <c r="G580" i="2"/>
  <c r="F580" i="2"/>
  <c r="I579" i="2"/>
  <c r="H579" i="2"/>
  <c r="J579" i="2" s="1"/>
  <c r="G579" i="2"/>
  <c r="F579" i="2"/>
  <c r="I578" i="2"/>
  <c r="H578" i="2"/>
  <c r="J578" i="2" s="1"/>
  <c r="G578" i="2"/>
  <c r="F578" i="2"/>
  <c r="I577" i="2"/>
  <c r="H577" i="2"/>
  <c r="J577" i="2" s="1"/>
  <c r="G577" i="2"/>
  <c r="F577" i="2"/>
  <c r="I576" i="2"/>
  <c r="H576" i="2"/>
  <c r="J576" i="2" s="1"/>
  <c r="G576" i="2"/>
  <c r="F576" i="2"/>
  <c r="I575" i="2"/>
  <c r="H575" i="2"/>
  <c r="J575" i="2" s="1"/>
  <c r="G575" i="2"/>
  <c r="F575" i="2"/>
  <c r="I574" i="2"/>
  <c r="H574" i="2"/>
  <c r="J574" i="2" s="1"/>
  <c r="G574" i="2"/>
  <c r="F574" i="2"/>
  <c r="I573" i="2"/>
  <c r="H573" i="2"/>
  <c r="J573" i="2" s="1"/>
  <c r="G573" i="2"/>
  <c r="F573" i="2"/>
  <c r="I572" i="2"/>
  <c r="H572" i="2"/>
  <c r="J572" i="2" s="1"/>
  <c r="G572" i="2"/>
  <c r="F572" i="2"/>
  <c r="I571" i="2"/>
  <c r="H571" i="2"/>
  <c r="J571" i="2" s="1"/>
  <c r="G571" i="2"/>
  <c r="F571" i="2"/>
  <c r="I570" i="2"/>
  <c r="H570" i="2"/>
  <c r="J570" i="2" s="1"/>
  <c r="G570" i="2"/>
  <c r="F570" i="2"/>
  <c r="I569" i="2"/>
  <c r="H569" i="2"/>
  <c r="J569" i="2" s="1"/>
  <c r="G569" i="2"/>
  <c r="F569" i="2"/>
  <c r="I568" i="2"/>
  <c r="H568" i="2"/>
  <c r="J568" i="2" s="1"/>
  <c r="G568" i="2"/>
  <c r="F568" i="2"/>
  <c r="I567" i="2"/>
  <c r="H567" i="2"/>
  <c r="J567" i="2" s="1"/>
  <c r="G567" i="2"/>
  <c r="F567" i="2"/>
  <c r="I566" i="2"/>
  <c r="H566" i="2"/>
  <c r="J566" i="2" s="1"/>
  <c r="G566" i="2"/>
  <c r="F566" i="2"/>
  <c r="I565" i="2"/>
  <c r="H565" i="2"/>
  <c r="J565" i="2" s="1"/>
  <c r="G565" i="2"/>
  <c r="F565" i="2"/>
  <c r="I564" i="2"/>
  <c r="H564" i="2"/>
  <c r="J564" i="2" s="1"/>
  <c r="G564" i="2"/>
  <c r="F564" i="2"/>
  <c r="I563" i="2"/>
  <c r="H563" i="2"/>
  <c r="J563" i="2" s="1"/>
  <c r="G563" i="2"/>
  <c r="F563" i="2"/>
  <c r="I562" i="2"/>
  <c r="H562" i="2"/>
  <c r="J562" i="2" s="1"/>
  <c r="G562" i="2"/>
  <c r="F562" i="2"/>
  <c r="I561" i="2"/>
  <c r="H561" i="2"/>
  <c r="J561" i="2" s="1"/>
  <c r="G561" i="2"/>
  <c r="F561" i="2"/>
  <c r="I560" i="2"/>
  <c r="H560" i="2"/>
  <c r="J560" i="2" s="1"/>
  <c r="G560" i="2"/>
  <c r="F560" i="2"/>
  <c r="I559" i="2"/>
  <c r="H559" i="2"/>
  <c r="J559" i="2" s="1"/>
  <c r="G559" i="2"/>
  <c r="F559" i="2"/>
  <c r="I558" i="2"/>
  <c r="H558" i="2"/>
  <c r="J558" i="2" s="1"/>
  <c r="G558" i="2"/>
  <c r="F558" i="2"/>
  <c r="I557" i="2"/>
  <c r="H557" i="2"/>
  <c r="J557" i="2" s="1"/>
  <c r="G557" i="2"/>
  <c r="F557" i="2"/>
  <c r="J556" i="2"/>
  <c r="I555" i="2"/>
  <c r="H555" i="2"/>
  <c r="J555" i="2" s="1"/>
  <c r="G555" i="2"/>
  <c r="F555" i="2"/>
  <c r="I554" i="2"/>
  <c r="H554" i="2"/>
  <c r="J554" i="2" s="1"/>
  <c r="G554" i="2"/>
  <c r="F554" i="2"/>
  <c r="I553" i="2"/>
  <c r="H553" i="2"/>
  <c r="J553" i="2" s="1"/>
  <c r="G553" i="2"/>
  <c r="F553" i="2"/>
  <c r="I552" i="2"/>
  <c r="H552" i="2"/>
  <c r="J552" i="2" s="1"/>
  <c r="G552" i="2"/>
  <c r="F552" i="2"/>
  <c r="I551" i="2"/>
  <c r="H551" i="2"/>
  <c r="J551" i="2" s="1"/>
  <c r="G551" i="2"/>
  <c r="F551" i="2"/>
  <c r="I550" i="2"/>
  <c r="H550" i="2"/>
  <c r="J550" i="2" s="1"/>
  <c r="G550" i="2"/>
  <c r="F550" i="2"/>
  <c r="I549" i="2"/>
  <c r="H549" i="2"/>
  <c r="J549" i="2" s="1"/>
  <c r="G549" i="2"/>
  <c r="F549" i="2"/>
  <c r="J548" i="2"/>
  <c r="I548" i="2"/>
  <c r="H548" i="2"/>
  <c r="G548" i="2"/>
  <c r="F548" i="2"/>
  <c r="I547" i="2"/>
  <c r="H547" i="2"/>
  <c r="J547" i="2" s="1"/>
  <c r="G547" i="2"/>
  <c r="F547" i="2"/>
  <c r="I546" i="2"/>
  <c r="H546" i="2"/>
  <c r="J546" i="2" s="1"/>
  <c r="G546" i="2"/>
  <c r="F546" i="2"/>
  <c r="I545" i="2"/>
  <c r="H545" i="2"/>
  <c r="J545" i="2" s="1"/>
  <c r="G545" i="2"/>
  <c r="F545" i="2"/>
  <c r="I544" i="2"/>
  <c r="H544" i="2"/>
  <c r="J544" i="2" s="1"/>
  <c r="G544" i="2"/>
  <c r="F544" i="2"/>
  <c r="I543" i="2"/>
  <c r="H543" i="2"/>
  <c r="J543" i="2" s="1"/>
  <c r="G543" i="2"/>
  <c r="F543" i="2"/>
  <c r="I542" i="2"/>
  <c r="H542" i="2"/>
  <c r="J542" i="2" s="1"/>
  <c r="G542" i="2"/>
  <c r="F542" i="2"/>
  <c r="I541" i="2"/>
  <c r="H541" i="2"/>
  <c r="J541" i="2" s="1"/>
  <c r="G541" i="2"/>
  <c r="F541" i="2"/>
  <c r="I540" i="2"/>
  <c r="H540" i="2"/>
  <c r="J540" i="2" s="1"/>
  <c r="G540" i="2"/>
  <c r="F540" i="2"/>
  <c r="I539" i="2"/>
  <c r="H539" i="2"/>
  <c r="J539" i="2" s="1"/>
  <c r="G539" i="2"/>
  <c r="F539" i="2"/>
  <c r="I538" i="2"/>
  <c r="H538" i="2"/>
  <c r="J538" i="2" s="1"/>
  <c r="G538" i="2"/>
  <c r="F538" i="2"/>
  <c r="I537" i="2"/>
  <c r="H537" i="2"/>
  <c r="J537" i="2" s="1"/>
  <c r="G537" i="2"/>
  <c r="F537" i="2"/>
  <c r="I536" i="2"/>
  <c r="J536" i="2"/>
  <c r="G536" i="2"/>
  <c r="F536" i="2"/>
  <c r="I535" i="2"/>
  <c r="H535" i="2"/>
  <c r="J535" i="2" s="1"/>
  <c r="G535" i="2"/>
  <c r="F535" i="2"/>
  <c r="I534" i="2"/>
  <c r="H534" i="2"/>
  <c r="J534" i="2" s="1"/>
  <c r="G534" i="2"/>
  <c r="F534" i="2"/>
  <c r="I533" i="2"/>
  <c r="H533" i="2"/>
  <c r="J533" i="2" s="1"/>
  <c r="G533" i="2"/>
  <c r="F533" i="2"/>
  <c r="I532" i="2"/>
  <c r="J532" i="2"/>
  <c r="G532" i="2"/>
  <c r="F532" i="2"/>
  <c r="I531" i="2"/>
  <c r="J531" i="2"/>
  <c r="G531" i="2"/>
  <c r="F531" i="2"/>
  <c r="J530" i="2"/>
  <c r="I530" i="2"/>
  <c r="G530" i="2"/>
  <c r="F530" i="2"/>
  <c r="I529" i="2"/>
  <c r="J529" i="2"/>
  <c r="G529" i="2"/>
  <c r="F529" i="2"/>
  <c r="I528" i="2"/>
  <c r="J528" i="2"/>
  <c r="G528" i="2"/>
  <c r="F528" i="2"/>
  <c r="I527" i="2"/>
  <c r="J527" i="2"/>
  <c r="G527" i="2"/>
  <c r="F527" i="2"/>
  <c r="I526" i="2"/>
  <c r="J526" i="2"/>
  <c r="G526" i="2"/>
  <c r="F526" i="2"/>
  <c r="I525" i="2"/>
  <c r="J525" i="2"/>
  <c r="G525" i="2"/>
  <c r="F525" i="2"/>
  <c r="I524" i="2"/>
  <c r="J524" i="2"/>
  <c r="G524" i="2"/>
  <c r="F524" i="2"/>
  <c r="I523" i="2"/>
  <c r="J523" i="2"/>
  <c r="G523" i="2"/>
  <c r="F523" i="2"/>
  <c r="I522" i="2"/>
  <c r="J522" i="2"/>
  <c r="G522" i="2"/>
  <c r="F522" i="2"/>
  <c r="I521" i="2"/>
  <c r="J521" i="2"/>
  <c r="G521" i="2"/>
  <c r="F521" i="2"/>
  <c r="I520" i="2"/>
  <c r="J520" i="2"/>
  <c r="G520" i="2"/>
  <c r="F520" i="2"/>
  <c r="J519" i="2"/>
  <c r="I519" i="2"/>
  <c r="G519" i="2"/>
  <c r="F519" i="2"/>
  <c r="I518" i="2"/>
  <c r="J518" i="2"/>
  <c r="G518" i="2"/>
  <c r="F518" i="2"/>
  <c r="I517" i="2"/>
  <c r="J517" i="2"/>
  <c r="G517" i="2"/>
  <c r="F517" i="2"/>
  <c r="I516" i="2"/>
  <c r="J516" i="2"/>
  <c r="G516" i="2"/>
  <c r="F516" i="2"/>
  <c r="I515" i="2"/>
  <c r="J515" i="2"/>
  <c r="G515" i="2"/>
  <c r="F515" i="2"/>
  <c r="I514" i="2"/>
  <c r="J514" i="2"/>
  <c r="G514" i="2"/>
  <c r="F514" i="2"/>
  <c r="I513" i="2"/>
  <c r="J513" i="2"/>
  <c r="G513" i="2"/>
  <c r="F513" i="2"/>
  <c r="I512" i="2"/>
  <c r="J512" i="2"/>
  <c r="G512" i="2"/>
  <c r="F512" i="2"/>
  <c r="I511" i="2"/>
  <c r="J511" i="2"/>
  <c r="G511" i="2"/>
  <c r="F511" i="2"/>
  <c r="I510" i="2"/>
  <c r="J510" i="2"/>
  <c r="G510" i="2"/>
  <c r="F510" i="2"/>
  <c r="I509" i="2"/>
  <c r="J509" i="2"/>
  <c r="G509" i="2"/>
  <c r="F509" i="2"/>
  <c r="I508" i="2"/>
  <c r="J508" i="2"/>
  <c r="G508" i="2"/>
  <c r="F508" i="2"/>
  <c r="I507" i="2"/>
  <c r="J507" i="2"/>
  <c r="G507" i="2"/>
  <c r="F507" i="2"/>
  <c r="I506" i="2"/>
  <c r="J506" i="2"/>
  <c r="G506" i="2"/>
  <c r="F506" i="2"/>
  <c r="I505" i="2"/>
  <c r="J505" i="2"/>
  <c r="G505" i="2"/>
  <c r="F505" i="2"/>
  <c r="I504" i="2"/>
  <c r="J504" i="2"/>
  <c r="G504" i="2"/>
  <c r="F504" i="2"/>
  <c r="I503" i="2"/>
  <c r="J503" i="2"/>
  <c r="G503" i="2"/>
  <c r="F503" i="2"/>
  <c r="I502" i="2"/>
  <c r="J502" i="2"/>
  <c r="G502" i="2"/>
  <c r="F502" i="2"/>
  <c r="I501" i="2"/>
  <c r="J501" i="2"/>
  <c r="G501" i="2"/>
  <c r="F501" i="2"/>
  <c r="I500" i="2"/>
  <c r="J500" i="2"/>
  <c r="G500" i="2"/>
  <c r="F500" i="2"/>
  <c r="I499" i="2"/>
  <c r="J499" i="2"/>
  <c r="G499" i="2"/>
  <c r="F499" i="2"/>
  <c r="I498" i="2"/>
  <c r="J498" i="2"/>
  <c r="G498" i="2"/>
  <c r="F498" i="2"/>
  <c r="I497" i="2"/>
  <c r="J497" i="2"/>
  <c r="G497" i="2"/>
  <c r="F497" i="2"/>
  <c r="I496" i="2"/>
  <c r="J496" i="2"/>
  <c r="G496" i="2"/>
  <c r="F496" i="2"/>
  <c r="I495" i="2"/>
  <c r="J495" i="2"/>
  <c r="G495" i="2"/>
  <c r="F495" i="2"/>
  <c r="I494" i="2"/>
  <c r="J494" i="2"/>
  <c r="G494" i="2"/>
  <c r="F494" i="2"/>
  <c r="I493" i="2"/>
  <c r="J493" i="2"/>
  <c r="G493" i="2"/>
  <c r="F493" i="2"/>
  <c r="I492" i="2"/>
  <c r="J492" i="2"/>
  <c r="G492" i="2"/>
  <c r="F492" i="2"/>
  <c r="I491" i="2"/>
  <c r="J491" i="2"/>
  <c r="G491" i="2"/>
  <c r="F491" i="2"/>
  <c r="I490" i="2"/>
  <c r="J490" i="2"/>
  <c r="G490" i="2"/>
  <c r="F490" i="2"/>
  <c r="I489" i="2"/>
  <c r="J489" i="2"/>
  <c r="G489" i="2"/>
  <c r="F489" i="2"/>
  <c r="I488" i="2"/>
  <c r="J488" i="2"/>
  <c r="G488" i="2"/>
  <c r="F488" i="2"/>
  <c r="I487" i="2"/>
  <c r="J487" i="2"/>
  <c r="G487" i="2"/>
  <c r="F487" i="2"/>
  <c r="I486" i="2"/>
  <c r="J486" i="2"/>
  <c r="G486" i="2"/>
  <c r="F486" i="2"/>
  <c r="I485" i="2"/>
  <c r="J485" i="2"/>
  <c r="G485" i="2"/>
  <c r="F485" i="2"/>
  <c r="I484" i="2"/>
  <c r="J484" i="2"/>
  <c r="G484" i="2"/>
  <c r="F484" i="2"/>
  <c r="I483" i="2"/>
  <c r="J483" i="2"/>
  <c r="G483" i="2"/>
  <c r="F483" i="2"/>
  <c r="I482" i="2"/>
  <c r="J482" i="2"/>
  <c r="G482" i="2"/>
  <c r="F482" i="2"/>
  <c r="I481" i="2"/>
  <c r="J481" i="2"/>
  <c r="G481" i="2"/>
  <c r="F481" i="2"/>
  <c r="I480" i="2"/>
  <c r="H480" i="2"/>
  <c r="J480" i="2" s="1"/>
  <c r="G480" i="2"/>
  <c r="F480" i="2"/>
  <c r="I479" i="2"/>
  <c r="J479" i="2"/>
  <c r="G479" i="2"/>
  <c r="F479" i="2"/>
  <c r="I478" i="2"/>
  <c r="H478" i="2"/>
  <c r="J478" i="2" s="1"/>
  <c r="G478" i="2"/>
  <c r="F478" i="2"/>
  <c r="I477" i="2"/>
  <c r="H477" i="2"/>
  <c r="J477" i="2" s="1"/>
  <c r="G477" i="2"/>
  <c r="F477" i="2"/>
  <c r="I476" i="2"/>
  <c r="H476" i="2"/>
  <c r="J476" i="2" s="1"/>
  <c r="G476" i="2"/>
  <c r="F476" i="2"/>
  <c r="I475" i="2"/>
  <c r="H475" i="2"/>
  <c r="J475" i="2" s="1"/>
  <c r="G475" i="2"/>
  <c r="F475" i="2"/>
  <c r="I474" i="2"/>
  <c r="H474" i="2"/>
  <c r="J474" i="2" s="1"/>
  <c r="G474" i="2"/>
  <c r="F474" i="2"/>
  <c r="I473" i="2"/>
  <c r="H473" i="2"/>
  <c r="J473" i="2" s="1"/>
  <c r="G473" i="2"/>
  <c r="F473" i="2"/>
  <c r="I472" i="2"/>
  <c r="H472" i="2"/>
  <c r="J472" i="2" s="1"/>
  <c r="G472" i="2"/>
  <c r="F472" i="2"/>
  <c r="I471" i="2"/>
  <c r="H471" i="2"/>
  <c r="J471" i="2" s="1"/>
  <c r="G471" i="2"/>
  <c r="F471" i="2"/>
  <c r="I470" i="2"/>
  <c r="H470" i="2"/>
  <c r="J470" i="2" s="1"/>
  <c r="G470" i="2"/>
  <c r="F470" i="2"/>
  <c r="I469" i="2"/>
  <c r="H469" i="2"/>
  <c r="J469" i="2" s="1"/>
  <c r="G469" i="2"/>
  <c r="F469" i="2"/>
  <c r="I468" i="2"/>
  <c r="H468" i="2"/>
  <c r="J468" i="2" s="1"/>
  <c r="G468" i="2"/>
  <c r="F468" i="2"/>
  <c r="I467" i="2"/>
  <c r="H467" i="2"/>
  <c r="J467" i="2" s="1"/>
  <c r="G467" i="2"/>
  <c r="F467" i="2"/>
  <c r="I466" i="2"/>
  <c r="H466" i="2"/>
  <c r="J466" i="2" s="1"/>
  <c r="G466" i="2"/>
  <c r="F466" i="2"/>
  <c r="I465" i="2"/>
  <c r="H465" i="2"/>
  <c r="J465" i="2" s="1"/>
  <c r="G465" i="2"/>
  <c r="F465" i="2"/>
  <c r="I464" i="2"/>
  <c r="H464" i="2"/>
  <c r="J464" i="2" s="1"/>
  <c r="G464" i="2"/>
  <c r="F464" i="2"/>
  <c r="I463" i="2"/>
  <c r="H463" i="2"/>
  <c r="J463" i="2" s="1"/>
  <c r="G463" i="2"/>
  <c r="F463" i="2"/>
  <c r="J462" i="2"/>
  <c r="I462" i="2"/>
  <c r="H462" i="2"/>
  <c r="G462" i="2"/>
  <c r="F462" i="2"/>
  <c r="I461" i="2"/>
  <c r="H461" i="2"/>
  <c r="J461" i="2" s="1"/>
  <c r="G461" i="2"/>
  <c r="F461" i="2"/>
  <c r="I460" i="2"/>
  <c r="H460" i="2"/>
  <c r="J460" i="2" s="1"/>
  <c r="G460" i="2"/>
  <c r="F460" i="2"/>
  <c r="I459" i="2"/>
  <c r="H459" i="2"/>
  <c r="J459" i="2" s="1"/>
  <c r="G459" i="2"/>
  <c r="F459" i="2"/>
  <c r="I458" i="2"/>
  <c r="H458" i="2"/>
  <c r="J458" i="2" s="1"/>
  <c r="G458" i="2"/>
  <c r="F458" i="2"/>
  <c r="I457" i="2"/>
  <c r="H457" i="2"/>
  <c r="J457" i="2" s="1"/>
  <c r="G457" i="2"/>
  <c r="F457" i="2"/>
  <c r="I456" i="2"/>
  <c r="H456" i="2"/>
  <c r="J456" i="2" s="1"/>
  <c r="G456" i="2"/>
  <c r="F456" i="2"/>
  <c r="I455" i="2"/>
  <c r="J455" i="2"/>
  <c r="G455" i="2"/>
  <c r="F455" i="2"/>
  <c r="I454" i="2"/>
  <c r="J454" i="2"/>
  <c r="G454" i="2"/>
  <c r="F454" i="2"/>
  <c r="I453" i="2"/>
  <c r="J453" i="2"/>
  <c r="G453" i="2"/>
  <c r="F453" i="2"/>
  <c r="I452" i="2"/>
  <c r="J452" i="2"/>
  <c r="G452" i="2"/>
  <c r="F452" i="2"/>
  <c r="I451" i="2"/>
  <c r="J451" i="2"/>
  <c r="G451" i="2"/>
  <c r="F451" i="2"/>
  <c r="I450" i="2"/>
  <c r="J450" i="2"/>
  <c r="G450" i="2"/>
  <c r="F450" i="2"/>
  <c r="I449" i="2"/>
  <c r="J449" i="2"/>
  <c r="G449" i="2"/>
  <c r="F449" i="2"/>
  <c r="I448" i="2"/>
  <c r="J448" i="2"/>
  <c r="G448" i="2"/>
  <c r="F448" i="2"/>
  <c r="I447" i="2"/>
  <c r="J447" i="2"/>
  <c r="G447" i="2"/>
  <c r="F447" i="2"/>
  <c r="I446" i="2"/>
  <c r="J446" i="2"/>
  <c r="G446" i="2"/>
  <c r="F446" i="2"/>
  <c r="I445" i="2"/>
  <c r="J445" i="2"/>
  <c r="G445" i="2"/>
  <c r="F445" i="2"/>
  <c r="I444" i="2"/>
  <c r="J444" i="2"/>
  <c r="G444" i="2"/>
  <c r="F444" i="2"/>
  <c r="I443" i="2"/>
  <c r="J443" i="2"/>
  <c r="G443" i="2"/>
  <c r="F443" i="2"/>
  <c r="I442" i="2"/>
  <c r="J442" i="2"/>
  <c r="G442" i="2"/>
  <c r="F442" i="2"/>
  <c r="I441" i="2"/>
  <c r="J441" i="2"/>
  <c r="G441" i="2"/>
  <c r="F441" i="2"/>
  <c r="I440" i="2"/>
  <c r="J440" i="2"/>
  <c r="G440" i="2"/>
  <c r="F440" i="2"/>
  <c r="I439" i="2"/>
  <c r="J439" i="2"/>
  <c r="G439" i="2"/>
  <c r="F439" i="2"/>
  <c r="I438" i="2"/>
  <c r="J438" i="2"/>
  <c r="G438" i="2"/>
  <c r="F438" i="2"/>
  <c r="I437" i="2"/>
  <c r="J437" i="2"/>
  <c r="G437" i="2"/>
  <c r="F437" i="2"/>
  <c r="I436" i="2"/>
  <c r="J436" i="2"/>
  <c r="G436" i="2"/>
  <c r="F436" i="2"/>
  <c r="I435" i="2"/>
  <c r="H435" i="2"/>
  <c r="J435" i="2" s="1"/>
  <c r="G435" i="2"/>
  <c r="F435" i="2"/>
  <c r="J434" i="2"/>
  <c r="I434" i="2"/>
  <c r="H434" i="2"/>
  <c r="G434" i="2"/>
  <c r="F434" i="2"/>
  <c r="I433" i="2"/>
  <c r="H433" i="2"/>
  <c r="J433" i="2" s="1"/>
  <c r="G433" i="2"/>
  <c r="F433" i="2"/>
  <c r="I432" i="2"/>
  <c r="H432" i="2"/>
  <c r="J432" i="2" s="1"/>
  <c r="G432" i="2"/>
  <c r="F432" i="2"/>
  <c r="I431" i="2"/>
  <c r="H431" i="2"/>
  <c r="J431" i="2" s="1"/>
  <c r="G431" i="2"/>
  <c r="F431" i="2"/>
  <c r="I430" i="2"/>
  <c r="H430" i="2"/>
  <c r="J430" i="2" s="1"/>
  <c r="G430" i="2"/>
  <c r="F430" i="2"/>
  <c r="I429" i="2"/>
  <c r="H429" i="2"/>
  <c r="J429" i="2" s="1"/>
  <c r="G429" i="2"/>
  <c r="F429" i="2"/>
  <c r="I428" i="2"/>
  <c r="H428" i="2"/>
  <c r="J428" i="2" s="1"/>
  <c r="G428" i="2"/>
  <c r="F428" i="2"/>
  <c r="I427" i="2"/>
  <c r="H427" i="2"/>
  <c r="J427" i="2" s="1"/>
  <c r="G427" i="2"/>
  <c r="F427" i="2"/>
  <c r="I426" i="2"/>
  <c r="H426" i="2"/>
  <c r="J426" i="2" s="1"/>
  <c r="G426" i="2"/>
  <c r="F426" i="2"/>
  <c r="I425" i="2"/>
  <c r="H425" i="2"/>
  <c r="J425" i="2" s="1"/>
  <c r="G425" i="2"/>
  <c r="F425" i="2"/>
  <c r="I424" i="2"/>
  <c r="H424" i="2"/>
  <c r="J424" i="2" s="1"/>
  <c r="G424" i="2"/>
  <c r="F424" i="2"/>
  <c r="I423" i="2"/>
  <c r="H423" i="2"/>
  <c r="J423" i="2" s="1"/>
  <c r="G423" i="2"/>
  <c r="F423" i="2"/>
  <c r="H422" i="2"/>
  <c r="J422" i="2" s="1"/>
  <c r="G422" i="2"/>
  <c r="F422" i="2"/>
  <c r="I421" i="2"/>
  <c r="H421" i="2"/>
  <c r="J421" i="2" s="1"/>
  <c r="G421" i="2"/>
  <c r="F421" i="2"/>
  <c r="I420" i="2"/>
  <c r="H420" i="2"/>
  <c r="J420" i="2" s="1"/>
  <c r="G420" i="2"/>
  <c r="F420" i="2"/>
  <c r="I419" i="2"/>
  <c r="H419" i="2"/>
  <c r="J419" i="2" s="1"/>
  <c r="G419" i="2"/>
  <c r="F419" i="2"/>
  <c r="J418" i="2"/>
  <c r="I418" i="2"/>
  <c r="H418" i="2"/>
  <c r="G418" i="2"/>
  <c r="F418" i="2"/>
  <c r="I417" i="2"/>
  <c r="H417" i="2"/>
  <c r="J417" i="2" s="1"/>
  <c r="G417" i="2"/>
  <c r="F417" i="2"/>
  <c r="I416" i="2"/>
  <c r="H416" i="2"/>
  <c r="J416" i="2" s="1"/>
  <c r="G416" i="2"/>
  <c r="F416" i="2"/>
  <c r="I415" i="2"/>
  <c r="H415" i="2"/>
  <c r="J415" i="2" s="1"/>
  <c r="G415" i="2"/>
  <c r="F415" i="2"/>
  <c r="I414" i="2"/>
  <c r="H414" i="2"/>
  <c r="J414" i="2" s="1"/>
  <c r="G414" i="2"/>
  <c r="F414" i="2"/>
  <c r="I413" i="2"/>
  <c r="H413" i="2"/>
  <c r="J413" i="2" s="1"/>
  <c r="G413" i="2"/>
  <c r="F413" i="2"/>
  <c r="I412" i="2"/>
  <c r="H412" i="2"/>
  <c r="J412" i="2" s="1"/>
  <c r="G412" i="2"/>
  <c r="F412" i="2"/>
  <c r="I411" i="2"/>
  <c r="H411" i="2"/>
  <c r="J411" i="2" s="1"/>
  <c r="G411" i="2"/>
  <c r="F411" i="2"/>
  <c r="I410" i="2"/>
  <c r="H410" i="2"/>
  <c r="J410" i="2" s="1"/>
  <c r="G410" i="2"/>
  <c r="F410" i="2"/>
  <c r="I409" i="2"/>
  <c r="H409" i="2"/>
  <c r="J409" i="2" s="1"/>
  <c r="G409" i="2"/>
  <c r="F409" i="2"/>
  <c r="I408" i="2"/>
  <c r="H408" i="2"/>
  <c r="J408" i="2" s="1"/>
  <c r="G408" i="2"/>
  <c r="F408" i="2"/>
  <c r="I407" i="2"/>
  <c r="H407" i="2"/>
  <c r="J407" i="2" s="1"/>
  <c r="G407" i="2"/>
  <c r="F407" i="2"/>
  <c r="I406" i="2"/>
  <c r="H406" i="2"/>
  <c r="J406" i="2" s="1"/>
  <c r="G406" i="2"/>
  <c r="F406" i="2"/>
  <c r="I405" i="2"/>
  <c r="H405" i="2"/>
  <c r="J405" i="2" s="1"/>
  <c r="G405" i="2"/>
  <c r="F405" i="2"/>
  <c r="I404" i="2"/>
  <c r="H404" i="2"/>
  <c r="J404" i="2" s="1"/>
  <c r="G404" i="2"/>
  <c r="F404" i="2"/>
  <c r="I403" i="2"/>
  <c r="H403" i="2"/>
  <c r="J403" i="2" s="1"/>
  <c r="G403" i="2"/>
  <c r="F403" i="2"/>
  <c r="I402" i="2"/>
  <c r="H402" i="2"/>
  <c r="J402" i="2" s="1"/>
  <c r="G402" i="2"/>
  <c r="F402" i="2"/>
  <c r="I401" i="2"/>
  <c r="H401" i="2"/>
  <c r="J401" i="2" s="1"/>
  <c r="G401" i="2"/>
  <c r="F401" i="2"/>
  <c r="I400" i="2"/>
  <c r="H400" i="2"/>
  <c r="J400" i="2" s="1"/>
  <c r="G400" i="2"/>
  <c r="F400" i="2"/>
  <c r="I399" i="2"/>
  <c r="H399" i="2"/>
  <c r="J399" i="2" s="1"/>
  <c r="G399" i="2"/>
  <c r="F399" i="2"/>
  <c r="I398" i="2"/>
  <c r="H398" i="2"/>
  <c r="J398" i="2" s="1"/>
  <c r="G398" i="2"/>
  <c r="F398" i="2"/>
  <c r="I397" i="2"/>
  <c r="H397" i="2"/>
  <c r="J397" i="2" s="1"/>
  <c r="G397" i="2"/>
  <c r="F397" i="2"/>
  <c r="J396" i="2"/>
  <c r="I395" i="2"/>
  <c r="H395" i="2"/>
  <c r="J395" i="2" s="1"/>
  <c r="G395" i="2"/>
  <c r="F395" i="2"/>
  <c r="I394" i="2"/>
  <c r="H394" i="2"/>
  <c r="J394" i="2" s="1"/>
  <c r="G394" i="2"/>
  <c r="F394" i="2"/>
  <c r="I393" i="2"/>
  <c r="H393" i="2"/>
  <c r="J393" i="2" s="1"/>
  <c r="G393" i="2"/>
  <c r="F393" i="2"/>
  <c r="I392" i="2"/>
  <c r="H392" i="2"/>
  <c r="J392" i="2" s="1"/>
  <c r="G392" i="2"/>
  <c r="F392" i="2"/>
  <c r="I391" i="2"/>
  <c r="H391" i="2"/>
  <c r="J391" i="2" s="1"/>
  <c r="G391" i="2"/>
  <c r="F391" i="2"/>
  <c r="I390" i="2"/>
  <c r="H390" i="2"/>
  <c r="J390" i="2" s="1"/>
  <c r="G390" i="2"/>
  <c r="F390" i="2"/>
  <c r="I389" i="2"/>
  <c r="H389" i="2"/>
  <c r="J389" i="2" s="1"/>
  <c r="G389" i="2"/>
  <c r="F389" i="2"/>
  <c r="I388" i="2"/>
  <c r="H388" i="2"/>
  <c r="J388" i="2" s="1"/>
  <c r="G388" i="2"/>
  <c r="F388" i="2"/>
  <c r="I387" i="2"/>
  <c r="H387" i="2"/>
  <c r="J387" i="2" s="1"/>
  <c r="G387" i="2"/>
  <c r="F387" i="2"/>
  <c r="J386" i="2"/>
  <c r="I386" i="2"/>
  <c r="H386" i="2"/>
  <c r="G386" i="2"/>
  <c r="I385" i="2"/>
  <c r="H385" i="2"/>
  <c r="J385" i="2" s="1"/>
  <c r="G385" i="2"/>
  <c r="F385" i="2"/>
  <c r="I384" i="2"/>
  <c r="H384" i="2"/>
  <c r="J384" i="2" s="1"/>
  <c r="G384" i="2"/>
  <c r="F384" i="2"/>
  <c r="J383" i="2"/>
  <c r="I383" i="2"/>
  <c r="H383" i="2"/>
  <c r="G383" i="2"/>
  <c r="F383" i="2"/>
  <c r="I382" i="2"/>
  <c r="H382" i="2"/>
  <c r="J382" i="2" s="1"/>
  <c r="G382" i="2"/>
  <c r="F382" i="2"/>
  <c r="I381" i="2"/>
  <c r="H381" i="2"/>
  <c r="J381" i="2" s="1"/>
  <c r="G381" i="2"/>
  <c r="F381" i="2"/>
  <c r="I380" i="2"/>
  <c r="H380" i="2"/>
  <c r="J380" i="2" s="1"/>
  <c r="G380" i="2"/>
  <c r="F380" i="2"/>
  <c r="I379" i="2"/>
  <c r="H379" i="2"/>
  <c r="J379" i="2" s="1"/>
  <c r="G379" i="2"/>
  <c r="F379" i="2"/>
  <c r="I378" i="2"/>
  <c r="H378" i="2"/>
  <c r="J378" i="2" s="1"/>
  <c r="G378" i="2"/>
  <c r="F378" i="2"/>
  <c r="I377" i="2"/>
  <c r="H377" i="2"/>
  <c r="J377" i="2" s="1"/>
  <c r="G377" i="2"/>
  <c r="F377" i="2"/>
  <c r="I376" i="2"/>
  <c r="H376" i="2"/>
  <c r="J376" i="2" s="1"/>
  <c r="G376" i="2"/>
  <c r="F376" i="2"/>
  <c r="I375" i="2"/>
  <c r="H375" i="2"/>
  <c r="J375" i="2" s="1"/>
  <c r="G375" i="2"/>
  <c r="F375" i="2"/>
  <c r="I374" i="2"/>
  <c r="H374" i="2"/>
  <c r="J374" i="2" s="1"/>
  <c r="G374" i="2"/>
  <c r="F374" i="2"/>
  <c r="I373" i="2"/>
  <c r="H373" i="2"/>
  <c r="J373" i="2" s="1"/>
  <c r="G373" i="2"/>
  <c r="F373" i="2"/>
  <c r="I372" i="2"/>
  <c r="H372" i="2"/>
  <c r="J372" i="2" s="1"/>
  <c r="G372" i="2"/>
  <c r="F372" i="2"/>
  <c r="J371" i="2"/>
  <c r="I371" i="2"/>
  <c r="H371" i="2"/>
  <c r="G371" i="2"/>
  <c r="F371" i="2"/>
  <c r="I370" i="2"/>
  <c r="H370" i="2"/>
  <c r="J370" i="2" s="1"/>
  <c r="G370" i="2"/>
  <c r="F370" i="2"/>
  <c r="I369" i="2"/>
  <c r="H369" i="2"/>
  <c r="J369" i="2" s="1"/>
  <c r="G369" i="2"/>
  <c r="F369" i="2"/>
  <c r="I368" i="2"/>
  <c r="H368" i="2"/>
  <c r="J368" i="2" s="1"/>
  <c r="G368" i="2"/>
  <c r="F368" i="2"/>
  <c r="I367" i="2"/>
  <c r="H367" i="2"/>
  <c r="J367" i="2" s="1"/>
  <c r="G367" i="2"/>
  <c r="F367" i="2"/>
  <c r="I366" i="2"/>
  <c r="H366" i="2"/>
  <c r="J366" i="2" s="1"/>
  <c r="G366" i="2"/>
  <c r="F366" i="2"/>
  <c r="J365" i="2"/>
  <c r="I365" i="2"/>
  <c r="H365" i="2"/>
  <c r="G365" i="2"/>
  <c r="F365" i="2"/>
  <c r="I364" i="2"/>
  <c r="H364" i="2"/>
  <c r="J364" i="2" s="1"/>
  <c r="G364" i="2"/>
  <c r="F364" i="2"/>
  <c r="I363" i="2"/>
  <c r="H363" i="2"/>
  <c r="J363" i="2" s="1"/>
  <c r="G363" i="2"/>
  <c r="F363" i="2"/>
  <c r="I362" i="2"/>
  <c r="H362" i="2"/>
  <c r="J362" i="2" s="1"/>
  <c r="G362" i="2"/>
  <c r="F362" i="2"/>
  <c r="I361" i="2"/>
  <c r="H361" i="2"/>
  <c r="J361" i="2" s="1"/>
  <c r="G361" i="2"/>
  <c r="F361" i="2"/>
  <c r="I360" i="2"/>
  <c r="H360" i="2"/>
  <c r="J360" i="2" s="1"/>
  <c r="G360" i="2"/>
  <c r="F360" i="2"/>
  <c r="I359" i="2"/>
  <c r="H359" i="2"/>
  <c r="J359" i="2" s="1"/>
  <c r="G359" i="2"/>
  <c r="F359" i="2"/>
  <c r="I358" i="2"/>
  <c r="H358" i="2"/>
  <c r="J358" i="2" s="1"/>
  <c r="G358" i="2"/>
  <c r="F358" i="2"/>
  <c r="I357" i="2"/>
  <c r="H357" i="2"/>
  <c r="J357" i="2" s="1"/>
  <c r="G357" i="2"/>
  <c r="F357" i="2"/>
  <c r="I356" i="2"/>
  <c r="H356" i="2"/>
  <c r="J356" i="2" s="1"/>
  <c r="G356" i="2"/>
  <c r="F356" i="2"/>
  <c r="I355" i="2"/>
  <c r="H355" i="2"/>
  <c r="J355" i="2" s="1"/>
  <c r="G355" i="2"/>
  <c r="F355" i="2"/>
  <c r="I354" i="2"/>
  <c r="H354" i="2"/>
  <c r="J354" i="2" s="1"/>
  <c r="G354" i="2"/>
  <c r="F354" i="2"/>
  <c r="I353" i="2"/>
  <c r="H353" i="2"/>
  <c r="J353" i="2" s="1"/>
  <c r="G353" i="2"/>
  <c r="F353" i="2"/>
  <c r="I352" i="2"/>
  <c r="H352" i="2"/>
  <c r="J352" i="2" s="1"/>
  <c r="G352" i="2"/>
  <c r="F352" i="2"/>
  <c r="I351" i="2"/>
  <c r="H351" i="2"/>
  <c r="J351" i="2" s="1"/>
  <c r="G351" i="2"/>
  <c r="F351" i="2"/>
  <c r="I350" i="2"/>
  <c r="H350" i="2"/>
  <c r="J350" i="2" s="1"/>
  <c r="G350" i="2"/>
  <c r="F350" i="2"/>
  <c r="J349" i="2"/>
  <c r="I349" i="2"/>
  <c r="H349" i="2"/>
  <c r="G349" i="2"/>
  <c r="F349" i="2"/>
  <c r="J348" i="2"/>
  <c r="I348" i="2"/>
  <c r="H348" i="2"/>
  <c r="G348" i="2"/>
  <c r="F348" i="2"/>
  <c r="I347" i="2"/>
  <c r="H347" i="2"/>
  <c r="J347" i="2" s="1"/>
  <c r="G347" i="2"/>
  <c r="F347" i="2"/>
  <c r="I346" i="2"/>
  <c r="H346" i="2"/>
  <c r="J346" i="2" s="1"/>
  <c r="G346" i="2"/>
  <c r="F346" i="2"/>
  <c r="I345" i="2"/>
  <c r="H345" i="2"/>
  <c r="J345" i="2" s="1"/>
  <c r="G345" i="2"/>
  <c r="F345" i="2"/>
  <c r="I344" i="2"/>
  <c r="J344" i="2"/>
  <c r="G344" i="2"/>
  <c r="F344" i="2"/>
  <c r="I343" i="2"/>
  <c r="H343" i="2"/>
  <c r="J343" i="2" s="1"/>
  <c r="G343" i="2"/>
  <c r="F343" i="2"/>
  <c r="I342" i="2"/>
  <c r="H342" i="2"/>
  <c r="J342" i="2" s="1"/>
  <c r="G342" i="2"/>
  <c r="F342" i="2"/>
  <c r="I341" i="2"/>
  <c r="H341" i="2"/>
  <c r="J341" i="2" s="1"/>
  <c r="G341" i="2"/>
  <c r="F341" i="2"/>
  <c r="I340" i="2"/>
  <c r="H340" i="2"/>
  <c r="J340" i="2" s="1"/>
  <c r="G340" i="2"/>
  <c r="F340" i="2"/>
  <c r="I339" i="2"/>
  <c r="H339" i="2"/>
  <c r="J339" i="2" s="1"/>
  <c r="G339" i="2"/>
  <c r="F339" i="2"/>
  <c r="I338" i="2"/>
  <c r="H338" i="2"/>
  <c r="J338" i="2" s="1"/>
  <c r="G338" i="2"/>
  <c r="F338" i="2"/>
  <c r="I337" i="2"/>
  <c r="H337" i="2"/>
  <c r="J337" i="2" s="1"/>
  <c r="G337" i="2"/>
  <c r="F337" i="2"/>
  <c r="I336" i="2"/>
  <c r="H336" i="2"/>
  <c r="J336" i="2" s="1"/>
  <c r="G336" i="2"/>
  <c r="F336" i="2"/>
  <c r="I335" i="2"/>
  <c r="H335" i="2"/>
  <c r="J335" i="2" s="1"/>
  <c r="G335" i="2"/>
  <c r="F335" i="2"/>
  <c r="I334" i="2"/>
  <c r="H334" i="2"/>
  <c r="J334" i="2" s="1"/>
  <c r="G334" i="2"/>
  <c r="F334" i="2"/>
  <c r="I333" i="2"/>
  <c r="H333" i="2"/>
  <c r="J333" i="2" s="1"/>
  <c r="G333" i="2"/>
  <c r="F333" i="2"/>
  <c r="I332" i="2"/>
  <c r="H332" i="2"/>
  <c r="J332" i="2" s="1"/>
  <c r="G332" i="2"/>
  <c r="F332" i="2"/>
  <c r="I331" i="2"/>
  <c r="H331" i="2"/>
  <c r="J331" i="2" s="1"/>
  <c r="G331" i="2"/>
  <c r="F331" i="2"/>
  <c r="I330" i="2"/>
  <c r="H330" i="2"/>
  <c r="J330" i="2" s="1"/>
  <c r="G330" i="2"/>
  <c r="F330" i="2"/>
  <c r="I329" i="2"/>
  <c r="H329" i="2"/>
  <c r="J329" i="2" s="1"/>
  <c r="G329" i="2"/>
  <c r="F329" i="2"/>
  <c r="H328" i="2"/>
  <c r="J328" i="2" s="1"/>
  <c r="G328" i="2"/>
  <c r="F328" i="2"/>
  <c r="I327" i="2"/>
  <c r="H327" i="2"/>
  <c r="J327" i="2" s="1"/>
  <c r="G327" i="2"/>
  <c r="F327" i="2"/>
  <c r="I326" i="2"/>
  <c r="H326" i="2"/>
  <c r="J326" i="2" s="1"/>
  <c r="G326" i="2"/>
  <c r="F326" i="2"/>
  <c r="J325" i="2"/>
  <c r="I325" i="2"/>
  <c r="H325" i="2"/>
  <c r="G325" i="2"/>
  <c r="F325" i="2"/>
  <c r="I324" i="2"/>
  <c r="H324" i="2"/>
  <c r="J324" i="2" s="1"/>
  <c r="G324" i="2"/>
  <c r="F324" i="2"/>
  <c r="I323" i="2"/>
  <c r="H323" i="2"/>
  <c r="J323" i="2" s="1"/>
  <c r="G323" i="2"/>
  <c r="F323" i="2"/>
  <c r="I322" i="2"/>
  <c r="H322" i="2"/>
  <c r="J322" i="2" s="1"/>
  <c r="G322" i="2"/>
  <c r="F322" i="2"/>
  <c r="I321" i="2"/>
  <c r="H321" i="2"/>
  <c r="J321" i="2" s="1"/>
  <c r="G321" i="2"/>
  <c r="F321" i="2"/>
  <c r="I320" i="2"/>
  <c r="H320" i="2"/>
  <c r="J320" i="2" s="1"/>
  <c r="G320" i="2"/>
  <c r="F320" i="2"/>
  <c r="J319" i="2"/>
  <c r="I319" i="2"/>
  <c r="H319" i="2"/>
  <c r="G319" i="2"/>
  <c r="F319" i="2"/>
  <c r="I318" i="2"/>
  <c r="H318" i="2"/>
  <c r="J318" i="2" s="1"/>
  <c r="G318" i="2"/>
  <c r="F318" i="2"/>
  <c r="I317" i="2"/>
  <c r="H317" i="2"/>
  <c r="J317" i="2" s="1"/>
  <c r="G317" i="2"/>
  <c r="F317" i="2"/>
  <c r="I316" i="2"/>
  <c r="H316" i="2"/>
  <c r="J316" i="2" s="1"/>
  <c r="G316" i="2"/>
  <c r="F316" i="2"/>
  <c r="I315" i="2"/>
  <c r="H315" i="2"/>
  <c r="J315" i="2" s="1"/>
  <c r="G315" i="2"/>
  <c r="F315" i="2"/>
  <c r="I314" i="2"/>
  <c r="H314" i="2"/>
  <c r="J314" i="2" s="1"/>
  <c r="G314" i="2"/>
  <c r="F314" i="2"/>
  <c r="J313" i="2"/>
  <c r="I313" i="2"/>
  <c r="H313" i="2"/>
  <c r="G313" i="2"/>
  <c r="F313" i="2"/>
  <c r="I312" i="2"/>
  <c r="H312" i="2"/>
  <c r="J312" i="2" s="1"/>
  <c r="G312" i="2"/>
  <c r="F312" i="2"/>
  <c r="I311" i="2"/>
  <c r="H311" i="2"/>
  <c r="J311" i="2" s="1"/>
  <c r="G311" i="2"/>
  <c r="F311" i="2"/>
  <c r="J310" i="2"/>
  <c r="I310" i="2"/>
  <c r="H310" i="2"/>
  <c r="G310" i="2"/>
  <c r="F310" i="2"/>
  <c r="I309" i="2"/>
  <c r="H309" i="2"/>
  <c r="J309" i="2" s="1"/>
  <c r="G309" i="2"/>
  <c r="F309" i="2"/>
  <c r="I308" i="2"/>
  <c r="H308" i="2"/>
  <c r="J308" i="2" s="1"/>
  <c r="G308" i="2"/>
  <c r="F308" i="2"/>
  <c r="I307" i="2"/>
  <c r="H307" i="2"/>
  <c r="J307" i="2" s="1"/>
  <c r="G307" i="2"/>
  <c r="F307" i="2"/>
  <c r="I306" i="2"/>
  <c r="H306" i="2"/>
  <c r="J306" i="2" s="1"/>
  <c r="G306" i="2"/>
  <c r="F306" i="2"/>
  <c r="I305" i="2"/>
  <c r="H305" i="2"/>
  <c r="J305" i="2" s="1"/>
  <c r="G305" i="2"/>
  <c r="F305" i="2"/>
  <c r="I304" i="2"/>
  <c r="H304" i="2"/>
  <c r="J304" i="2" s="1"/>
  <c r="G304" i="2"/>
  <c r="F304" i="2"/>
  <c r="I303" i="2"/>
  <c r="H303" i="2"/>
  <c r="J303" i="2" s="1"/>
  <c r="G303" i="2"/>
  <c r="F303" i="2"/>
  <c r="I302" i="2"/>
  <c r="H302" i="2"/>
  <c r="J302" i="2" s="1"/>
  <c r="G302" i="2"/>
  <c r="F302" i="2"/>
  <c r="I301" i="2"/>
  <c r="H301" i="2"/>
  <c r="J301" i="2" s="1"/>
  <c r="G301" i="2"/>
  <c r="F301" i="2"/>
  <c r="I300" i="2"/>
  <c r="H300" i="2"/>
  <c r="J300" i="2" s="1"/>
  <c r="G300" i="2"/>
  <c r="F300" i="2"/>
  <c r="I299" i="2"/>
  <c r="H299" i="2"/>
  <c r="J299" i="2" s="1"/>
  <c r="G299" i="2"/>
  <c r="F299" i="2"/>
  <c r="I298" i="2"/>
  <c r="H298" i="2"/>
  <c r="J298" i="2" s="1"/>
  <c r="G298" i="2"/>
  <c r="F298" i="2"/>
  <c r="I297" i="2"/>
  <c r="H297" i="2"/>
  <c r="J297" i="2" s="1"/>
  <c r="G297" i="2"/>
  <c r="F297" i="2"/>
  <c r="I296" i="2"/>
  <c r="H296" i="2"/>
  <c r="J296" i="2" s="1"/>
  <c r="G296" i="2"/>
  <c r="F296" i="2"/>
  <c r="I295" i="2"/>
  <c r="H295" i="2"/>
  <c r="J295" i="2" s="1"/>
  <c r="G295" i="2"/>
  <c r="F295" i="2"/>
  <c r="I294" i="2"/>
  <c r="H294" i="2"/>
  <c r="J294" i="2" s="1"/>
  <c r="G294" i="2"/>
  <c r="F294" i="2"/>
  <c r="I293" i="2"/>
  <c r="H293" i="2"/>
  <c r="J293" i="2" s="1"/>
  <c r="G293" i="2"/>
  <c r="F293" i="2"/>
  <c r="I292" i="2"/>
  <c r="H292" i="2"/>
  <c r="J292" i="2" s="1"/>
  <c r="G292" i="2"/>
  <c r="F292" i="2"/>
  <c r="I291" i="2"/>
  <c r="H291" i="2"/>
  <c r="J291" i="2" s="1"/>
  <c r="G291" i="2"/>
  <c r="F291" i="2"/>
  <c r="I290" i="2"/>
  <c r="H290" i="2"/>
  <c r="J290" i="2" s="1"/>
  <c r="G290" i="2"/>
  <c r="F290" i="2"/>
  <c r="I289" i="2"/>
  <c r="H289" i="2"/>
  <c r="J289" i="2" s="1"/>
  <c r="G289" i="2"/>
  <c r="F289" i="2"/>
  <c r="I288" i="2"/>
  <c r="H288" i="2"/>
  <c r="J288" i="2" s="1"/>
  <c r="G288" i="2"/>
  <c r="F288" i="2"/>
  <c r="I287" i="2"/>
  <c r="H287" i="2"/>
  <c r="J287" i="2" s="1"/>
  <c r="G287" i="2"/>
  <c r="F287" i="2"/>
  <c r="I286" i="2"/>
  <c r="H286" i="2"/>
  <c r="J286" i="2" s="1"/>
  <c r="G286" i="2"/>
  <c r="F286" i="2"/>
  <c r="J285" i="2"/>
  <c r="I285" i="2"/>
  <c r="H285" i="2"/>
  <c r="G285" i="2"/>
  <c r="F285" i="2"/>
  <c r="I284" i="2"/>
  <c r="H284" i="2"/>
  <c r="J284" i="2" s="1"/>
  <c r="G284" i="2"/>
  <c r="F284" i="2"/>
  <c r="I283" i="2"/>
  <c r="H283" i="2"/>
  <c r="J283" i="2" s="1"/>
  <c r="G283" i="2"/>
  <c r="F283" i="2"/>
  <c r="I282" i="2"/>
  <c r="H282" i="2"/>
  <c r="J282" i="2" s="1"/>
  <c r="G282" i="2"/>
  <c r="F282" i="2"/>
  <c r="I281" i="2"/>
  <c r="H281" i="2"/>
  <c r="J281" i="2" s="1"/>
  <c r="G281" i="2"/>
  <c r="I280" i="2"/>
  <c r="H280" i="2"/>
  <c r="J280" i="2" s="1"/>
  <c r="G280" i="2"/>
  <c r="F280" i="2"/>
  <c r="I279" i="2"/>
  <c r="H279" i="2"/>
  <c r="J279" i="2" s="1"/>
  <c r="G279" i="2"/>
  <c r="F279" i="2"/>
  <c r="I278" i="2"/>
  <c r="H278" i="2"/>
  <c r="J278" i="2" s="1"/>
  <c r="G278" i="2"/>
  <c r="F278" i="2"/>
  <c r="I277" i="2"/>
  <c r="H277" i="2"/>
  <c r="J277" i="2" s="1"/>
  <c r="G277" i="2"/>
  <c r="F277" i="2"/>
  <c r="I275" i="2"/>
  <c r="H275" i="2"/>
  <c r="J275" i="2" s="1"/>
  <c r="G275" i="2"/>
  <c r="F275" i="2"/>
  <c r="I274" i="2"/>
  <c r="H274" i="2"/>
  <c r="J274" i="2" s="1"/>
  <c r="G274" i="2"/>
  <c r="F274" i="2"/>
  <c r="I273" i="2"/>
  <c r="H273" i="2"/>
  <c r="J273" i="2" s="1"/>
  <c r="G273" i="2"/>
  <c r="F273" i="2"/>
  <c r="I272" i="2"/>
  <c r="H272" i="2"/>
  <c r="J272" i="2" s="1"/>
  <c r="G272" i="2"/>
  <c r="F272" i="2"/>
  <c r="I271" i="2"/>
  <c r="H271" i="2"/>
  <c r="J271" i="2" s="1"/>
  <c r="G271" i="2"/>
  <c r="F271" i="2"/>
  <c r="I270" i="2"/>
  <c r="H270" i="2"/>
  <c r="J270" i="2" s="1"/>
  <c r="G270" i="2"/>
  <c r="F270" i="2"/>
  <c r="I269" i="2"/>
  <c r="H269" i="2"/>
  <c r="J269" i="2" s="1"/>
  <c r="G269" i="2"/>
  <c r="F269" i="2"/>
  <c r="I267" i="2"/>
  <c r="H267" i="2"/>
  <c r="J267" i="2" s="1"/>
  <c r="G267" i="2"/>
  <c r="F267" i="2"/>
  <c r="I266" i="2"/>
  <c r="H266" i="2"/>
  <c r="J266" i="2" s="1"/>
  <c r="G266" i="2"/>
  <c r="F266" i="2"/>
  <c r="I265" i="2"/>
  <c r="H265" i="2"/>
  <c r="J265" i="2" s="1"/>
  <c r="G265" i="2"/>
  <c r="F265" i="2"/>
  <c r="I264" i="2"/>
  <c r="H264" i="2"/>
  <c r="J264" i="2" s="1"/>
  <c r="G264" i="2"/>
  <c r="F264" i="2"/>
  <c r="I263" i="2"/>
  <c r="H263" i="2"/>
  <c r="J263" i="2" s="1"/>
  <c r="G263" i="2"/>
  <c r="F263" i="2"/>
  <c r="I262" i="2"/>
  <c r="H262" i="2"/>
  <c r="J262" i="2" s="1"/>
  <c r="G262" i="2"/>
  <c r="F262" i="2"/>
  <c r="I261" i="2"/>
  <c r="H261" i="2"/>
  <c r="J261" i="2" s="1"/>
  <c r="G261" i="2"/>
  <c r="F261" i="2"/>
  <c r="I260" i="2"/>
  <c r="H260" i="2"/>
  <c r="J260" i="2" s="1"/>
  <c r="G260" i="2"/>
  <c r="F260" i="2"/>
  <c r="I259" i="2"/>
  <c r="H259" i="2"/>
  <c r="J259" i="2" s="1"/>
  <c r="G259" i="2"/>
  <c r="F259" i="2"/>
  <c r="I258" i="2"/>
  <c r="H258" i="2"/>
  <c r="J258" i="2" s="1"/>
  <c r="G258" i="2"/>
  <c r="F258" i="2"/>
  <c r="I257" i="2"/>
  <c r="H257" i="2"/>
  <c r="J257" i="2" s="1"/>
  <c r="G257" i="2"/>
  <c r="F257" i="2"/>
  <c r="I256" i="2"/>
  <c r="H256" i="2"/>
  <c r="J256" i="2" s="1"/>
  <c r="G256" i="2"/>
  <c r="F256" i="2"/>
  <c r="I255" i="2"/>
  <c r="H255" i="2"/>
  <c r="J255" i="2" s="1"/>
  <c r="G255" i="2"/>
  <c r="F255" i="2"/>
  <c r="I254" i="2"/>
  <c r="H254" i="2"/>
  <c r="J254" i="2" s="1"/>
  <c r="G254" i="2"/>
  <c r="F254" i="2"/>
  <c r="I253" i="2"/>
  <c r="H253" i="2"/>
  <c r="J253" i="2" s="1"/>
  <c r="G253" i="2"/>
  <c r="F253" i="2"/>
  <c r="I252" i="2"/>
  <c r="H252" i="2"/>
  <c r="J252" i="2" s="1"/>
  <c r="G252" i="2"/>
  <c r="F252" i="2"/>
  <c r="I251" i="2"/>
  <c r="H251" i="2"/>
  <c r="J251" i="2" s="1"/>
  <c r="G251" i="2"/>
  <c r="F251" i="2"/>
  <c r="I250" i="2"/>
  <c r="H250" i="2"/>
  <c r="J250" i="2" s="1"/>
  <c r="G250" i="2"/>
  <c r="F250" i="2"/>
  <c r="I249" i="2"/>
  <c r="H249" i="2"/>
  <c r="J249" i="2" s="1"/>
  <c r="G249" i="2"/>
  <c r="F249" i="2"/>
  <c r="I248" i="2"/>
  <c r="H248" i="2"/>
  <c r="J248" i="2" s="1"/>
  <c r="G248" i="2"/>
  <c r="F248" i="2"/>
  <c r="I247" i="2"/>
  <c r="H247" i="2"/>
  <c r="J247" i="2" s="1"/>
  <c r="G247" i="2"/>
  <c r="F247" i="2"/>
  <c r="I246" i="2"/>
  <c r="H246" i="2"/>
  <c r="J246" i="2" s="1"/>
  <c r="G246" i="2"/>
  <c r="F246" i="2"/>
  <c r="I245" i="2"/>
  <c r="H245" i="2"/>
  <c r="J245" i="2" s="1"/>
  <c r="G245" i="2"/>
  <c r="F245" i="2"/>
  <c r="I244" i="2"/>
  <c r="H244" i="2"/>
  <c r="J244" i="2" s="1"/>
  <c r="G244" i="2"/>
  <c r="F244" i="2"/>
  <c r="I243" i="2"/>
  <c r="H243" i="2"/>
  <c r="J243" i="2" s="1"/>
  <c r="G243" i="2"/>
  <c r="F243" i="2"/>
  <c r="I242" i="2"/>
  <c r="H242" i="2"/>
  <c r="J242" i="2" s="1"/>
  <c r="G242" i="2"/>
  <c r="F242" i="2"/>
  <c r="I241" i="2"/>
  <c r="H241" i="2"/>
  <c r="J241" i="2" s="1"/>
  <c r="G241" i="2"/>
  <c r="F241" i="2"/>
  <c r="I240" i="2"/>
  <c r="H240" i="2"/>
  <c r="J240" i="2" s="1"/>
  <c r="G240" i="2"/>
  <c r="F240" i="2"/>
  <c r="I239" i="2"/>
  <c r="H239" i="2"/>
  <c r="J239" i="2" s="1"/>
  <c r="G239" i="2"/>
  <c r="F239" i="2"/>
  <c r="I238" i="2"/>
  <c r="H238" i="2"/>
  <c r="J238" i="2" s="1"/>
  <c r="G238" i="2"/>
  <c r="F238" i="2"/>
  <c r="I237" i="2"/>
  <c r="H237" i="2"/>
  <c r="J237" i="2" s="1"/>
  <c r="G237" i="2"/>
  <c r="F237" i="2"/>
  <c r="I236" i="2"/>
  <c r="H236" i="2"/>
  <c r="J236" i="2" s="1"/>
  <c r="G236" i="2"/>
  <c r="F236" i="2"/>
  <c r="I235" i="2"/>
  <c r="H235" i="2"/>
  <c r="J235" i="2" s="1"/>
  <c r="G235" i="2"/>
  <c r="F235" i="2"/>
  <c r="I234" i="2"/>
  <c r="H234" i="2"/>
  <c r="J234" i="2" s="1"/>
  <c r="G234" i="2"/>
  <c r="F234" i="2"/>
  <c r="I233" i="2"/>
  <c r="H233" i="2"/>
  <c r="J233" i="2" s="1"/>
  <c r="G233" i="2"/>
  <c r="F233" i="2"/>
  <c r="I232" i="2"/>
  <c r="H232" i="2"/>
  <c r="J232" i="2" s="1"/>
  <c r="G232" i="2"/>
  <c r="F232" i="2"/>
  <c r="I231" i="2"/>
  <c r="H231" i="2"/>
  <c r="J231" i="2" s="1"/>
  <c r="G231" i="2"/>
  <c r="F231" i="2"/>
  <c r="I230" i="2"/>
  <c r="H230" i="2"/>
  <c r="J230" i="2" s="1"/>
  <c r="G230" i="2"/>
  <c r="F230" i="2"/>
  <c r="I229" i="2"/>
  <c r="H229" i="2"/>
  <c r="J229" i="2" s="1"/>
  <c r="G229" i="2"/>
  <c r="F229" i="2"/>
  <c r="I228" i="2"/>
  <c r="H228" i="2"/>
  <c r="J228" i="2" s="1"/>
  <c r="G228" i="2"/>
  <c r="F228" i="2"/>
  <c r="J227" i="2"/>
  <c r="I227" i="2"/>
  <c r="H227" i="2"/>
  <c r="G227" i="2"/>
  <c r="F227" i="2"/>
  <c r="I226" i="2"/>
  <c r="H226" i="2"/>
  <c r="J226" i="2" s="1"/>
  <c r="G226" i="2"/>
  <c r="F226" i="2"/>
  <c r="I225" i="2"/>
  <c r="H225" i="2"/>
  <c r="J225" i="2" s="1"/>
  <c r="G225" i="2"/>
  <c r="F225" i="2"/>
  <c r="I224" i="2"/>
  <c r="H224" i="2"/>
  <c r="J224" i="2" s="1"/>
  <c r="G224" i="2"/>
  <c r="F224" i="2"/>
  <c r="I223" i="2"/>
  <c r="H223" i="2"/>
  <c r="J223" i="2" s="1"/>
  <c r="G223" i="2"/>
  <c r="F223" i="2"/>
  <c r="I222" i="2"/>
  <c r="H222" i="2"/>
  <c r="J222" i="2" s="1"/>
  <c r="G222" i="2"/>
  <c r="F222" i="2"/>
  <c r="J221" i="2"/>
  <c r="I221" i="2"/>
  <c r="H221" i="2"/>
  <c r="G221" i="2"/>
  <c r="F221" i="2"/>
  <c r="I220" i="2"/>
  <c r="H220" i="2"/>
  <c r="J220" i="2" s="1"/>
  <c r="G220" i="2"/>
  <c r="F220" i="2"/>
  <c r="I219" i="2"/>
  <c r="H219" i="2"/>
  <c r="J219" i="2" s="1"/>
  <c r="G219" i="2"/>
  <c r="F219" i="2"/>
  <c r="J218" i="2"/>
  <c r="I217" i="2"/>
  <c r="H217" i="2"/>
  <c r="J217" i="2" s="1"/>
  <c r="G217" i="2"/>
  <c r="F217" i="2"/>
  <c r="I216" i="2"/>
  <c r="H216" i="2"/>
  <c r="J216" i="2" s="1"/>
  <c r="G216" i="2"/>
  <c r="F216" i="2"/>
  <c r="J215" i="2"/>
  <c r="I215" i="2"/>
  <c r="H215" i="2"/>
  <c r="G215" i="2"/>
  <c r="F215" i="2"/>
  <c r="I214" i="2"/>
  <c r="H214" i="2"/>
  <c r="J214" i="2" s="1"/>
  <c r="G214" i="2"/>
  <c r="F214" i="2"/>
  <c r="J213" i="2"/>
  <c r="I213" i="2"/>
  <c r="H213" i="2"/>
  <c r="G213" i="2"/>
  <c r="F213" i="2"/>
  <c r="I212" i="2"/>
  <c r="H212" i="2"/>
  <c r="J212" i="2" s="1"/>
  <c r="G212" i="2"/>
  <c r="F212" i="2"/>
  <c r="I211" i="2"/>
  <c r="H211" i="2"/>
  <c r="J211" i="2" s="1"/>
  <c r="G211" i="2"/>
  <c r="F211" i="2"/>
  <c r="I210" i="2"/>
  <c r="H210" i="2"/>
  <c r="J210" i="2" s="1"/>
  <c r="G210" i="2"/>
  <c r="F210" i="2"/>
  <c r="I209" i="2"/>
  <c r="H209" i="2"/>
  <c r="J209" i="2" s="1"/>
  <c r="G209" i="2"/>
  <c r="F209" i="2"/>
  <c r="I208" i="2"/>
  <c r="H208" i="2"/>
  <c r="J208" i="2" s="1"/>
  <c r="G208" i="2"/>
  <c r="F208" i="2"/>
  <c r="I207" i="2"/>
  <c r="H207" i="2"/>
  <c r="J207" i="2" s="1"/>
  <c r="G207" i="2"/>
  <c r="F207" i="2"/>
  <c r="I206" i="2"/>
  <c r="H206" i="2"/>
  <c r="J206" i="2" s="1"/>
  <c r="G206" i="2"/>
  <c r="F206" i="2"/>
  <c r="I205" i="2"/>
  <c r="H205" i="2"/>
  <c r="J205" i="2" s="1"/>
  <c r="G205" i="2"/>
  <c r="F205" i="2"/>
  <c r="I204" i="2"/>
  <c r="H204" i="2"/>
  <c r="J204" i="2" s="1"/>
  <c r="G204" i="2"/>
  <c r="F204" i="2"/>
  <c r="I203" i="2"/>
  <c r="H203" i="2"/>
  <c r="J203" i="2" s="1"/>
  <c r="G203" i="2"/>
  <c r="F203" i="2"/>
  <c r="I202" i="2"/>
  <c r="H202" i="2"/>
  <c r="J202" i="2" s="1"/>
  <c r="G202" i="2"/>
  <c r="F202" i="2"/>
  <c r="I201" i="2"/>
  <c r="H201" i="2"/>
  <c r="J201" i="2" s="1"/>
  <c r="G201" i="2"/>
  <c r="F201" i="2"/>
  <c r="I200" i="2"/>
  <c r="H200" i="2"/>
  <c r="J200" i="2" s="1"/>
  <c r="G200" i="2"/>
  <c r="F200" i="2"/>
  <c r="I199" i="2"/>
  <c r="H199" i="2"/>
  <c r="J199" i="2" s="1"/>
  <c r="G199" i="2"/>
  <c r="F199" i="2"/>
  <c r="I198" i="2"/>
  <c r="H198" i="2"/>
  <c r="J198" i="2" s="1"/>
  <c r="G198" i="2"/>
  <c r="F198" i="2"/>
  <c r="I197" i="2"/>
  <c r="H197" i="2"/>
  <c r="J197" i="2" s="1"/>
  <c r="G197" i="2"/>
  <c r="F197" i="2"/>
  <c r="I196" i="2"/>
  <c r="H196" i="2"/>
  <c r="J196" i="2" s="1"/>
  <c r="G196" i="2"/>
  <c r="F196" i="2"/>
  <c r="I195" i="2"/>
  <c r="H195" i="2"/>
  <c r="J195" i="2" s="1"/>
  <c r="G195" i="2"/>
  <c r="F195" i="2"/>
  <c r="J194" i="2"/>
  <c r="I194" i="2"/>
  <c r="H194" i="2"/>
  <c r="G194" i="2"/>
  <c r="F194" i="2"/>
  <c r="I193" i="2"/>
  <c r="J193" i="2"/>
  <c r="I192" i="2"/>
  <c r="H192" i="2"/>
  <c r="J192" i="2" s="1"/>
  <c r="G192" i="2"/>
  <c r="F192" i="2"/>
  <c r="I191" i="2"/>
  <c r="H191" i="2"/>
  <c r="J191" i="2" s="1"/>
  <c r="G191" i="2"/>
  <c r="F191" i="2"/>
  <c r="J190" i="2"/>
  <c r="J189" i="2"/>
  <c r="I189" i="2"/>
  <c r="H189" i="2"/>
  <c r="G189" i="2"/>
  <c r="F189" i="2"/>
  <c r="I188" i="2"/>
  <c r="H188" i="2"/>
  <c r="J188" i="2" s="1"/>
  <c r="G188" i="2"/>
  <c r="F188" i="2"/>
  <c r="I187" i="2"/>
  <c r="H187" i="2"/>
  <c r="J187" i="2" s="1"/>
  <c r="G187" i="2"/>
  <c r="F187" i="2"/>
  <c r="I186" i="2"/>
  <c r="H186" i="2"/>
  <c r="J186" i="2" s="1"/>
  <c r="G186" i="2"/>
  <c r="F186" i="2"/>
  <c r="I185" i="2"/>
  <c r="H185" i="2"/>
  <c r="J185" i="2" s="1"/>
  <c r="G185" i="2"/>
  <c r="F185" i="2"/>
  <c r="I184" i="2"/>
  <c r="H184" i="2"/>
  <c r="J184" i="2" s="1"/>
  <c r="G184" i="2"/>
  <c r="F184" i="2"/>
  <c r="I183" i="2"/>
  <c r="H183" i="2"/>
  <c r="J183" i="2" s="1"/>
  <c r="G183" i="2"/>
  <c r="F183" i="2"/>
  <c r="I182" i="2"/>
  <c r="I181" i="2" l="1"/>
  <c r="I180" i="2"/>
  <c r="I179" i="2"/>
  <c r="I178" i="2"/>
  <c r="I177" i="2"/>
  <c r="I176" i="2" l="1"/>
  <c r="I175" i="2"/>
  <c r="I174" i="2" l="1"/>
  <c r="I173" i="2"/>
  <c r="I172" i="2" l="1"/>
  <c r="I171" i="2"/>
  <c r="I169" i="2"/>
  <c r="I168" i="2"/>
  <c r="I167" i="2"/>
  <c r="I166" i="2"/>
  <c r="I165" i="2"/>
  <c r="I164" i="2" l="1"/>
  <c r="I163" i="2"/>
  <c r="I162" i="2"/>
  <c r="I161" i="2" l="1"/>
  <c r="I160" i="2"/>
  <c r="I159" i="2"/>
  <c r="I158" i="2"/>
  <c r="I157" i="2"/>
  <c r="I156" i="2"/>
  <c r="I155" i="2"/>
  <c r="I154" i="2"/>
  <c r="I153" i="2"/>
  <c r="I152" i="2"/>
  <c r="I151" i="2" l="1"/>
  <c r="I150" i="2"/>
  <c r="I149" i="2"/>
  <c r="I148" i="2"/>
  <c r="I147" i="2" l="1"/>
  <c r="I146" i="2"/>
  <c r="I145" i="2"/>
  <c r="I144" i="2"/>
  <c r="I143" i="2"/>
  <c r="I142" i="2" l="1"/>
  <c r="I141" i="2"/>
  <c r="I140" i="2"/>
  <c r="I139" i="2" l="1"/>
  <c r="I138" i="2"/>
  <c r="I137" i="2"/>
  <c r="I136" i="2"/>
  <c r="I135" i="2"/>
  <c r="I134" i="2"/>
  <c r="I133" i="2"/>
  <c r="I132" i="2"/>
  <c r="I131" i="2"/>
  <c r="I130" i="2"/>
  <c r="I129" i="2"/>
  <c r="I128" i="2"/>
  <c r="I127" i="2"/>
  <c r="I126" i="2"/>
  <c r="H21" i="3"/>
  <c r="I2" i="3"/>
  <c r="I3" i="3"/>
  <c r="I5" i="3"/>
  <c r="I6" i="3"/>
  <c r="I7" i="3"/>
  <c r="I8" i="3"/>
  <c r="I9" i="3"/>
  <c r="I10"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I54" i="3"/>
  <c r="I55" i="3"/>
  <c r="I56" i="3"/>
  <c r="I57" i="3"/>
  <c r="I58" i="3"/>
  <c r="I59" i="3"/>
  <c r="I60" i="3"/>
  <c r="I61" i="3"/>
  <c r="I62" i="3"/>
  <c r="I63" i="3"/>
  <c r="I64" i="3"/>
  <c r="I65" i="3"/>
  <c r="I66" i="3"/>
  <c r="I67" i="3"/>
  <c r="I68" i="3"/>
  <c r="I69" i="3"/>
  <c r="I70" i="3"/>
  <c r="I71" i="3"/>
  <c r="I72" i="3"/>
  <c r="I73" i="3"/>
  <c r="I74" i="3"/>
  <c r="I75" i="3"/>
  <c r="I76" i="3"/>
  <c r="I77" i="3"/>
  <c r="I78" i="3"/>
  <c r="I79" i="3"/>
  <c r="I80" i="3"/>
  <c r="I81" i="3"/>
  <c r="I82" i="3"/>
  <c r="I83" i="3"/>
  <c r="I84" i="3"/>
  <c r="I85" i="3"/>
  <c r="I86" i="3"/>
  <c r="I87" i="3"/>
  <c r="I88" i="3"/>
  <c r="I89" i="3"/>
  <c r="I90" i="3"/>
  <c r="I91" i="3"/>
  <c r="I92" i="3"/>
  <c r="I93" i="3"/>
  <c r="I94" i="3"/>
  <c r="I95" i="3"/>
  <c r="I96" i="3"/>
  <c r="I97" i="3"/>
  <c r="I98" i="3"/>
  <c r="I99" i="3"/>
  <c r="I100" i="3"/>
  <c r="I101" i="3"/>
  <c r="I102" i="3"/>
  <c r="I103" i="3"/>
  <c r="I104" i="3"/>
  <c r="I105" i="3"/>
  <c r="I106" i="3"/>
  <c r="I107" i="3"/>
  <c r="I108" i="3"/>
  <c r="I109" i="3"/>
  <c r="I110" i="3"/>
  <c r="I111" i="3"/>
  <c r="I112" i="3"/>
  <c r="I113" i="3"/>
  <c r="I114" i="3"/>
  <c r="I115" i="3"/>
  <c r="I116" i="3"/>
  <c r="I117" i="3"/>
  <c r="I118" i="3"/>
  <c r="I119" i="3"/>
  <c r="I120" i="3"/>
  <c r="I121" i="3"/>
  <c r="I122" i="3"/>
  <c r="I125" i="3"/>
  <c r="I126" i="3"/>
  <c r="I127" i="3"/>
  <c r="I128" i="3"/>
  <c r="I129" i="3"/>
  <c r="I130" i="3"/>
  <c r="I131" i="3"/>
  <c r="I132" i="3"/>
  <c r="I133" i="3"/>
  <c r="I134" i="3"/>
  <c r="I135" i="3"/>
  <c r="I136" i="3"/>
  <c r="I137" i="3"/>
  <c r="I138" i="3"/>
  <c r="I139" i="3"/>
  <c r="I140" i="3"/>
  <c r="I141" i="3"/>
  <c r="I142" i="3"/>
  <c r="I143" i="3"/>
  <c r="I144" i="3"/>
  <c r="I145" i="3"/>
  <c r="I146" i="3"/>
  <c r="I147" i="3"/>
  <c r="I148" i="3"/>
  <c r="I149" i="3"/>
  <c r="I150" i="3"/>
  <c r="I151" i="3"/>
  <c r="I152" i="3"/>
  <c r="I153" i="3"/>
  <c r="I155" i="3"/>
  <c r="I156" i="3"/>
  <c r="I157" i="3"/>
  <c r="I158" i="3"/>
  <c r="I159" i="3"/>
  <c r="I160" i="3"/>
  <c r="I161" i="3"/>
  <c r="I162" i="3"/>
  <c r="I163" i="3"/>
  <c r="I164" i="3"/>
  <c r="I165" i="3"/>
  <c r="I166" i="3"/>
  <c r="I167" i="3"/>
  <c r="I168" i="3"/>
  <c r="I169" i="3"/>
  <c r="I170" i="3"/>
  <c r="I171" i="3"/>
  <c r="I172" i="3"/>
  <c r="I173" i="3"/>
  <c r="I174" i="3"/>
  <c r="I175" i="3"/>
  <c r="I176" i="3"/>
  <c r="I177" i="3"/>
  <c r="I178" i="3"/>
  <c r="I179" i="3"/>
  <c r="I180" i="3"/>
  <c r="I181" i="3"/>
  <c r="I182" i="3"/>
  <c r="I183" i="3"/>
  <c r="I184" i="3"/>
  <c r="I185" i="3"/>
  <c r="I186" i="3"/>
  <c r="I187" i="3"/>
  <c r="I188" i="3"/>
  <c r="I189" i="3"/>
  <c r="I190" i="3"/>
  <c r="I191" i="3"/>
  <c r="I192" i="3"/>
  <c r="I193" i="3"/>
  <c r="I194" i="3"/>
  <c r="I195" i="3"/>
  <c r="I196" i="3"/>
  <c r="I197" i="3"/>
  <c r="I198" i="3"/>
  <c r="I199" i="3"/>
  <c r="I200" i="3"/>
  <c r="I201" i="3"/>
  <c r="I202" i="3"/>
  <c r="I203" i="3"/>
  <c r="I204" i="3"/>
  <c r="I205" i="3"/>
  <c r="I206" i="3"/>
  <c r="I207" i="3"/>
  <c r="I208" i="3"/>
  <c r="I209" i="3"/>
  <c r="I210" i="3"/>
  <c r="I211" i="3"/>
  <c r="I212" i="3"/>
  <c r="I213" i="3"/>
  <c r="I214" i="3"/>
  <c r="I215" i="3"/>
  <c r="I216" i="3"/>
  <c r="I217" i="3"/>
  <c r="I218" i="3"/>
  <c r="I219" i="3"/>
  <c r="I220" i="3"/>
  <c r="I221" i="3"/>
  <c r="I222" i="3"/>
  <c r="I223" i="3"/>
  <c r="I224" i="3"/>
  <c r="I225" i="3"/>
  <c r="I226" i="3"/>
  <c r="I227" i="3"/>
  <c r="I228" i="3"/>
  <c r="I229" i="3"/>
  <c r="I230" i="3"/>
  <c r="I231" i="3"/>
  <c r="I232" i="3"/>
  <c r="I233" i="3"/>
  <c r="I234" i="3"/>
  <c r="I235" i="3"/>
  <c r="I236" i="3"/>
  <c r="I237" i="3"/>
  <c r="I238" i="3"/>
  <c r="I239" i="3"/>
  <c r="I240" i="3"/>
  <c r="I241" i="3"/>
  <c r="I242" i="3"/>
  <c r="I243" i="3"/>
  <c r="I244" i="3"/>
  <c r="I125" i="2" l="1"/>
  <c r="I124" i="2"/>
  <c r="I123" i="2"/>
  <c r="I122" i="2"/>
  <c r="I121" i="2"/>
  <c r="J1069" i="2" l="1"/>
  <c r="J1068" i="2"/>
  <c r="J1067" i="2"/>
  <c r="J1066" i="2"/>
  <c r="J1065" i="2"/>
  <c r="J1026" i="2"/>
  <c r="J1025" i="2"/>
  <c r="J1024" i="2"/>
  <c r="J1023" i="2"/>
  <c r="J1022" i="2"/>
  <c r="J1021" i="2"/>
  <c r="J1020" i="2"/>
  <c r="J1019" i="2"/>
  <c r="J1018" i="2"/>
  <c r="J1017" i="2"/>
  <c r="J1016" i="2"/>
  <c r="J1015" i="2"/>
  <c r="J1014" i="2"/>
  <c r="J1013" i="2"/>
  <c r="J1012" i="2"/>
  <c r="J1011" i="2"/>
  <c r="J1010" i="2"/>
  <c r="J1009" i="2"/>
  <c r="J1008" i="2"/>
  <c r="J1007" i="2"/>
  <c r="J1006" i="2"/>
  <c r="J1005" i="2"/>
  <c r="J1004" i="2"/>
  <c r="J1003" i="2"/>
  <c r="J1002" i="2"/>
  <c r="I120" i="2"/>
  <c r="H120" i="2"/>
  <c r="J120" i="2" s="1"/>
  <c r="G120" i="2"/>
  <c r="F120" i="2"/>
  <c r="I119" i="2"/>
  <c r="H119" i="2"/>
  <c r="J119" i="2" s="1"/>
  <c r="G119" i="2"/>
  <c r="F119" i="2"/>
  <c r="I118" i="2"/>
  <c r="H118" i="2"/>
  <c r="J118" i="2" s="1"/>
  <c r="G118" i="2"/>
  <c r="F118" i="2"/>
  <c r="I117" i="2"/>
  <c r="H117" i="2"/>
  <c r="J117" i="2" s="1"/>
  <c r="G117" i="2"/>
  <c r="F117" i="2"/>
  <c r="I116" i="2"/>
  <c r="H116" i="2"/>
  <c r="J116" i="2" s="1"/>
  <c r="G116" i="2"/>
  <c r="F116" i="2"/>
  <c r="I115" i="2"/>
  <c r="H115" i="2"/>
  <c r="J115" i="2" s="1"/>
  <c r="G115" i="2"/>
  <c r="F115" i="2"/>
  <c r="I114" i="2"/>
  <c r="H114" i="2"/>
  <c r="J114" i="2" s="1"/>
  <c r="G114" i="2"/>
  <c r="F114" i="2"/>
  <c r="I113" i="2"/>
  <c r="H113" i="2"/>
  <c r="J113" i="2" s="1"/>
  <c r="G113" i="2"/>
  <c r="F113" i="2"/>
  <c r="I112" i="2"/>
  <c r="H112" i="2"/>
  <c r="J112" i="2" s="1"/>
  <c r="G112" i="2"/>
  <c r="F112" i="2"/>
  <c r="G15" i="5" l="1"/>
  <c r="G14" i="5"/>
  <c r="G13" i="5"/>
  <c r="G12" i="5"/>
  <c r="G11" i="5"/>
  <c r="G10" i="5"/>
  <c r="G9" i="5"/>
  <c r="G8" i="5"/>
  <c r="G7" i="5"/>
  <c r="G6" i="5"/>
  <c r="G5" i="5"/>
  <c r="G4" i="5"/>
  <c r="G3" i="5"/>
  <c r="G2" i="5"/>
  <c r="E21" i="11" l="1"/>
  <c r="F65" i="2"/>
  <c r="G65" i="2"/>
  <c r="H65" i="2"/>
  <c r="I65" i="2"/>
  <c r="O18" i="3"/>
  <c r="P18" i="3" s="1"/>
  <c r="J19" i="3"/>
  <c r="J20" i="3"/>
  <c r="J21" i="3"/>
  <c r="J22" i="3"/>
  <c r="J23" i="3"/>
  <c r="J24" i="3"/>
  <c r="J25" i="3"/>
  <c r="J26" i="3"/>
  <c r="J27" i="3"/>
  <c r="J28" i="3"/>
  <c r="J29" i="3"/>
  <c r="J30" i="3"/>
  <c r="J31" i="3"/>
  <c r="J32" i="3"/>
  <c r="J33" i="3"/>
  <c r="J34" i="3"/>
  <c r="J35" i="3"/>
  <c r="J36" i="3"/>
  <c r="J37" i="3"/>
  <c r="J38" i="3"/>
  <c r="J39" i="3"/>
  <c r="J40" i="3"/>
  <c r="J41" i="3"/>
  <c r="J42" i="3"/>
  <c r="J43" i="3"/>
  <c r="J44" i="3"/>
  <c r="J45" i="3"/>
  <c r="J46" i="3"/>
  <c r="J47" i="3"/>
  <c r="J48" i="3"/>
  <c r="J49" i="3"/>
  <c r="J50" i="3"/>
  <c r="J51" i="3"/>
  <c r="J52" i="3"/>
  <c r="J53" i="3"/>
  <c r="J54" i="3"/>
  <c r="J55" i="3"/>
  <c r="J56" i="3"/>
  <c r="J57" i="3"/>
  <c r="J58" i="3"/>
  <c r="J59" i="3"/>
  <c r="J60" i="3"/>
  <c r="J61" i="3"/>
  <c r="J62" i="3"/>
  <c r="J63" i="3"/>
  <c r="J64" i="3"/>
  <c r="J65" i="3"/>
  <c r="J66" i="3"/>
  <c r="J67" i="3"/>
  <c r="J68" i="3"/>
  <c r="J69" i="3"/>
  <c r="J70" i="3"/>
  <c r="J71" i="3"/>
  <c r="J72" i="3"/>
  <c r="J73" i="3"/>
  <c r="J74" i="3"/>
  <c r="J75" i="3"/>
  <c r="J76" i="3"/>
  <c r="J77" i="3"/>
  <c r="J78" i="3"/>
  <c r="J79" i="3"/>
  <c r="J80" i="3"/>
  <c r="J81" i="3"/>
  <c r="J82" i="3"/>
  <c r="J83" i="3"/>
  <c r="J84" i="3"/>
  <c r="J85" i="3"/>
  <c r="J86" i="3"/>
  <c r="J87" i="3"/>
  <c r="J88" i="3"/>
  <c r="J89" i="3"/>
  <c r="J90" i="3"/>
  <c r="J91" i="3"/>
  <c r="J92" i="3"/>
  <c r="J93" i="3"/>
  <c r="J94" i="3"/>
  <c r="J95" i="3"/>
  <c r="J96" i="3"/>
  <c r="J97" i="3"/>
  <c r="J98" i="3"/>
  <c r="J99" i="3"/>
  <c r="J100" i="3"/>
  <c r="J101" i="3"/>
  <c r="J102" i="3"/>
  <c r="J103" i="3"/>
  <c r="J104" i="3"/>
  <c r="J105" i="3"/>
  <c r="J106" i="3"/>
  <c r="J107" i="3"/>
  <c r="J108" i="3"/>
  <c r="J109" i="3"/>
  <c r="J110" i="3"/>
  <c r="J111" i="3"/>
  <c r="J112" i="3"/>
  <c r="J113" i="3"/>
  <c r="J114" i="3"/>
  <c r="J115" i="3"/>
  <c r="J116" i="3"/>
  <c r="J117" i="3"/>
  <c r="J118" i="3"/>
  <c r="J119" i="3"/>
  <c r="J120" i="3"/>
  <c r="J121" i="3"/>
  <c r="J122" i="3"/>
  <c r="J125" i="3"/>
  <c r="J126" i="3"/>
  <c r="J127" i="3"/>
  <c r="J128" i="3"/>
  <c r="J129" i="3"/>
  <c r="J130" i="3"/>
  <c r="J131" i="3"/>
  <c r="J132" i="3"/>
  <c r="J133" i="3"/>
  <c r="J134" i="3"/>
  <c r="J135" i="3"/>
  <c r="J136" i="3"/>
  <c r="J137" i="3"/>
  <c r="J138" i="3"/>
  <c r="J139" i="3"/>
  <c r="J140" i="3"/>
  <c r="J141" i="3"/>
  <c r="J142" i="3"/>
  <c r="J143" i="3"/>
  <c r="J144" i="3"/>
  <c r="J146" i="3"/>
  <c r="J147" i="3"/>
  <c r="J148" i="3"/>
  <c r="J149" i="3"/>
  <c r="J150" i="3"/>
  <c r="J151" i="3"/>
  <c r="J152" i="3"/>
  <c r="J153" i="3"/>
  <c r="J155" i="3"/>
  <c r="J156" i="3"/>
  <c r="J157" i="3"/>
  <c r="J158" i="3"/>
  <c r="J159" i="3"/>
  <c r="J160" i="3"/>
  <c r="J161" i="3"/>
  <c r="J162" i="3"/>
  <c r="J163" i="3"/>
  <c r="J164" i="3"/>
  <c r="J165" i="3"/>
  <c r="J166" i="3"/>
  <c r="J167" i="3"/>
  <c r="J168" i="3"/>
  <c r="J169" i="3"/>
  <c r="J170" i="3"/>
  <c r="J171" i="3"/>
  <c r="J172" i="3"/>
  <c r="J173" i="3"/>
  <c r="J174" i="3"/>
  <c r="J175" i="3"/>
  <c r="J176" i="3"/>
  <c r="J177" i="3"/>
  <c r="J178" i="3"/>
  <c r="J179" i="3"/>
  <c r="J180" i="3"/>
  <c r="J181" i="3"/>
  <c r="J182" i="3"/>
  <c r="J183" i="3"/>
  <c r="J184" i="3"/>
  <c r="J185" i="3"/>
  <c r="J186" i="3"/>
  <c r="J187" i="3"/>
  <c r="J188" i="3"/>
  <c r="J189" i="3"/>
  <c r="J190" i="3"/>
  <c r="J191" i="3"/>
  <c r="J192" i="3"/>
  <c r="J193" i="3"/>
  <c r="J194" i="3"/>
  <c r="J195" i="3"/>
  <c r="J196" i="3"/>
  <c r="J197" i="3"/>
  <c r="J198" i="3"/>
  <c r="J199" i="3"/>
  <c r="J200" i="3"/>
  <c r="J201" i="3"/>
  <c r="J202" i="3"/>
  <c r="J203" i="3"/>
  <c r="J204" i="3"/>
  <c r="J205" i="3"/>
  <c r="J206" i="3"/>
  <c r="J207" i="3"/>
  <c r="J208" i="3"/>
  <c r="J209" i="3"/>
  <c r="J210" i="3"/>
  <c r="J211" i="3"/>
  <c r="J212" i="3"/>
  <c r="J213" i="3"/>
  <c r="J214" i="3"/>
  <c r="J215" i="3"/>
  <c r="J216" i="3"/>
  <c r="J217" i="3"/>
  <c r="J218" i="3"/>
  <c r="J219" i="3"/>
  <c r="J220" i="3"/>
  <c r="J221" i="3"/>
  <c r="J222" i="3"/>
  <c r="J223" i="3"/>
  <c r="J224" i="3"/>
  <c r="J225" i="3"/>
  <c r="J226" i="3"/>
  <c r="J227" i="3"/>
  <c r="J228" i="3"/>
  <c r="J229" i="3"/>
  <c r="J230" i="3"/>
  <c r="J231" i="3"/>
  <c r="J232" i="3"/>
  <c r="J233" i="3"/>
  <c r="J234" i="3"/>
  <c r="J235" i="3"/>
  <c r="J236" i="3"/>
  <c r="J237" i="3"/>
  <c r="J238" i="3"/>
  <c r="J239" i="3"/>
  <c r="J240" i="3"/>
  <c r="J241" i="3"/>
  <c r="J242" i="3"/>
  <c r="J243" i="3"/>
  <c r="J244" i="3"/>
  <c r="J18" i="3"/>
  <c r="H18" i="3"/>
  <c r="G18" i="3"/>
  <c r="F18" i="3"/>
  <c r="P4" i="3"/>
  <c r="P124" i="3"/>
  <c r="P145" i="3"/>
  <c r="P154" i="3"/>
  <c r="N4" i="2"/>
  <c r="O4" i="2" s="1"/>
  <c r="O64" i="2"/>
  <c r="O70" i="2"/>
  <c r="O170" i="2"/>
  <c r="O190" i="2"/>
  <c r="O218" i="2"/>
  <c r="O396" i="2"/>
  <c r="O422" i="2"/>
  <c r="O733" i="2"/>
  <c r="O734" i="2"/>
  <c r="O735" i="2"/>
  <c r="O736" i="2"/>
  <c r="O832" i="2"/>
  <c r="O900" i="2"/>
  <c r="O976" i="2"/>
  <c r="O1002" i="2"/>
  <c r="O1009" i="2"/>
  <c r="O1032" i="2"/>
  <c r="O1055" i="2"/>
  <c r="O1064" i="2"/>
  <c r="J2" i="3" l="1"/>
  <c r="H3" i="3"/>
  <c r="H5" i="3"/>
  <c r="H6" i="3"/>
  <c r="H7" i="3"/>
  <c r="H8" i="3"/>
  <c r="H9" i="3"/>
  <c r="H10" i="3"/>
  <c r="H11" i="3"/>
  <c r="H12" i="3"/>
  <c r="H13" i="3"/>
  <c r="H14" i="3"/>
  <c r="H15" i="3"/>
  <c r="H16" i="3"/>
  <c r="H17" i="3"/>
  <c r="H19" i="3"/>
  <c r="H20" i="3"/>
  <c r="H22" i="3"/>
  <c r="H23" i="3"/>
  <c r="H24" i="3"/>
  <c r="H25" i="3"/>
  <c r="H26" i="3"/>
  <c r="H27" i="3"/>
  <c r="H28" i="3"/>
  <c r="H29" i="3"/>
  <c r="H30" i="3"/>
  <c r="H31" i="3"/>
  <c r="H32" i="3"/>
  <c r="H33" i="3"/>
  <c r="H34" i="3"/>
  <c r="H35" i="3"/>
  <c r="H36" i="3"/>
  <c r="H37" i="3"/>
  <c r="H38" i="3"/>
  <c r="H39" i="3"/>
  <c r="H40" i="3"/>
  <c r="H41" i="3"/>
  <c r="H42" i="3"/>
  <c r="H43" i="3"/>
  <c r="H44" i="3"/>
  <c r="H45" i="3"/>
  <c r="H46" i="3"/>
  <c r="H47" i="3"/>
  <c r="H48" i="3"/>
  <c r="H49" i="3"/>
  <c r="H50" i="3"/>
  <c r="H51" i="3"/>
  <c r="H52" i="3"/>
  <c r="H53" i="3"/>
  <c r="H54" i="3"/>
  <c r="H55" i="3"/>
  <c r="H56" i="3"/>
  <c r="H57" i="3"/>
  <c r="H58" i="3"/>
  <c r="H59" i="3"/>
  <c r="H60" i="3"/>
  <c r="H61" i="3"/>
  <c r="H62" i="3"/>
  <c r="H63" i="3"/>
  <c r="H64" i="3"/>
  <c r="H65" i="3"/>
  <c r="H66" i="3"/>
  <c r="H67" i="3"/>
  <c r="H68" i="3"/>
  <c r="H69" i="3"/>
  <c r="H70" i="3"/>
  <c r="H71" i="3"/>
  <c r="H72" i="3"/>
  <c r="H73" i="3"/>
  <c r="H74" i="3"/>
  <c r="H75" i="3"/>
  <c r="H76" i="3"/>
  <c r="H77" i="3"/>
  <c r="H78" i="3"/>
  <c r="K78" i="3" s="1"/>
  <c r="H79" i="3"/>
  <c r="H80" i="3"/>
  <c r="H81" i="3"/>
  <c r="H82" i="3"/>
  <c r="H83" i="3"/>
  <c r="H84" i="3"/>
  <c r="H85" i="3"/>
  <c r="H86" i="3"/>
  <c r="H87" i="3"/>
  <c r="H88" i="3"/>
  <c r="H89" i="3"/>
  <c r="H90" i="3"/>
  <c r="H91" i="3"/>
  <c r="H92" i="3"/>
  <c r="H93" i="3"/>
  <c r="H94" i="3"/>
  <c r="H95" i="3"/>
  <c r="H96" i="3"/>
  <c r="H97" i="3"/>
  <c r="H98" i="3"/>
  <c r="H99" i="3"/>
  <c r="H100" i="3"/>
  <c r="H101" i="3"/>
  <c r="H102" i="3"/>
  <c r="K102" i="3" s="1"/>
  <c r="H103" i="3"/>
  <c r="H104" i="3"/>
  <c r="H105" i="3"/>
  <c r="H106" i="3"/>
  <c r="H107" i="3"/>
  <c r="H108" i="3"/>
  <c r="H109" i="3"/>
  <c r="H110" i="3"/>
  <c r="H111" i="3"/>
  <c r="H112" i="3"/>
  <c r="H113" i="3"/>
  <c r="H114" i="3"/>
  <c r="H115" i="3"/>
  <c r="H116" i="3"/>
  <c r="H117" i="3"/>
  <c r="H118" i="3"/>
  <c r="H119" i="3"/>
  <c r="H120" i="3"/>
  <c r="H121" i="3"/>
  <c r="H122" i="3"/>
  <c r="H125" i="3"/>
  <c r="H126" i="3"/>
  <c r="H127" i="3"/>
  <c r="H128" i="3"/>
  <c r="H129" i="3"/>
  <c r="H130" i="3"/>
  <c r="H131" i="3"/>
  <c r="H132" i="3"/>
  <c r="H133" i="3"/>
  <c r="H134" i="3"/>
  <c r="H135" i="3"/>
  <c r="H136" i="3"/>
  <c r="H137" i="3"/>
  <c r="H138" i="3"/>
  <c r="H139" i="3"/>
  <c r="H140" i="3"/>
  <c r="H141" i="3"/>
  <c r="H142" i="3"/>
  <c r="H143" i="3"/>
  <c r="H144" i="3"/>
  <c r="H145" i="3"/>
  <c r="H146" i="3"/>
  <c r="H147" i="3"/>
  <c r="H148" i="3"/>
  <c r="H149" i="3"/>
  <c r="H150" i="3"/>
  <c r="H151" i="3"/>
  <c r="H152" i="3"/>
  <c r="H153" i="3"/>
  <c r="H155" i="3"/>
  <c r="H156" i="3"/>
  <c r="H157" i="3"/>
  <c r="H158" i="3"/>
  <c r="H159" i="3"/>
  <c r="H160" i="3"/>
  <c r="H161" i="3"/>
  <c r="H162" i="3"/>
  <c r="H163" i="3"/>
  <c r="H164" i="3"/>
  <c r="H165" i="3"/>
  <c r="H166" i="3"/>
  <c r="H167" i="3"/>
  <c r="H168" i="3"/>
  <c r="H169" i="3"/>
  <c r="H170" i="3"/>
  <c r="H171" i="3"/>
  <c r="H172" i="3"/>
  <c r="H173" i="3"/>
  <c r="H174" i="3"/>
  <c r="H175" i="3"/>
  <c r="H176" i="3"/>
  <c r="H177" i="3"/>
  <c r="H178" i="3"/>
  <c r="H179" i="3"/>
  <c r="H180" i="3"/>
  <c r="H181" i="3"/>
  <c r="H182" i="3"/>
  <c r="H183" i="3"/>
  <c r="H184" i="3"/>
  <c r="H185" i="3"/>
  <c r="H186" i="3"/>
  <c r="H187" i="3"/>
  <c r="H188" i="3"/>
  <c r="H189" i="3"/>
  <c r="H190" i="3"/>
  <c r="H191" i="3"/>
  <c r="H192" i="3"/>
  <c r="H193" i="3"/>
  <c r="H194" i="3"/>
  <c r="H195" i="3"/>
  <c r="H196" i="3"/>
  <c r="H197" i="3"/>
  <c r="H198" i="3"/>
  <c r="H199" i="3"/>
  <c r="H200" i="3"/>
  <c r="H201" i="3"/>
  <c r="H202" i="3"/>
  <c r="H203" i="3"/>
  <c r="H204" i="3"/>
  <c r="H205" i="3"/>
  <c r="H206" i="3"/>
  <c r="H207" i="3"/>
  <c r="H208" i="3"/>
  <c r="H209" i="3"/>
  <c r="H210" i="3"/>
  <c r="H211" i="3"/>
  <c r="H212" i="3"/>
  <c r="H213" i="3"/>
  <c r="H214" i="3"/>
  <c r="H215" i="3"/>
  <c r="H216" i="3"/>
  <c r="H217" i="3"/>
  <c r="H218" i="3"/>
  <c r="H219" i="3"/>
  <c r="H220" i="3"/>
  <c r="H221" i="3"/>
  <c r="H222" i="3"/>
  <c r="H223" i="3"/>
  <c r="H224" i="3"/>
  <c r="H226" i="3"/>
  <c r="H227" i="3"/>
  <c r="H228" i="3"/>
  <c r="H229" i="3"/>
  <c r="H230" i="3"/>
  <c r="H231" i="3"/>
  <c r="H232" i="3"/>
  <c r="H233" i="3"/>
  <c r="H234" i="3"/>
  <c r="H235" i="3"/>
  <c r="H236" i="3"/>
  <c r="H237" i="3"/>
  <c r="H238" i="3"/>
  <c r="H239" i="3"/>
  <c r="H240" i="3"/>
  <c r="H241" i="3"/>
  <c r="H242" i="3"/>
  <c r="H243" i="3"/>
  <c r="H244" i="3"/>
  <c r="G3" i="3"/>
  <c r="G5" i="3"/>
  <c r="G6" i="3"/>
  <c r="G7" i="3"/>
  <c r="G8" i="3"/>
  <c r="G9" i="3"/>
  <c r="G10" i="3"/>
  <c r="G11" i="3"/>
  <c r="G12" i="3"/>
  <c r="G13" i="3"/>
  <c r="G14" i="3"/>
  <c r="G15" i="3"/>
  <c r="G16" i="3"/>
  <c r="G17"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91" i="3"/>
  <c r="G92" i="3"/>
  <c r="G93" i="3"/>
  <c r="G94" i="3"/>
  <c r="G95" i="3"/>
  <c r="G96" i="3"/>
  <c r="G97" i="3"/>
  <c r="G98" i="3"/>
  <c r="G99" i="3"/>
  <c r="G100" i="3"/>
  <c r="G101" i="3"/>
  <c r="G102" i="3"/>
  <c r="G103" i="3"/>
  <c r="G104" i="3"/>
  <c r="G105" i="3"/>
  <c r="G106" i="3"/>
  <c r="G107" i="3"/>
  <c r="G108" i="3"/>
  <c r="G109" i="3"/>
  <c r="G110" i="3"/>
  <c r="G111" i="3"/>
  <c r="G112" i="3"/>
  <c r="G113" i="3"/>
  <c r="G114" i="3"/>
  <c r="G115" i="3"/>
  <c r="G116" i="3"/>
  <c r="G117" i="3"/>
  <c r="G118" i="3"/>
  <c r="G119" i="3"/>
  <c r="G120" i="3"/>
  <c r="G121" i="3"/>
  <c r="G122" i="3"/>
  <c r="G125" i="3"/>
  <c r="G126" i="3"/>
  <c r="G127" i="3"/>
  <c r="G128" i="3"/>
  <c r="G129" i="3"/>
  <c r="G130" i="3"/>
  <c r="G131" i="3"/>
  <c r="G132" i="3"/>
  <c r="G133" i="3"/>
  <c r="G134" i="3"/>
  <c r="G135" i="3"/>
  <c r="G136" i="3"/>
  <c r="G137" i="3"/>
  <c r="G138" i="3"/>
  <c r="G139" i="3"/>
  <c r="G140" i="3"/>
  <c r="G141" i="3"/>
  <c r="G142" i="3"/>
  <c r="G143" i="3"/>
  <c r="G144" i="3"/>
  <c r="G145" i="3"/>
  <c r="G146" i="3"/>
  <c r="G147" i="3"/>
  <c r="G148" i="3"/>
  <c r="G149" i="3"/>
  <c r="G150" i="3"/>
  <c r="G151" i="3"/>
  <c r="G152" i="3"/>
  <c r="G153" i="3"/>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G182" i="3"/>
  <c r="G183" i="3"/>
  <c r="G184" i="3"/>
  <c r="G185" i="3"/>
  <c r="G186" i="3"/>
  <c r="G187" i="3"/>
  <c r="G188" i="3"/>
  <c r="G189" i="3"/>
  <c r="G190" i="3"/>
  <c r="G191" i="3"/>
  <c r="G192" i="3"/>
  <c r="G193" i="3"/>
  <c r="G194" i="3"/>
  <c r="G195" i="3"/>
  <c r="G196" i="3"/>
  <c r="G197" i="3"/>
  <c r="G198" i="3"/>
  <c r="G199" i="3"/>
  <c r="G200" i="3"/>
  <c r="G201" i="3"/>
  <c r="G202" i="3"/>
  <c r="G203" i="3"/>
  <c r="G204" i="3"/>
  <c r="G205" i="3"/>
  <c r="G206" i="3"/>
  <c r="G207" i="3"/>
  <c r="G208" i="3"/>
  <c r="G209" i="3"/>
  <c r="G210" i="3"/>
  <c r="G211" i="3"/>
  <c r="G212" i="3"/>
  <c r="G213" i="3"/>
  <c r="G214" i="3"/>
  <c r="G215" i="3"/>
  <c r="G216" i="3"/>
  <c r="G217" i="3"/>
  <c r="G218" i="3"/>
  <c r="G219" i="3"/>
  <c r="G220" i="3"/>
  <c r="G221" i="3"/>
  <c r="G222" i="3"/>
  <c r="G223" i="3"/>
  <c r="G224" i="3"/>
  <c r="G225" i="3"/>
  <c r="G226" i="3"/>
  <c r="G227" i="3"/>
  <c r="G228" i="3"/>
  <c r="G229" i="3"/>
  <c r="G230" i="3"/>
  <c r="G231" i="3"/>
  <c r="G232" i="3"/>
  <c r="G233" i="3"/>
  <c r="G234" i="3"/>
  <c r="G235" i="3"/>
  <c r="G236" i="3"/>
  <c r="G237" i="3"/>
  <c r="G238" i="3"/>
  <c r="G239" i="3"/>
  <c r="G240" i="3"/>
  <c r="G241" i="3"/>
  <c r="G242" i="3"/>
  <c r="G243" i="3"/>
  <c r="G244" i="3"/>
  <c r="F3" i="3"/>
  <c r="F5" i="3"/>
  <c r="F6" i="3"/>
  <c r="F7" i="3"/>
  <c r="F8" i="3"/>
  <c r="F9" i="3"/>
  <c r="F10" i="3"/>
  <c r="F11" i="3"/>
  <c r="F12" i="3"/>
  <c r="F13" i="3"/>
  <c r="F14" i="3"/>
  <c r="F15" i="3"/>
  <c r="F16" i="3"/>
  <c r="F17" i="3"/>
  <c r="F19" i="3"/>
  <c r="F20" i="3"/>
  <c r="F21" i="3"/>
  <c r="F22" i="3"/>
  <c r="F23" i="3"/>
  <c r="F24" i="3"/>
  <c r="F25" i="3"/>
  <c r="F26" i="3"/>
  <c r="F27" i="3"/>
  <c r="F28" i="3"/>
  <c r="F29" i="3"/>
  <c r="F30" i="3"/>
  <c r="F31" i="3"/>
  <c r="F32" i="3"/>
  <c r="F33" i="3"/>
  <c r="F34" i="3"/>
  <c r="F35" i="3"/>
  <c r="F36" i="3"/>
  <c r="F37" i="3"/>
  <c r="F38" i="3"/>
  <c r="F39" i="3"/>
  <c r="F40" i="3"/>
  <c r="F41" i="3"/>
  <c r="F42" i="3"/>
  <c r="F43" i="3"/>
  <c r="F44" i="3"/>
  <c r="F45" i="3"/>
  <c r="F46" i="3"/>
  <c r="F47" i="3"/>
  <c r="F48" i="3"/>
  <c r="F49" i="3"/>
  <c r="F50" i="3"/>
  <c r="F51" i="3"/>
  <c r="F52" i="3"/>
  <c r="F53" i="3"/>
  <c r="F54" i="3"/>
  <c r="F55" i="3"/>
  <c r="F56" i="3"/>
  <c r="F57" i="3"/>
  <c r="F58" i="3"/>
  <c r="F59" i="3"/>
  <c r="F60" i="3"/>
  <c r="F61" i="3"/>
  <c r="F62" i="3"/>
  <c r="F63" i="3"/>
  <c r="F64" i="3"/>
  <c r="F65" i="3"/>
  <c r="F66" i="3"/>
  <c r="F67" i="3"/>
  <c r="F68" i="3"/>
  <c r="F69" i="3"/>
  <c r="F70" i="3"/>
  <c r="F71" i="3"/>
  <c r="F72" i="3"/>
  <c r="F73" i="3"/>
  <c r="F74" i="3"/>
  <c r="F75" i="3"/>
  <c r="F76" i="3"/>
  <c r="F77" i="3"/>
  <c r="F78" i="3"/>
  <c r="F79" i="3"/>
  <c r="F80" i="3"/>
  <c r="F81" i="3"/>
  <c r="F82" i="3"/>
  <c r="F83" i="3"/>
  <c r="F84" i="3"/>
  <c r="F85" i="3"/>
  <c r="F86" i="3"/>
  <c r="F87" i="3"/>
  <c r="F88" i="3"/>
  <c r="F89" i="3"/>
  <c r="F90" i="3"/>
  <c r="F91" i="3"/>
  <c r="F92" i="3"/>
  <c r="F93" i="3"/>
  <c r="F94" i="3"/>
  <c r="F95" i="3"/>
  <c r="F96" i="3"/>
  <c r="F97" i="3"/>
  <c r="F98" i="3"/>
  <c r="F99" i="3"/>
  <c r="F100" i="3"/>
  <c r="F101" i="3"/>
  <c r="F102" i="3"/>
  <c r="F103" i="3"/>
  <c r="F104" i="3"/>
  <c r="F105" i="3"/>
  <c r="F106" i="3"/>
  <c r="F107" i="3"/>
  <c r="F108" i="3"/>
  <c r="F109" i="3"/>
  <c r="F111" i="3"/>
  <c r="F112" i="3"/>
  <c r="F113" i="3"/>
  <c r="F114" i="3"/>
  <c r="F115" i="3"/>
  <c r="F116" i="3"/>
  <c r="F117" i="3"/>
  <c r="F118" i="3"/>
  <c r="F119" i="3"/>
  <c r="F120" i="3"/>
  <c r="F121" i="3"/>
  <c r="F122" i="3"/>
  <c r="F125" i="3"/>
  <c r="F126" i="3"/>
  <c r="F127" i="3"/>
  <c r="F128" i="3"/>
  <c r="F129" i="3"/>
  <c r="F130" i="3"/>
  <c r="F131" i="3"/>
  <c r="F132" i="3"/>
  <c r="F133" i="3"/>
  <c r="F134" i="3"/>
  <c r="F135" i="3"/>
  <c r="F136" i="3"/>
  <c r="F137" i="3"/>
  <c r="F138" i="3"/>
  <c r="F139" i="3"/>
  <c r="F140" i="3"/>
  <c r="F141" i="3"/>
  <c r="F142" i="3"/>
  <c r="F143" i="3"/>
  <c r="F144" i="3"/>
  <c r="F145" i="3"/>
  <c r="F146" i="3"/>
  <c r="F147" i="3"/>
  <c r="F148" i="3"/>
  <c r="F149" i="3"/>
  <c r="F150" i="3"/>
  <c r="F151" i="3"/>
  <c r="F152" i="3"/>
  <c r="F153"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F182" i="3"/>
  <c r="F183" i="3"/>
  <c r="F184" i="3"/>
  <c r="F185" i="3"/>
  <c r="F186" i="3"/>
  <c r="F187" i="3"/>
  <c r="F188" i="3"/>
  <c r="F189" i="3"/>
  <c r="F190" i="3"/>
  <c r="F191" i="3"/>
  <c r="F192" i="3"/>
  <c r="F193" i="3"/>
  <c r="F194" i="3"/>
  <c r="F195" i="3"/>
  <c r="F196" i="3"/>
  <c r="F197" i="3"/>
  <c r="F198" i="3"/>
  <c r="F199" i="3"/>
  <c r="F200" i="3"/>
  <c r="F201" i="3"/>
  <c r="F202" i="3"/>
  <c r="F203" i="3"/>
  <c r="F204" i="3"/>
  <c r="F205" i="3"/>
  <c r="F206" i="3"/>
  <c r="F207" i="3"/>
  <c r="F208" i="3"/>
  <c r="F209" i="3"/>
  <c r="F210" i="3"/>
  <c r="F211" i="3"/>
  <c r="F212" i="3"/>
  <c r="F213" i="3"/>
  <c r="F214" i="3"/>
  <c r="F215" i="3"/>
  <c r="F216" i="3"/>
  <c r="F217" i="3"/>
  <c r="F218" i="3"/>
  <c r="F219" i="3"/>
  <c r="F220" i="3"/>
  <c r="F221" i="3"/>
  <c r="F222" i="3"/>
  <c r="F223" i="3"/>
  <c r="F224" i="3"/>
  <c r="F225" i="3"/>
  <c r="F226" i="3"/>
  <c r="F227" i="3"/>
  <c r="F228" i="3"/>
  <c r="F229" i="3"/>
  <c r="F230" i="3"/>
  <c r="F231" i="3"/>
  <c r="F232" i="3"/>
  <c r="F233" i="3"/>
  <c r="F234" i="3"/>
  <c r="F235" i="3"/>
  <c r="F236" i="3"/>
  <c r="F237" i="3"/>
  <c r="F238" i="3"/>
  <c r="F239" i="3"/>
  <c r="F240" i="3"/>
  <c r="F241" i="3"/>
  <c r="F242" i="3"/>
  <c r="F243" i="3"/>
  <c r="F244" i="3"/>
  <c r="H2" i="3"/>
  <c r="G2" i="3"/>
  <c r="F2" i="3"/>
  <c r="O2" i="3"/>
  <c r="O3" i="3"/>
  <c r="P3" i="3" s="1"/>
  <c r="O4" i="3"/>
  <c r="O5" i="3"/>
  <c r="O6" i="3"/>
  <c r="P6" i="3" s="1"/>
  <c r="O7" i="3"/>
  <c r="P7" i="3" s="1"/>
  <c r="O8" i="3"/>
  <c r="P8" i="3" s="1"/>
  <c r="O9" i="3"/>
  <c r="P9" i="3" s="1"/>
  <c r="O10" i="3"/>
  <c r="P10" i="3" s="1"/>
  <c r="O11" i="3"/>
  <c r="P11" i="3" s="1"/>
  <c r="O12" i="3"/>
  <c r="P12" i="3" s="1"/>
  <c r="O13" i="3"/>
  <c r="P13" i="3" s="1"/>
  <c r="O14" i="3"/>
  <c r="P14" i="3" s="1"/>
  <c r="O15" i="3"/>
  <c r="P15" i="3" s="1"/>
  <c r="O16" i="3"/>
  <c r="P16" i="3" s="1"/>
  <c r="O17" i="3"/>
  <c r="P17" i="3" s="1"/>
  <c r="O19" i="3"/>
  <c r="P19" i="3" s="1"/>
  <c r="O20" i="3"/>
  <c r="P20" i="3" s="1"/>
  <c r="O21" i="3"/>
  <c r="P21" i="3" s="1"/>
  <c r="O22" i="3"/>
  <c r="P22" i="3" s="1"/>
  <c r="O23" i="3"/>
  <c r="P23" i="3" s="1"/>
  <c r="O24" i="3"/>
  <c r="P24" i="3" s="1"/>
  <c r="O25" i="3"/>
  <c r="P25" i="3" s="1"/>
  <c r="O26" i="3"/>
  <c r="P26" i="3" s="1"/>
  <c r="O27" i="3"/>
  <c r="P27" i="3" s="1"/>
  <c r="O28" i="3"/>
  <c r="P28" i="3" s="1"/>
  <c r="O29" i="3"/>
  <c r="P29" i="3" s="1"/>
  <c r="O30" i="3"/>
  <c r="P30" i="3" s="1"/>
  <c r="O31" i="3"/>
  <c r="P31" i="3" s="1"/>
  <c r="O32" i="3"/>
  <c r="P32" i="3" s="1"/>
  <c r="O33" i="3"/>
  <c r="P33" i="3" s="1"/>
  <c r="O34" i="3"/>
  <c r="P34" i="3" s="1"/>
  <c r="O35" i="3"/>
  <c r="P35" i="3" s="1"/>
  <c r="O36" i="3"/>
  <c r="P36" i="3" s="1"/>
  <c r="O37" i="3"/>
  <c r="P37" i="3" s="1"/>
  <c r="O38" i="3"/>
  <c r="P38" i="3" s="1"/>
  <c r="O39" i="3"/>
  <c r="P39" i="3" s="1"/>
  <c r="O40" i="3"/>
  <c r="P40" i="3" s="1"/>
  <c r="O41" i="3"/>
  <c r="P41" i="3" s="1"/>
  <c r="O42" i="3"/>
  <c r="P42" i="3" s="1"/>
  <c r="O43" i="3"/>
  <c r="P43" i="3" s="1"/>
  <c r="O44" i="3"/>
  <c r="P44" i="3" s="1"/>
  <c r="O45" i="3"/>
  <c r="P45" i="3" s="1"/>
  <c r="O46" i="3"/>
  <c r="P46" i="3" s="1"/>
  <c r="O47" i="3"/>
  <c r="P47" i="3" s="1"/>
  <c r="O48" i="3"/>
  <c r="P48" i="3" s="1"/>
  <c r="O49" i="3"/>
  <c r="P49" i="3" s="1"/>
  <c r="O50" i="3"/>
  <c r="P50" i="3" s="1"/>
  <c r="O51" i="3"/>
  <c r="P51" i="3" s="1"/>
  <c r="O52" i="3"/>
  <c r="P52" i="3" s="1"/>
  <c r="O53" i="3"/>
  <c r="P53" i="3" s="1"/>
  <c r="O54" i="3"/>
  <c r="P54" i="3" s="1"/>
  <c r="O55" i="3"/>
  <c r="P55" i="3" s="1"/>
  <c r="O56" i="3"/>
  <c r="P56" i="3" s="1"/>
  <c r="O57" i="3"/>
  <c r="P57" i="3" s="1"/>
  <c r="O58" i="3"/>
  <c r="P58" i="3" s="1"/>
  <c r="O59" i="3"/>
  <c r="P59" i="3" s="1"/>
  <c r="O60" i="3"/>
  <c r="P60" i="3" s="1"/>
  <c r="O61" i="3"/>
  <c r="P61" i="3" s="1"/>
  <c r="O62" i="3"/>
  <c r="P62" i="3" s="1"/>
  <c r="O63" i="3"/>
  <c r="P63" i="3" s="1"/>
  <c r="O64" i="3"/>
  <c r="P64" i="3" s="1"/>
  <c r="O65" i="3"/>
  <c r="P65" i="3" s="1"/>
  <c r="O66" i="3"/>
  <c r="P66" i="3" s="1"/>
  <c r="O67" i="3"/>
  <c r="P67" i="3" s="1"/>
  <c r="O68" i="3"/>
  <c r="P68" i="3" s="1"/>
  <c r="O69" i="3"/>
  <c r="P69" i="3" s="1"/>
  <c r="O70" i="3"/>
  <c r="P70" i="3" s="1"/>
  <c r="O71" i="3"/>
  <c r="P71" i="3" s="1"/>
  <c r="O72" i="3"/>
  <c r="P72" i="3" s="1"/>
  <c r="O73" i="3"/>
  <c r="P73" i="3" s="1"/>
  <c r="O74" i="3"/>
  <c r="P74" i="3" s="1"/>
  <c r="O75" i="3"/>
  <c r="P75" i="3" s="1"/>
  <c r="O76" i="3"/>
  <c r="P76" i="3" s="1"/>
  <c r="O77" i="3"/>
  <c r="P77" i="3" s="1"/>
  <c r="O78" i="3"/>
  <c r="P78" i="3" s="1"/>
  <c r="O79" i="3"/>
  <c r="P79" i="3" s="1"/>
  <c r="O80" i="3"/>
  <c r="P80" i="3" s="1"/>
  <c r="O81" i="3"/>
  <c r="P81" i="3" s="1"/>
  <c r="O82" i="3"/>
  <c r="P82" i="3" s="1"/>
  <c r="O83" i="3"/>
  <c r="P83" i="3" s="1"/>
  <c r="O84" i="3"/>
  <c r="P84" i="3" s="1"/>
  <c r="O85" i="3"/>
  <c r="P85" i="3" s="1"/>
  <c r="O86" i="3"/>
  <c r="P86" i="3" s="1"/>
  <c r="O87" i="3"/>
  <c r="P87" i="3" s="1"/>
  <c r="O88" i="3"/>
  <c r="P88" i="3" s="1"/>
  <c r="O89" i="3"/>
  <c r="P89" i="3" s="1"/>
  <c r="O90" i="3"/>
  <c r="P90" i="3" s="1"/>
  <c r="O91" i="3"/>
  <c r="P91" i="3" s="1"/>
  <c r="O92" i="3"/>
  <c r="P92" i="3" s="1"/>
  <c r="O93" i="3"/>
  <c r="P93" i="3" s="1"/>
  <c r="O94" i="3"/>
  <c r="P94" i="3" s="1"/>
  <c r="O95" i="3"/>
  <c r="P95" i="3" s="1"/>
  <c r="O96" i="3"/>
  <c r="P96" i="3" s="1"/>
  <c r="O97" i="3"/>
  <c r="P97" i="3" s="1"/>
  <c r="O98" i="3"/>
  <c r="P98" i="3" s="1"/>
  <c r="O99" i="3"/>
  <c r="P99" i="3" s="1"/>
  <c r="O100" i="3"/>
  <c r="P100" i="3" s="1"/>
  <c r="O101" i="3"/>
  <c r="P101" i="3" s="1"/>
  <c r="O102" i="3"/>
  <c r="P102" i="3" s="1"/>
  <c r="O103" i="3"/>
  <c r="P103" i="3" s="1"/>
  <c r="O104" i="3"/>
  <c r="P104" i="3" s="1"/>
  <c r="O105" i="3"/>
  <c r="P105" i="3" s="1"/>
  <c r="O106" i="3"/>
  <c r="P106" i="3" s="1"/>
  <c r="O107" i="3"/>
  <c r="P107" i="3" s="1"/>
  <c r="O108" i="3"/>
  <c r="P108" i="3" s="1"/>
  <c r="O109" i="3"/>
  <c r="P109" i="3" s="1"/>
  <c r="O110" i="3"/>
  <c r="P110" i="3" s="1"/>
  <c r="O111" i="3"/>
  <c r="P111" i="3" s="1"/>
  <c r="O112" i="3"/>
  <c r="P112" i="3" s="1"/>
  <c r="O113" i="3"/>
  <c r="P113" i="3" s="1"/>
  <c r="O114" i="3"/>
  <c r="P114" i="3" s="1"/>
  <c r="O115" i="3"/>
  <c r="P115" i="3" s="1"/>
  <c r="O116" i="3"/>
  <c r="P116" i="3" s="1"/>
  <c r="O117" i="3"/>
  <c r="O118" i="3"/>
  <c r="P118" i="3" s="1"/>
  <c r="O119" i="3"/>
  <c r="P119" i="3" s="1"/>
  <c r="O120" i="3"/>
  <c r="P120" i="3" s="1"/>
  <c r="O121" i="3"/>
  <c r="P121" i="3" s="1"/>
  <c r="O122" i="3"/>
  <c r="P122" i="3" s="1"/>
  <c r="O123" i="3"/>
  <c r="P123" i="3" s="1"/>
  <c r="O124" i="3"/>
  <c r="O125" i="3"/>
  <c r="P125" i="3" s="1"/>
  <c r="O126" i="3"/>
  <c r="P126" i="3" s="1"/>
  <c r="O128" i="3"/>
  <c r="P128" i="3" s="1"/>
  <c r="O129" i="3"/>
  <c r="P129" i="3" s="1"/>
  <c r="O130" i="3"/>
  <c r="P130" i="3" s="1"/>
  <c r="O131" i="3"/>
  <c r="P131" i="3" s="1"/>
  <c r="O132" i="3"/>
  <c r="P132" i="3" s="1"/>
  <c r="O133" i="3"/>
  <c r="P133" i="3" s="1"/>
  <c r="O134" i="3"/>
  <c r="P134" i="3" s="1"/>
  <c r="O135" i="3"/>
  <c r="P135" i="3" s="1"/>
  <c r="O136" i="3"/>
  <c r="P136" i="3" s="1"/>
  <c r="O137" i="3"/>
  <c r="P137" i="3" s="1"/>
  <c r="O138" i="3"/>
  <c r="P138" i="3" s="1"/>
  <c r="O139" i="3"/>
  <c r="P139" i="3" s="1"/>
  <c r="O140" i="3"/>
  <c r="P140" i="3" s="1"/>
  <c r="O141" i="3"/>
  <c r="P141" i="3" s="1"/>
  <c r="O142" i="3"/>
  <c r="P142" i="3" s="1"/>
  <c r="O143" i="3"/>
  <c r="P143" i="3" s="1"/>
  <c r="O144" i="3"/>
  <c r="P144" i="3" s="1"/>
  <c r="O145" i="3"/>
  <c r="O146" i="3"/>
  <c r="P146" i="3" s="1"/>
  <c r="O147" i="3"/>
  <c r="P147" i="3" s="1"/>
  <c r="O148" i="3"/>
  <c r="P148" i="3" s="1"/>
  <c r="O149" i="3"/>
  <c r="P149" i="3" s="1"/>
  <c r="O150" i="3"/>
  <c r="P150" i="3" s="1"/>
  <c r="O151" i="3"/>
  <c r="P151" i="3" s="1"/>
  <c r="O152" i="3"/>
  <c r="P152" i="3" s="1"/>
  <c r="O153" i="3"/>
  <c r="P153" i="3" s="1"/>
  <c r="O155" i="3"/>
  <c r="P155" i="3" s="1"/>
  <c r="O156" i="3"/>
  <c r="P156" i="3" s="1"/>
  <c r="O157" i="3"/>
  <c r="P157" i="3" s="1"/>
  <c r="O158" i="3"/>
  <c r="P158" i="3" s="1"/>
  <c r="O159" i="3"/>
  <c r="P159" i="3" s="1"/>
  <c r="O160" i="3"/>
  <c r="P160" i="3" s="1"/>
  <c r="O161" i="3"/>
  <c r="P161" i="3" s="1"/>
  <c r="O162" i="3"/>
  <c r="P162" i="3" s="1"/>
  <c r="O163" i="3"/>
  <c r="P163" i="3" s="1"/>
  <c r="O164" i="3"/>
  <c r="P164" i="3" s="1"/>
  <c r="O165" i="3"/>
  <c r="P165" i="3" s="1"/>
  <c r="O166" i="3"/>
  <c r="P166" i="3" s="1"/>
  <c r="O167" i="3"/>
  <c r="P167" i="3" s="1"/>
  <c r="O168" i="3"/>
  <c r="P168" i="3" s="1"/>
  <c r="O169" i="3"/>
  <c r="P169" i="3" s="1"/>
  <c r="O170" i="3"/>
  <c r="P170" i="3" s="1"/>
  <c r="O171" i="3"/>
  <c r="P171" i="3" s="1"/>
  <c r="O172" i="3"/>
  <c r="P172" i="3" s="1"/>
  <c r="O173" i="3"/>
  <c r="P173" i="3" s="1"/>
  <c r="O174" i="3"/>
  <c r="P174" i="3" s="1"/>
  <c r="O175" i="3"/>
  <c r="P175" i="3" s="1"/>
  <c r="O176" i="3"/>
  <c r="P176" i="3" s="1"/>
  <c r="O177" i="3"/>
  <c r="P177" i="3" s="1"/>
  <c r="O178" i="3"/>
  <c r="P178" i="3" s="1"/>
  <c r="O179" i="3"/>
  <c r="P179" i="3" s="1"/>
  <c r="O180" i="3"/>
  <c r="P180" i="3" s="1"/>
  <c r="O181" i="3"/>
  <c r="P181" i="3" s="1"/>
  <c r="O182" i="3"/>
  <c r="P182" i="3" s="1"/>
  <c r="O183" i="3"/>
  <c r="P183" i="3" s="1"/>
  <c r="O184" i="3"/>
  <c r="P184" i="3" s="1"/>
  <c r="O185" i="3"/>
  <c r="P185" i="3" s="1"/>
  <c r="O186" i="3"/>
  <c r="P186" i="3" s="1"/>
  <c r="O187" i="3"/>
  <c r="P187" i="3" s="1"/>
  <c r="O188" i="3"/>
  <c r="P188" i="3" s="1"/>
  <c r="O189" i="3"/>
  <c r="P189" i="3" s="1"/>
  <c r="O190" i="3"/>
  <c r="P190" i="3" s="1"/>
  <c r="O191" i="3"/>
  <c r="P191" i="3" s="1"/>
  <c r="O192" i="3"/>
  <c r="P192" i="3" s="1"/>
  <c r="O193" i="3"/>
  <c r="P193" i="3" s="1"/>
  <c r="O194" i="3"/>
  <c r="P194" i="3" s="1"/>
  <c r="O195" i="3"/>
  <c r="P195" i="3" s="1"/>
  <c r="O196" i="3"/>
  <c r="P196" i="3" s="1"/>
  <c r="O197" i="3"/>
  <c r="P197" i="3" s="1"/>
  <c r="O198" i="3"/>
  <c r="P198" i="3" s="1"/>
  <c r="O199" i="3"/>
  <c r="P199" i="3" s="1"/>
  <c r="O200" i="3"/>
  <c r="P200" i="3" s="1"/>
  <c r="O201" i="3"/>
  <c r="P201" i="3" s="1"/>
  <c r="O202" i="3"/>
  <c r="P202" i="3" s="1"/>
  <c r="O203" i="3"/>
  <c r="P203" i="3" s="1"/>
  <c r="O204" i="3"/>
  <c r="P204" i="3" s="1"/>
  <c r="O205" i="3"/>
  <c r="P205" i="3" s="1"/>
  <c r="O206" i="3"/>
  <c r="P206" i="3" s="1"/>
  <c r="O207" i="3"/>
  <c r="P207" i="3" s="1"/>
  <c r="O208" i="3"/>
  <c r="P208" i="3" s="1"/>
  <c r="O209" i="3"/>
  <c r="P209" i="3" s="1"/>
  <c r="O210" i="3"/>
  <c r="P210" i="3" s="1"/>
  <c r="O211" i="3"/>
  <c r="P211" i="3" s="1"/>
  <c r="O212" i="3"/>
  <c r="P212" i="3" s="1"/>
  <c r="O213" i="3"/>
  <c r="P213" i="3" s="1"/>
  <c r="O214" i="3"/>
  <c r="P214" i="3" s="1"/>
  <c r="O215" i="3"/>
  <c r="P215" i="3" s="1"/>
  <c r="O216" i="3"/>
  <c r="P216" i="3" s="1"/>
  <c r="O217" i="3"/>
  <c r="P217" i="3" s="1"/>
  <c r="O218" i="3"/>
  <c r="P218" i="3" s="1"/>
  <c r="O219" i="3"/>
  <c r="P219" i="3" s="1"/>
  <c r="O220" i="3"/>
  <c r="P220" i="3" s="1"/>
  <c r="O221" i="3"/>
  <c r="P221" i="3" s="1"/>
  <c r="O222" i="3"/>
  <c r="P222" i="3" s="1"/>
  <c r="O223" i="3"/>
  <c r="P223" i="3" s="1"/>
  <c r="O224" i="3"/>
  <c r="P224" i="3" s="1"/>
  <c r="O225" i="3"/>
  <c r="P225" i="3" s="1"/>
  <c r="O226" i="3"/>
  <c r="P226" i="3" s="1"/>
  <c r="O227" i="3"/>
  <c r="P227" i="3" s="1"/>
  <c r="O228" i="3"/>
  <c r="P228" i="3" s="1"/>
  <c r="O229" i="3"/>
  <c r="P229" i="3" s="1"/>
  <c r="O230" i="3"/>
  <c r="P230" i="3" s="1"/>
  <c r="O231" i="3"/>
  <c r="P231" i="3" s="1"/>
  <c r="O232" i="3"/>
  <c r="P232" i="3" s="1"/>
  <c r="O233" i="3"/>
  <c r="P233" i="3" s="1"/>
  <c r="O234" i="3"/>
  <c r="P234" i="3" s="1"/>
  <c r="O235" i="3"/>
  <c r="P235" i="3" s="1"/>
  <c r="O236" i="3"/>
  <c r="P236" i="3" s="1"/>
  <c r="O237" i="3"/>
  <c r="P237" i="3" s="1"/>
  <c r="O238" i="3"/>
  <c r="P238" i="3" s="1"/>
  <c r="O239" i="3"/>
  <c r="P239" i="3" s="1"/>
  <c r="O240" i="3"/>
  <c r="P240" i="3" s="1"/>
  <c r="O241" i="3"/>
  <c r="P241" i="3" s="1"/>
  <c r="O242" i="3"/>
  <c r="P242" i="3" s="1"/>
  <c r="O243" i="3"/>
  <c r="P243" i="3" s="1"/>
  <c r="O244" i="3"/>
  <c r="P244" i="3" s="1"/>
  <c r="J12" i="3"/>
  <c r="J13" i="3"/>
  <c r="J14" i="3"/>
  <c r="J15" i="3"/>
  <c r="J16" i="3"/>
  <c r="J17" i="3"/>
  <c r="I30" i="2"/>
  <c r="H30" i="2"/>
  <c r="J30" i="2" s="1"/>
  <c r="G30" i="2"/>
  <c r="F30" i="2"/>
  <c r="I111" i="2"/>
  <c r="H111" i="2"/>
  <c r="J111" i="2" s="1"/>
  <c r="G111" i="2"/>
  <c r="F111" i="2"/>
  <c r="I110" i="2"/>
  <c r="H110" i="2"/>
  <c r="J110" i="2" s="1"/>
  <c r="G110" i="2"/>
  <c r="F110" i="2"/>
  <c r="I109" i="2"/>
  <c r="H109" i="2"/>
  <c r="J109" i="2" s="1"/>
  <c r="G109" i="2"/>
  <c r="F109" i="2"/>
  <c r="I108" i="2"/>
  <c r="H108" i="2"/>
  <c r="J108" i="2" s="1"/>
  <c r="G108" i="2"/>
  <c r="F108" i="2"/>
  <c r="I107" i="2"/>
  <c r="H107" i="2"/>
  <c r="J107" i="2" s="1"/>
  <c r="G107" i="2"/>
  <c r="F107" i="2"/>
  <c r="I106" i="2"/>
  <c r="H106" i="2"/>
  <c r="J106" i="2" s="1"/>
  <c r="G106" i="2"/>
  <c r="F106" i="2"/>
  <c r="I105" i="2"/>
  <c r="H105" i="2"/>
  <c r="J105" i="2" s="1"/>
  <c r="G105" i="2"/>
  <c r="F105" i="2"/>
  <c r="I104" i="2"/>
  <c r="H104" i="2"/>
  <c r="J104" i="2" s="1"/>
  <c r="G104" i="2"/>
  <c r="F104" i="2"/>
  <c r="I103" i="2"/>
  <c r="H103" i="2"/>
  <c r="J103" i="2" s="1"/>
  <c r="G103" i="2"/>
  <c r="F103" i="2"/>
  <c r="I102" i="2"/>
  <c r="H102" i="2"/>
  <c r="J102" i="2" s="1"/>
  <c r="G102" i="2"/>
  <c r="F102" i="2"/>
  <c r="I101" i="2"/>
  <c r="H101" i="2"/>
  <c r="J101" i="2" s="1"/>
  <c r="G101" i="2"/>
  <c r="F101" i="2"/>
  <c r="I100" i="2"/>
  <c r="H100" i="2"/>
  <c r="J100" i="2" s="1"/>
  <c r="G100" i="2"/>
  <c r="F100" i="2"/>
  <c r="I99" i="2"/>
  <c r="H99" i="2"/>
  <c r="J99" i="2" s="1"/>
  <c r="G99" i="2"/>
  <c r="F99" i="2"/>
  <c r="I98" i="2"/>
  <c r="H98" i="2"/>
  <c r="J98" i="2" s="1"/>
  <c r="G98" i="2"/>
  <c r="F98" i="2"/>
  <c r="I97" i="2"/>
  <c r="H97" i="2"/>
  <c r="J97" i="2" s="1"/>
  <c r="G97" i="2"/>
  <c r="F97" i="2"/>
  <c r="I96" i="2"/>
  <c r="H96" i="2"/>
  <c r="J96" i="2" s="1"/>
  <c r="G96" i="2"/>
  <c r="F96" i="2"/>
  <c r="I95" i="2"/>
  <c r="H95" i="2"/>
  <c r="J95" i="2" s="1"/>
  <c r="G95" i="2"/>
  <c r="F95" i="2"/>
  <c r="I94" i="2"/>
  <c r="H94" i="2"/>
  <c r="J94" i="2" s="1"/>
  <c r="G94" i="2"/>
  <c r="F94" i="2"/>
  <c r="I93" i="2"/>
  <c r="H93" i="2"/>
  <c r="J93" i="2" s="1"/>
  <c r="G93" i="2"/>
  <c r="F93" i="2"/>
  <c r="J92" i="2"/>
  <c r="I92" i="2"/>
  <c r="H92" i="2"/>
  <c r="G92" i="2"/>
  <c r="F92" i="2"/>
  <c r="I91" i="2"/>
  <c r="H91" i="2"/>
  <c r="J91" i="2" s="1"/>
  <c r="G91" i="2"/>
  <c r="F91" i="2"/>
  <c r="I90" i="2"/>
  <c r="H90" i="2"/>
  <c r="J90" i="2" s="1"/>
  <c r="G90" i="2"/>
  <c r="F90" i="2"/>
  <c r="J89" i="2"/>
  <c r="I89" i="2"/>
  <c r="H89" i="2"/>
  <c r="G89" i="2"/>
  <c r="F89" i="2"/>
  <c r="I88" i="2"/>
  <c r="H88" i="2"/>
  <c r="J88" i="2" s="1"/>
  <c r="G88" i="2"/>
  <c r="F88" i="2"/>
  <c r="I87" i="2"/>
  <c r="H87" i="2"/>
  <c r="J87" i="2" s="1"/>
  <c r="G87" i="2"/>
  <c r="F87" i="2"/>
  <c r="I86" i="2"/>
  <c r="H86" i="2"/>
  <c r="J86" i="2" s="1"/>
  <c r="G86" i="2"/>
  <c r="F86" i="2"/>
  <c r="I85" i="2"/>
  <c r="H85" i="2"/>
  <c r="J85" i="2" s="1"/>
  <c r="G85" i="2"/>
  <c r="F85" i="2"/>
  <c r="I84" i="2"/>
  <c r="H84" i="2"/>
  <c r="J84" i="2" s="1"/>
  <c r="G84" i="2"/>
  <c r="F84" i="2"/>
  <c r="I83" i="2"/>
  <c r="H83" i="2"/>
  <c r="J83" i="2" s="1"/>
  <c r="G83" i="2"/>
  <c r="F83" i="2"/>
  <c r="I82" i="2"/>
  <c r="H82" i="2"/>
  <c r="J82" i="2" s="1"/>
  <c r="G82" i="2"/>
  <c r="F82" i="2"/>
  <c r="I81" i="2"/>
  <c r="H81" i="2"/>
  <c r="J81" i="2" s="1"/>
  <c r="G81" i="2"/>
  <c r="F81" i="2"/>
  <c r="I80" i="2"/>
  <c r="H80" i="2"/>
  <c r="J80" i="2" s="1"/>
  <c r="G80" i="2"/>
  <c r="F80" i="2"/>
  <c r="I79" i="2"/>
  <c r="H79" i="2"/>
  <c r="J79" i="2" s="1"/>
  <c r="G79" i="2"/>
  <c r="F79" i="2"/>
  <c r="I78" i="2"/>
  <c r="H78" i="2"/>
  <c r="J78" i="2" s="1"/>
  <c r="G78" i="2"/>
  <c r="F78" i="2"/>
  <c r="I77" i="2"/>
  <c r="H77" i="2"/>
  <c r="J77" i="2" s="1"/>
  <c r="G77" i="2"/>
  <c r="F77" i="2"/>
  <c r="I76" i="2"/>
  <c r="H76" i="2"/>
  <c r="J76" i="2" s="1"/>
  <c r="G76" i="2"/>
  <c r="F76" i="2"/>
  <c r="I75" i="2"/>
  <c r="H75" i="2"/>
  <c r="J75" i="2" s="1"/>
  <c r="G75" i="2"/>
  <c r="F75" i="2"/>
  <c r="I74" i="2"/>
  <c r="H74" i="2"/>
  <c r="J74" i="2" s="1"/>
  <c r="G74" i="2"/>
  <c r="F74" i="2"/>
  <c r="I73" i="2"/>
  <c r="H73" i="2"/>
  <c r="J73" i="2" s="1"/>
  <c r="G73" i="2"/>
  <c r="F73" i="2"/>
  <c r="I72" i="2"/>
  <c r="H72" i="2"/>
  <c r="J72" i="2" s="1"/>
  <c r="G72" i="2"/>
  <c r="F72" i="2"/>
  <c r="I71" i="2"/>
  <c r="H71" i="2"/>
  <c r="J71" i="2" s="1"/>
  <c r="G71" i="2"/>
  <c r="F71" i="2"/>
  <c r="J70" i="2"/>
  <c r="I69" i="2"/>
  <c r="H69" i="2"/>
  <c r="J69" i="2" s="1"/>
  <c r="G69" i="2"/>
  <c r="F69" i="2"/>
  <c r="J68" i="2"/>
  <c r="I68" i="2"/>
  <c r="H68" i="2"/>
  <c r="G68" i="2"/>
  <c r="F68" i="2"/>
  <c r="I67" i="2"/>
  <c r="H67" i="2"/>
  <c r="J67" i="2" s="1"/>
  <c r="G67" i="2"/>
  <c r="F67" i="2"/>
  <c r="I66" i="2"/>
  <c r="H66" i="2"/>
  <c r="J66" i="2" s="1"/>
  <c r="G66" i="2"/>
  <c r="F66" i="2"/>
  <c r="J65" i="2"/>
  <c r="J64" i="2"/>
  <c r="I63" i="2"/>
  <c r="H63" i="2"/>
  <c r="J63" i="2" s="1"/>
  <c r="G63" i="2"/>
  <c r="F63" i="2"/>
  <c r="I62" i="2"/>
  <c r="H62" i="2"/>
  <c r="J62" i="2" s="1"/>
  <c r="G62" i="2"/>
  <c r="F62" i="2"/>
  <c r="I61" i="2"/>
  <c r="H61" i="2"/>
  <c r="J61" i="2" s="1"/>
  <c r="G61" i="2"/>
  <c r="F61" i="2"/>
  <c r="I60" i="2"/>
  <c r="H60" i="2"/>
  <c r="J60" i="2" s="1"/>
  <c r="G60" i="2"/>
  <c r="F60" i="2"/>
  <c r="I59" i="2"/>
  <c r="H59" i="2"/>
  <c r="J59" i="2" s="1"/>
  <c r="G59" i="2"/>
  <c r="F59" i="2"/>
  <c r="I58" i="2"/>
  <c r="H58" i="2"/>
  <c r="J58" i="2" s="1"/>
  <c r="G58" i="2"/>
  <c r="F58" i="2"/>
  <c r="I57" i="2"/>
  <c r="H57" i="2"/>
  <c r="J57" i="2" s="1"/>
  <c r="G57" i="2"/>
  <c r="F57" i="2"/>
  <c r="I56" i="2"/>
  <c r="H56" i="2"/>
  <c r="J56" i="2" s="1"/>
  <c r="G56" i="2"/>
  <c r="F56" i="2"/>
  <c r="I55" i="2"/>
  <c r="H55" i="2"/>
  <c r="J55" i="2" s="1"/>
  <c r="G55" i="2"/>
  <c r="F55" i="2"/>
  <c r="I54" i="2"/>
  <c r="H54" i="2"/>
  <c r="J54" i="2" s="1"/>
  <c r="G54" i="2"/>
  <c r="F54" i="2"/>
  <c r="I53" i="2"/>
  <c r="H53" i="2"/>
  <c r="J53" i="2" s="1"/>
  <c r="G53" i="2"/>
  <c r="F53" i="2"/>
  <c r="I52" i="2"/>
  <c r="H52" i="2"/>
  <c r="J52" i="2" s="1"/>
  <c r="G52" i="2"/>
  <c r="F52" i="2"/>
  <c r="I51" i="2"/>
  <c r="H51" i="2"/>
  <c r="J51" i="2" s="1"/>
  <c r="G51" i="2"/>
  <c r="F51" i="2"/>
  <c r="I50" i="2"/>
  <c r="H50" i="2"/>
  <c r="J50" i="2" s="1"/>
  <c r="G50" i="2"/>
  <c r="F50" i="2"/>
  <c r="I49" i="2"/>
  <c r="H49" i="2"/>
  <c r="J49" i="2" s="1"/>
  <c r="G49" i="2"/>
  <c r="F49" i="2"/>
  <c r="I48" i="2"/>
  <c r="H48" i="2"/>
  <c r="J48" i="2" s="1"/>
  <c r="G48" i="2"/>
  <c r="F48" i="2"/>
  <c r="I47" i="2"/>
  <c r="H47" i="2"/>
  <c r="J47" i="2" s="1"/>
  <c r="G47" i="2"/>
  <c r="F47" i="2"/>
  <c r="I46" i="2"/>
  <c r="H46" i="2"/>
  <c r="J46" i="2" s="1"/>
  <c r="G46" i="2"/>
  <c r="F46" i="2"/>
  <c r="I45" i="2"/>
  <c r="H45" i="2"/>
  <c r="J45" i="2" s="1"/>
  <c r="G45" i="2"/>
  <c r="F45" i="2"/>
  <c r="I44" i="2"/>
  <c r="H44" i="2"/>
  <c r="J44" i="2" s="1"/>
  <c r="G44" i="2"/>
  <c r="F44" i="2"/>
  <c r="I43" i="2"/>
  <c r="H43" i="2"/>
  <c r="J43" i="2" s="1"/>
  <c r="G43" i="2"/>
  <c r="F43" i="2"/>
  <c r="I42" i="2"/>
  <c r="H42" i="2"/>
  <c r="J42" i="2" s="1"/>
  <c r="G42" i="2"/>
  <c r="F42" i="2"/>
  <c r="I41" i="2"/>
  <c r="H41" i="2"/>
  <c r="J41" i="2" s="1"/>
  <c r="G41" i="2"/>
  <c r="F41" i="2"/>
  <c r="I40" i="2"/>
  <c r="H40" i="2"/>
  <c r="J40" i="2" s="1"/>
  <c r="G40" i="2"/>
  <c r="F40" i="2"/>
  <c r="I39" i="2"/>
  <c r="H39" i="2"/>
  <c r="J39" i="2" s="1"/>
  <c r="G39" i="2"/>
  <c r="F39" i="2"/>
  <c r="I38" i="2"/>
  <c r="H38" i="2"/>
  <c r="J38" i="2" s="1"/>
  <c r="G38" i="2"/>
  <c r="F38" i="2"/>
  <c r="I37" i="2"/>
  <c r="H37" i="2"/>
  <c r="J37" i="2" s="1"/>
  <c r="G37" i="2"/>
  <c r="F37" i="2"/>
  <c r="I36" i="2"/>
  <c r="H36" i="2"/>
  <c r="J36" i="2" s="1"/>
  <c r="G36" i="2"/>
  <c r="F36" i="2"/>
  <c r="I35" i="2"/>
  <c r="H35" i="2"/>
  <c r="J35" i="2" s="1"/>
  <c r="G35" i="2"/>
  <c r="F35" i="2"/>
  <c r="I34" i="2"/>
  <c r="H34" i="2"/>
  <c r="J34" i="2" s="1"/>
  <c r="G34" i="2"/>
  <c r="F34" i="2"/>
  <c r="I33" i="2"/>
  <c r="H33" i="2"/>
  <c r="J33" i="2" s="1"/>
  <c r="G33" i="2"/>
  <c r="F33" i="2"/>
  <c r="I32" i="2"/>
  <c r="H32" i="2"/>
  <c r="J32" i="2" s="1"/>
  <c r="G32" i="2"/>
  <c r="F32" i="2"/>
  <c r="I31" i="2"/>
  <c r="H31" i="2"/>
  <c r="J31" i="2" s="1"/>
  <c r="G31" i="2"/>
  <c r="F31" i="2"/>
  <c r="I29" i="2"/>
  <c r="H3" i="2"/>
  <c r="H4" i="2"/>
  <c r="H5" i="2"/>
  <c r="H6" i="2"/>
  <c r="H7" i="2"/>
  <c r="H8" i="2"/>
  <c r="H9" i="2"/>
  <c r="H10" i="2"/>
  <c r="H11" i="2"/>
  <c r="H12" i="2"/>
  <c r="H13" i="2"/>
  <c r="H14" i="2"/>
  <c r="H15" i="2"/>
  <c r="H16" i="2"/>
  <c r="H17" i="2"/>
  <c r="H18" i="2"/>
  <c r="H19" i="2"/>
  <c r="H20" i="2"/>
  <c r="H21" i="2"/>
  <c r="H22" i="2"/>
  <c r="H23" i="2"/>
  <c r="H24" i="2"/>
  <c r="H25" i="2"/>
  <c r="H26" i="2"/>
  <c r="H27" i="2"/>
  <c r="H28" i="2"/>
  <c r="J58" i="14" l="1"/>
  <c r="J66" i="14"/>
  <c r="J61" i="14"/>
  <c r="J60" i="14"/>
  <c r="J59" i="14"/>
  <c r="K61" i="14"/>
  <c r="K58" i="14"/>
  <c r="K60" i="14"/>
  <c r="K66" i="14"/>
  <c r="K59" i="14"/>
  <c r="N66" i="14"/>
  <c r="P117" i="3"/>
  <c r="P5" i="3"/>
  <c r="P2" i="3"/>
  <c r="I28" i="2"/>
  <c r="I27" i="2"/>
  <c r="N61" i="14" l="1"/>
  <c r="K62" i="14"/>
  <c r="K65" i="14" s="1"/>
  <c r="N60" i="14"/>
  <c r="N59" i="14"/>
  <c r="N58" i="14"/>
  <c r="J62" i="14"/>
  <c r="J67" i="14" s="1"/>
  <c r="J11" i="3"/>
  <c r="J10" i="3"/>
  <c r="I26" i="2"/>
  <c r="K67" i="14" l="1"/>
  <c r="N62" i="14"/>
  <c r="N67" i="14" s="1"/>
  <c r="J65" i="14"/>
  <c r="N65" i="14" s="1"/>
  <c r="I25" i="2"/>
  <c r="I24" i="2" l="1"/>
  <c r="J9" i="3"/>
  <c r="I23" i="2"/>
  <c r="J8" i="3"/>
  <c r="J7" i="3"/>
  <c r="I22" i="2"/>
  <c r="I21" i="2"/>
  <c r="I20" i="2"/>
  <c r="I19" i="2"/>
  <c r="I18" i="2"/>
  <c r="I17" i="2"/>
  <c r="J6" i="3"/>
  <c r="J5" i="3"/>
  <c r="I16" i="2"/>
  <c r="J3" i="3" l="1"/>
  <c r="I15" i="2" l="1"/>
  <c r="I14" i="2"/>
  <c r="I13" i="2"/>
  <c r="J12" i="2"/>
  <c r="I12" i="2"/>
  <c r="I11" i="2"/>
  <c r="J11" i="2"/>
  <c r="G11" i="2"/>
  <c r="F11" i="2"/>
  <c r="I10" i="2"/>
  <c r="J10" i="2"/>
  <c r="G10" i="2"/>
  <c r="F10" i="2"/>
  <c r="I9" i="2"/>
  <c r="J9" i="2"/>
  <c r="G9" i="2"/>
  <c r="F9" i="2"/>
  <c r="I8" i="2"/>
  <c r="J8" i="2"/>
  <c r="G8" i="2"/>
  <c r="F8" i="2"/>
  <c r="I7" i="2"/>
  <c r="J7" i="2"/>
  <c r="G7" i="2"/>
  <c r="F7" i="2"/>
  <c r="I6" i="2"/>
  <c r="J6" i="2"/>
  <c r="G6" i="2"/>
  <c r="F6" i="2"/>
  <c r="I5" i="2"/>
  <c r="J5" i="2"/>
  <c r="G5" i="2"/>
  <c r="F5" i="2"/>
  <c r="J4" i="2"/>
  <c r="G4" i="2"/>
  <c r="F4" i="2"/>
  <c r="J3" i="2"/>
  <c r="G3" i="2"/>
  <c r="F3" i="2"/>
  <c r="J2" i="2"/>
  <c r="N3" i="2" l="1"/>
  <c r="O3" i="2" s="1"/>
  <c r="N5" i="2"/>
  <c r="O5" i="2" s="1"/>
  <c r="N6" i="2"/>
  <c r="O6" i="2" s="1"/>
  <c r="N7" i="2"/>
  <c r="O7" i="2" s="1"/>
  <c r="N8" i="2"/>
  <c r="O8" i="2" s="1"/>
  <c r="N9" i="2"/>
  <c r="O9" i="2" s="1"/>
  <c r="N10" i="2"/>
  <c r="O10" i="2" s="1"/>
  <c r="N11" i="2"/>
  <c r="O11" i="2" s="1"/>
  <c r="N12" i="2"/>
  <c r="O12" i="2" s="1"/>
  <c r="N13" i="2"/>
  <c r="O13" i="2" s="1"/>
  <c r="N14" i="2"/>
  <c r="O14" i="2" s="1"/>
  <c r="N15" i="2"/>
  <c r="O15" i="2" s="1"/>
  <c r="N16" i="2"/>
  <c r="O16" i="2" s="1"/>
  <c r="N17" i="2"/>
  <c r="O17" i="2" s="1"/>
  <c r="N18" i="2"/>
  <c r="O18" i="2" s="1"/>
  <c r="N19" i="2"/>
  <c r="O19" i="2" s="1"/>
  <c r="N20" i="2"/>
  <c r="O20" i="2" s="1"/>
  <c r="N21" i="2"/>
  <c r="O21" i="2" s="1"/>
  <c r="N22" i="2"/>
  <c r="O22" i="2" s="1"/>
  <c r="N23" i="2"/>
  <c r="O23" i="2" s="1"/>
  <c r="N24" i="2"/>
  <c r="O24" i="2" s="1"/>
  <c r="N25" i="2"/>
  <c r="O25" i="2" s="1"/>
  <c r="N26" i="2"/>
  <c r="O26" i="2" s="1"/>
  <c r="N27" i="2"/>
  <c r="O27" i="2" s="1"/>
  <c r="N28" i="2"/>
  <c r="O28" i="2" s="1"/>
  <c r="N29" i="2"/>
  <c r="O29" i="2" s="1"/>
  <c r="N30" i="2"/>
  <c r="O30" i="2" s="1"/>
  <c r="N31" i="2"/>
  <c r="O31" i="2" s="1"/>
  <c r="N32" i="2"/>
  <c r="O32" i="2" s="1"/>
  <c r="N33" i="2"/>
  <c r="O33" i="2" s="1"/>
  <c r="N34" i="2"/>
  <c r="O34" i="2" s="1"/>
  <c r="N35" i="2"/>
  <c r="O35" i="2" s="1"/>
  <c r="N36" i="2"/>
  <c r="O36" i="2" s="1"/>
  <c r="N37" i="2"/>
  <c r="O37" i="2" s="1"/>
  <c r="N38" i="2"/>
  <c r="O38" i="2" s="1"/>
  <c r="N39" i="2"/>
  <c r="O39" i="2" s="1"/>
  <c r="N40" i="2"/>
  <c r="O40" i="2" s="1"/>
  <c r="N41" i="2"/>
  <c r="O41" i="2" s="1"/>
  <c r="N42" i="2"/>
  <c r="O42" i="2" s="1"/>
  <c r="N43" i="2"/>
  <c r="O43" i="2" s="1"/>
  <c r="N44" i="2"/>
  <c r="O44" i="2" s="1"/>
  <c r="N45" i="2"/>
  <c r="O45" i="2" s="1"/>
  <c r="N46" i="2"/>
  <c r="O46" i="2" s="1"/>
  <c r="N47" i="2"/>
  <c r="O47" i="2" s="1"/>
  <c r="N48" i="2"/>
  <c r="O48" i="2" s="1"/>
  <c r="N49" i="2"/>
  <c r="O49" i="2" s="1"/>
  <c r="N50" i="2"/>
  <c r="O50" i="2" s="1"/>
  <c r="N51" i="2"/>
  <c r="O51" i="2" s="1"/>
  <c r="N52" i="2"/>
  <c r="O52" i="2" s="1"/>
  <c r="N53" i="2"/>
  <c r="O53" i="2" s="1"/>
  <c r="N54" i="2"/>
  <c r="O54" i="2" s="1"/>
  <c r="N55" i="2"/>
  <c r="O55" i="2" s="1"/>
  <c r="N56" i="2"/>
  <c r="O56" i="2" s="1"/>
  <c r="N57" i="2"/>
  <c r="O57" i="2" s="1"/>
  <c r="N58" i="2"/>
  <c r="O58" i="2" s="1"/>
  <c r="N59" i="2"/>
  <c r="O59" i="2" s="1"/>
  <c r="N60" i="2"/>
  <c r="O60" i="2" s="1"/>
  <c r="N61" i="2"/>
  <c r="O61" i="2" s="1"/>
  <c r="N62" i="2"/>
  <c r="O62" i="2" s="1"/>
  <c r="N63" i="2"/>
  <c r="O63" i="2" s="1"/>
  <c r="N64" i="2"/>
  <c r="N65" i="2"/>
  <c r="O65" i="2" s="1"/>
  <c r="N66" i="2"/>
  <c r="O66" i="2" s="1"/>
  <c r="N67" i="2"/>
  <c r="O67" i="2" s="1"/>
  <c r="N68" i="2"/>
  <c r="O68" i="2" s="1"/>
  <c r="N69" i="2"/>
  <c r="O69" i="2" s="1"/>
  <c r="N70" i="2"/>
  <c r="N71" i="2"/>
  <c r="O71" i="2" s="1"/>
  <c r="N72" i="2"/>
  <c r="O72" i="2" s="1"/>
  <c r="N73" i="2"/>
  <c r="O73" i="2" s="1"/>
  <c r="N74" i="2"/>
  <c r="O74" i="2" s="1"/>
  <c r="N75" i="2"/>
  <c r="O75" i="2" s="1"/>
  <c r="N76" i="2"/>
  <c r="O76" i="2" s="1"/>
  <c r="N77" i="2"/>
  <c r="O77" i="2" s="1"/>
  <c r="N78" i="2"/>
  <c r="O78" i="2" s="1"/>
  <c r="N79" i="2"/>
  <c r="O79" i="2" s="1"/>
  <c r="N80" i="2"/>
  <c r="O80" i="2" s="1"/>
  <c r="N81" i="2"/>
  <c r="O81" i="2" s="1"/>
  <c r="N82" i="2"/>
  <c r="O82" i="2" s="1"/>
  <c r="N83" i="2"/>
  <c r="O83" i="2" s="1"/>
  <c r="N84" i="2"/>
  <c r="O84" i="2" s="1"/>
  <c r="N85" i="2"/>
  <c r="O85" i="2" s="1"/>
  <c r="N86" i="2"/>
  <c r="O86" i="2" s="1"/>
  <c r="N87" i="2"/>
  <c r="O87" i="2" s="1"/>
  <c r="N88" i="2"/>
  <c r="O88" i="2" s="1"/>
  <c r="N89" i="2"/>
  <c r="O89" i="2" s="1"/>
  <c r="N90" i="2"/>
  <c r="O90" i="2" s="1"/>
  <c r="N91" i="2"/>
  <c r="O91" i="2" s="1"/>
  <c r="N92" i="2"/>
  <c r="O92" i="2" s="1"/>
  <c r="N93" i="2"/>
  <c r="O93" i="2" s="1"/>
  <c r="N94" i="2"/>
  <c r="O94" i="2" s="1"/>
  <c r="N95" i="2"/>
  <c r="O95" i="2" s="1"/>
  <c r="N96" i="2"/>
  <c r="O96" i="2" s="1"/>
  <c r="N97" i="2"/>
  <c r="O97" i="2" s="1"/>
  <c r="N98" i="2"/>
  <c r="O98" i="2" s="1"/>
  <c r="N99" i="2"/>
  <c r="O99" i="2" s="1"/>
  <c r="N100" i="2"/>
  <c r="O100" i="2" s="1"/>
  <c r="N101" i="2"/>
  <c r="O101" i="2" s="1"/>
  <c r="N102" i="2"/>
  <c r="O102" i="2" s="1"/>
  <c r="N103" i="2"/>
  <c r="O103" i="2" s="1"/>
  <c r="N104" i="2"/>
  <c r="O104" i="2" s="1"/>
  <c r="N105" i="2"/>
  <c r="O105" i="2" s="1"/>
  <c r="N106" i="2"/>
  <c r="O106" i="2" s="1"/>
  <c r="N107" i="2"/>
  <c r="O107" i="2" s="1"/>
  <c r="N108" i="2"/>
  <c r="O108" i="2" s="1"/>
  <c r="N109" i="2"/>
  <c r="O109" i="2" s="1"/>
  <c r="N110" i="2"/>
  <c r="O110" i="2" s="1"/>
  <c r="N111" i="2"/>
  <c r="O111" i="2" s="1"/>
  <c r="N112" i="2"/>
  <c r="O112" i="2" s="1"/>
  <c r="N113" i="2"/>
  <c r="O113" i="2" s="1"/>
  <c r="N114" i="2"/>
  <c r="O114" i="2" s="1"/>
  <c r="N115" i="2"/>
  <c r="O115" i="2" s="1"/>
  <c r="N116" i="2"/>
  <c r="O116" i="2" s="1"/>
  <c r="N117" i="2"/>
  <c r="O117" i="2" s="1"/>
  <c r="N118" i="2"/>
  <c r="O118" i="2" s="1"/>
  <c r="N119" i="2"/>
  <c r="O119" i="2" s="1"/>
  <c r="N120" i="2"/>
  <c r="O120" i="2" s="1"/>
  <c r="N121" i="2"/>
  <c r="O121" i="2" s="1"/>
  <c r="N122" i="2"/>
  <c r="O122" i="2" s="1"/>
  <c r="N123" i="2"/>
  <c r="O123" i="2" s="1"/>
  <c r="N124" i="2"/>
  <c r="O124" i="2" s="1"/>
  <c r="N125" i="2"/>
  <c r="O125" i="2" s="1"/>
  <c r="N126" i="2"/>
  <c r="O126" i="2" s="1"/>
  <c r="N127" i="2"/>
  <c r="O127" i="2" s="1"/>
  <c r="N128" i="2"/>
  <c r="O128" i="2" s="1"/>
  <c r="N129" i="2"/>
  <c r="O129" i="2" s="1"/>
  <c r="N130" i="2"/>
  <c r="O130" i="2" s="1"/>
  <c r="N131" i="2"/>
  <c r="O131" i="2" s="1"/>
  <c r="N132" i="2"/>
  <c r="O132" i="2" s="1"/>
  <c r="N133" i="2"/>
  <c r="O133" i="2" s="1"/>
  <c r="N134" i="2"/>
  <c r="O134" i="2" s="1"/>
  <c r="N135" i="2"/>
  <c r="O135" i="2" s="1"/>
  <c r="N136" i="2"/>
  <c r="O136" i="2" s="1"/>
  <c r="N137" i="2"/>
  <c r="O137" i="2" s="1"/>
  <c r="N138" i="2"/>
  <c r="O138" i="2" s="1"/>
  <c r="N139" i="2"/>
  <c r="O139" i="2" s="1"/>
  <c r="N140" i="2"/>
  <c r="O140" i="2" s="1"/>
  <c r="N141" i="2"/>
  <c r="O141" i="2" s="1"/>
  <c r="N142" i="2"/>
  <c r="O142" i="2" s="1"/>
  <c r="N143" i="2"/>
  <c r="O143" i="2" s="1"/>
  <c r="N144" i="2"/>
  <c r="O144" i="2" s="1"/>
  <c r="N145" i="2"/>
  <c r="O145" i="2" s="1"/>
  <c r="N146" i="2"/>
  <c r="O146" i="2" s="1"/>
  <c r="N147" i="2"/>
  <c r="O147" i="2" s="1"/>
  <c r="N148" i="2"/>
  <c r="O148" i="2" s="1"/>
  <c r="N149" i="2"/>
  <c r="O149" i="2" s="1"/>
  <c r="N150" i="2"/>
  <c r="O150" i="2" s="1"/>
  <c r="N151" i="2"/>
  <c r="O151" i="2" s="1"/>
  <c r="N152" i="2"/>
  <c r="O152" i="2" s="1"/>
  <c r="N153" i="2"/>
  <c r="O153" i="2" s="1"/>
  <c r="N154" i="2"/>
  <c r="O154" i="2" s="1"/>
  <c r="N155" i="2"/>
  <c r="O155" i="2" s="1"/>
  <c r="N156" i="2"/>
  <c r="O156" i="2" s="1"/>
  <c r="N157" i="2"/>
  <c r="O157" i="2" s="1"/>
  <c r="N158" i="2"/>
  <c r="O158" i="2" s="1"/>
  <c r="N159" i="2"/>
  <c r="O159" i="2" s="1"/>
  <c r="N160" i="2"/>
  <c r="O160" i="2" s="1"/>
  <c r="N161" i="2"/>
  <c r="O161" i="2" s="1"/>
  <c r="N162" i="2"/>
  <c r="O162" i="2" s="1"/>
  <c r="N163" i="2"/>
  <c r="O163" i="2" s="1"/>
  <c r="N164" i="2"/>
  <c r="O164" i="2" s="1"/>
  <c r="N165" i="2"/>
  <c r="O165" i="2" s="1"/>
  <c r="N166" i="2"/>
  <c r="O166" i="2" s="1"/>
  <c r="N167" i="2"/>
  <c r="O167" i="2" s="1"/>
  <c r="N168" i="2"/>
  <c r="O168" i="2" s="1"/>
  <c r="N169" i="2"/>
  <c r="O169" i="2" s="1"/>
  <c r="N170" i="2"/>
  <c r="N171" i="2"/>
  <c r="O171" i="2" s="1"/>
  <c r="N172" i="2"/>
  <c r="O172" i="2" s="1"/>
  <c r="N173" i="2"/>
  <c r="O173" i="2" s="1"/>
  <c r="N174" i="2"/>
  <c r="O174" i="2" s="1"/>
  <c r="N175" i="2"/>
  <c r="O175" i="2" s="1"/>
  <c r="N176" i="2"/>
  <c r="O176" i="2" s="1"/>
  <c r="N177" i="2"/>
  <c r="O177" i="2" s="1"/>
  <c r="N178" i="2"/>
  <c r="O178" i="2" s="1"/>
  <c r="N179" i="2"/>
  <c r="O179" i="2" s="1"/>
  <c r="N180" i="2"/>
  <c r="O180" i="2" s="1"/>
  <c r="N181" i="2"/>
  <c r="O181" i="2" s="1"/>
  <c r="N182" i="2"/>
  <c r="O182" i="2" s="1"/>
  <c r="N183" i="2"/>
  <c r="O183" i="2" s="1"/>
  <c r="N184" i="2"/>
  <c r="O184" i="2" s="1"/>
  <c r="N185" i="2"/>
  <c r="O185" i="2" s="1"/>
  <c r="N186" i="2"/>
  <c r="O186" i="2" s="1"/>
  <c r="N187" i="2"/>
  <c r="O187" i="2" s="1"/>
  <c r="N188" i="2"/>
  <c r="O188" i="2" s="1"/>
  <c r="N189" i="2"/>
  <c r="O189" i="2" s="1"/>
  <c r="N190" i="2"/>
  <c r="N191" i="2"/>
  <c r="O191" i="2" s="1"/>
  <c r="N192" i="2"/>
  <c r="O192" i="2" s="1"/>
  <c r="N193" i="2"/>
  <c r="O193" i="2" s="1"/>
  <c r="O194" i="2"/>
  <c r="N195" i="2"/>
  <c r="O195" i="2" s="1"/>
  <c r="N196" i="2"/>
  <c r="O196" i="2" s="1"/>
  <c r="N197" i="2"/>
  <c r="O197" i="2" s="1"/>
  <c r="N198" i="2"/>
  <c r="O198" i="2" s="1"/>
  <c r="N199" i="2"/>
  <c r="O199" i="2" s="1"/>
  <c r="N200" i="2"/>
  <c r="O200" i="2" s="1"/>
  <c r="N201" i="2"/>
  <c r="O201" i="2" s="1"/>
  <c r="N202" i="2"/>
  <c r="O202" i="2" s="1"/>
  <c r="N203" i="2"/>
  <c r="O203" i="2" s="1"/>
  <c r="N204" i="2"/>
  <c r="O204" i="2" s="1"/>
  <c r="N205" i="2"/>
  <c r="O205" i="2" s="1"/>
  <c r="N206" i="2"/>
  <c r="O206" i="2" s="1"/>
  <c r="N207" i="2"/>
  <c r="O207" i="2" s="1"/>
  <c r="N208" i="2"/>
  <c r="O208" i="2" s="1"/>
  <c r="N209" i="2"/>
  <c r="O209" i="2" s="1"/>
  <c r="N210" i="2"/>
  <c r="O210" i="2" s="1"/>
  <c r="N211" i="2"/>
  <c r="O211" i="2" s="1"/>
  <c r="N212" i="2"/>
  <c r="O212" i="2" s="1"/>
  <c r="N213" i="2"/>
  <c r="O213" i="2" s="1"/>
  <c r="N214" i="2"/>
  <c r="O214" i="2" s="1"/>
  <c r="N215" i="2"/>
  <c r="O215" i="2" s="1"/>
  <c r="N216" i="2"/>
  <c r="O216" i="2" s="1"/>
  <c r="N217" i="2"/>
  <c r="O217" i="2" s="1"/>
  <c r="N218" i="2"/>
  <c r="N219" i="2"/>
  <c r="O219" i="2" s="1"/>
  <c r="N220" i="2"/>
  <c r="O220" i="2" s="1"/>
  <c r="N221" i="2"/>
  <c r="O221" i="2" s="1"/>
  <c r="N222" i="2"/>
  <c r="O222" i="2" s="1"/>
  <c r="N223" i="2"/>
  <c r="O223" i="2" s="1"/>
  <c r="N224" i="2"/>
  <c r="O224" i="2" s="1"/>
  <c r="N225" i="2"/>
  <c r="O225" i="2" s="1"/>
  <c r="N226" i="2"/>
  <c r="O226" i="2" s="1"/>
  <c r="N227" i="2"/>
  <c r="O227" i="2" s="1"/>
  <c r="N228" i="2"/>
  <c r="O228" i="2" s="1"/>
  <c r="N229" i="2"/>
  <c r="O229" i="2" s="1"/>
  <c r="N230" i="2"/>
  <c r="O230" i="2" s="1"/>
  <c r="N231" i="2"/>
  <c r="O231" i="2" s="1"/>
  <c r="N232" i="2"/>
  <c r="O232" i="2" s="1"/>
  <c r="N233" i="2"/>
  <c r="O233" i="2" s="1"/>
  <c r="N234" i="2"/>
  <c r="O234" i="2" s="1"/>
  <c r="N235" i="2"/>
  <c r="O235" i="2" s="1"/>
  <c r="N236" i="2"/>
  <c r="O236" i="2" s="1"/>
  <c r="N237" i="2"/>
  <c r="O237" i="2" s="1"/>
  <c r="N238" i="2"/>
  <c r="O238" i="2" s="1"/>
  <c r="N239" i="2"/>
  <c r="O239" i="2" s="1"/>
  <c r="N240" i="2"/>
  <c r="O240" i="2" s="1"/>
  <c r="N241" i="2"/>
  <c r="O241" i="2" s="1"/>
  <c r="N242" i="2"/>
  <c r="O242" i="2" s="1"/>
  <c r="N243" i="2"/>
  <c r="O243" i="2" s="1"/>
  <c r="N244" i="2"/>
  <c r="O244" i="2" s="1"/>
  <c r="N245" i="2"/>
  <c r="O245" i="2" s="1"/>
  <c r="N246" i="2"/>
  <c r="O246" i="2" s="1"/>
  <c r="N247" i="2"/>
  <c r="O247" i="2" s="1"/>
  <c r="N248" i="2"/>
  <c r="O248" i="2" s="1"/>
  <c r="N249" i="2"/>
  <c r="O249" i="2" s="1"/>
  <c r="N250" i="2"/>
  <c r="O250" i="2" s="1"/>
  <c r="N251" i="2"/>
  <c r="O251" i="2" s="1"/>
  <c r="N252" i="2"/>
  <c r="O252" i="2" s="1"/>
  <c r="N253" i="2"/>
  <c r="O253" i="2" s="1"/>
  <c r="N254" i="2"/>
  <c r="O254" i="2" s="1"/>
  <c r="N255" i="2"/>
  <c r="O255" i="2" s="1"/>
  <c r="N256" i="2"/>
  <c r="O256" i="2" s="1"/>
  <c r="N257" i="2"/>
  <c r="O257" i="2" s="1"/>
  <c r="N258" i="2"/>
  <c r="O258" i="2" s="1"/>
  <c r="N259" i="2"/>
  <c r="O259" i="2" s="1"/>
  <c r="N260" i="2"/>
  <c r="O260" i="2" s="1"/>
  <c r="N261" i="2"/>
  <c r="O261" i="2" s="1"/>
  <c r="N262" i="2"/>
  <c r="O262" i="2" s="1"/>
  <c r="N263" i="2"/>
  <c r="O263" i="2" s="1"/>
  <c r="N264" i="2"/>
  <c r="O264" i="2" s="1"/>
  <c r="N265" i="2"/>
  <c r="O265" i="2" s="1"/>
  <c r="N266" i="2"/>
  <c r="O266" i="2" s="1"/>
  <c r="N267" i="2"/>
  <c r="O267" i="2" s="1"/>
  <c r="N268" i="2"/>
  <c r="O268" i="2" s="1"/>
  <c r="N269" i="2"/>
  <c r="O269" i="2" s="1"/>
  <c r="N270" i="2"/>
  <c r="O270" i="2" s="1"/>
  <c r="N271" i="2"/>
  <c r="O271" i="2" s="1"/>
  <c r="N272" i="2"/>
  <c r="O272" i="2" s="1"/>
  <c r="N273" i="2"/>
  <c r="O273" i="2" s="1"/>
  <c r="N274" i="2"/>
  <c r="O274" i="2" s="1"/>
  <c r="N275" i="2"/>
  <c r="O275" i="2" s="1"/>
  <c r="N276" i="2"/>
  <c r="O276" i="2" s="1"/>
  <c r="N277" i="2"/>
  <c r="O277" i="2" s="1"/>
  <c r="N278" i="2"/>
  <c r="O278" i="2" s="1"/>
  <c r="N279" i="2"/>
  <c r="O279" i="2" s="1"/>
  <c r="N280" i="2"/>
  <c r="O280" i="2" s="1"/>
  <c r="N281" i="2"/>
  <c r="O281" i="2" s="1"/>
  <c r="N282" i="2"/>
  <c r="O282" i="2" s="1"/>
  <c r="N283" i="2"/>
  <c r="O283" i="2" s="1"/>
  <c r="N284" i="2"/>
  <c r="O284" i="2" s="1"/>
  <c r="N285" i="2"/>
  <c r="O285" i="2" s="1"/>
  <c r="N286" i="2"/>
  <c r="O286" i="2" s="1"/>
  <c r="N287" i="2"/>
  <c r="O287" i="2" s="1"/>
  <c r="N288" i="2"/>
  <c r="O288" i="2" s="1"/>
  <c r="N289" i="2"/>
  <c r="O289" i="2" s="1"/>
  <c r="N290" i="2"/>
  <c r="O290" i="2" s="1"/>
  <c r="N291" i="2"/>
  <c r="O291" i="2" s="1"/>
  <c r="N292" i="2"/>
  <c r="O292" i="2" s="1"/>
  <c r="N293" i="2"/>
  <c r="O293" i="2" s="1"/>
  <c r="N294" i="2"/>
  <c r="O294" i="2" s="1"/>
  <c r="N295" i="2"/>
  <c r="O295" i="2" s="1"/>
  <c r="N296" i="2"/>
  <c r="O296" i="2" s="1"/>
  <c r="N297" i="2"/>
  <c r="O297" i="2" s="1"/>
  <c r="N298" i="2"/>
  <c r="O298" i="2" s="1"/>
  <c r="N299" i="2"/>
  <c r="O299" i="2" s="1"/>
  <c r="N300" i="2"/>
  <c r="O300" i="2" s="1"/>
  <c r="N301" i="2"/>
  <c r="O301" i="2" s="1"/>
  <c r="N302" i="2"/>
  <c r="O302" i="2" s="1"/>
  <c r="N303" i="2"/>
  <c r="O303" i="2" s="1"/>
  <c r="N304" i="2"/>
  <c r="O304" i="2" s="1"/>
  <c r="N305" i="2"/>
  <c r="O305" i="2" s="1"/>
  <c r="N306" i="2"/>
  <c r="O306" i="2" s="1"/>
  <c r="N307" i="2"/>
  <c r="O307" i="2" s="1"/>
  <c r="N308" i="2"/>
  <c r="O308" i="2" s="1"/>
  <c r="N309" i="2"/>
  <c r="O309" i="2" s="1"/>
  <c r="N310" i="2"/>
  <c r="O310" i="2" s="1"/>
  <c r="N311" i="2"/>
  <c r="O311" i="2" s="1"/>
  <c r="N312" i="2"/>
  <c r="O312" i="2" s="1"/>
  <c r="N313" i="2"/>
  <c r="O313" i="2" s="1"/>
  <c r="N314" i="2"/>
  <c r="O314" i="2" s="1"/>
  <c r="N315" i="2"/>
  <c r="O315" i="2" s="1"/>
  <c r="N316" i="2"/>
  <c r="O316" i="2" s="1"/>
  <c r="N317" i="2"/>
  <c r="O317" i="2" s="1"/>
  <c r="N318" i="2"/>
  <c r="O318" i="2" s="1"/>
  <c r="N319" i="2"/>
  <c r="O319" i="2" s="1"/>
  <c r="N320" i="2"/>
  <c r="O320" i="2" s="1"/>
  <c r="N321" i="2"/>
  <c r="O321" i="2" s="1"/>
  <c r="N322" i="2"/>
  <c r="O322" i="2" s="1"/>
  <c r="N323" i="2"/>
  <c r="O323" i="2" s="1"/>
  <c r="N324" i="2"/>
  <c r="O324" i="2" s="1"/>
  <c r="N325" i="2"/>
  <c r="O325" i="2" s="1"/>
  <c r="N326" i="2"/>
  <c r="O326" i="2" s="1"/>
  <c r="N327" i="2"/>
  <c r="O327" i="2" s="1"/>
  <c r="N328" i="2"/>
  <c r="O328" i="2" s="1"/>
  <c r="N329" i="2"/>
  <c r="O329" i="2" s="1"/>
  <c r="N330" i="2"/>
  <c r="O330" i="2" s="1"/>
  <c r="N331" i="2"/>
  <c r="O331" i="2" s="1"/>
  <c r="N332" i="2"/>
  <c r="O332" i="2" s="1"/>
  <c r="N333" i="2"/>
  <c r="O333" i="2" s="1"/>
  <c r="N334" i="2"/>
  <c r="O334" i="2" s="1"/>
  <c r="N335" i="2"/>
  <c r="O335" i="2" s="1"/>
  <c r="N336" i="2"/>
  <c r="O336" i="2" s="1"/>
  <c r="N337" i="2"/>
  <c r="O337" i="2" s="1"/>
  <c r="N338" i="2"/>
  <c r="O338" i="2" s="1"/>
  <c r="N339" i="2"/>
  <c r="O339" i="2" s="1"/>
  <c r="N340" i="2"/>
  <c r="O340" i="2" s="1"/>
  <c r="N341" i="2"/>
  <c r="O341" i="2" s="1"/>
  <c r="N342" i="2"/>
  <c r="O342" i="2" s="1"/>
  <c r="N343" i="2"/>
  <c r="O343" i="2" s="1"/>
  <c r="N344" i="2"/>
  <c r="O344" i="2" s="1"/>
  <c r="N345" i="2"/>
  <c r="O345" i="2" s="1"/>
  <c r="N346" i="2"/>
  <c r="O346" i="2" s="1"/>
  <c r="N347" i="2"/>
  <c r="O347" i="2" s="1"/>
  <c r="N348" i="2"/>
  <c r="O348" i="2" s="1"/>
  <c r="N349" i="2"/>
  <c r="O349" i="2" s="1"/>
  <c r="N350" i="2"/>
  <c r="O350" i="2" s="1"/>
  <c r="N351" i="2"/>
  <c r="O351" i="2" s="1"/>
  <c r="N352" i="2"/>
  <c r="O352" i="2" s="1"/>
  <c r="N353" i="2"/>
  <c r="O353" i="2" s="1"/>
  <c r="N354" i="2"/>
  <c r="O354" i="2" s="1"/>
  <c r="N355" i="2"/>
  <c r="O355" i="2" s="1"/>
  <c r="N356" i="2"/>
  <c r="O356" i="2" s="1"/>
  <c r="N357" i="2"/>
  <c r="O357" i="2" s="1"/>
  <c r="N358" i="2"/>
  <c r="O358" i="2" s="1"/>
  <c r="N359" i="2"/>
  <c r="O359" i="2" s="1"/>
  <c r="N360" i="2"/>
  <c r="O360" i="2" s="1"/>
  <c r="N361" i="2"/>
  <c r="O361" i="2" s="1"/>
  <c r="N362" i="2"/>
  <c r="O362" i="2" s="1"/>
  <c r="N363" i="2"/>
  <c r="O363" i="2" s="1"/>
  <c r="N364" i="2"/>
  <c r="O364" i="2" s="1"/>
  <c r="N365" i="2"/>
  <c r="O365" i="2" s="1"/>
  <c r="N366" i="2"/>
  <c r="O366" i="2" s="1"/>
  <c r="N367" i="2"/>
  <c r="O367" i="2" s="1"/>
  <c r="N368" i="2"/>
  <c r="O368" i="2" s="1"/>
  <c r="N369" i="2"/>
  <c r="O369" i="2" s="1"/>
  <c r="N370" i="2"/>
  <c r="O370" i="2" s="1"/>
  <c r="N371" i="2"/>
  <c r="O371" i="2" s="1"/>
  <c r="N372" i="2"/>
  <c r="O372" i="2" s="1"/>
  <c r="N373" i="2"/>
  <c r="O373" i="2" s="1"/>
  <c r="N374" i="2"/>
  <c r="O374" i="2" s="1"/>
  <c r="N375" i="2"/>
  <c r="O375" i="2" s="1"/>
  <c r="N376" i="2"/>
  <c r="O376" i="2" s="1"/>
  <c r="N377" i="2"/>
  <c r="O377" i="2" s="1"/>
  <c r="N378" i="2"/>
  <c r="O378" i="2" s="1"/>
  <c r="N379" i="2"/>
  <c r="O379" i="2" s="1"/>
  <c r="N380" i="2"/>
  <c r="O380" i="2" s="1"/>
  <c r="N381" i="2"/>
  <c r="O381" i="2" s="1"/>
  <c r="N382" i="2"/>
  <c r="O382" i="2" s="1"/>
  <c r="N383" i="2"/>
  <c r="O383" i="2" s="1"/>
  <c r="N384" i="2"/>
  <c r="O384" i="2" s="1"/>
  <c r="N385" i="2"/>
  <c r="O385" i="2" s="1"/>
  <c r="N386" i="2"/>
  <c r="O386" i="2" s="1"/>
  <c r="N387" i="2"/>
  <c r="O387" i="2" s="1"/>
  <c r="N388" i="2"/>
  <c r="O388" i="2" s="1"/>
  <c r="N389" i="2"/>
  <c r="O389" i="2" s="1"/>
  <c r="N390" i="2"/>
  <c r="O390" i="2" s="1"/>
  <c r="N391" i="2"/>
  <c r="O391" i="2" s="1"/>
  <c r="N392" i="2"/>
  <c r="O392" i="2" s="1"/>
  <c r="N393" i="2"/>
  <c r="O393" i="2" s="1"/>
  <c r="N394" i="2"/>
  <c r="O394" i="2" s="1"/>
  <c r="N395" i="2"/>
  <c r="O395" i="2" s="1"/>
  <c r="N396" i="2"/>
  <c r="N397" i="2"/>
  <c r="O397" i="2" s="1"/>
  <c r="N398" i="2"/>
  <c r="O398" i="2" s="1"/>
  <c r="N399" i="2"/>
  <c r="O399" i="2" s="1"/>
  <c r="N400" i="2"/>
  <c r="O400" i="2" s="1"/>
  <c r="N401" i="2"/>
  <c r="O401" i="2" s="1"/>
  <c r="N402" i="2"/>
  <c r="O402" i="2" s="1"/>
  <c r="N403" i="2"/>
  <c r="O403" i="2" s="1"/>
  <c r="N404" i="2"/>
  <c r="O404" i="2" s="1"/>
  <c r="N405" i="2"/>
  <c r="O405" i="2" s="1"/>
  <c r="N406" i="2"/>
  <c r="O406" i="2" s="1"/>
  <c r="N407" i="2"/>
  <c r="O407" i="2" s="1"/>
  <c r="N408" i="2"/>
  <c r="O408" i="2" s="1"/>
  <c r="N409" i="2"/>
  <c r="O409" i="2" s="1"/>
  <c r="N410" i="2"/>
  <c r="O410" i="2" s="1"/>
  <c r="N411" i="2"/>
  <c r="O411" i="2" s="1"/>
  <c r="N412" i="2"/>
  <c r="O412" i="2" s="1"/>
  <c r="N413" i="2"/>
  <c r="O413" i="2" s="1"/>
  <c r="N414" i="2"/>
  <c r="O414" i="2" s="1"/>
  <c r="N415" i="2"/>
  <c r="O415" i="2" s="1"/>
  <c r="N416" i="2"/>
  <c r="O416" i="2" s="1"/>
  <c r="N417" i="2"/>
  <c r="O417" i="2" s="1"/>
  <c r="N418" i="2"/>
  <c r="O418" i="2" s="1"/>
  <c r="N419" i="2"/>
  <c r="O419" i="2" s="1"/>
  <c r="N420" i="2"/>
  <c r="O420" i="2" s="1"/>
  <c r="N421" i="2"/>
  <c r="O421" i="2" s="1"/>
  <c r="N422" i="2"/>
  <c r="N423" i="2"/>
  <c r="O423" i="2" s="1"/>
  <c r="N424" i="2"/>
  <c r="O424" i="2" s="1"/>
  <c r="N425" i="2"/>
  <c r="O425" i="2" s="1"/>
  <c r="N426" i="2"/>
  <c r="O426" i="2" s="1"/>
  <c r="N427" i="2"/>
  <c r="O427" i="2" s="1"/>
  <c r="N428" i="2"/>
  <c r="O428" i="2" s="1"/>
  <c r="N429" i="2"/>
  <c r="O429" i="2" s="1"/>
  <c r="N430" i="2"/>
  <c r="O430" i="2" s="1"/>
  <c r="N431" i="2"/>
  <c r="O431" i="2" s="1"/>
  <c r="N432" i="2"/>
  <c r="O432" i="2" s="1"/>
  <c r="N433" i="2"/>
  <c r="O433" i="2" s="1"/>
  <c r="N434" i="2"/>
  <c r="O434" i="2" s="1"/>
  <c r="N435" i="2"/>
  <c r="O435" i="2" s="1"/>
  <c r="N436" i="2"/>
  <c r="O436" i="2" s="1"/>
  <c r="N437" i="2"/>
  <c r="O437" i="2" s="1"/>
  <c r="N438" i="2"/>
  <c r="O438" i="2" s="1"/>
  <c r="N439" i="2"/>
  <c r="O439" i="2" s="1"/>
  <c r="N440" i="2"/>
  <c r="O440" i="2" s="1"/>
  <c r="N441" i="2"/>
  <c r="O441" i="2" s="1"/>
  <c r="N442" i="2"/>
  <c r="O442" i="2" s="1"/>
  <c r="N443" i="2"/>
  <c r="O443" i="2" s="1"/>
  <c r="N444" i="2"/>
  <c r="O444" i="2" s="1"/>
  <c r="N445" i="2"/>
  <c r="O445" i="2" s="1"/>
  <c r="N446" i="2"/>
  <c r="O446" i="2" s="1"/>
  <c r="N447" i="2"/>
  <c r="O447" i="2" s="1"/>
  <c r="N448" i="2"/>
  <c r="O448" i="2" s="1"/>
  <c r="N449" i="2"/>
  <c r="O449" i="2" s="1"/>
  <c r="N450" i="2"/>
  <c r="O450" i="2" s="1"/>
  <c r="N451" i="2"/>
  <c r="O451" i="2" s="1"/>
  <c r="N452" i="2"/>
  <c r="O452" i="2" s="1"/>
  <c r="N453" i="2"/>
  <c r="O453" i="2" s="1"/>
  <c r="N454" i="2"/>
  <c r="O454" i="2" s="1"/>
  <c r="N455" i="2"/>
  <c r="O455" i="2" s="1"/>
  <c r="N456" i="2"/>
  <c r="O456" i="2" s="1"/>
  <c r="N457" i="2"/>
  <c r="O457" i="2" s="1"/>
  <c r="N458" i="2"/>
  <c r="O458" i="2" s="1"/>
  <c r="N459" i="2"/>
  <c r="O459" i="2" s="1"/>
  <c r="N460" i="2"/>
  <c r="O460" i="2" s="1"/>
  <c r="N461" i="2"/>
  <c r="O461" i="2" s="1"/>
  <c r="N462" i="2"/>
  <c r="O462" i="2" s="1"/>
  <c r="N463" i="2"/>
  <c r="O463" i="2" s="1"/>
  <c r="N464" i="2"/>
  <c r="O464" i="2" s="1"/>
  <c r="N465" i="2"/>
  <c r="O465" i="2" s="1"/>
  <c r="N466" i="2"/>
  <c r="O466" i="2" s="1"/>
  <c r="N467" i="2"/>
  <c r="O467" i="2" s="1"/>
  <c r="N468" i="2"/>
  <c r="O468" i="2" s="1"/>
  <c r="N469" i="2"/>
  <c r="O469" i="2" s="1"/>
  <c r="N470" i="2"/>
  <c r="O470" i="2" s="1"/>
  <c r="N471" i="2"/>
  <c r="O471" i="2" s="1"/>
  <c r="N472" i="2"/>
  <c r="O472" i="2" s="1"/>
  <c r="N473" i="2"/>
  <c r="O473" i="2" s="1"/>
  <c r="N474" i="2"/>
  <c r="O474" i="2" s="1"/>
  <c r="N475" i="2"/>
  <c r="O475" i="2" s="1"/>
  <c r="N476" i="2"/>
  <c r="O476" i="2" s="1"/>
  <c r="N477" i="2"/>
  <c r="O477" i="2" s="1"/>
  <c r="N478" i="2"/>
  <c r="O478" i="2" s="1"/>
  <c r="N479" i="2"/>
  <c r="O479" i="2" s="1"/>
  <c r="N480" i="2"/>
  <c r="O480" i="2" s="1"/>
  <c r="N481" i="2"/>
  <c r="O481" i="2" s="1"/>
  <c r="N482" i="2"/>
  <c r="O482" i="2" s="1"/>
  <c r="N483" i="2"/>
  <c r="O483" i="2" s="1"/>
  <c r="N484" i="2"/>
  <c r="O484" i="2" s="1"/>
  <c r="N485" i="2"/>
  <c r="O485" i="2" s="1"/>
  <c r="N486" i="2"/>
  <c r="O486" i="2" s="1"/>
  <c r="N487" i="2"/>
  <c r="O487" i="2" s="1"/>
  <c r="N488" i="2"/>
  <c r="O488" i="2" s="1"/>
  <c r="N489" i="2"/>
  <c r="O489" i="2" s="1"/>
  <c r="N490" i="2"/>
  <c r="O490" i="2" s="1"/>
  <c r="N491" i="2"/>
  <c r="O491" i="2" s="1"/>
  <c r="N492" i="2"/>
  <c r="O492" i="2" s="1"/>
  <c r="N493" i="2"/>
  <c r="O493" i="2" s="1"/>
  <c r="N494" i="2"/>
  <c r="O494" i="2" s="1"/>
  <c r="N495" i="2"/>
  <c r="O495" i="2" s="1"/>
  <c r="N496" i="2"/>
  <c r="O496" i="2" s="1"/>
  <c r="N706" i="2"/>
  <c r="O706" i="2" s="1"/>
  <c r="N707" i="2"/>
  <c r="O707" i="2" s="1"/>
  <c r="N708" i="2"/>
  <c r="O708" i="2" s="1"/>
  <c r="N709" i="2"/>
  <c r="O709" i="2" s="1"/>
  <c r="N710" i="2"/>
  <c r="O710" i="2" s="1"/>
  <c r="N711" i="2"/>
  <c r="O711" i="2" s="1"/>
  <c r="N712" i="2"/>
  <c r="O712" i="2" s="1"/>
  <c r="N713" i="2"/>
  <c r="O713" i="2" s="1"/>
  <c r="N714" i="2"/>
  <c r="O714" i="2" s="1"/>
  <c r="N715" i="2"/>
  <c r="O715" i="2" s="1"/>
  <c r="N716" i="2"/>
  <c r="O716" i="2" s="1"/>
  <c r="N717" i="2"/>
  <c r="O717" i="2" s="1"/>
  <c r="N718" i="2"/>
  <c r="O718" i="2" s="1"/>
  <c r="N719" i="2"/>
  <c r="O719" i="2" s="1"/>
  <c r="N720" i="2"/>
  <c r="O720" i="2" s="1"/>
  <c r="N721" i="2"/>
  <c r="O721" i="2" s="1"/>
  <c r="N722" i="2"/>
  <c r="O722" i="2" s="1"/>
  <c r="N723" i="2"/>
  <c r="O723" i="2" s="1"/>
  <c r="N724" i="2"/>
  <c r="O724" i="2" s="1"/>
  <c r="N725" i="2"/>
  <c r="O725" i="2" s="1"/>
  <c r="N726" i="2"/>
  <c r="O726" i="2" s="1"/>
  <c r="N727" i="2"/>
  <c r="O727" i="2" s="1"/>
  <c r="N728" i="2"/>
  <c r="O728" i="2" s="1"/>
  <c r="N729" i="2"/>
  <c r="O729" i="2" s="1"/>
  <c r="N730" i="2"/>
  <c r="O730" i="2" s="1"/>
  <c r="N731" i="2"/>
  <c r="O731" i="2" s="1"/>
  <c r="N732" i="2"/>
  <c r="O732" i="2" s="1"/>
  <c r="N733" i="2"/>
  <c r="N734" i="2"/>
  <c r="N735" i="2"/>
  <c r="N736" i="2"/>
  <c r="N737" i="2"/>
  <c r="O737" i="2" s="1"/>
  <c r="N738" i="2"/>
  <c r="O738" i="2" s="1"/>
  <c r="N739" i="2"/>
  <c r="O739" i="2" s="1"/>
  <c r="N740" i="2"/>
  <c r="O740" i="2" s="1"/>
  <c r="N741" i="2"/>
  <c r="O741" i="2" s="1"/>
  <c r="N742" i="2"/>
  <c r="O742" i="2" s="1"/>
  <c r="N743" i="2"/>
  <c r="O743" i="2" s="1"/>
  <c r="N744" i="2"/>
  <c r="O744" i="2" s="1"/>
  <c r="N745" i="2"/>
  <c r="O745" i="2" s="1"/>
  <c r="N746" i="2"/>
  <c r="O746" i="2" s="1"/>
  <c r="N747" i="2"/>
  <c r="O747" i="2" s="1"/>
  <c r="N748" i="2"/>
  <c r="O748" i="2" s="1"/>
  <c r="N749" i="2"/>
  <c r="O749" i="2" s="1"/>
  <c r="N750" i="2"/>
  <c r="O750" i="2" s="1"/>
  <c r="N751" i="2"/>
  <c r="O751" i="2" s="1"/>
  <c r="N752" i="2"/>
  <c r="O752" i="2" s="1"/>
  <c r="N753" i="2"/>
  <c r="O753" i="2" s="1"/>
  <c r="N754" i="2"/>
  <c r="O754" i="2" s="1"/>
  <c r="N755" i="2"/>
  <c r="O755" i="2" s="1"/>
  <c r="N756" i="2"/>
  <c r="O756" i="2" s="1"/>
  <c r="N757" i="2"/>
  <c r="O757" i="2" s="1"/>
  <c r="N758" i="2"/>
  <c r="O758" i="2" s="1"/>
  <c r="N759" i="2"/>
  <c r="O759" i="2" s="1"/>
  <c r="N760" i="2"/>
  <c r="O760" i="2" s="1"/>
  <c r="N761" i="2"/>
  <c r="O761" i="2" s="1"/>
  <c r="N762" i="2"/>
  <c r="O762" i="2" s="1"/>
  <c r="N763" i="2"/>
  <c r="O763" i="2" s="1"/>
  <c r="N764" i="2"/>
  <c r="O764" i="2" s="1"/>
  <c r="N765" i="2"/>
  <c r="O765" i="2" s="1"/>
  <c r="N766" i="2"/>
  <c r="O766" i="2" s="1"/>
  <c r="N767" i="2"/>
  <c r="O767" i="2" s="1"/>
  <c r="N768" i="2"/>
  <c r="O768" i="2" s="1"/>
  <c r="N769" i="2"/>
  <c r="O769" i="2" s="1"/>
  <c r="N770" i="2"/>
  <c r="O770" i="2" s="1"/>
  <c r="N771" i="2"/>
  <c r="O771" i="2" s="1"/>
  <c r="N772" i="2"/>
  <c r="O772" i="2" s="1"/>
  <c r="N773" i="2"/>
  <c r="O773" i="2" s="1"/>
  <c r="N774" i="2"/>
  <c r="O774" i="2" s="1"/>
  <c r="N775" i="2"/>
  <c r="O775" i="2" s="1"/>
  <c r="N776" i="2"/>
  <c r="O776" i="2" s="1"/>
  <c r="N777" i="2"/>
  <c r="O777" i="2" s="1"/>
  <c r="N778" i="2"/>
  <c r="O778" i="2" s="1"/>
  <c r="N779" i="2"/>
  <c r="O779" i="2" s="1"/>
  <c r="N780" i="2"/>
  <c r="O780" i="2" s="1"/>
  <c r="N781" i="2"/>
  <c r="O781" i="2" s="1"/>
  <c r="N782" i="2"/>
  <c r="O782" i="2" s="1"/>
  <c r="N783" i="2"/>
  <c r="O783" i="2" s="1"/>
  <c r="N784" i="2"/>
  <c r="O784" i="2" s="1"/>
  <c r="N785" i="2"/>
  <c r="O785" i="2" s="1"/>
  <c r="N786" i="2"/>
  <c r="O786" i="2" s="1"/>
  <c r="N787" i="2"/>
  <c r="O787" i="2" s="1"/>
  <c r="N788" i="2"/>
  <c r="O788" i="2" s="1"/>
  <c r="N789" i="2"/>
  <c r="O789" i="2" s="1"/>
  <c r="N790" i="2"/>
  <c r="O790" i="2" s="1"/>
  <c r="N791" i="2"/>
  <c r="O791" i="2" s="1"/>
  <c r="N792" i="2"/>
  <c r="O792" i="2" s="1"/>
  <c r="N793" i="2"/>
  <c r="O793" i="2" s="1"/>
  <c r="N794" i="2"/>
  <c r="O794" i="2" s="1"/>
  <c r="N795" i="2"/>
  <c r="O795" i="2" s="1"/>
  <c r="N796" i="2"/>
  <c r="O796" i="2" s="1"/>
  <c r="N797" i="2"/>
  <c r="O797" i="2" s="1"/>
  <c r="N798" i="2"/>
  <c r="O798" i="2" s="1"/>
  <c r="N799" i="2"/>
  <c r="O799" i="2" s="1"/>
  <c r="N800" i="2"/>
  <c r="O800" i="2" s="1"/>
  <c r="N801" i="2"/>
  <c r="O801" i="2" s="1"/>
  <c r="N802" i="2"/>
  <c r="O802" i="2" s="1"/>
  <c r="N803" i="2"/>
  <c r="O803" i="2" s="1"/>
  <c r="N804" i="2"/>
  <c r="O804" i="2" s="1"/>
  <c r="N805" i="2"/>
  <c r="O805" i="2" s="1"/>
  <c r="N806" i="2"/>
  <c r="O806" i="2" s="1"/>
  <c r="N807" i="2"/>
  <c r="O807" i="2" s="1"/>
  <c r="N808" i="2"/>
  <c r="O808" i="2" s="1"/>
  <c r="N809" i="2"/>
  <c r="O809" i="2" s="1"/>
  <c r="N810" i="2"/>
  <c r="O810" i="2" s="1"/>
  <c r="N811" i="2"/>
  <c r="O811" i="2" s="1"/>
  <c r="N812" i="2"/>
  <c r="O812" i="2" s="1"/>
  <c r="N813" i="2"/>
  <c r="O813" i="2" s="1"/>
  <c r="N814" i="2"/>
  <c r="O814" i="2" s="1"/>
  <c r="N815" i="2"/>
  <c r="O815" i="2" s="1"/>
  <c r="N816" i="2"/>
  <c r="O816" i="2" s="1"/>
  <c r="N817" i="2"/>
  <c r="O817" i="2" s="1"/>
  <c r="N818" i="2"/>
  <c r="O818" i="2" s="1"/>
  <c r="N819" i="2"/>
  <c r="O819" i="2" s="1"/>
  <c r="N820" i="2"/>
  <c r="O820" i="2" s="1"/>
  <c r="N821" i="2"/>
  <c r="O821" i="2" s="1"/>
  <c r="N822" i="2"/>
  <c r="O822" i="2" s="1"/>
  <c r="N823" i="2"/>
  <c r="O823" i="2" s="1"/>
  <c r="N824" i="2"/>
  <c r="O824" i="2" s="1"/>
  <c r="N825" i="2"/>
  <c r="O825" i="2" s="1"/>
  <c r="N826" i="2"/>
  <c r="O826" i="2" s="1"/>
  <c r="N827" i="2"/>
  <c r="O827" i="2" s="1"/>
  <c r="N828" i="2"/>
  <c r="O828" i="2" s="1"/>
  <c r="N829" i="2"/>
  <c r="O829" i="2" s="1"/>
  <c r="N830" i="2"/>
  <c r="O830" i="2" s="1"/>
  <c r="N831" i="2"/>
  <c r="O831" i="2" s="1"/>
  <c r="N832" i="2"/>
  <c r="N833" i="2"/>
  <c r="O833" i="2" s="1"/>
  <c r="N834" i="2"/>
  <c r="O834" i="2" s="1"/>
  <c r="N835" i="2"/>
  <c r="O835" i="2" s="1"/>
  <c r="N836" i="2"/>
  <c r="O836" i="2" s="1"/>
  <c r="N837" i="2"/>
  <c r="O837" i="2" s="1"/>
  <c r="N838" i="2"/>
  <c r="O838" i="2" s="1"/>
  <c r="N839" i="2"/>
  <c r="O839" i="2" s="1"/>
  <c r="N840" i="2"/>
  <c r="O840" i="2" s="1"/>
  <c r="N841" i="2"/>
  <c r="O841" i="2" s="1"/>
  <c r="N842" i="2"/>
  <c r="O842" i="2" s="1"/>
  <c r="N843" i="2"/>
  <c r="O843" i="2" s="1"/>
  <c r="N844" i="2"/>
  <c r="O844" i="2" s="1"/>
  <c r="N845" i="2"/>
  <c r="O845" i="2" s="1"/>
  <c r="N846" i="2"/>
  <c r="O846" i="2" s="1"/>
  <c r="N847" i="2"/>
  <c r="O847" i="2" s="1"/>
  <c r="N848" i="2"/>
  <c r="O848" i="2" s="1"/>
  <c r="N849" i="2"/>
  <c r="O849" i="2" s="1"/>
  <c r="N850" i="2"/>
  <c r="O850" i="2" s="1"/>
  <c r="N851" i="2"/>
  <c r="O851" i="2" s="1"/>
  <c r="N852" i="2"/>
  <c r="O852" i="2" s="1"/>
  <c r="N853" i="2"/>
  <c r="O853" i="2" s="1"/>
  <c r="N854" i="2"/>
  <c r="O854" i="2" s="1"/>
  <c r="N855" i="2"/>
  <c r="O855" i="2" s="1"/>
  <c r="N856" i="2"/>
  <c r="O856" i="2" s="1"/>
  <c r="N857" i="2"/>
  <c r="O857" i="2" s="1"/>
  <c r="N858" i="2"/>
  <c r="O858" i="2" s="1"/>
  <c r="N859" i="2"/>
  <c r="O859" i="2" s="1"/>
  <c r="N860" i="2"/>
  <c r="O860" i="2" s="1"/>
  <c r="N861" i="2"/>
  <c r="O861" i="2" s="1"/>
  <c r="N862" i="2"/>
  <c r="O862" i="2" s="1"/>
  <c r="N863" i="2"/>
  <c r="O863" i="2" s="1"/>
  <c r="N864" i="2"/>
  <c r="O864" i="2" s="1"/>
  <c r="N865" i="2"/>
  <c r="O865" i="2" s="1"/>
  <c r="N866" i="2"/>
  <c r="O866" i="2" s="1"/>
  <c r="N867" i="2"/>
  <c r="O867" i="2" s="1"/>
  <c r="N868" i="2"/>
  <c r="O868" i="2" s="1"/>
  <c r="N869" i="2"/>
  <c r="O869" i="2" s="1"/>
  <c r="N870" i="2"/>
  <c r="O870" i="2" s="1"/>
  <c r="N871" i="2"/>
  <c r="O871" i="2" s="1"/>
  <c r="N872" i="2"/>
  <c r="O872" i="2" s="1"/>
  <c r="N873" i="2"/>
  <c r="O873" i="2" s="1"/>
  <c r="N874" i="2"/>
  <c r="O874" i="2" s="1"/>
  <c r="N875" i="2"/>
  <c r="O875" i="2" s="1"/>
  <c r="N876" i="2"/>
  <c r="O876" i="2" s="1"/>
  <c r="N877" i="2"/>
  <c r="O877" i="2" s="1"/>
  <c r="N878" i="2"/>
  <c r="O878" i="2" s="1"/>
  <c r="N879" i="2"/>
  <c r="O879" i="2" s="1"/>
  <c r="N880" i="2"/>
  <c r="O880" i="2" s="1"/>
  <c r="N881" i="2"/>
  <c r="O881" i="2" s="1"/>
  <c r="N882" i="2"/>
  <c r="O882" i="2" s="1"/>
  <c r="N883" i="2"/>
  <c r="N884" i="2"/>
  <c r="O884" i="2" s="1"/>
  <c r="N885" i="2"/>
  <c r="O885" i="2" s="1"/>
  <c r="N886" i="2"/>
  <c r="O886" i="2" s="1"/>
  <c r="N887" i="2"/>
  <c r="O887" i="2" s="1"/>
  <c r="N888" i="2"/>
  <c r="O888" i="2" s="1"/>
  <c r="N889" i="2"/>
  <c r="O889" i="2" s="1"/>
  <c r="N890" i="2"/>
  <c r="O890" i="2" s="1"/>
  <c r="N891" i="2"/>
  <c r="O891" i="2" s="1"/>
  <c r="N892" i="2"/>
  <c r="O892" i="2" s="1"/>
  <c r="N893" i="2"/>
  <c r="O893" i="2" s="1"/>
  <c r="N894" i="2"/>
  <c r="O894" i="2" s="1"/>
  <c r="N895" i="2"/>
  <c r="O895" i="2" s="1"/>
  <c r="N896" i="2"/>
  <c r="O896" i="2" s="1"/>
  <c r="N897" i="2"/>
  <c r="O897" i="2" s="1"/>
  <c r="N898" i="2"/>
  <c r="O898" i="2" s="1"/>
  <c r="N899" i="2"/>
  <c r="O899" i="2" s="1"/>
  <c r="N900" i="2"/>
  <c r="N901" i="2"/>
  <c r="O901" i="2" s="1"/>
  <c r="N902" i="2"/>
  <c r="O902" i="2" s="1"/>
  <c r="N903" i="2"/>
  <c r="O903" i="2" s="1"/>
  <c r="N904" i="2"/>
  <c r="O904" i="2" s="1"/>
  <c r="N905" i="2"/>
  <c r="O905" i="2" s="1"/>
  <c r="N906" i="2"/>
  <c r="O906" i="2" s="1"/>
  <c r="N907" i="2"/>
  <c r="O907" i="2" s="1"/>
  <c r="N908" i="2"/>
  <c r="O908" i="2" s="1"/>
  <c r="N909" i="2"/>
  <c r="O909" i="2" s="1"/>
  <c r="N910" i="2"/>
  <c r="O910" i="2" s="1"/>
  <c r="N911" i="2"/>
  <c r="O911" i="2" s="1"/>
  <c r="N912" i="2"/>
  <c r="O912" i="2" s="1"/>
  <c r="N913" i="2"/>
  <c r="O913" i="2" s="1"/>
  <c r="N914" i="2"/>
  <c r="O914" i="2" s="1"/>
  <c r="N915" i="2"/>
  <c r="O915" i="2" s="1"/>
  <c r="N916" i="2"/>
  <c r="O916" i="2" s="1"/>
  <c r="N917" i="2"/>
  <c r="O917" i="2" s="1"/>
  <c r="N918" i="2"/>
  <c r="O918" i="2" s="1"/>
  <c r="N919" i="2"/>
  <c r="O919" i="2" s="1"/>
  <c r="N920" i="2"/>
  <c r="O920" i="2" s="1"/>
  <c r="N921" i="2"/>
  <c r="O921" i="2" s="1"/>
  <c r="N922" i="2"/>
  <c r="O922" i="2" s="1"/>
  <c r="N923" i="2"/>
  <c r="O923" i="2" s="1"/>
  <c r="N924" i="2"/>
  <c r="O924" i="2" s="1"/>
  <c r="N925" i="2"/>
  <c r="O925" i="2" s="1"/>
  <c r="N926" i="2"/>
  <c r="O926" i="2" s="1"/>
  <c r="N927" i="2"/>
  <c r="O927" i="2" s="1"/>
  <c r="N928" i="2"/>
  <c r="O928" i="2" s="1"/>
  <c r="N929" i="2"/>
  <c r="O929" i="2" s="1"/>
  <c r="N930" i="2"/>
  <c r="O930" i="2" s="1"/>
  <c r="N931" i="2"/>
  <c r="O931" i="2" s="1"/>
  <c r="N932" i="2"/>
  <c r="O932" i="2" s="1"/>
  <c r="N933" i="2"/>
  <c r="O933" i="2" s="1"/>
  <c r="N934" i="2"/>
  <c r="O934" i="2" s="1"/>
  <c r="N935" i="2"/>
  <c r="O935" i="2" s="1"/>
  <c r="N936" i="2"/>
  <c r="O936" i="2" s="1"/>
  <c r="N937" i="2"/>
  <c r="O937" i="2" s="1"/>
  <c r="N938" i="2"/>
  <c r="O938" i="2" s="1"/>
  <c r="N939" i="2"/>
  <c r="O939" i="2" s="1"/>
  <c r="N940" i="2"/>
  <c r="O940" i="2" s="1"/>
  <c r="N941" i="2"/>
  <c r="O941" i="2" s="1"/>
  <c r="N942" i="2"/>
  <c r="O942" i="2" s="1"/>
  <c r="N943" i="2"/>
  <c r="O943" i="2" s="1"/>
  <c r="N944" i="2"/>
  <c r="O944" i="2" s="1"/>
  <c r="N945" i="2"/>
  <c r="O945" i="2" s="1"/>
  <c r="N946" i="2"/>
  <c r="O946" i="2" s="1"/>
  <c r="N947" i="2"/>
  <c r="O947" i="2" s="1"/>
  <c r="N948" i="2"/>
  <c r="O948" i="2" s="1"/>
  <c r="N949" i="2"/>
  <c r="O949" i="2" s="1"/>
  <c r="N950" i="2"/>
  <c r="O950" i="2" s="1"/>
  <c r="N951" i="2"/>
  <c r="O951" i="2" s="1"/>
  <c r="N952" i="2"/>
  <c r="O952" i="2" s="1"/>
  <c r="N953" i="2"/>
  <c r="O953" i="2" s="1"/>
  <c r="N954" i="2"/>
  <c r="O954" i="2" s="1"/>
  <c r="N955" i="2"/>
  <c r="O955" i="2" s="1"/>
  <c r="N956" i="2"/>
  <c r="O956" i="2" s="1"/>
  <c r="N957" i="2"/>
  <c r="O957" i="2" s="1"/>
  <c r="N958" i="2"/>
  <c r="O958" i="2" s="1"/>
  <c r="N959" i="2"/>
  <c r="O959" i="2" s="1"/>
  <c r="N960" i="2"/>
  <c r="O960" i="2" s="1"/>
  <c r="N961" i="2"/>
  <c r="O961" i="2" s="1"/>
  <c r="N962" i="2"/>
  <c r="O962" i="2" s="1"/>
  <c r="N963" i="2"/>
  <c r="O963" i="2" s="1"/>
  <c r="N964" i="2"/>
  <c r="O964" i="2" s="1"/>
  <c r="N965" i="2"/>
  <c r="O965" i="2" s="1"/>
  <c r="N966" i="2"/>
  <c r="O966" i="2" s="1"/>
  <c r="N967" i="2"/>
  <c r="O967" i="2" s="1"/>
  <c r="N968" i="2"/>
  <c r="O968" i="2" s="1"/>
  <c r="N969" i="2"/>
  <c r="O969" i="2" s="1"/>
  <c r="N970" i="2"/>
  <c r="O970" i="2" s="1"/>
  <c r="N971" i="2"/>
  <c r="O971" i="2" s="1"/>
  <c r="N972" i="2"/>
  <c r="O972" i="2" s="1"/>
  <c r="N973" i="2"/>
  <c r="O973" i="2" s="1"/>
  <c r="N974" i="2"/>
  <c r="O974" i="2" s="1"/>
  <c r="N975" i="2"/>
  <c r="O975" i="2" s="1"/>
  <c r="N976" i="2"/>
  <c r="N977" i="2"/>
  <c r="O977" i="2" s="1"/>
  <c r="N978" i="2"/>
  <c r="O978" i="2" s="1"/>
  <c r="N979" i="2"/>
  <c r="O979" i="2" s="1"/>
  <c r="N980" i="2"/>
  <c r="O980" i="2" s="1"/>
  <c r="N981" i="2"/>
  <c r="O981" i="2" s="1"/>
  <c r="N982" i="2"/>
  <c r="O982" i="2" s="1"/>
  <c r="N984" i="2"/>
  <c r="O984" i="2" s="1"/>
  <c r="N985" i="2"/>
  <c r="O985" i="2" s="1"/>
  <c r="N986" i="2"/>
  <c r="O986" i="2" s="1"/>
  <c r="N987" i="2"/>
  <c r="O987" i="2" s="1"/>
  <c r="N988" i="2"/>
  <c r="O988" i="2" s="1"/>
  <c r="N989" i="2"/>
  <c r="O989" i="2" s="1"/>
  <c r="N990" i="2"/>
  <c r="O990" i="2" s="1"/>
  <c r="N991" i="2"/>
  <c r="O991" i="2" s="1"/>
  <c r="N992" i="2"/>
  <c r="O992" i="2" s="1"/>
  <c r="N993" i="2"/>
  <c r="O993" i="2" s="1"/>
  <c r="N994" i="2"/>
  <c r="O994" i="2" s="1"/>
  <c r="N995" i="2"/>
  <c r="O995" i="2" s="1"/>
  <c r="N996" i="2"/>
  <c r="O996" i="2" s="1"/>
  <c r="N997" i="2"/>
  <c r="O997" i="2" s="1"/>
  <c r="N998" i="2"/>
  <c r="O998" i="2" s="1"/>
  <c r="N999" i="2"/>
  <c r="O999" i="2" s="1"/>
  <c r="N1000" i="2"/>
  <c r="O1000" i="2" s="1"/>
  <c r="N1001" i="2"/>
  <c r="O1001" i="2" s="1"/>
  <c r="N1002" i="2"/>
  <c r="N1003" i="2"/>
  <c r="O1003" i="2" s="1"/>
  <c r="N1004" i="2"/>
  <c r="O1004" i="2" s="1"/>
  <c r="N1005" i="2"/>
  <c r="O1005" i="2" s="1"/>
  <c r="N1006" i="2"/>
  <c r="O1006" i="2" s="1"/>
  <c r="N1007" i="2"/>
  <c r="O1007" i="2" s="1"/>
  <c r="N1008" i="2"/>
  <c r="O1008" i="2" s="1"/>
  <c r="N1009" i="2"/>
  <c r="N1010" i="2"/>
  <c r="O1010" i="2" s="1"/>
  <c r="N1011" i="2"/>
  <c r="O1011" i="2" s="1"/>
  <c r="N1012" i="2"/>
  <c r="O1012" i="2" s="1"/>
  <c r="N1013" i="2"/>
  <c r="O1013" i="2" s="1"/>
  <c r="N1014" i="2"/>
  <c r="O1014" i="2" s="1"/>
  <c r="N1015" i="2"/>
  <c r="O1015" i="2" s="1"/>
  <c r="N1016" i="2"/>
  <c r="O1016" i="2" s="1"/>
  <c r="N1017" i="2"/>
  <c r="O1017" i="2" s="1"/>
  <c r="N1018" i="2"/>
  <c r="O1018" i="2" s="1"/>
  <c r="N1019" i="2"/>
  <c r="O1019" i="2" s="1"/>
  <c r="N1020" i="2"/>
  <c r="O1020" i="2" s="1"/>
  <c r="N1021" i="2"/>
  <c r="O1021" i="2" s="1"/>
  <c r="N1022" i="2"/>
  <c r="O1022" i="2" s="1"/>
  <c r="N1023" i="2"/>
  <c r="O1023" i="2" s="1"/>
  <c r="N1024" i="2"/>
  <c r="O1024" i="2" s="1"/>
  <c r="N1025" i="2"/>
  <c r="O1025" i="2" s="1"/>
  <c r="N1026" i="2"/>
  <c r="O1026" i="2" s="1"/>
  <c r="N1027" i="2"/>
  <c r="O1027" i="2" s="1"/>
  <c r="N1028" i="2"/>
  <c r="O1028" i="2" s="1"/>
  <c r="N1029" i="2"/>
  <c r="O1029" i="2" s="1"/>
  <c r="N1030" i="2"/>
  <c r="O1030" i="2" s="1"/>
  <c r="N1031" i="2"/>
  <c r="O1031" i="2" s="1"/>
  <c r="N1032" i="2"/>
  <c r="N1033" i="2"/>
  <c r="O1033" i="2" s="1"/>
  <c r="N1034" i="2"/>
  <c r="O1034" i="2" s="1"/>
  <c r="N1035" i="2"/>
  <c r="O1035" i="2" s="1"/>
  <c r="N1036" i="2"/>
  <c r="O1036" i="2" s="1"/>
  <c r="N1037" i="2"/>
  <c r="O1037" i="2" s="1"/>
  <c r="N1038" i="2"/>
  <c r="O1038" i="2" s="1"/>
  <c r="N1039" i="2"/>
  <c r="O1039" i="2" s="1"/>
  <c r="N1040" i="2"/>
  <c r="O1040" i="2" s="1"/>
  <c r="N1041" i="2"/>
  <c r="O1041" i="2" s="1"/>
  <c r="N1042" i="2"/>
  <c r="O1042" i="2" s="1"/>
  <c r="N1043" i="2"/>
  <c r="O1043" i="2" s="1"/>
  <c r="N1044" i="2"/>
  <c r="O1044" i="2" s="1"/>
  <c r="N1045" i="2"/>
  <c r="O1045" i="2" s="1"/>
  <c r="N1046" i="2"/>
  <c r="O1046" i="2" s="1"/>
  <c r="N1047" i="2"/>
  <c r="O1047" i="2" s="1"/>
  <c r="N1048" i="2"/>
  <c r="O1048" i="2" s="1"/>
  <c r="N1049" i="2"/>
  <c r="O1049" i="2" s="1"/>
  <c r="N1050" i="2"/>
  <c r="O1050" i="2" s="1"/>
  <c r="N1051" i="2"/>
  <c r="O1051" i="2" s="1"/>
  <c r="N1052" i="2"/>
  <c r="O1052" i="2" s="1"/>
  <c r="N1053" i="2"/>
  <c r="O1053" i="2" s="1"/>
  <c r="N1054" i="2"/>
  <c r="O1054" i="2" s="1"/>
  <c r="N1055" i="2"/>
  <c r="N1056" i="2"/>
  <c r="O1056" i="2" s="1"/>
  <c r="N1057" i="2"/>
  <c r="O1057" i="2" s="1"/>
  <c r="N1058" i="2"/>
  <c r="O1058" i="2" s="1"/>
  <c r="N1059" i="2"/>
  <c r="O1059" i="2" s="1"/>
  <c r="N1060" i="2"/>
  <c r="O1060" i="2" s="1"/>
  <c r="N1061" i="2"/>
  <c r="O1061" i="2" s="1"/>
  <c r="N1062" i="2"/>
  <c r="O1062" i="2" s="1"/>
  <c r="N1063" i="2"/>
  <c r="O1063" i="2" s="1"/>
  <c r="N1064" i="2"/>
  <c r="N1065" i="2"/>
  <c r="O1065" i="2" s="1"/>
  <c r="N1066" i="2"/>
  <c r="O1066" i="2" s="1"/>
  <c r="N1067" i="2"/>
  <c r="O1067" i="2" s="1"/>
  <c r="N1068" i="2"/>
  <c r="O1068" i="2" s="1"/>
  <c r="N1069" i="2"/>
  <c r="O1069" i="2" s="1"/>
  <c r="N2" i="2"/>
  <c r="F12" i="2"/>
  <c r="G12" i="2"/>
  <c r="F13" i="2"/>
  <c r="G13" i="2"/>
  <c r="J13" i="2"/>
  <c r="F14" i="2"/>
  <c r="G14" i="2"/>
  <c r="J14" i="2"/>
  <c r="F15" i="2"/>
  <c r="G15" i="2"/>
  <c r="J15" i="2"/>
  <c r="F16" i="2"/>
  <c r="G16" i="2"/>
  <c r="J16" i="2"/>
  <c r="F17" i="2"/>
  <c r="G17" i="2"/>
  <c r="J17" i="2"/>
  <c r="F18" i="2"/>
  <c r="G18" i="2"/>
  <c r="J18" i="2"/>
  <c r="F19" i="2"/>
  <c r="G19" i="2"/>
  <c r="J19" i="2"/>
  <c r="F20" i="2"/>
  <c r="G20" i="2"/>
  <c r="J20" i="2"/>
  <c r="F21" i="2"/>
  <c r="G21" i="2"/>
  <c r="J21" i="2"/>
  <c r="F22" i="2"/>
  <c r="G22" i="2"/>
  <c r="J22" i="2"/>
  <c r="F23" i="2"/>
  <c r="G23" i="2"/>
  <c r="J23" i="2"/>
  <c r="F24" i="2"/>
  <c r="G24" i="2"/>
  <c r="J24" i="2"/>
  <c r="F25" i="2"/>
  <c r="G25" i="2"/>
  <c r="J25" i="2"/>
  <c r="F26" i="2"/>
  <c r="G26" i="2"/>
  <c r="J26" i="2"/>
  <c r="F27" i="2"/>
  <c r="G27" i="2"/>
  <c r="J27" i="2"/>
  <c r="F28" i="2"/>
  <c r="G28" i="2"/>
  <c r="J28" i="2"/>
  <c r="F29" i="2"/>
  <c r="G29" i="2"/>
  <c r="H29" i="2"/>
  <c r="J29" i="2" s="1"/>
  <c r="F121" i="2"/>
  <c r="G121" i="2"/>
  <c r="H121" i="2"/>
  <c r="J121" i="2" s="1"/>
  <c r="F122" i="2"/>
  <c r="G122" i="2"/>
  <c r="H122" i="2"/>
  <c r="J122" i="2" s="1"/>
  <c r="F123" i="2"/>
  <c r="G123" i="2"/>
  <c r="H123" i="2"/>
  <c r="J123" i="2" s="1"/>
  <c r="F124" i="2"/>
  <c r="G124" i="2"/>
  <c r="H124" i="2"/>
  <c r="J124" i="2" s="1"/>
  <c r="F125" i="2"/>
  <c r="G125" i="2"/>
  <c r="H125" i="2"/>
  <c r="J125" i="2" s="1"/>
  <c r="F126" i="2"/>
  <c r="G126" i="2"/>
  <c r="H126" i="2"/>
  <c r="J126" i="2" s="1"/>
  <c r="F127" i="2"/>
  <c r="G127" i="2"/>
  <c r="H127" i="2"/>
  <c r="J127" i="2" s="1"/>
  <c r="F128" i="2"/>
  <c r="G128" i="2"/>
  <c r="H128" i="2"/>
  <c r="J128" i="2" s="1"/>
  <c r="F129" i="2"/>
  <c r="G129" i="2"/>
  <c r="H129" i="2"/>
  <c r="J129" i="2" s="1"/>
  <c r="F130" i="2"/>
  <c r="G130" i="2"/>
  <c r="H130" i="2"/>
  <c r="J130" i="2" s="1"/>
  <c r="F131" i="2"/>
  <c r="G131" i="2"/>
  <c r="H131" i="2"/>
  <c r="J131" i="2" s="1"/>
  <c r="F132" i="2"/>
  <c r="G132" i="2"/>
  <c r="H132" i="2"/>
  <c r="J132" i="2" s="1"/>
  <c r="F133" i="2"/>
  <c r="G133" i="2"/>
  <c r="H133" i="2"/>
  <c r="J133" i="2" s="1"/>
  <c r="F134" i="2"/>
  <c r="G134" i="2"/>
  <c r="H134" i="2"/>
  <c r="J134" i="2" s="1"/>
  <c r="F135" i="2"/>
  <c r="G135" i="2"/>
  <c r="H135" i="2"/>
  <c r="J135" i="2" s="1"/>
  <c r="F136" i="2"/>
  <c r="G136" i="2"/>
  <c r="H136" i="2"/>
  <c r="J136" i="2" s="1"/>
  <c r="F137" i="2"/>
  <c r="G137" i="2"/>
  <c r="H137" i="2"/>
  <c r="J137" i="2" s="1"/>
  <c r="F138" i="2"/>
  <c r="G138" i="2"/>
  <c r="H138" i="2"/>
  <c r="J138" i="2" s="1"/>
  <c r="F139" i="2"/>
  <c r="G139" i="2"/>
  <c r="H139" i="2"/>
  <c r="J139" i="2" s="1"/>
  <c r="F140" i="2"/>
  <c r="G140" i="2"/>
  <c r="H140" i="2"/>
  <c r="J140" i="2" s="1"/>
  <c r="F141" i="2"/>
  <c r="G141" i="2"/>
  <c r="H141" i="2"/>
  <c r="J141" i="2" s="1"/>
  <c r="F142" i="2"/>
  <c r="G142" i="2"/>
  <c r="H142" i="2"/>
  <c r="J142" i="2" s="1"/>
  <c r="F143" i="2"/>
  <c r="G143" i="2"/>
  <c r="H143" i="2"/>
  <c r="J143" i="2" s="1"/>
  <c r="F144" i="2"/>
  <c r="G144" i="2"/>
  <c r="H144" i="2"/>
  <c r="J144" i="2" s="1"/>
  <c r="F145" i="2"/>
  <c r="G145" i="2"/>
  <c r="H145" i="2"/>
  <c r="J145" i="2" s="1"/>
  <c r="F146" i="2"/>
  <c r="G146" i="2"/>
  <c r="H146" i="2"/>
  <c r="J146" i="2" s="1"/>
  <c r="F147" i="2"/>
  <c r="G147" i="2"/>
  <c r="H147" i="2"/>
  <c r="J147" i="2" s="1"/>
  <c r="F148" i="2"/>
  <c r="G148" i="2"/>
  <c r="H148" i="2"/>
  <c r="J148" i="2" s="1"/>
  <c r="F149" i="2"/>
  <c r="G149" i="2"/>
  <c r="H149" i="2"/>
  <c r="J149" i="2" s="1"/>
  <c r="F150" i="2"/>
  <c r="G150" i="2"/>
  <c r="H150" i="2"/>
  <c r="J150" i="2" s="1"/>
  <c r="F151" i="2"/>
  <c r="G151" i="2"/>
  <c r="H151" i="2"/>
  <c r="J151" i="2" s="1"/>
  <c r="F152" i="2"/>
  <c r="G152" i="2"/>
  <c r="H152" i="2"/>
  <c r="J152" i="2" s="1"/>
  <c r="F153" i="2"/>
  <c r="G153" i="2"/>
  <c r="H153" i="2"/>
  <c r="J153" i="2" s="1"/>
  <c r="F154" i="2"/>
  <c r="G154" i="2"/>
  <c r="H154" i="2"/>
  <c r="J154" i="2" s="1"/>
  <c r="F155" i="2"/>
  <c r="G155" i="2"/>
  <c r="H155" i="2"/>
  <c r="J155" i="2" s="1"/>
  <c r="F156" i="2"/>
  <c r="G156" i="2"/>
  <c r="H156" i="2"/>
  <c r="J156" i="2" s="1"/>
  <c r="F157" i="2"/>
  <c r="G157" i="2"/>
  <c r="H157" i="2"/>
  <c r="J157" i="2" s="1"/>
  <c r="F158" i="2"/>
  <c r="G158" i="2"/>
  <c r="H158" i="2"/>
  <c r="J158" i="2" s="1"/>
  <c r="F159" i="2"/>
  <c r="G159" i="2"/>
  <c r="H159" i="2"/>
  <c r="J159" i="2" s="1"/>
  <c r="F160" i="2"/>
  <c r="G160" i="2"/>
  <c r="H160" i="2"/>
  <c r="J160" i="2" s="1"/>
  <c r="F161" i="2"/>
  <c r="G161" i="2"/>
  <c r="H161" i="2"/>
  <c r="J161" i="2" s="1"/>
  <c r="F162" i="2"/>
  <c r="G162" i="2"/>
  <c r="H162" i="2"/>
  <c r="J162" i="2" s="1"/>
  <c r="F163" i="2"/>
  <c r="G163" i="2"/>
  <c r="H163" i="2"/>
  <c r="J163" i="2" s="1"/>
  <c r="F164" i="2"/>
  <c r="G164" i="2"/>
  <c r="H164" i="2"/>
  <c r="J164" i="2" s="1"/>
  <c r="F165" i="2"/>
  <c r="G165" i="2"/>
  <c r="H165" i="2"/>
  <c r="J165" i="2" s="1"/>
  <c r="F166" i="2"/>
  <c r="G166" i="2"/>
  <c r="H166" i="2"/>
  <c r="J166" i="2" s="1"/>
  <c r="F167" i="2"/>
  <c r="G167" i="2"/>
  <c r="H167" i="2"/>
  <c r="J167" i="2" s="1"/>
  <c r="F168" i="2"/>
  <c r="G168" i="2"/>
  <c r="H168" i="2"/>
  <c r="J168" i="2" s="1"/>
  <c r="F169" i="2"/>
  <c r="G169" i="2"/>
  <c r="H169" i="2"/>
  <c r="J169" i="2" s="1"/>
  <c r="J170" i="2"/>
  <c r="F171" i="2"/>
  <c r="G171" i="2"/>
  <c r="H171" i="2"/>
  <c r="J171" i="2" s="1"/>
  <c r="F172" i="2"/>
  <c r="G172" i="2"/>
  <c r="H172" i="2"/>
  <c r="J172" i="2" s="1"/>
  <c r="F173" i="2"/>
  <c r="G173" i="2"/>
  <c r="H173" i="2"/>
  <c r="J173" i="2" s="1"/>
  <c r="F174" i="2"/>
  <c r="G174" i="2"/>
  <c r="H174" i="2"/>
  <c r="J174" i="2" s="1"/>
  <c r="F175" i="2"/>
  <c r="G175" i="2"/>
  <c r="H175" i="2"/>
  <c r="J175" i="2" s="1"/>
  <c r="F176" i="2"/>
  <c r="G176" i="2"/>
  <c r="H176" i="2"/>
  <c r="J176" i="2" s="1"/>
  <c r="F177" i="2"/>
  <c r="G177" i="2"/>
  <c r="H177" i="2"/>
  <c r="J177" i="2" s="1"/>
  <c r="F178" i="2"/>
  <c r="G178" i="2"/>
  <c r="H178" i="2"/>
  <c r="J178" i="2" s="1"/>
  <c r="F179" i="2"/>
  <c r="G179" i="2"/>
  <c r="H179" i="2"/>
  <c r="J179" i="2" s="1"/>
  <c r="F180" i="2"/>
  <c r="G180" i="2"/>
  <c r="H180" i="2"/>
  <c r="J180" i="2" s="1"/>
  <c r="F181" i="2"/>
  <c r="G181" i="2"/>
  <c r="H181" i="2"/>
  <c r="J181" i="2" s="1"/>
  <c r="F182" i="2"/>
  <c r="G182" i="2"/>
  <c r="H182" i="2"/>
  <c r="J182" i="2" s="1"/>
  <c r="F617" i="2"/>
  <c r="G617" i="2"/>
  <c r="H617" i="2"/>
  <c r="J617" i="2" s="1"/>
  <c r="F618" i="2"/>
  <c r="G618" i="2"/>
  <c r="H618" i="2"/>
  <c r="J618" i="2" s="1"/>
  <c r="F619" i="2"/>
  <c r="G619" i="2"/>
  <c r="H619" i="2"/>
  <c r="J619" i="2" s="1"/>
  <c r="F620" i="2"/>
  <c r="G620" i="2"/>
  <c r="H620" i="2"/>
  <c r="J620" i="2" s="1"/>
  <c r="F621" i="2"/>
  <c r="G621" i="2"/>
  <c r="H621" i="2"/>
  <c r="J621" i="2" s="1"/>
  <c r="F622" i="2"/>
  <c r="G622" i="2"/>
  <c r="H622" i="2"/>
  <c r="J622" i="2" s="1"/>
  <c r="F623" i="2"/>
  <c r="G623" i="2"/>
  <c r="H623" i="2"/>
  <c r="J623" i="2" s="1"/>
  <c r="F624" i="2"/>
  <c r="G624" i="2"/>
  <c r="H624" i="2"/>
  <c r="J624" i="2" s="1"/>
  <c r="F625" i="2"/>
  <c r="G625" i="2"/>
  <c r="H625" i="2"/>
  <c r="J625" i="2" s="1"/>
  <c r="F626" i="2"/>
  <c r="G626" i="2"/>
  <c r="H626" i="2"/>
  <c r="J626" i="2" s="1"/>
  <c r="F627" i="2"/>
  <c r="G627" i="2"/>
  <c r="H627" i="2"/>
  <c r="J627" i="2" s="1"/>
  <c r="F628" i="2"/>
  <c r="G628" i="2"/>
  <c r="H628" i="2"/>
  <c r="J628" i="2" s="1"/>
  <c r="F629" i="2"/>
  <c r="G629" i="2"/>
  <c r="H629" i="2"/>
  <c r="J629" i="2" s="1"/>
  <c r="F630" i="2"/>
  <c r="G630" i="2"/>
  <c r="H630" i="2"/>
  <c r="J630" i="2" s="1"/>
  <c r="F631" i="2"/>
  <c r="G631" i="2"/>
  <c r="H631" i="2"/>
  <c r="J631" i="2" s="1"/>
  <c r="F632" i="2"/>
  <c r="G632" i="2"/>
  <c r="H632" i="2"/>
  <c r="J632" i="2" s="1"/>
  <c r="F633" i="2"/>
  <c r="G633" i="2"/>
  <c r="H633" i="2"/>
  <c r="J633" i="2" s="1"/>
  <c r="F634" i="2"/>
  <c r="G634" i="2"/>
  <c r="H634" i="2"/>
  <c r="J634" i="2" s="1"/>
  <c r="F635" i="2"/>
  <c r="G635" i="2"/>
  <c r="H635" i="2"/>
  <c r="J635" i="2" s="1"/>
  <c r="F636" i="2"/>
  <c r="G636" i="2"/>
  <c r="H636" i="2"/>
  <c r="J636" i="2" s="1"/>
  <c r="F637" i="2"/>
  <c r="G637" i="2"/>
  <c r="H637" i="2"/>
  <c r="J637" i="2" s="1"/>
  <c r="F638" i="2"/>
  <c r="G638" i="2"/>
  <c r="H638" i="2"/>
  <c r="J638" i="2" s="1"/>
  <c r="F639" i="2"/>
  <c r="G639" i="2"/>
  <c r="H639" i="2"/>
  <c r="J639" i="2" s="1"/>
  <c r="F640" i="2"/>
  <c r="G640" i="2"/>
  <c r="H640" i="2"/>
  <c r="J640" i="2" s="1"/>
  <c r="F641" i="2"/>
  <c r="G641" i="2"/>
  <c r="H641" i="2"/>
  <c r="J641" i="2" s="1"/>
  <c r="F642" i="2"/>
  <c r="G642" i="2"/>
  <c r="H642" i="2"/>
  <c r="J642" i="2" s="1"/>
  <c r="F643" i="2"/>
  <c r="G643" i="2"/>
  <c r="H643" i="2"/>
  <c r="J643" i="2" s="1"/>
  <c r="F644" i="2"/>
  <c r="G644" i="2"/>
  <c r="H644" i="2"/>
  <c r="J644" i="2" s="1"/>
  <c r="F645" i="2"/>
  <c r="G645" i="2"/>
  <c r="H645" i="2"/>
  <c r="J645" i="2" s="1"/>
  <c r="F646" i="2"/>
  <c r="G646" i="2"/>
  <c r="H646" i="2"/>
  <c r="J646" i="2" s="1"/>
  <c r="F647" i="2"/>
  <c r="G647" i="2"/>
  <c r="H647" i="2"/>
  <c r="J647" i="2" s="1"/>
  <c r="F648" i="2"/>
  <c r="G648" i="2"/>
  <c r="H648" i="2"/>
  <c r="J648" i="2" s="1"/>
  <c r="F649" i="2"/>
  <c r="G649" i="2"/>
  <c r="H649" i="2"/>
  <c r="J649" i="2" s="1"/>
  <c r="F650" i="2"/>
  <c r="G650" i="2"/>
  <c r="H650" i="2"/>
  <c r="J650" i="2" s="1"/>
  <c r="F651" i="2"/>
  <c r="G651" i="2"/>
  <c r="H651" i="2"/>
  <c r="J651" i="2" s="1"/>
  <c r="F652" i="2"/>
  <c r="G652" i="2"/>
  <c r="H652" i="2"/>
  <c r="J652" i="2" s="1"/>
  <c r="F653" i="2"/>
  <c r="G653" i="2"/>
  <c r="H653" i="2"/>
  <c r="J653" i="2" s="1"/>
  <c r="F654" i="2"/>
  <c r="G654" i="2"/>
  <c r="H654" i="2"/>
  <c r="J654" i="2" s="1"/>
  <c r="F655" i="2"/>
  <c r="G655" i="2"/>
  <c r="H655" i="2"/>
  <c r="J655" i="2" s="1"/>
  <c r="F656" i="2"/>
  <c r="G656" i="2"/>
  <c r="H656" i="2"/>
  <c r="J656" i="2" s="1"/>
  <c r="F657" i="2"/>
  <c r="G657" i="2"/>
  <c r="H657" i="2"/>
  <c r="J657" i="2" s="1"/>
  <c r="F658" i="2"/>
  <c r="G658" i="2"/>
  <c r="H658" i="2"/>
  <c r="J658" i="2" s="1"/>
  <c r="F659" i="2"/>
  <c r="G659" i="2"/>
  <c r="H659" i="2"/>
  <c r="J659" i="2" s="1"/>
  <c r="F660" i="2"/>
  <c r="G660" i="2"/>
  <c r="H660" i="2"/>
  <c r="J660" i="2" s="1"/>
  <c r="F661" i="2"/>
  <c r="G661" i="2"/>
  <c r="H661" i="2"/>
  <c r="J661" i="2" s="1"/>
  <c r="F662" i="2"/>
  <c r="G662" i="2"/>
  <c r="H662" i="2"/>
  <c r="J662" i="2" s="1"/>
  <c r="F663" i="2"/>
  <c r="G663" i="2"/>
  <c r="H663" i="2"/>
  <c r="J663" i="2" s="1"/>
  <c r="F664" i="2"/>
  <c r="G664" i="2"/>
  <c r="H664" i="2"/>
  <c r="J664" i="2" s="1"/>
  <c r="F665" i="2"/>
  <c r="G665" i="2"/>
  <c r="H665" i="2"/>
  <c r="J665" i="2" s="1"/>
  <c r="F666" i="2"/>
  <c r="G666" i="2"/>
  <c r="H666" i="2"/>
  <c r="J666" i="2" s="1"/>
  <c r="F667" i="2"/>
  <c r="G667" i="2"/>
  <c r="H667" i="2"/>
  <c r="J667" i="2" s="1"/>
  <c r="F668" i="2"/>
  <c r="G668" i="2"/>
  <c r="H668" i="2"/>
  <c r="J668" i="2" s="1"/>
  <c r="F669" i="2"/>
  <c r="G669" i="2"/>
  <c r="H669" i="2"/>
  <c r="J669" i="2" s="1"/>
  <c r="J670" i="2"/>
  <c r="F671" i="2"/>
  <c r="G671" i="2"/>
  <c r="H671" i="2"/>
  <c r="J671" i="2" s="1"/>
  <c r="F672" i="2"/>
  <c r="G672" i="2"/>
  <c r="H672" i="2"/>
  <c r="J672" i="2" s="1"/>
  <c r="F673" i="2"/>
  <c r="G673" i="2"/>
  <c r="H673" i="2"/>
  <c r="J673" i="2" s="1"/>
  <c r="F674" i="2"/>
  <c r="G674" i="2"/>
  <c r="H674" i="2"/>
  <c r="J674" i="2" s="1"/>
  <c r="F675" i="2"/>
  <c r="G675" i="2"/>
  <c r="H675" i="2"/>
  <c r="J675" i="2" s="1"/>
  <c r="F676" i="2"/>
  <c r="G676" i="2"/>
  <c r="H676" i="2"/>
  <c r="J676" i="2" s="1"/>
  <c r="F677" i="2"/>
  <c r="G677" i="2"/>
  <c r="H677" i="2"/>
  <c r="J677" i="2" s="1"/>
  <c r="F678" i="2"/>
  <c r="G678" i="2"/>
  <c r="H678" i="2"/>
  <c r="J678" i="2" s="1"/>
  <c r="F679" i="2"/>
  <c r="G679" i="2"/>
  <c r="H679" i="2"/>
  <c r="J679" i="2" s="1"/>
  <c r="J680" i="2"/>
  <c r="F681" i="2"/>
  <c r="G681" i="2"/>
  <c r="H681" i="2"/>
  <c r="J681" i="2" s="1"/>
  <c r="F682" i="2"/>
  <c r="G682" i="2"/>
  <c r="H682" i="2"/>
  <c r="J682" i="2" s="1"/>
  <c r="J683" i="2"/>
  <c r="F684" i="2"/>
  <c r="G684" i="2"/>
  <c r="H684" i="2"/>
  <c r="J684" i="2" s="1"/>
  <c r="F685" i="2"/>
  <c r="G685" i="2"/>
  <c r="H685" i="2"/>
  <c r="J685" i="2" s="1"/>
  <c r="F686" i="2"/>
  <c r="G686" i="2"/>
  <c r="H686" i="2"/>
  <c r="J686" i="2" s="1"/>
  <c r="F687" i="2"/>
  <c r="G687" i="2"/>
  <c r="H687" i="2"/>
  <c r="J687" i="2" s="1"/>
  <c r="F688" i="2"/>
  <c r="G688" i="2"/>
  <c r="H688" i="2"/>
  <c r="J688" i="2" s="1"/>
  <c r="F689" i="2"/>
  <c r="G689" i="2"/>
  <c r="H689" i="2"/>
  <c r="J689" i="2" s="1"/>
  <c r="F690" i="2"/>
  <c r="G690" i="2"/>
  <c r="H690" i="2"/>
  <c r="J690" i="2" s="1"/>
  <c r="F691" i="2"/>
  <c r="G691" i="2"/>
  <c r="H691" i="2"/>
  <c r="J691" i="2" s="1"/>
  <c r="F692" i="2"/>
  <c r="G692" i="2"/>
  <c r="H692" i="2"/>
  <c r="J692" i="2" s="1"/>
  <c r="F693" i="2"/>
  <c r="G693" i="2"/>
  <c r="H693" i="2"/>
  <c r="J693" i="2" s="1"/>
  <c r="F695" i="2"/>
  <c r="G695" i="2"/>
  <c r="H695" i="2"/>
  <c r="F696" i="2"/>
  <c r="G696" i="2"/>
  <c r="H696" i="2"/>
  <c r="J696" i="2" s="1"/>
  <c r="F697" i="2"/>
  <c r="G697" i="2"/>
  <c r="H697" i="2"/>
  <c r="J697" i="2" s="1"/>
  <c r="F698" i="2"/>
  <c r="G698" i="2"/>
  <c r="H698" i="2"/>
  <c r="J698" i="2" s="1"/>
  <c r="F699" i="2"/>
  <c r="G699" i="2"/>
  <c r="H699" i="2"/>
  <c r="J699" i="2" s="1"/>
  <c r="F700" i="2"/>
  <c r="G700" i="2"/>
  <c r="H700" i="2"/>
  <c r="J700" i="2" s="1"/>
  <c r="F701" i="2"/>
  <c r="G701" i="2"/>
  <c r="H701" i="2"/>
  <c r="J701" i="2" s="1"/>
  <c r="F702" i="2"/>
  <c r="G702" i="2"/>
  <c r="H702" i="2"/>
  <c r="J702" i="2" s="1"/>
  <c r="F703" i="2"/>
  <c r="G703" i="2"/>
  <c r="H703" i="2"/>
  <c r="J703" i="2" s="1"/>
  <c r="F704" i="2"/>
  <c r="G704" i="2"/>
  <c r="J704" i="2"/>
  <c r="F705" i="2"/>
  <c r="G705" i="2"/>
  <c r="J705" i="2"/>
  <c r="F706" i="2"/>
  <c r="G706" i="2"/>
  <c r="J706" i="2"/>
  <c r="F707" i="2"/>
  <c r="G707" i="2"/>
  <c r="J707" i="2"/>
  <c r="F708" i="2"/>
  <c r="G708" i="2"/>
  <c r="J708" i="2"/>
  <c r="F709" i="2"/>
  <c r="G709" i="2"/>
  <c r="J709" i="2"/>
  <c r="F710" i="2"/>
  <c r="G710" i="2"/>
  <c r="J710" i="2"/>
  <c r="F711" i="2"/>
  <c r="G711" i="2"/>
  <c r="J711" i="2"/>
  <c r="F712" i="2"/>
  <c r="G712" i="2"/>
  <c r="J712" i="2"/>
  <c r="F713" i="2"/>
  <c r="G713" i="2"/>
  <c r="J713" i="2"/>
  <c r="F714" i="2"/>
  <c r="G714" i="2"/>
  <c r="J714" i="2"/>
  <c r="F715" i="2"/>
  <c r="G715" i="2"/>
  <c r="J715" i="2"/>
  <c r="F716" i="2"/>
  <c r="G716" i="2"/>
  <c r="J716" i="2"/>
  <c r="F717" i="2"/>
  <c r="G717" i="2"/>
  <c r="J717" i="2"/>
  <c r="F718" i="2"/>
  <c r="G718" i="2"/>
  <c r="J718" i="2"/>
  <c r="F719" i="2"/>
  <c r="G719" i="2"/>
  <c r="J719" i="2"/>
  <c r="F720" i="2"/>
  <c r="G720" i="2"/>
  <c r="J720" i="2"/>
  <c r="F721" i="2"/>
  <c r="G721" i="2"/>
  <c r="J721" i="2"/>
  <c r="F722" i="2"/>
  <c r="G722" i="2"/>
  <c r="J722" i="2"/>
  <c r="F723" i="2"/>
  <c r="G723" i="2"/>
  <c r="J723" i="2"/>
  <c r="F724" i="2"/>
  <c r="G724" i="2"/>
  <c r="J724" i="2"/>
  <c r="G725" i="2"/>
  <c r="H725" i="2"/>
  <c r="J725" i="2" s="1"/>
  <c r="F726" i="2"/>
  <c r="G726" i="2"/>
  <c r="H726" i="2"/>
  <c r="J726" i="2" s="1"/>
  <c r="F727" i="2"/>
  <c r="G727" i="2"/>
  <c r="H727" i="2"/>
  <c r="J727" i="2" s="1"/>
  <c r="F728" i="2"/>
  <c r="G728" i="2"/>
  <c r="H728" i="2"/>
  <c r="J728" i="2" s="1"/>
  <c r="F729" i="2"/>
  <c r="G729" i="2"/>
  <c r="H729" i="2"/>
  <c r="J729" i="2" s="1"/>
  <c r="F730" i="2"/>
  <c r="G730" i="2"/>
  <c r="H730" i="2"/>
  <c r="J730" i="2" s="1"/>
  <c r="F731" i="2"/>
  <c r="G731" i="2"/>
  <c r="H731" i="2"/>
  <c r="J731" i="2" s="1"/>
  <c r="F732" i="2"/>
  <c r="G732" i="2"/>
  <c r="H732" i="2"/>
  <c r="J732" i="2" s="1"/>
  <c r="F733" i="2"/>
  <c r="G733" i="2"/>
  <c r="H733" i="2"/>
  <c r="J733" i="2" s="1"/>
  <c r="F734" i="2"/>
  <c r="G734" i="2"/>
  <c r="H734" i="2"/>
  <c r="J734" i="2" s="1"/>
  <c r="F735" i="2"/>
  <c r="G735" i="2"/>
  <c r="H735" i="2"/>
  <c r="J735" i="2" s="1"/>
  <c r="F736" i="2"/>
  <c r="G736" i="2"/>
  <c r="H736" i="2"/>
  <c r="J736" i="2" s="1"/>
  <c r="F737" i="2"/>
  <c r="G737" i="2"/>
  <c r="H737" i="2"/>
  <c r="J737" i="2" s="1"/>
  <c r="F738" i="2"/>
  <c r="G738" i="2"/>
  <c r="H738" i="2"/>
  <c r="J738" i="2" s="1"/>
  <c r="F739" i="2"/>
  <c r="G739" i="2"/>
  <c r="H739" i="2"/>
  <c r="J739" i="2" s="1"/>
  <c r="F740" i="2"/>
  <c r="G740" i="2"/>
  <c r="H740" i="2"/>
  <c r="J740" i="2" s="1"/>
  <c r="F741" i="2"/>
  <c r="G741" i="2"/>
  <c r="H741" i="2"/>
  <c r="J741" i="2" s="1"/>
  <c r="F742" i="2"/>
  <c r="G742" i="2"/>
  <c r="H742" i="2"/>
  <c r="J742" i="2" s="1"/>
  <c r="F743" i="2"/>
  <c r="G743" i="2"/>
  <c r="H743" i="2"/>
  <c r="J743" i="2" s="1"/>
  <c r="F744" i="2"/>
  <c r="G744" i="2"/>
  <c r="H744" i="2"/>
  <c r="J744" i="2" s="1"/>
  <c r="F745" i="2"/>
  <c r="G745" i="2"/>
  <c r="H745" i="2"/>
  <c r="J745" i="2" s="1"/>
  <c r="F746" i="2"/>
  <c r="G746" i="2"/>
  <c r="H746" i="2"/>
  <c r="J746" i="2" s="1"/>
  <c r="F747" i="2"/>
  <c r="G747" i="2"/>
  <c r="H747" i="2"/>
  <c r="J747" i="2" s="1"/>
  <c r="F748" i="2"/>
  <c r="G748" i="2"/>
  <c r="H748" i="2"/>
  <c r="J748" i="2" s="1"/>
  <c r="F749" i="2"/>
  <c r="G749" i="2"/>
  <c r="H749" i="2"/>
  <c r="J749" i="2" s="1"/>
  <c r="F750" i="2"/>
  <c r="G750" i="2"/>
  <c r="H750" i="2"/>
  <c r="J750" i="2" s="1"/>
  <c r="F751" i="2"/>
  <c r="G751" i="2"/>
  <c r="H751" i="2"/>
  <c r="J751" i="2" s="1"/>
  <c r="F752" i="2"/>
  <c r="G752" i="2"/>
  <c r="H752" i="2"/>
  <c r="J752" i="2" s="1"/>
  <c r="F753" i="2"/>
  <c r="G753" i="2"/>
  <c r="H753" i="2"/>
  <c r="J753" i="2" s="1"/>
  <c r="F754" i="2"/>
  <c r="G754" i="2"/>
  <c r="H754" i="2"/>
  <c r="J754" i="2" s="1"/>
  <c r="F755" i="2"/>
  <c r="G755" i="2"/>
  <c r="H755" i="2"/>
  <c r="J755" i="2" s="1"/>
  <c r="F756" i="2"/>
  <c r="G756" i="2"/>
  <c r="H756" i="2"/>
  <c r="J756" i="2" s="1"/>
  <c r="F757" i="2"/>
  <c r="G757" i="2"/>
  <c r="H757" i="2"/>
  <c r="J757" i="2" s="1"/>
  <c r="F758" i="2"/>
  <c r="G758" i="2"/>
  <c r="H758" i="2"/>
  <c r="J758" i="2" s="1"/>
  <c r="F759" i="2"/>
  <c r="G759" i="2"/>
  <c r="H759" i="2"/>
  <c r="J759" i="2" s="1"/>
  <c r="F760" i="2"/>
  <c r="G760" i="2"/>
  <c r="H760" i="2"/>
  <c r="J760" i="2" s="1"/>
  <c r="F761" i="2"/>
  <c r="G761" i="2"/>
  <c r="H761" i="2"/>
  <c r="J761" i="2" s="1"/>
  <c r="F762" i="2"/>
  <c r="G762" i="2"/>
  <c r="H762" i="2"/>
  <c r="J762" i="2" s="1"/>
  <c r="F763" i="2"/>
  <c r="G763" i="2"/>
  <c r="H763" i="2"/>
  <c r="J763" i="2" s="1"/>
  <c r="F764" i="2"/>
  <c r="G764" i="2"/>
  <c r="H764" i="2"/>
  <c r="J764" i="2" s="1"/>
  <c r="F765" i="2"/>
  <c r="G765" i="2"/>
  <c r="H765" i="2"/>
  <c r="J765" i="2" s="1"/>
  <c r="F766" i="2"/>
  <c r="G766" i="2"/>
  <c r="H766" i="2"/>
  <c r="J766" i="2" s="1"/>
  <c r="F767" i="2"/>
  <c r="G767" i="2"/>
  <c r="H767" i="2"/>
  <c r="J767" i="2" s="1"/>
  <c r="F768" i="2"/>
  <c r="G768" i="2"/>
  <c r="H768" i="2"/>
  <c r="J768" i="2" s="1"/>
  <c r="J769" i="2"/>
  <c r="F770" i="2"/>
  <c r="G770" i="2"/>
  <c r="H770" i="2"/>
  <c r="J770" i="2" s="1"/>
  <c r="F771" i="2"/>
  <c r="G771" i="2"/>
  <c r="H771" i="2"/>
  <c r="J771" i="2" s="1"/>
  <c r="F772" i="2"/>
  <c r="G772" i="2"/>
  <c r="H772" i="2"/>
  <c r="J772" i="2" s="1"/>
  <c r="F773" i="2"/>
  <c r="G773" i="2"/>
  <c r="H773" i="2"/>
  <c r="J773" i="2" s="1"/>
  <c r="F774" i="2"/>
  <c r="G774" i="2"/>
  <c r="H774" i="2"/>
  <c r="J774" i="2" s="1"/>
  <c r="F775" i="2"/>
  <c r="G775" i="2"/>
  <c r="H775" i="2"/>
  <c r="J775" i="2" s="1"/>
  <c r="F776" i="2"/>
  <c r="G776" i="2"/>
  <c r="H776" i="2"/>
  <c r="J776" i="2" s="1"/>
  <c r="F777" i="2"/>
  <c r="G777" i="2"/>
  <c r="H777" i="2"/>
  <c r="J777" i="2" s="1"/>
  <c r="F778" i="2"/>
  <c r="G778" i="2"/>
  <c r="H778" i="2"/>
  <c r="J778" i="2" s="1"/>
  <c r="F779" i="2"/>
  <c r="G779" i="2"/>
  <c r="H779" i="2"/>
  <c r="J779" i="2" s="1"/>
  <c r="F780" i="2"/>
  <c r="G780" i="2"/>
  <c r="H780" i="2"/>
  <c r="J780" i="2" s="1"/>
  <c r="F781" i="2"/>
  <c r="G781" i="2"/>
  <c r="H781" i="2"/>
  <c r="J781" i="2" s="1"/>
  <c r="F782" i="2"/>
  <c r="G782" i="2"/>
  <c r="H782" i="2"/>
  <c r="J782" i="2" s="1"/>
  <c r="F783" i="2"/>
  <c r="G783" i="2"/>
  <c r="H783" i="2"/>
  <c r="J783" i="2" s="1"/>
  <c r="F784" i="2"/>
  <c r="G784" i="2"/>
  <c r="H784" i="2"/>
  <c r="J784" i="2" s="1"/>
  <c r="F785" i="2"/>
  <c r="G785" i="2"/>
  <c r="H785" i="2"/>
  <c r="J785" i="2" s="1"/>
  <c r="F786" i="2"/>
  <c r="G786" i="2"/>
  <c r="H786" i="2"/>
  <c r="J786" i="2" s="1"/>
  <c r="F787" i="2"/>
  <c r="G787" i="2"/>
  <c r="H787" i="2"/>
  <c r="J787" i="2" s="1"/>
  <c r="F788" i="2"/>
  <c r="G788" i="2"/>
  <c r="H788" i="2"/>
  <c r="J788" i="2" s="1"/>
  <c r="F789" i="2"/>
  <c r="G789" i="2"/>
  <c r="H789" i="2"/>
  <c r="J789" i="2" s="1"/>
  <c r="F790" i="2"/>
  <c r="G790" i="2"/>
  <c r="H790" i="2"/>
  <c r="J790" i="2" s="1"/>
  <c r="F791" i="2"/>
  <c r="G791" i="2"/>
  <c r="H791" i="2"/>
  <c r="J791" i="2" s="1"/>
  <c r="F792" i="2"/>
  <c r="G792" i="2"/>
  <c r="H792" i="2"/>
  <c r="J792" i="2" s="1"/>
  <c r="F793" i="2"/>
  <c r="G793" i="2"/>
  <c r="H793" i="2"/>
  <c r="J793" i="2" s="1"/>
  <c r="F794" i="2"/>
  <c r="G794" i="2"/>
  <c r="H794" i="2"/>
  <c r="J794" i="2" s="1"/>
  <c r="F795" i="2"/>
  <c r="G795" i="2"/>
  <c r="H795" i="2"/>
  <c r="J795" i="2" s="1"/>
  <c r="F796" i="2"/>
  <c r="G796" i="2"/>
  <c r="H796" i="2"/>
  <c r="J796" i="2" s="1"/>
  <c r="F797" i="2"/>
  <c r="G797" i="2"/>
  <c r="H797" i="2"/>
  <c r="J797" i="2" s="1"/>
  <c r="F798" i="2"/>
  <c r="G798" i="2"/>
  <c r="H798" i="2"/>
  <c r="J798" i="2" s="1"/>
  <c r="F799" i="2"/>
  <c r="G799" i="2"/>
  <c r="H799" i="2"/>
  <c r="J799" i="2" s="1"/>
  <c r="F800" i="2"/>
  <c r="G800" i="2"/>
  <c r="H800" i="2"/>
  <c r="J800" i="2" s="1"/>
  <c r="F801" i="2"/>
  <c r="G801" i="2"/>
  <c r="H801" i="2"/>
  <c r="J801" i="2" s="1"/>
  <c r="F802" i="2"/>
  <c r="G802" i="2"/>
  <c r="H802" i="2"/>
  <c r="J802" i="2" s="1"/>
  <c r="F803" i="2"/>
  <c r="G803" i="2"/>
  <c r="H803" i="2"/>
  <c r="J803" i="2" s="1"/>
  <c r="F804" i="2"/>
  <c r="G804" i="2"/>
  <c r="H804" i="2"/>
  <c r="J804" i="2" s="1"/>
  <c r="F805" i="2"/>
  <c r="G805" i="2"/>
  <c r="H805" i="2"/>
  <c r="J805" i="2" s="1"/>
  <c r="F806" i="2"/>
  <c r="G806" i="2"/>
  <c r="H806" i="2"/>
  <c r="J806" i="2" s="1"/>
  <c r="F807" i="2"/>
  <c r="G807" i="2"/>
  <c r="H807" i="2"/>
  <c r="J807" i="2" s="1"/>
  <c r="F808" i="2"/>
  <c r="G808" i="2"/>
  <c r="H808" i="2"/>
  <c r="J808" i="2" s="1"/>
  <c r="F809" i="2"/>
  <c r="G809" i="2"/>
  <c r="H809" i="2"/>
  <c r="J809" i="2" s="1"/>
  <c r="F810" i="2"/>
  <c r="G810" i="2"/>
  <c r="H810" i="2"/>
  <c r="J810" i="2" s="1"/>
  <c r="F811" i="2"/>
  <c r="G811" i="2"/>
  <c r="H811" i="2"/>
  <c r="J811" i="2" s="1"/>
  <c r="F812" i="2"/>
  <c r="G812" i="2"/>
  <c r="H812" i="2"/>
  <c r="J812" i="2" s="1"/>
  <c r="F813" i="2"/>
  <c r="G813" i="2"/>
  <c r="H813" i="2"/>
  <c r="J813" i="2" s="1"/>
  <c r="F814" i="2"/>
  <c r="G814" i="2"/>
  <c r="H814" i="2"/>
  <c r="J814" i="2" s="1"/>
  <c r="F815" i="2"/>
  <c r="G815" i="2"/>
  <c r="H815" i="2"/>
  <c r="J815" i="2" s="1"/>
  <c r="F816" i="2"/>
  <c r="G816" i="2"/>
  <c r="H816" i="2"/>
  <c r="J816" i="2" s="1"/>
  <c r="F817" i="2"/>
  <c r="G817" i="2"/>
  <c r="H817" i="2"/>
  <c r="J817" i="2" s="1"/>
  <c r="F818" i="2"/>
  <c r="G818" i="2"/>
  <c r="H818" i="2"/>
  <c r="J818" i="2" s="1"/>
  <c r="F819" i="2"/>
  <c r="G819" i="2"/>
  <c r="H819" i="2"/>
  <c r="J819" i="2" s="1"/>
  <c r="F820" i="2"/>
  <c r="G820" i="2"/>
  <c r="H820" i="2"/>
  <c r="J820" i="2" s="1"/>
  <c r="F821" i="2"/>
  <c r="G821" i="2"/>
  <c r="H821" i="2"/>
  <c r="J821" i="2" s="1"/>
  <c r="F822" i="2"/>
  <c r="G822" i="2"/>
  <c r="H822" i="2"/>
  <c r="J822" i="2" s="1"/>
  <c r="F823" i="2"/>
  <c r="G823" i="2"/>
  <c r="H823" i="2"/>
  <c r="J823" i="2" s="1"/>
  <c r="F824" i="2"/>
  <c r="G824" i="2"/>
  <c r="H824" i="2"/>
  <c r="J824" i="2" s="1"/>
  <c r="F825" i="2"/>
  <c r="G825" i="2"/>
  <c r="H825" i="2"/>
  <c r="J825" i="2" s="1"/>
  <c r="F826" i="2"/>
  <c r="G826" i="2"/>
  <c r="H826" i="2"/>
  <c r="J826" i="2" s="1"/>
  <c r="F827" i="2"/>
  <c r="G827" i="2"/>
  <c r="H827" i="2"/>
  <c r="J827" i="2" s="1"/>
  <c r="F828" i="2"/>
  <c r="G828" i="2"/>
  <c r="H828" i="2"/>
  <c r="J828" i="2" s="1"/>
  <c r="F829" i="2"/>
  <c r="G829" i="2"/>
  <c r="H829" i="2"/>
  <c r="J829" i="2" s="1"/>
  <c r="F830" i="2"/>
  <c r="G830" i="2"/>
  <c r="H830" i="2"/>
  <c r="J830" i="2" s="1"/>
  <c r="F831" i="2"/>
  <c r="G831" i="2"/>
  <c r="H831" i="2"/>
  <c r="J831" i="2" s="1"/>
  <c r="J832" i="2"/>
  <c r="F833" i="2"/>
  <c r="G833" i="2"/>
  <c r="H833" i="2"/>
  <c r="J833" i="2" s="1"/>
  <c r="F834" i="2"/>
  <c r="G834" i="2"/>
  <c r="H834" i="2"/>
  <c r="J834" i="2" s="1"/>
  <c r="F835" i="2"/>
  <c r="G835" i="2"/>
  <c r="H835" i="2"/>
  <c r="J835" i="2" s="1"/>
  <c r="F836" i="2"/>
  <c r="G836" i="2"/>
  <c r="H836" i="2"/>
  <c r="J836" i="2" s="1"/>
  <c r="F837" i="2"/>
  <c r="G837" i="2"/>
  <c r="H837" i="2"/>
  <c r="J837" i="2" s="1"/>
  <c r="F838" i="2"/>
  <c r="G838" i="2"/>
  <c r="H838" i="2"/>
  <c r="J838" i="2" s="1"/>
  <c r="F839" i="2"/>
  <c r="G839" i="2"/>
  <c r="H839" i="2"/>
  <c r="J839" i="2" s="1"/>
  <c r="F840" i="2"/>
  <c r="G840" i="2"/>
  <c r="H840" i="2"/>
  <c r="J840" i="2" s="1"/>
  <c r="F841" i="2"/>
  <c r="G841" i="2"/>
  <c r="H841" i="2"/>
  <c r="J841" i="2" s="1"/>
  <c r="F842" i="2"/>
  <c r="G842" i="2"/>
  <c r="H842" i="2"/>
  <c r="J842" i="2" s="1"/>
  <c r="F843" i="2"/>
  <c r="G843" i="2"/>
  <c r="H843" i="2"/>
  <c r="J843" i="2" s="1"/>
  <c r="F844" i="2"/>
  <c r="G844" i="2"/>
  <c r="H844" i="2"/>
  <c r="J844" i="2" s="1"/>
  <c r="F845" i="2"/>
  <c r="G845" i="2"/>
  <c r="H845" i="2"/>
  <c r="J845" i="2" s="1"/>
  <c r="F846" i="2"/>
  <c r="G846" i="2"/>
  <c r="H846" i="2"/>
  <c r="J846" i="2" s="1"/>
  <c r="F847" i="2"/>
  <c r="G847" i="2"/>
  <c r="H847" i="2"/>
  <c r="J847" i="2" s="1"/>
  <c r="F848" i="2"/>
  <c r="G848" i="2"/>
  <c r="H848" i="2"/>
  <c r="J848" i="2" s="1"/>
  <c r="F849" i="2"/>
  <c r="G849" i="2"/>
  <c r="H849" i="2"/>
  <c r="J849" i="2" s="1"/>
  <c r="F850" i="2"/>
  <c r="G850" i="2"/>
  <c r="H850" i="2"/>
  <c r="J850" i="2" s="1"/>
  <c r="F851" i="2"/>
  <c r="G851" i="2"/>
  <c r="H851" i="2"/>
  <c r="J851" i="2" s="1"/>
  <c r="F852" i="2"/>
  <c r="G852" i="2"/>
  <c r="H852" i="2"/>
  <c r="J852" i="2" s="1"/>
  <c r="F853" i="2"/>
  <c r="G853" i="2"/>
  <c r="H853" i="2"/>
  <c r="J853" i="2" s="1"/>
  <c r="F854" i="2"/>
  <c r="G854" i="2"/>
  <c r="H854" i="2"/>
  <c r="J854" i="2" s="1"/>
  <c r="F855" i="2"/>
  <c r="G855" i="2"/>
  <c r="H855" i="2"/>
  <c r="J855" i="2" s="1"/>
  <c r="F856" i="2"/>
  <c r="G856" i="2"/>
  <c r="H856" i="2"/>
  <c r="J856" i="2" s="1"/>
  <c r="F857" i="2"/>
  <c r="G857" i="2"/>
  <c r="H857" i="2"/>
  <c r="J857" i="2" s="1"/>
  <c r="F858" i="2"/>
  <c r="G858" i="2"/>
  <c r="H858" i="2"/>
  <c r="J858" i="2" s="1"/>
  <c r="F859" i="2"/>
  <c r="G859" i="2"/>
  <c r="H859" i="2"/>
  <c r="J859" i="2" s="1"/>
  <c r="F860" i="2"/>
  <c r="G860" i="2"/>
  <c r="H860" i="2"/>
  <c r="J860" i="2" s="1"/>
  <c r="F861" i="2"/>
  <c r="G861" i="2"/>
  <c r="H861" i="2"/>
  <c r="J861" i="2" s="1"/>
  <c r="F862" i="2"/>
  <c r="G862" i="2"/>
  <c r="H862" i="2"/>
  <c r="J862" i="2" s="1"/>
  <c r="F863" i="2"/>
  <c r="G863" i="2"/>
  <c r="H863" i="2"/>
  <c r="J863" i="2" s="1"/>
  <c r="F864" i="2"/>
  <c r="G864" i="2"/>
  <c r="H864" i="2"/>
  <c r="J864" i="2" s="1"/>
  <c r="F865" i="2"/>
  <c r="G865" i="2"/>
  <c r="H865" i="2"/>
  <c r="J865" i="2" s="1"/>
  <c r="F866" i="2"/>
  <c r="G866" i="2"/>
  <c r="H866" i="2"/>
  <c r="J866" i="2" s="1"/>
  <c r="F867" i="2"/>
  <c r="G867" i="2"/>
  <c r="H867" i="2"/>
  <c r="J867" i="2" s="1"/>
  <c r="F868" i="2"/>
  <c r="G868" i="2"/>
  <c r="H868" i="2"/>
  <c r="J868" i="2" s="1"/>
  <c r="F869" i="2"/>
  <c r="G869" i="2"/>
  <c r="H869" i="2"/>
  <c r="J869" i="2" s="1"/>
  <c r="F870" i="2"/>
  <c r="G870" i="2"/>
  <c r="H870" i="2"/>
  <c r="J870" i="2" s="1"/>
  <c r="F871" i="2"/>
  <c r="G871" i="2"/>
  <c r="H871" i="2"/>
  <c r="J871" i="2" s="1"/>
  <c r="F872" i="2"/>
  <c r="G872" i="2"/>
  <c r="H872" i="2"/>
  <c r="J872" i="2" s="1"/>
  <c r="F873" i="2"/>
  <c r="G873" i="2"/>
  <c r="H873" i="2"/>
  <c r="J873" i="2" s="1"/>
  <c r="F874" i="2"/>
  <c r="G874" i="2"/>
  <c r="H874" i="2"/>
  <c r="J874" i="2" s="1"/>
  <c r="F875" i="2"/>
  <c r="G875" i="2"/>
  <c r="H875" i="2"/>
  <c r="J875" i="2" s="1"/>
  <c r="F876" i="2"/>
  <c r="G876" i="2"/>
  <c r="H876" i="2"/>
  <c r="J876" i="2" s="1"/>
  <c r="F877" i="2"/>
  <c r="G877" i="2"/>
  <c r="H877" i="2"/>
  <c r="J877" i="2" s="1"/>
  <c r="F878" i="2"/>
  <c r="G878" i="2"/>
  <c r="H878" i="2"/>
  <c r="J878" i="2" s="1"/>
  <c r="F879" i="2"/>
  <c r="G879" i="2"/>
  <c r="H879" i="2"/>
  <c r="J879" i="2" s="1"/>
  <c r="F880" i="2"/>
  <c r="G880" i="2"/>
  <c r="H880" i="2"/>
  <c r="J880" i="2" s="1"/>
  <c r="F881" i="2"/>
  <c r="G881" i="2"/>
  <c r="H881" i="2"/>
  <c r="J881" i="2" s="1"/>
  <c r="F882" i="2"/>
  <c r="G882" i="2"/>
  <c r="H882" i="2"/>
  <c r="J882" i="2" s="1"/>
  <c r="F883" i="2"/>
  <c r="G883" i="2"/>
  <c r="H883" i="2"/>
  <c r="J883" i="2" s="1"/>
  <c r="F884" i="2"/>
  <c r="G884" i="2"/>
  <c r="H884" i="2"/>
  <c r="J884" i="2" s="1"/>
  <c r="F885" i="2"/>
  <c r="G885" i="2"/>
  <c r="H885" i="2"/>
  <c r="J885" i="2" s="1"/>
  <c r="J886" i="2"/>
  <c r="F887" i="2"/>
  <c r="G887" i="2"/>
  <c r="H887" i="2"/>
  <c r="J887" i="2" s="1"/>
  <c r="F888" i="2"/>
  <c r="G888" i="2"/>
  <c r="H888" i="2"/>
  <c r="J888" i="2" s="1"/>
  <c r="F889" i="2"/>
  <c r="G889" i="2"/>
  <c r="H889" i="2"/>
  <c r="J889" i="2" s="1"/>
  <c r="F890" i="2"/>
  <c r="G890" i="2"/>
  <c r="H890" i="2"/>
  <c r="J890" i="2" s="1"/>
  <c r="F891" i="2"/>
  <c r="G891" i="2"/>
  <c r="H891" i="2"/>
  <c r="J891" i="2" s="1"/>
  <c r="F892" i="2"/>
  <c r="G892" i="2"/>
  <c r="H892" i="2"/>
  <c r="J892" i="2" s="1"/>
  <c r="F893" i="2"/>
  <c r="G893" i="2"/>
  <c r="H893" i="2"/>
  <c r="J893" i="2" s="1"/>
  <c r="F894" i="2"/>
  <c r="G894" i="2"/>
  <c r="H894" i="2"/>
  <c r="J894" i="2" s="1"/>
  <c r="F895" i="2"/>
  <c r="G895" i="2"/>
  <c r="H895" i="2"/>
  <c r="J895" i="2" s="1"/>
  <c r="F896" i="2"/>
  <c r="G896" i="2"/>
  <c r="H896" i="2"/>
  <c r="J896" i="2" s="1"/>
  <c r="F897" i="2"/>
  <c r="G897" i="2"/>
  <c r="H897" i="2"/>
  <c r="J897" i="2" s="1"/>
  <c r="F898" i="2"/>
  <c r="G898" i="2"/>
  <c r="H898" i="2"/>
  <c r="J898" i="2" s="1"/>
  <c r="F899" i="2"/>
  <c r="G899" i="2"/>
  <c r="H899" i="2"/>
  <c r="J899" i="2" s="1"/>
  <c r="J900" i="2"/>
  <c r="F901" i="2"/>
  <c r="G901" i="2"/>
  <c r="H901" i="2"/>
  <c r="J901" i="2" s="1"/>
  <c r="F902" i="2"/>
  <c r="G902" i="2"/>
  <c r="H902" i="2"/>
  <c r="J902" i="2" s="1"/>
  <c r="F903" i="2"/>
  <c r="G903" i="2"/>
  <c r="H903" i="2"/>
  <c r="J903" i="2" s="1"/>
  <c r="F904" i="2"/>
  <c r="G904" i="2"/>
  <c r="H904" i="2"/>
  <c r="J904" i="2" s="1"/>
  <c r="F905" i="2"/>
  <c r="G905" i="2"/>
  <c r="H905" i="2"/>
  <c r="J905" i="2" s="1"/>
  <c r="F906" i="2"/>
  <c r="G906" i="2"/>
  <c r="H906" i="2"/>
  <c r="J906" i="2" s="1"/>
  <c r="F907" i="2"/>
  <c r="G907" i="2"/>
  <c r="H907" i="2"/>
  <c r="J907" i="2" s="1"/>
  <c r="F908" i="2"/>
  <c r="G908" i="2"/>
  <c r="H908" i="2"/>
  <c r="J908" i="2" s="1"/>
  <c r="F909" i="2"/>
  <c r="G909" i="2"/>
  <c r="H909" i="2"/>
  <c r="J909" i="2" s="1"/>
  <c r="F910" i="2"/>
  <c r="G910" i="2"/>
  <c r="H910" i="2"/>
  <c r="J910" i="2" s="1"/>
  <c r="F911" i="2"/>
  <c r="G911" i="2"/>
  <c r="H911" i="2"/>
  <c r="J911" i="2" s="1"/>
  <c r="F912" i="2"/>
  <c r="G912" i="2"/>
  <c r="H912" i="2"/>
  <c r="J912" i="2" s="1"/>
  <c r="F913" i="2"/>
  <c r="G913" i="2"/>
  <c r="H913" i="2"/>
  <c r="J913" i="2" s="1"/>
  <c r="F914" i="2"/>
  <c r="G914" i="2"/>
  <c r="H914" i="2"/>
  <c r="J914" i="2" s="1"/>
  <c r="F915" i="2"/>
  <c r="G915" i="2"/>
  <c r="H915" i="2"/>
  <c r="J915" i="2" s="1"/>
  <c r="F916" i="2"/>
  <c r="G916" i="2"/>
  <c r="H916" i="2"/>
  <c r="J916" i="2" s="1"/>
  <c r="F917" i="2"/>
  <c r="G917" i="2"/>
  <c r="H917" i="2"/>
  <c r="J917" i="2" s="1"/>
  <c r="F918" i="2"/>
  <c r="G918" i="2"/>
  <c r="H918" i="2"/>
  <c r="J918" i="2" s="1"/>
  <c r="F919" i="2"/>
  <c r="G919" i="2"/>
  <c r="H919" i="2"/>
  <c r="J919" i="2" s="1"/>
  <c r="F920" i="2"/>
  <c r="G920" i="2"/>
  <c r="H920" i="2"/>
  <c r="J920" i="2" s="1"/>
  <c r="F921" i="2"/>
  <c r="G921" i="2"/>
  <c r="H921" i="2"/>
  <c r="J921" i="2" s="1"/>
  <c r="F922" i="2"/>
  <c r="G922" i="2"/>
  <c r="H922" i="2"/>
  <c r="J922" i="2" s="1"/>
  <c r="F923" i="2"/>
  <c r="G923" i="2"/>
  <c r="H923" i="2"/>
  <c r="J923" i="2" s="1"/>
  <c r="F924" i="2"/>
  <c r="G924" i="2"/>
  <c r="H924" i="2"/>
  <c r="J924" i="2" s="1"/>
  <c r="F925" i="2"/>
  <c r="G925" i="2"/>
  <c r="H925" i="2"/>
  <c r="J925" i="2" s="1"/>
  <c r="F926" i="2"/>
  <c r="G926" i="2"/>
  <c r="H926" i="2"/>
  <c r="J926" i="2" s="1"/>
  <c r="F927" i="2"/>
  <c r="G927" i="2"/>
  <c r="H927" i="2"/>
  <c r="J927" i="2" s="1"/>
  <c r="F928" i="2"/>
  <c r="G928" i="2"/>
  <c r="H928" i="2"/>
  <c r="J928" i="2" s="1"/>
  <c r="F929" i="2"/>
  <c r="G929" i="2"/>
  <c r="H929" i="2"/>
  <c r="J929" i="2" s="1"/>
  <c r="F930" i="2"/>
  <c r="G930" i="2"/>
  <c r="H930" i="2"/>
  <c r="J930" i="2" s="1"/>
  <c r="F931" i="2"/>
  <c r="G931" i="2"/>
  <c r="H931" i="2"/>
  <c r="J931" i="2" s="1"/>
  <c r="F932" i="2"/>
  <c r="G932" i="2"/>
  <c r="H932" i="2"/>
  <c r="J932" i="2" s="1"/>
  <c r="F933" i="2"/>
  <c r="G933" i="2"/>
  <c r="H933" i="2"/>
  <c r="J933" i="2" s="1"/>
  <c r="F934" i="2"/>
  <c r="G934" i="2"/>
  <c r="H934" i="2"/>
  <c r="J934" i="2" s="1"/>
  <c r="F935" i="2"/>
  <c r="G935" i="2"/>
  <c r="H935" i="2"/>
  <c r="J935" i="2" s="1"/>
  <c r="F936" i="2"/>
  <c r="G936" i="2"/>
  <c r="H936" i="2"/>
  <c r="J936" i="2" s="1"/>
  <c r="F937" i="2"/>
  <c r="G937" i="2"/>
  <c r="H937" i="2"/>
  <c r="J937" i="2" s="1"/>
  <c r="F938" i="2"/>
  <c r="G938" i="2"/>
  <c r="H938" i="2"/>
  <c r="J938" i="2" s="1"/>
  <c r="F939" i="2"/>
  <c r="G939" i="2"/>
  <c r="H939" i="2"/>
  <c r="J939" i="2" s="1"/>
  <c r="F940" i="2"/>
  <c r="G940" i="2"/>
  <c r="H940" i="2"/>
  <c r="J940" i="2" s="1"/>
  <c r="F941" i="2"/>
  <c r="G941" i="2"/>
  <c r="H941" i="2"/>
  <c r="J941" i="2" s="1"/>
  <c r="F942" i="2"/>
  <c r="G942" i="2"/>
  <c r="H942" i="2"/>
  <c r="J942" i="2" s="1"/>
  <c r="F943" i="2"/>
  <c r="G943" i="2"/>
  <c r="H943" i="2"/>
  <c r="J943" i="2" s="1"/>
  <c r="F944" i="2"/>
  <c r="G944" i="2"/>
  <c r="H944" i="2"/>
  <c r="J944" i="2" s="1"/>
  <c r="F945" i="2"/>
  <c r="G945" i="2"/>
  <c r="H945" i="2"/>
  <c r="J945" i="2" s="1"/>
  <c r="F946" i="2"/>
  <c r="G946" i="2"/>
  <c r="H946" i="2"/>
  <c r="J946" i="2" s="1"/>
  <c r="F947" i="2"/>
  <c r="G947" i="2"/>
  <c r="H947" i="2"/>
  <c r="J947" i="2" s="1"/>
  <c r="F948" i="2"/>
  <c r="G948" i="2"/>
  <c r="H948" i="2"/>
  <c r="J948" i="2" s="1"/>
  <c r="F949" i="2"/>
  <c r="G949" i="2"/>
  <c r="H949" i="2"/>
  <c r="J949" i="2" s="1"/>
  <c r="F950" i="2"/>
  <c r="G950" i="2"/>
  <c r="H950" i="2"/>
  <c r="J950" i="2" s="1"/>
  <c r="F951" i="2"/>
  <c r="G951" i="2"/>
  <c r="H951" i="2"/>
  <c r="J951" i="2" s="1"/>
  <c r="F952" i="2"/>
  <c r="G952" i="2"/>
  <c r="H952" i="2"/>
  <c r="J952" i="2" s="1"/>
  <c r="F953" i="2"/>
  <c r="G953" i="2"/>
  <c r="H953" i="2"/>
  <c r="J953" i="2" s="1"/>
  <c r="F954" i="2"/>
  <c r="G954" i="2"/>
  <c r="H954" i="2"/>
  <c r="J954" i="2" s="1"/>
  <c r="F955" i="2"/>
  <c r="G955" i="2"/>
  <c r="H955" i="2"/>
  <c r="J955" i="2" s="1"/>
  <c r="F956" i="2"/>
  <c r="G956" i="2"/>
  <c r="H956" i="2"/>
  <c r="J956" i="2" s="1"/>
  <c r="F957" i="2"/>
  <c r="G957" i="2"/>
  <c r="H957" i="2"/>
  <c r="J957" i="2" s="1"/>
  <c r="F958" i="2"/>
  <c r="G958" i="2"/>
  <c r="H958" i="2"/>
  <c r="J958" i="2" s="1"/>
  <c r="F959" i="2"/>
  <c r="G959" i="2"/>
  <c r="H959" i="2"/>
  <c r="J959" i="2" s="1"/>
  <c r="F960" i="2"/>
  <c r="G960" i="2"/>
  <c r="H960" i="2"/>
  <c r="J960" i="2" s="1"/>
  <c r="F961" i="2"/>
  <c r="G961" i="2"/>
  <c r="H961" i="2"/>
  <c r="J961" i="2" s="1"/>
  <c r="F963" i="2"/>
  <c r="G963" i="2"/>
  <c r="H963" i="2"/>
  <c r="J963" i="2" s="1"/>
  <c r="F964" i="2"/>
  <c r="G964" i="2"/>
  <c r="H964" i="2"/>
  <c r="J964" i="2" s="1"/>
  <c r="F965" i="2"/>
  <c r="G965" i="2"/>
  <c r="H965" i="2"/>
  <c r="J965" i="2" s="1"/>
  <c r="F966" i="2"/>
  <c r="G966" i="2"/>
  <c r="H966" i="2"/>
  <c r="J966" i="2" s="1"/>
  <c r="F967" i="2"/>
  <c r="G967" i="2"/>
  <c r="H967" i="2"/>
  <c r="J967" i="2" s="1"/>
  <c r="F968" i="2"/>
  <c r="G968" i="2"/>
  <c r="H968" i="2"/>
  <c r="J968" i="2" s="1"/>
  <c r="F969" i="2"/>
  <c r="G969" i="2"/>
  <c r="H969" i="2"/>
  <c r="J969" i="2" s="1"/>
  <c r="F970" i="2"/>
  <c r="G970" i="2"/>
  <c r="H970" i="2"/>
  <c r="J970" i="2" s="1"/>
  <c r="F971" i="2"/>
  <c r="G971" i="2"/>
  <c r="H971" i="2"/>
  <c r="J971" i="2" s="1"/>
  <c r="F972" i="2"/>
  <c r="G972" i="2"/>
  <c r="H972" i="2"/>
  <c r="J972" i="2" s="1"/>
  <c r="F973" i="2"/>
  <c r="G973" i="2"/>
  <c r="H973" i="2"/>
  <c r="J973" i="2" s="1"/>
  <c r="F974" i="2"/>
  <c r="G974" i="2"/>
  <c r="H974" i="2"/>
  <c r="J974" i="2" s="1"/>
  <c r="F975" i="2"/>
  <c r="G975" i="2"/>
  <c r="H975" i="2"/>
  <c r="J975" i="2" s="1"/>
  <c r="F976" i="2"/>
  <c r="G976" i="2"/>
  <c r="H976" i="2"/>
  <c r="J976" i="2" s="1"/>
  <c r="F977" i="2"/>
  <c r="G977" i="2"/>
  <c r="H977" i="2"/>
  <c r="J977" i="2" s="1"/>
  <c r="F978" i="2"/>
  <c r="G978" i="2"/>
  <c r="H978" i="2"/>
  <c r="J978" i="2" s="1"/>
  <c r="F979" i="2"/>
  <c r="G979" i="2"/>
  <c r="H979" i="2"/>
  <c r="J979" i="2" s="1"/>
  <c r="F980" i="2"/>
  <c r="G980" i="2"/>
  <c r="H980" i="2"/>
  <c r="J980" i="2" s="1"/>
  <c r="F981" i="2"/>
  <c r="G981" i="2"/>
  <c r="H981" i="2"/>
  <c r="J981" i="2" s="1"/>
  <c r="F982" i="2"/>
  <c r="G982" i="2"/>
  <c r="H982" i="2"/>
  <c r="J982" i="2" s="1"/>
  <c r="F985" i="2"/>
  <c r="G985" i="2"/>
  <c r="H985" i="2"/>
  <c r="J985" i="2" s="1"/>
  <c r="F986" i="2"/>
  <c r="G986" i="2"/>
  <c r="H986" i="2"/>
  <c r="J986" i="2" s="1"/>
  <c r="G987" i="2"/>
  <c r="H987" i="2"/>
  <c r="J987" i="2" s="1"/>
  <c r="F988" i="2"/>
  <c r="G988" i="2"/>
  <c r="H988" i="2"/>
  <c r="J988" i="2" s="1"/>
  <c r="F989" i="2"/>
  <c r="G989" i="2"/>
  <c r="H989" i="2"/>
  <c r="J989" i="2" s="1"/>
  <c r="F990" i="2"/>
  <c r="G990" i="2"/>
  <c r="H990" i="2"/>
  <c r="J990" i="2" s="1"/>
  <c r="F991" i="2"/>
  <c r="G991" i="2"/>
  <c r="H991" i="2"/>
  <c r="J991" i="2" s="1"/>
  <c r="F992" i="2"/>
  <c r="G992" i="2"/>
  <c r="H992" i="2"/>
  <c r="J992" i="2" s="1"/>
  <c r="F993" i="2"/>
  <c r="G993" i="2"/>
  <c r="H993" i="2"/>
  <c r="J993" i="2" s="1"/>
  <c r="F994" i="2"/>
  <c r="G994" i="2"/>
  <c r="H994" i="2"/>
  <c r="J994" i="2" s="1"/>
  <c r="F995" i="2"/>
  <c r="G995" i="2"/>
  <c r="H995" i="2"/>
  <c r="J995" i="2" s="1"/>
  <c r="F996" i="2"/>
  <c r="G996" i="2"/>
  <c r="H996" i="2"/>
  <c r="J996" i="2" s="1"/>
  <c r="F997" i="2"/>
  <c r="G997" i="2"/>
  <c r="H997" i="2"/>
  <c r="J997" i="2" s="1"/>
  <c r="F998" i="2"/>
  <c r="G998" i="2"/>
  <c r="H998" i="2"/>
  <c r="J998" i="2" s="1"/>
  <c r="F999" i="2"/>
  <c r="G999" i="2"/>
  <c r="H999" i="2"/>
  <c r="J999" i="2" s="1"/>
  <c r="F1000" i="2"/>
  <c r="G1000" i="2"/>
  <c r="H1000" i="2"/>
  <c r="J1000" i="2" s="1"/>
  <c r="F1001" i="2"/>
  <c r="G1001" i="2"/>
  <c r="H1001" i="2"/>
  <c r="J1001" i="2" s="1"/>
  <c r="G2" i="2"/>
  <c r="F2" i="2"/>
  <c r="O2" i="2" l="1"/>
  <c r="C58" i="14"/>
  <c r="C63" i="14"/>
  <c r="D63" i="14"/>
  <c r="E63" i="14"/>
  <c r="F63" i="14"/>
  <c r="C64" i="14"/>
  <c r="D64" i="14"/>
  <c r="E64" i="14"/>
  <c r="F64" i="14"/>
  <c r="G63" i="14" l="1"/>
  <c r="G64" i="14"/>
  <c r="C19" i="10" l="1"/>
  <c r="D66" i="14" l="1"/>
  <c r="D59" i="14"/>
  <c r="D58" i="14"/>
  <c r="D61" i="14"/>
  <c r="D60" i="14"/>
  <c r="F60" i="14"/>
  <c r="F66" i="14"/>
  <c r="F59" i="14"/>
  <c r="F61" i="14"/>
  <c r="F58" i="14"/>
  <c r="E60" i="14"/>
  <c r="E66" i="14"/>
  <c r="E59" i="14"/>
  <c r="E58" i="14"/>
  <c r="E61" i="14"/>
  <c r="C59" i="14"/>
  <c r="G66" i="14"/>
  <c r="C60" i="14"/>
  <c r="C66" i="14"/>
  <c r="C61" i="14"/>
  <c r="L21" i="12"/>
  <c r="K21" i="12"/>
  <c r="J21" i="12"/>
  <c r="I21" i="12"/>
  <c r="L20" i="12"/>
  <c r="K20" i="12"/>
  <c r="J20" i="12"/>
  <c r="I20" i="12"/>
  <c r="L19" i="12"/>
  <c r="K19" i="12"/>
  <c r="J19" i="12"/>
  <c r="I19" i="12"/>
  <c r="L17" i="12"/>
  <c r="K17" i="12"/>
  <c r="J17" i="12"/>
  <c r="I17" i="12"/>
  <c r="L16" i="12"/>
  <c r="K16" i="12"/>
  <c r="J16" i="12"/>
  <c r="I16" i="12"/>
  <c r="L15" i="12"/>
  <c r="K15" i="12"/>
  <c r="J15" i="12"/>
  <c r="I15" i="12"/>
  <c r="L14" i="12"/>
  <c r="K14" i="12"/>
  <c r="J14" i="12"/>
  <c r="I14" i="12"/>
  <c r="L13" i="12"/>
  <c r="K13" i="12"/>
  <c r="J13" i="12"/>
  <c r="I13" i="12"/>
  <c r="L12" i="12"/>
  <c r="K12" i="12"/>
  <c r="J12" i="12"/>
  <c r="I12" i="12"/>
  <c r="L11" i="12"/>
  <c r="K11" i="12"/>
  <c r="J11" i="12"/>
  <c r="I11" i="12"/>
  <c r="L10" i="12"/>
  <c r="K10" i="12"/>
  <c r="J10" i="12"/>
  <c r="I10" i="12"/>
  <c r="L9" i="12"/>
  <c r="K9" i="12"/>
  <c r="J9" i="12"/>
  <c r="I9" i="12"/>
  <c r="F33" i="12"/>
  <c r="E33" i="12"/>
  <c r="D33" i="12"/>
  <c r="C33" i="12"/>
  <c r="F28" i="12"/>
  <c r="E28" i="12"/>
  <c r="D28" i="12"/>
  <c r="C28" i="12"/>
  <c r="F27" i="12"/>
  <c r="E27" i="12"/>
  <c r="D27" i="12"/>
  <c r="C27" i="12"/>
  <c r="F25" i="12"/>
  <c r="E25" i="12"/>
  <c r="D25" i="12"/>
  <c r="C25" i="12"/>
  <c r="F24" i="12"/>
  <c r="E24" i="12"/>
  <c r="D24" i="12"/>
  <c r="C24" i="12"/>
  <c r="F23" i="12"/>
  <c r="E23" i="12"/>
  <c r="D23" i="12"/>
  <c r="C23" i="12"/>
  <c r="F22" i="12"/>
  <c r="E22" i="12"/>
  <c r="D22" i="12"/>
  <c r="C22" i="12"/>
  <c r="F21" i="12"/>
  <c r="E21" i="12"/>
  <c r="D21" i="12"/>
  <c r="C21" i="12"/>
  <c r="F20" i="12"/>
  <c r="E20" i="12"/>
  <c r="D20" i="12"/>
  <c r="C20" i="12"/>
  <c r="F18" i="12"/>
  <c r="E18" i="12"/>
  <c r="D18" i="12"/>
  <c r="C18" i="12"/>
  <c r="F17" i="12"/>
  <c r="E17" i="12"/>
  <c r="D17" i="12"/>
  <c r="C17" i="12"/>
  <c r="F16" i="12"/>
  <c r="E16" i="12"/>
  <c r="D16" i="12"/>
  <c r="C16" i="12"/>
  <c r="F15" i="12"/>
  <c r="E15" i="12"/>
  <c r="D15" i="12"/>
  <c r="C15" i="12"/>
  <c r="F14" i="12"/>
  <c r="E14" i="12"/>
  <c r="D14" i="12"/>
  <c r="C14" i="12"/>
  <c r="F13" i="12"/>
  <c r="E13" i="12"/>
  <c r="D13" i="12"/>
  <c r="C13" i="12"/>
  <c r="F12" i="12"/>
  <c r="E12" i="12"/>
  <c r="D12" i="12"/>
  <c r="C12" i="12"/>
  <c r="F11" i="12"/>
  <c r="E11" i="12"/>
  <c r="D11" i="12"/>
  <c r="C11" i="12"/>
  <c r="G61" i="14" l="1"/>
  <c r="D62" i="14"/>
  <c r="D65" i="14" s="1"/>
  <c r="C62" i="14"/>
  <c r="C67" i="14" s="1"/>
  <c r="G60" i="14"/>
  <c r="G58" i="14"/>
  <c r="F62" i="14"/>
  <c r="F65" i="14" s="1"/>
  <c r="G59" i="14"/>
  <c r="E62" i="14"/>
  <c r="E65" i="14" s="1"/>
  <c r="F26" i="11"/>
  <c r="E26" i="11"/>
  <c r="D26" i="11"/>
  <c r="C26" i="11"/>
  <c r="F25" i="11"/>
  <c r="E25" i="11"/>
  <c r="D25" i="11"/>
  <c r="C25" i="11"/>
  <c r="F24" i="11"/>
  <c r="F23" i="11"/>
  <c r="E24" i="11"/>
  <c r="D24" i="11"/>
  <c r="C24" i="11"/>
  <c r="E23" i="11"/>
  <c r="D23" i="11"/>
  <c r="C23" i="11"/>
  <c r="F22" i="11"/>
  <c r="E22" i="11"/>
  <c r="D22" i="11"/>
  <c r="C22" i="11"/>
  <c r="F21" i="11"/>
  <c r="D21" i="11"/>
  <c r="C21" i="11"/>
  <c r="F19" i="10"/>
  <c r="E19" i="10"/>
  <c r="D19" i="10"/>
  <c r="F20" i="11"/>
  <c r="F19" i="11"/>
  <c r="E19" i="11"/>
  <c r="D19" i="11"/>
  <c r="C19" i="11"/>
  <c r="I1069" i="2"/>
  <c r="I1068" i="2"/>
  <c r="I1067" i="2"/>
  <c r="I1066" i="2"/>
  <c r="I1065" i="2"/>
  <c r="I1064" i="2"/>
  <c r="J1064" i="2"/>
  <c r="I1063" i="2"/>
  <c r="J1063" i="2"/>
  <c r="F1063" i="2"/>
  <c r="I1062" i="2"/>
  <c r="J1062" i="2"/>
  <c r="F1062" i="2"/>
  <c r="I1061" i="2"/>
  <c r="J1061" i="2"/>
  <c r="F1061" i="2"/>
  <c r="J1030" i="2"/>
  <c r="J1031" i="2"/>
  <c r="J1032" i="2"/>
  <c r="J1033" i="2"/>
  <c r="J1034" i="2"/>
  <c r="J1035" i="2"/>
  <c r="J1036" i="2"/>
  <c r="J1037" i="2"/>
  <c r="J1038" i="2"/>
  <c r="J1039" i="2"/>
  <c r="J1040" i="2"/>
  <c r="J1041" i="2"/>
  <c r="J1042" i="2"/>
  <c r="J1027" i="2"/>
  <c r="J1028" i="2"/>
  <c r="J1029" i="2"/>
  <c r="I1060" i="2"/>
  <c r="J1060" i="2"/>
  <c r="G1060" i="2"/>
  <c r="F1060" i="2"/>
  <c r="I1059" i="2"/>
  <c r="J1059" i="2"/>
  <c r="G1059" i="2"/>
  <c r="F1059" i="2"/>
  <c r="I1058" i="2"/>
  <c r="J1058" i="2"/>
  <c r="G1058" i="2"/>
  <c r="F1058" i="2"/>
  <c r="I1057" i="2"/>
  <c r="J1057" i="2"/>
  <c r="G1057" i="2"/>
  <c r="F1057" i="2"/>
  <c r="I1056" i="2"/>
  <c r="J1056" i="2"/>
  <c r="G1056" i="2"/>
  <c r="F1056" i="2"/>
  <c r="I1055" i="2"/>
  <c r="J1055" i="2"/>
  <c r="G1055" i="2"/>
  <c r="F1055" i="2"/>
  <c r="I1054" i="2"/>
  <c r="J1054" i="2"/>
  <c r="G1054" i="2"/>
  <c r="F1054" i="2"/>
  <c r="I1053" i="2"/>
  <c r="J1053" i="2"/>
  <c r="G1053" i="2"/>
  <c r="F1053" i="2"/>
  <c r="I1052" i="2"/>
  <c r="J1052" i="2"/>
  <c r="G1052" i="2"/>
  <c r="F1052" i="2"/>
  <c r="I1051" i="2"/>
  <c r="J1051" i="2"/>
  <c r="G1051" i="2"/>
  <c r="F1051" i="2"/>
  <c r="I1050" i="2"/>
  <c r="J1050" i="2"/>
  <c r="G1050" i="2"/>
  <c r="F1050" i="2"/>
  <c r="I1049" i="2"/>
  <c r="J1049" i="2"/>
  <c r="G1049" i="2"/>
  <c r="F1049" i="2"/>
  <c r="I1048" i="2"/>
  <c r="J1048" i="2"/>
  <c r="G1048" i="2"/>
  <c r="F1048" i="2"/>
  <c r="I1047" i="2"/>
  <c r="J1047" i="2"/>
  <c r="G1047" i="2"/>
  <c r="F1047" i="2"/>
  <c r="I1046" i="2"/>
  <c r="J1046" i="2"/>
  <c r="G1046" i="2"/>
  <c r="F1046" i="2"/>
  <c r="I1045" i="2"/>
  <c r="J1045" i="2"/>
  <c r="G1045" i="2"/>
  <c r="F1045" i="2"/>
  <c r="I1044" i="2"/>
  <c r="J1044" i="2"/>
  <c r="G1044" i="2"/>
  <c r="F1044" i="2"/>
  <c r="I1043" i="2"/>
  <c r="J1043" i="2"/>
  <c r="G1043" i="2"/>
  <c r="F1043" i="2"/>
  <c r="I1042" i="2"/>
  <c r="G1042" i="2"/>
  <c r="F1042" i="2"/>
  <c r="I1041" i="2"/>
  <c r="G1041" i="2"/>
  <c r="F1041" i="2"/>
  <c r="I1040" i="2"/>
  <c r="G1040" i="2"/>
  <c r="F1040" i="2"/>
  <c r="I1039" i="2"/>
  <c r="G1039" i="2"/>
  <c r="F1039" i="2"/>
  <c r="I1038" i="2"/>
  <c r="G1038" i="2"/>
  <c r="F1038" i="2"/>
  <c r="I1037" i="2"/>
  <c r="G1037" i="2"/>
  <c r="F1037" i="2"/>
  <c r="I1036" i="2"/>
  <c r="G1036" i="2"/>
  <c r="F1036" i="2"/>
  <c r="I1035" i="2"/>
  <c r="G1035" i="2"/>
  <c r="F1035" i="2"/>
  <c r="I1034" i="2"/>
  <c r="G1034" i="2"/>
  <c r="F1034" i="2"/>
  <c r="I1033" i="2"/>
  <c r="G1033" i="2"/>
  <c r="F1033" i="2"/>
  <c r="I1032" i="2"/>
  <c r="G1032" i="2"/>
  <c r="F1032" i="2"/>
  <c r="I1031" i="2"/>
  <c r="G1031" i="2"/>
  <c r="F1031" i="2"/>
  <c r="I1030" i="2"/>
  <c r="G1030" i="2"/>
  <c r="F1030" i="2"/>
  <c r="I1029" i="2"/>
  <c r="G1029" i="2"/>
  <c r="F1029" i="2"/>
  <c r="I1028" i="2"/>
  <c r="G1028" i="2"/>
  <c r="F1028" i="2"/>
  <c r="I1027" i="2"/>
  <c r="G1027" i="2"/>
  <c r="F1027" i="2"/>
  <c r="G5049" i="2"/>
  <c r="F5049" i="2"/>
  <c r="H5049" i="2"/>
  <c r="I5049" i="2"/>
  <c r="O5049" i="2"/>
  <c r="E67" i="14" l="1"/>
  <c r="D67" i="14"/>
  <c r="F67" i="14"/>
  <c r="C65" i="14"/>
  <c r="G65" i="14" s="1"/>
  <c r="G62" i="14"/>
  <c r="G67" i="14" s="1"/>
  <c r="F12" i="10"/>
  <c r="E12" i="10"/>
  <c r="D12" i="10"/>
  <c r="C12" i="10"/>
  <c r="C26" i="12"/>
  <c r="D26" i="12"/>
  <c r="E26" i="12"/>
  <c r="F26" i="12"/>
  <c r="F31" i="12"/>
  <c r="E31" i="12"/>
  <c r="D31" i="12"/>
  <c r="C31" i="12"/>
  <c r="C20" i="10"/>
  <c r="C18" i="10"/>
  <c r="C8" i="10"/>
  <c r="C9" i="11" s="1"/>
  <c r="C16" i="10"/>
  <c r="C17" i="10"/>
  <c r="C9" i="10"/>
  <c r="E30" i="12"/>
  <c r="C30" i="12"/>
  <c r="D30" i="12"/>
  <c r="F30" i="12"/>
  <c r="E10" i="12"/>
  <c r="D10" i="12"/>
  <c r="C10" i="12"/>
  <c r="F10" i="12"/>
  <c r="F20" i="10"/>
  <c r="BB2" i="2" a="1"/>
  <c r="L18" i="12"/>
  <c r="K18" i="12"/>
  <c r="J18" i="12"/>
  <c r="I18" i="12"/>
  <c r="L22" i="12"/>
  <c r="K22" i="12"/>
  <c r="J22" i="12"/>
  <c r="I22" i="12"/>
  <c r="D8" i="10"/>
  <c r="D9" i="11" s="1"/>
  <c r="C32" i="12"/>
  <c r="F32" i="12"/>
  <c r="E32" i="12"/>
  <c r="D32" i="12"/>
  <c r="E19" i="12"/>
  <c r="D19" i="12"/>
  <c r="C19" i="12"/>
  <c r="F19" i="12"/>
  <c r="E9" i="12"/>
  <c r="D9" i="12"/>
  <c r="C9" i="12"/>
  <c r="F9" i="12"/>
  <c r="D29" i="12"/>
  <c r="C29" i="12"/>
  <c r="F29" i="12"/>
  <c r="E29" i="12"/>
  <c r="E20" i="10"/>
  <c r="D20" i="10"/>
  <c r="F18" i="11"/>
  <c r="E17" i="10"/>
  <c r="F9" i="10"/>
  <c r="F8" i="10"/>
  <c r="F9" i="11" s="1"/>
  <c r="D17" i="10"/>
  <c r="F17" i="10"/>
  <c r="C18" i="11"/>
  <c r="D9" i="10"/>
  <c r="D16" i="10"/>
  <c r="D18" i="10"/>
  <c r="D18" i="11"/>
  <c r="E9" i="10"/>
  <c r="E16" i="10"/>
  <c r="E18" i="10"/>
  <c r="E18" i="11"/>
  <c r="F16" i="10"/>
  <c r="F18" i="10"/>
  <c r="E8" i="10"/>
  <c r="E9" i="11" s="1"/>
  <c r="D6" i="14" l="1"/>
  <c r="D9" i="14"/>
  <c r="D14" i="14"/>
  <c r="F24" i="14"/>
  <c r="F20" i="14"/>
  <c r="E37" i="14"/>
  <c r="E33" i="14"/>
  <c r="E53" i="14"/>
  <c r="E48" i="14"/>
  <c r="E45" i="14"/>
  <c r="F33" i="14"/>
  <c r="E6" i="14"/>
  <c r="E9" i="14"/>
  <c r="E14" i="14"/>
  <c r="E24" i="14"/>
  <c r="E20" i="14"/>
  <c r="D37" i="14"/>
  <c r="D33" i="14"/>
  <c r="D53" i="14"/>
  <c r="D48" i="14"/>
  <c r="D45" i="14"/>
  <c r="F48" i="14"/>
  <c r="F6" i="14"/>
  <c r="F9" i="14"/>
  <c r="F14" i="14"/>
  <c r="D24" i="14"/>
  <c r="D20" i="14"/>
  <c r="C37" i="14"/>
  <c r="F45" i="14"/>
  <c r="C11" i="14"/>
  <c r="C24" i="14"/>
  <c r="F35" i="14"/>
  <c r="F32" i="14"/>
  <c r="F51" i="14"/>
  <c r="F47" i="14"/>
  <c r="D34" i="14"/>
  <c r="C50" i="14"/>
  <c r="F37" i="14"/>
  <c r="D7" i="14"/>
  <c r="D11" i="14"/>
  <c r="F27" i="14"/>
  <c r="F22" i="14"/>
  <c r="F19" i="14"/>
  <c r="E35" i="14"/>
  <c r="E32" i="14"/>
  <c r="E51" i="14"/>
  <c r="E47" i="14"/>
  <c r="E7" i="14"/>
  <c r="E11" i="14"/>
  <c r="E27" i="14"/>
  <c r="E22" i="14"/>
  <c r="E19" i="14"/>
  <c r="D35" i="14"/>
  <c r="D32" i="14"/>
  <c r="D51" i="14"/>
  <c r="D47" i="14"/>
  <c r="E21" i="14"/>
  <c r="D40" i="14"/>
  <c r="D46" i="14"/>
  <c r="D25" i="14"/>
  <c r="D21" i="14"/>
  <c r="F7" i="14"/>
  <c r="F11" i="14"/>
  <c r="D27" i="14"/>
  <c r="D22" i="14"/>
  <c r="D19" i="14"/>
  <c r="D12" i="14"/>
  <c r="F21" i="14"/>
  <c r="E50" i="14"/>
  <c r="E8" i="14"/>
  <c r="D38" i="14"/>
  <c r="F12" i="14"/>
  <c r="F53" i="14"/>
  <c r="F38" i="14"/>
  <c r="F34" i="14"/>
  <c r="F40" i="14"/>
  <c r="F50" i="14"/>
  <c r="F46" i="14"/>
  <c r="D8" i="14"/>
  <c r="F25" i="14"/>
  <c r="E34" i="14"/>
  <c r="E40" i="14"/>
  <c r="E46" i="14"/>
  <c r="E12" i="14"/>
  <c r="D50" i="14"/>
  <c r="E38" i="14"/>
  <c r="F8" i="14"/>
  <c r="C15" i="10"/>
  <c r="C13" i="10"/>
  <c r="C8" i="11" s="1"/>
  <c r="BB2" i="2"/>
  <c r="C38" i="14" s="1"/>
  <c r="D13" i="10"/>
  <c r="D8" i="11" s="1"/>
  <c r="E15" i="10"/>
  <c r="F15" i="10"/>
  <c r="D15" i="10"/>
  <c r="F13" i="10"/>
  <c r="F8" i="11" s="1"/>
  <c r="E13" i="10"/>
  <c r="E8" i="11" s="1"/>
  <c r="G8" i="11" l="1"/>
  <c r="H8" i="11" s="1"/>
  <c r="E25" i="14"/>
  <c r="C12" i="14"/>
  <c r="G12" i="14" s="1"/>
  <c r="C25" i="14"/>
  <c r="C51" i="14"/>
  <c r="G51" i="14" s="1"/>
  <c r="G38" i="14"/>
  <c r="G11" i="14"/>
  <c r="E49" i="14"/>
  <c r="E52" i="14" s="1"/>
  <c r="F36" i="14"/>
  <c r="F39" i="14" s="1"/>
  <c r="E23" i="14"/>
  <c r="D23" i="14"/>
  <c r="D26" i="14" s="1"/>
  <c r="F10" i="14"/>
  <c r="F13" i="14" s="1"/>
  <c r="C33" i="14"/>
  <c r="G33" i="14" s="1"/>
  <c r="C53" i="14"/>
  <c r="C48" i="14"/>
  <c r="G48" i="14" s="1"/>
  <c r="C45" i="14"/>
  <c r="C7" i="14"/>
  <c r="G7" i="14" s="1"/>
  <c r="C19" i="14"/>
  <c r="C20" i="14"/>
  <c r="G20" i="14" s="1"/>
  <c r="C40" i="14"/>
  <c r="C9" i="14"/>
  <c r="C21" i="14"/>
  <c r="G21" i="14" s="1"/>
  <c r="C34" i="14"/>
  <c r="G34" i="14" s="1"/>
  <c r="G14" i="14"/>
  <c r="C14" i="14"/>
  <c r="C6" i="14"/>
  <c r="C35" i="14"/>
  <c r="G35" i="14" s="1"/>
  <c r="C32" i="14"/>
  <c r="C47" i="14"/>
  <c r="G47" i="14" s="1"/>
  <c r="G53" i="14"/>
  <c r="C46" i="14"/>
  <c r="G46" i="14" s="1"/>
  <c r="C8" i="14"/>
  <c r="G8" i="14" s="1"/>
  <c r="C27" i="14"/>
  <c r="C22" i="14"/>
  <c r="G22" i="14" s="1"/>
  <c r="G27" i="14"/>
  <c r="G40" i="14"/>
  <c r="G24" i="14"/>
  <c r="E10" i="14"/>
  <c r="E13" i="14" s="1"/>
  <c r="D10" i="14"/>
  <c r="D13" i="14" s="1"/>
  <c r="E36" i="14"/>
  <c r="E39" i="14" s="1"/>
  <c r="G50" i="14"/>
  <c r="D49" i="14"/>
  <c r="D52" i="14" s="1"/>
  <c r="D36" i="14"/>
  <c r="D39" i="14" s="1"/>
  <c r="F49" i="14"/>
  <c r="F52" i="14" s="1"/>
  <c r="F23" i="14"/>
  <c r="F26" i="14" s="1"/>
  <c r="G37" i="14"/>
  <c r="E26" i="14" l="1"/>
  <c r="G25" i="14"/>
  <c r="F15" i="14"/>
  <c r="E41" i="14"/>
  <c r="E54" i="14"/>
  <c r="F41" i="14"/>
  <c r="D15" i="14"/>
  <c r="E28" i="14"/>
  <c r="D54" i="14"/>
  <c r="F28" i="14"/>
  <c r="D28" i="14"/>
  <c r="G32" i="14"/>
  <c r="C36" i="14"/>
  <c r="C41" i="14" s="1"/>
  <c r="C10" i="14"/>
  <c r="G9" i="14"/>
  <c r="F54" i="14"/>
  <c r="G6" i="14"/>
  <c r="G19" i="14"/>
  <c r="C23" i="14"/>
  <c r="D41" i="14"/>
  <c r="E15" i="14"/>
  <c r="C49" i="14"/>
  <c r="G45" i="14"/>
  <c r="C13" i="14" l="1"/>
  <c r="G13" i="14" s="1"/>
  <c r="G10" i="14"/>
  <c r="G15" i="14" s="1"/>
  <c r="G49" i="14"/>
  <c r="G54" i="14" s="1"/>
  <c r="C52" i="14"/>
  <c r="G52" i="14" s="1"/>
  <c r="C54" i="14"/>
  <c r="G36" i="14"/>
  <c r="G41" i="14" s="1"/>
  <c r="C39" i="14"/>
  <c r="G39" i="14" s="1"/>
  <c r="C28" i="14"/>
  <c r="C26" i="14"/>
  <c r="G26" i="14" s="1"/>
  <c r="G23" i="14"/>
  <c r="G28" i="14" s="1"/>
  <c r="C15" i="14"/>
  <c r="D10" i="11" l="1"/>
  <c r="F10" i="11"/>
  <c r="E10" i="11"/>
  <c r="AV2" i="3" a="1"/>
  <c r="C10" i="11"/>
  <c r="J32" i="14" l="1"/>
  <c r="J37" i="14"/>
  <c r="J35" i="14"/>
  <c r="K37" i="14"/>
  <c r="L39" i="14"/>
  <c r="J34" i="14"/>
  <c r="J40" i="14"/>
  <c r="K38" i="14"/>
  <c r="J33" i="14"/>
  <c r="J38" i="14"/>
  <c r="K11" i="14"/>
  <c r="J11" i="14"/>
  <c r="K24" i="14"/>
  <c r="K50" i="14"/>
  <c r="J24" i="14"/>
  <c r="J50" i="14"/>
  <c r="J8" i="14"/>
  <c r="J14" i="14"/>
  <c r="J12" i="14"/>
  <c r="J9" i="14"/>
  <c r="K12" i="14"/>
  <c r="J7" i="14"/>
  <c r="J6" i="14"/>
  <c r="K51" i="14"/>
  <c r="K25" i="14"/>
  <c r="J25" i="14"/>
  <c r="J51" i="14"/>
  <c r="J47" i="14"/>
  <c r="J46" i="14"/>
  <c r="J45" i="14"/>
  <c r="J48" i="14"/>
  <c r="J20" i="14"/>
  <c r="J21" i="14"/>
  <c r="J22" i="14"/>
  <c r="J19" i="14"/>
  <c r="AV2" i="3"/>
  <c r="J27" i="14"/>
  <c r="J53" i="14"/>
  <c r="M39" i="14" l="1"/>
  <c r="N38" i="14"/>
  <c r="N37" i="14"/>
  <c r="K35" i="14"/>
  <c r="N35" i="14" s="1"/>
  <c r="K32" i="14"/>
  <c r="N32" i="14" s="1"/>
  <c r="K40" i="14"/>
  <c r="K34" i="14"/>
  <c r="N34" i="14" s="1"/>
  <c r="K33" i="14"/>
  <c r="N33" i="14" s="1"/>
  <c r="N40" i="14"/>
  <c r="J36" i="14"/>
  <c r="M13" i="14"/>
  <c r="N11" i="14"/>
  <c r="N50" i="14"/>
  <c r="M26" i="14"/>
  <c r="N24" i="14"/>
  <c r="M52" i="14"/>
  <c r="J10" i="14"/>
  <c r="K6" i="14"/>
  <c r="K8" i="14"/>
  <c r="N8" i="14" s="1"/>
  <c r="K9" i="14"/>
  <c r="N9" i="14" s="1"/>
  <c r="K14" i="14"/>
  <c r="K7" i="14"/>
  <c r="N7" i="14" s="1"/>
  <c r="N14" i="14"/>
  <c r="N12" i="14"/>
  <c r="K48" i="14"/>
  <c r="N48" i="14" s="1"/>
  <c r="K53" i="14"/>
  <c r="K22" i="14"/>
  <c r="N22" i="14" s="1"/>
  <c r="K27" i="14"/>
  <c r="K47" i="14"/>
  <c r="N47" i="14" s="1"/>
  <c r="K21" i="14"/>
  <c r="N21" i="14" s="1"/>
  <c r="K46" i="14"/>
  <c r="N46" i="14" s="1"/>
  <c r="K20" i="14"/>
  <c r="N20" i="14" s="1"/>
  <c r="K19" i="14"/>
  <c r="N19" i="14" s="1"/>
  <c r="K45" i="14"/>
  <c r="N45" i="14" s="1"/>
  <c r="N51" i="14"/>
  <c r="N25" i="14"/>
  <c r="F11" i="11"/>
  <c r="D11" i="11"/>
  <c r="E15" i="11"/>
  <c r="D14" i="11"/>
  <c r="E11" i="11"/>
  <c r="F15" i="11"/>
  <c r="F13" i="11"/>
  <c r="E14" i="11"/>
  <c r="D16" i="11"/>
  <c r="D12" i="11"/>
  <c r="D15" i="11"/>
  <c r="E13" i="11"/>
  <c r="E12" i="11"/>
  <c r="C14" i="11"/>
  <c r="D13" i="11"/>
  <c r="F14" i="11"/>
  <c r="C15" i="11"/>
  <c r="C11" i="11"/>
  <c r="E16" i="11"/>
  <c r="F12" i="11"/>
  <c r="C12" i="11"/>
  <c r="F16" i="11"/>
  <c r="C16" i="11"/>
  <c r="C13" i="11"/>
  <c r="N53" i="14"/>
  <c r="J23" i="14"/>
  <c r="J28" i="14" s="1"/>
  <c r="N27" i="14"/>
  <c r="J49" i="14"/>
  <c r="J54" i="14" s="1"/>
  <c r="J39" i="14" l="1"/>
  <c r="J41" i="14"/>
  <c r="K36" i="14"/>
  <c r="K39" i="14" s="1"/>
  <c r="L13" i="14"/>
  <c r="K10" i="14"/>
  <c r="K13" i="14" s="1"/>
  <c r="J13" i="14"/>
  <c r="N6" i="14"/>
  <c r="J15" i="14"/>
  <c r="K49" i="14"/>
  <c r="K52" i="14" s="1"/>
  <c r="K23" i="14"/>
  <c r="K26" i="14" s="1"/>
  <c r="L52" i="14"/>
  <c r="L26" i="14"/>
  <c r="J52" i="14"/>
  <c r="J26" i="14"/>
  <c r="K41" i="14" l="1"/>
  <c r="N36" i="14"/>
  <c r="N41" i="14" s="1"/>
  <c r="N39" i="14"/>
  <c r="N10" i="14"/>
  <c r="N15" i="14" s="1"/>
  <c r="N13" i="14"/>
  <c r="K15" i="14"/>
  <c r="K28" i="14"/>
  <c r="K54" i="14"/>
  <c r="N23" i="14"/>
  <c r="N28" i="14" s="1"/>
  <c r="N49" i="14"/>
  <c r="N54" i="14" s="1"/>
  <c r="N26" i="14"/>
  <c r="N52" i="1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<sst xmlns="http://schemas.openxmlformats.org/spreadsheetml/2006/main" count="9801" uniqueCount="1911">
  <si>
    <t>Directorate</t>
  </si>
  <si>
    <t>Adult Social Care</t>
  </si>
  <si>
    <t>Type of Request</t>
  </si>
  <si>
    <t>Adults &amp; Communities</t>
  </si>
  <si>
    <t>Resources</t>
  </si>
  <si>
    <t>Media</t>
  </si>
  <si>
    <t>Individual</t>
  </si>
  <si>
    <t>Children &amp; Families</t>
  </si>
  <si>
    <t>Legal</t>
  </si>
  <si>
    <t>Business</t>
  </si>
  <si>
    <t>Growth, Enterprise and Environment</t>
  </si>
  <si>
    <t>Charity</t>
  </si>
  <si>
    <t>Academic</t>
  </si>
  <si>
    <t>Via Third Party Site</t>
  </si>
  <si>
    <t>Trade Union</t>
  </si>
  <si>
    <t>Political</t>
  </si>
  <si>
    <t>Council</t>
  </si>
  <si>
    <t>Request
Reference</t>
  </si>
  <si>
    <t xml:space="preserve">Organisation </t>
  </si>
  <si>
    <t>Subject of the Information Requested</t>
  </si>
  <si>
    <t>Date Received</t>
  </si>
  <si>
    <t>Day 1</t>
  </si>
  <si>
    <t>Day 10</t>
  </si>
  <si>
    <t>Day 20</t>
  </si>
  <si>
    <t>Request Received Month</t>
  </si>
  <si>
    <t>Days Left</t>
  </si>
  <si>
    <t>Response
Sent
Date</t>
  </si>
  <si>
    <t>Days taken to complete FOI</t>
  </si>
  <si>
    <t>Response
Within
20 Days</t>
  </si>
  <si>
    <t>Response Time - 
Data Validation</t>
  </si>
  <si>
    <t>Request
Status</t>
  </si>
  <si>
    <t>Request
Status - 
Data Validation</t>
  </si>
  <si>
    <t>Response Type</t>
  </si>
  <si>
    <t>Response Type - 
Data Validation</t>
  </si>
  <si>
    <t>Exemption(s)
Applicable</t>
  </si>
  <si>
    <t>Additional Notes</t>
  </si>
  <si>
    <t>Exemption Reference - 
Data Validation</t>
  </si>
  <si>
    <t>Qtr</t>
  </si>
  <si>
    <t>Oath of Office and Insurance</t>
  </si>
  <si>
    <t>Complete</t>
  </si>
  <si>
    <t>Full disclosure</t>
  </si>
  <si>
    <t xml:space="preserve">S12: Exceed the Cost Limit </t>
  </si>
  <si>
    <t>£150 energy support payments</t>
  </si>
  <si>
    <t>Growth Enterprise &amp; Environment</t>
  </si>
  <si>
    <t>In Progress</t>
  </si>
  <si>
    <t>Partial disclosure</t>
  </si>
  <si>
    <t>Some information not held</t>
  </si>
  <si>
    <t>S14(2): Repeated Request</t>
  </si>
  <si>
    <t>Dunlop Heywood</t>
  </si>
  <si>
    <t>Credit balances on business rates</t>
  </si>
  <si>
    <t>Clarification Sought</t>
  </si>
  <si>
    <t>Refused</t>
  </si>
  <si>
    <t>Elapsed</t>
  </si>
  <si>
    <t>S31: Law Enforcement</t>
  </si>
  <si>
    <t>S21: Accessible by Other Means</t>
  </si>
  <si>
    <t>What do they know</t>
  </si>
  <si>
    <t>Fines issued to unlicenced dog breeders</t>
  </si>
  <si>
    <t>Withdrawn</t>
  </si>
  <si>
    <t>S22: Intended for Future Publication</t>
  </si>
  <si>
    <t>Specialist school placements</t>
  </si>
  <si>
    <t>S23: Security Matters</t>
  </si>
  <si>
    <t>Other local authority children in the area</t>
  </si>
  <si>
    <t>Information not held</t>
  </si>
  <si>
    <t>S24: National Security</t>
  </si>
  <si>
    <t>Licenced Vehicles</t>
  </si>
  <si>
    <t>S25: Certificates under S23 &amp; S24</t>
  </si>
  <si>
    <t>Looked after children placed outside authority</t>
  </si>
  <si>
    <t>S26: Defence</t>
  </si>
  <si>
    <t>Tax payers alliance</t>
  </si>
  <si>
    <t>Second homes council tax</t>
  </si>
  <si>
    <t>S33: Audit Functions</t>
  </si>
  <si>
    <t>Low traffic neighbourhoods</t>
  </si>
  <si>
    <t>S27 International Relations</t>
  </si>
  <si>
    <t>S28: Relations within the UK</t>
  </si>
  <si>
    <t>Accessible parking options in council managed car parks</t>
  </si>
  <si>
    <t>S29: The Economy</t>
  </si>
  <si>
    <t>Adult social care reviews</t>
  </si>
  <si>
    <t>S30: Investigations and Proceedings</t>
  </si>
  <si>
    <t>Car park QR scams</t>
  </si>
  <si>
    <t>Spending on management consultants</t>
  </si>
  <si>
    <t xml:space="preserve">S43: Commercial Interests </t>
  </si>
  <si>
    <t>S21 &amp; S12</t>
  </si>
  <si>
    <t>S32: Court Records</t>
  </si>
  <si>
    <t>Spending on management consultants and external training</t>
  </si>
  <si>
    <t>S22</t>
  </si>
  <si>
    <t>S34: Parliamentary Privilege</t>
  </si>
  <si>
    <t>Business rates data</t>
  </si>
  <si>
    <t xml:space="preserve">S40: Personal Information </t>
  </si>
  <si>
    <t>S35: Formulation of Government Policy</t>
  </si>
  <si>
    <t>S36: Effective Conduct of Public Affairs</t>
  </si>
  <si>
    <t>Christie</t>
  </si>
  <si>
    <t>Placement rates for adult social care</t>
  </si>
  <si>
    <t xml:space="preserve">S37: Communications with Her Majesty </t>
  </si>
  <si>
    <t>Arvato Connect</t>
  </si>
  <si>
    <t>Enterprise Resource Planning software</t>
  </si>
  <si>
    <t>S38: Health and Safety</t>
  </si>
  <si>
    <t>Council tax data</t>
  </si>
  <si>
    <t>S39: Environmental Information</t>
  </si>
  <si>
    <t>May</t>
  </si>
  <si>
    <t>Digital platforms</t>
  </si>
  <si>
    <t>RVU</t>
  </si>
  <si>
    <t>Council MOTs</t>
  </si>
  <si>
    <t xml:space="preserve">S41: Provided in Confidence </t>
  </si>
  <si>
    <t>Payments received from TVCA</t>
  </si>
  <si>
    <t>S42: Legal Professional Privilege</t>
  </si>
  <si>
    <t>Longbeck election costs</t>
  </si>
  <si>
    <t xml:space="preserve">Not public body </t>
  </si>
  <si>
    <t>S47 enquiries regarding puberty blockers</t>
  </si>
  <si>
    <t xml:space="preserve">S44: Prohibition on Disclosure </t>
  </si>
  <si>
    <t>Street trading pitches</t>
  </si>
  <si>
    <t>Support Services Midlands</t>
  </si>
  <si>
    <t>Looked after children placements</t>
  </si>
  <si>
    <t>Billion Media</t>
  </si>
  <si>
    <t>Workplace accidents and mental health</t>
  </si>
  <si>
    <t>Global Care</t>
  </si>
  <si>
    <t>Enquiry Regarding Care Home Purchase and Fee Structure</t>
  </si>
  <si>
    <t>Homelessness data</t>
  </si>
  <si>
    <t>How council tax has been spent</t>
  </si>
  <si>
    <t>PCN - Roseberry under Newton</t>
  </si>
  <si>
    <t>Adult neurological and mental health services</t>
  </si>
  <si>
    <t xml:space="preserve">MIPIM conference held in Cannes </t>
  </si>
  <si>
    <t>Tattoo premises</t>
  </si>
  <si>
    <t>Child Sexual Exploitation</t>
  </si>
  <si>
    <t>Care England</t>
  </si>
  <si>
    <t>Supported Living and Residential Care Rates</t>
  </si>
  <si>
    <t>Care home fees for older person care</t>
  </si>
  <si>
    <t>Non-Domestic Completion Notices served by R&amp;C Council.</t>
  </si>
  <si>
    <t>Total number of employees within the Council and total spending on agency staff.</t>
  </si>
  <si>
    <t>Financial Times</t>
  </si>
  <si>
    <t>Unaccredited online schools</t>
  </si>
  <si>
    <t>Fostering fees and allowances</t>
  </si>
  <si>
    <t>TES magazine</t>
  </si>
  <si>
    <t>Operation Encompass</t>
  </si>
  <si>
    <t>Children's Social Care and Independent Special Schools costs</t>
  </si>
  <si>
    <t>My fines</t>
  </si>
  <si>
    <t>Contact details for Parking Enforcement</t>
  </si>
  <si>
    <t>Book challenges: 2018-2025</t>
  </si>
  <si>
    <t>Spending on advertising</t>
  </si>
  <si>
    <t>Spending on Communications and staffing information</t>
  </si>
  <si>
    <t>Data breaches and compensation</t>
  </si>
  <si>
    <t>Padel courts</t>
  </si>
  <si>
    <t>Lost and stray dogs</t>
  </si>
  <si>
    <t>Avison-Young</t>
  </si>
  <si>
    <t>Business rates accounts in credit</t>
  </si>
  <si>
    <t>Carrick Leather</t>
  </si>
  <si>
    <t>Licensed Premises - alcohol</t>
  </si>
  <si>
    <t>Empty council premises</t>
  </si>
  <si>
    <t>Commercial tenants of Manchester Council in business rates arrears</t>
  </si>
  <si>
    <t>Anglian Ruskin University</t>
  </si>
  <si>
    <t>Children's Homes</t>
  </si>
  <si>
    <t>QR scams in car parks</t>
  </si>
  <si>
    <t>Brazil</t>
  </si>
  <si>
    <t>Car parking costs and fines</t>
  </si>
  <si>
    <t>Requests for the removal of library books</t>
  </si>
  <si>
    <t>Missing People</t>
  </si>
  <si>
    <t>Missing children</t>
  </si>
  <si>
    <t>Bremner &amp; Co</t>
  </si>
  <si>
    <t>Early years and older children (16–18 year-olds) in auto-enrolment processes</t>
  </si>
  <si>
    <t>Apr</t>
  </si>
  <si>
    <t>Sought clarification but no response</t>
  </si>
  <si>
    <t>Fleet information</t>
  </si>
  <si>
    <t>See EIR-2526-0003</t>
  </si>
  <si>
    <t>The Telegraph</t>
  </si>
  <si>
    <t>Council tax collection and employer contributions to LGPS</t>
  </si>
  <si>
    <t>Dataologie</t>
  </si>
  <si>
    <t>Data Protection Services</t>
  </si>
  <si>
    <t xml:space="preserve">Penalty Charge Notices </t>
  </si>
  <si>
    <t>Public toilets</t>
  </si>
  <si>
    <t>Sought clarfication but no response</t>
  </si>
  <si>
    <t>Saltburn Leisure Centre parking</t>
  </si>
  <si>
    <t>Complaints contact details</t>
  </si>
  <si>
    <t>Software used by services</t>
  </si>
  <si>
    <t>Action for Children</t>
  </si>
  <si>
    <t>Young carers</t>
  </si>
  <si>
    <t>Licensed Kennels</t>
  </si>
  <si>
    <t>Nottingham University</t>
  </si>
  <si>
    <t>Falls Management Exercise</t>
  </si>
  <si>
    <t>Cogara</t>
  </si>
  <si>
    <t>NHS healthchecks</t>
  </si>
  <si>
    <t>Stonewall Funding</t>
  </si>
  <si>
    <t>Lock up garages</t>
  </si>
  <si>
    <t>Adult social care spending</t>
  </si>
  <si>
    <t>Traveller Movement</t>
  </si>
  <si>
    <t>Anti-social behaviour powers used against travellers</t>
  </si>
  <si>
    <t>End Furniture Poverty</t>
  </si>
  <si>
    <t>Local welfare assistance</t>
  </si>
  <si>
    <t>Parkinsons</t>
  </si>
  <si>
    <t>Blue badge parking</t>
  </si>
  <si>
    <t>Motive PR</t>
  </si>
  <si>
    <t>Parking complaints</t>
  </si>
  <si>
    <t>Mercell</t>
  </si>
  <si>
    <t>Procurement platforms</t>
  </si>
  <si>
    <t>Household Support Fund</t>
  </si>
  <si>
    <t>S40</t>
  </si>
  <si>
    <t>Commercial tenants in business rates arrears</t>
  </si>
  <si>
    <t xml:space="preserve">S31 &amp; S40 </t>
  </si>
  <si>
    <t>S42 safeguarding enquiries - financial and material abuse</t>
  </si>
  <si>
    <t>Children's services structure and staff information</t>
  </si>
  <si>
    <t>Vacant properties within a defined valuation scheme</t>
  </si>
  <si>
    <t>Adults social care policy regarding relevance of PIP/DLA</t>
  </si>
  <si>
    <t>Tendoconsulting</t>
  </si>
  <si>
    <t>Overseas electors on electoral register</t>
  </si>
  <si>
    <t>Held by the Returning Officer who is not a public body for the purposes of the FOIA</t>
  </si>
  <si>
    <t>Newcastle University</t>
  </si>
  <si>
    <t>Gambling and gaming licences</t>
  </si>
  <si>
    <t>Hepatitis C Trust</t>
  </si>
  <si>
    <t>Pharmacy needle and syringe programme provision</t>
  </si>
  <si>
    <t>Maze Media</t>
  </si>
  <si>
    <t>Ice Cream Vans</t>
  </si>
  <si>
    <t>Short breaks</t>
  </si>
  <si>
    <t>Assaults on housing staff</t>
  </si>
  <si>
    <t>Care planning in Adult Social Care - costs considerations</t>
  </si>
  <si>
    <t>Housing structure charts</t>
  </si>
  <si>
    <t>Library Books</t>
  </si>
  <si>
    <t>BBC</t>
  </si>
  <si>
    <t>Homeless applicants due to repossession of their mortgaged home</t>
  </si>
  <si>
    <t>Penalty notices issued - smoking in cars</t>
  </si>
  <si>
    <t>Justice Innovation</t>
  </si>
  <si>
    <t>Police Protection Orders - Children's Social Care</t>
  </si>
  <si>
    <t>Home educated children</t>
  </si>
  <si>
    <t>Defibrillators</t>
  </si>
  <si>
    <t>Homecare Association</t>
  </si>
  <si>
    <t>Prices paid for homecare services</t>
  </si>
  <si>
    <t>GL Hearn</t>
  </si>
  <si>
    <t>Payment Details and Contact Information</t>
  </si>
  <si>
    <t>Asset Sales</t>
  </si>
  <si>
    <t>S40 also applied and some information not held</t>
  </si>
  <si>
    <t>Councillor Support</t>
  </si>
  <si>
    <t>School finances</t>
  </si>
  <si>
    <t>Little Harmers Farm</t>
  </si>
  <si>
    <t>Injuries in cemeteries</t>
  </si>
  <si>
    <t>Disability policies</t>
  </si>
  <si>
    <t>Home Adaptation Study</t>
  </si>
  <si>
    <t>Disabled Facilities Grant</t>
  </si>
  <si>
    <t xml:space="preserve">Civil Contingencies Authority </t>
  </si>
  <si>
    <t>Festivals</t>
  </si>
  <si>
    <t>Mini pride event</t>
  </si>
  <si>
    <t>Unison</t>
  </si>
  <si>
    <t>Funding gap</t>
  </si>
  <si>
    <t>Womens Aid</t>
  </si>
  <si>
    <t>Services for survivors of domestic violence and abuse</t>
  </si>
  <si>
    <t>Supported living clients with support delivered in own home</t>
  </si>
  <si>
    <t>Keoghs</t>
  </si>
  <si>
    <t>Traffic light sequence</t>
  </si>
  <si>
    <t>Covid Families for Justice</t>
  </si>
  <si>
    <t>Care home payments made during the Covid Pandemic</t>
  </si>
  <si>
    <t>Checks of funeral homes</t>
  </si>
  <si>
    <t>Costs of Alternative Provision (pupil referral units)</t>
  </si>
  <si>
    <t>CBRE ltd</t>
  </si>
  <si>
    <t>Adult care assessments using the Three Conversations approach</t>
  </si>
  <si>
    <t>Illegal dog breeding investigations</t>
  </si>
  <si>
    <t>HR software and document management</t>
  </si>
  <si>
    <t>University of Central Lancashire</t>
  </si>
  <si>
    <t>Gang related activity and child criminal exploitation in young males</t>
  </si>
  <si>
    <t>Kings College</t>
  </si>
  <si>
    <t>Drug and Alcohol testing of parents in social care context</t>
  </si>
  <si>
    <t>Money Advice Service</t>
  </si>
  <si>
    <t>Use of bailiffs to collect council tax debt</t>
  </si>
  <si>
    <t>Ellipsis</t>
  </si>
  <si>
    <t>Complaints about Gyms</t>
  </si>
  <si>
    <t>Cost of external home care per hour</t>
  </si>
  <si>
    <t>Children in temporary accommodation</t>
  </si>
  <si>
    <t>HR structures and job descriptions</t>
  </si>
  <si>
    <t>Contact details for Children's Commissioning</t>
  </si>
  <si>
    <t>City St Georges University</t>
  </si>
  <si>
    <t>Public Law proceedings costs</t>
  </si>
  <si>
    <t>Money Wellness</t>
  </si>
  <si>
    <t>Council tax discounts</t>
  </si>
  <si>
    <t>Contingency accommodation for asylum seekers, refugees and illegal immigrants</t>
  </si>
  <si>
    <t>Missing unaccompanied asylum seekers</t>
  </si>
  <si>
    <t>Care home reports</t>
  </si>
  <si>
    <t>High Acuity Dementia</t>
  </si>
  <si>
    <t>Compliance with the equality act</t>
  </si>
  <si>
    <t>Citizen engagement platform</t>
  </si>
  <si>
    <t>Void commercial properties</t>
  </si>
  <si>
    <t>Organisational structure charts</t>
  </si>
  <si>
    <t>Sentry Doors</t>
  </si>
  <si>
    <t>Fire doors in social housing</t>
  </si>
  <si>
    <t>Illegal goods seized from shops</t>
  </si>
  <si>
    <t>Agency staffing in social care</t>
  </si>
  <si>
    <t>Gravitas Estates</t>
  </si>
  <si>
    <t>Exempt Accommodation</t>
  </si>
  <si>
    <t>Complaints about door staff</t>
  </si>
  <si>
    <t>Empty properties</t>
  </si>
  <si>
    <t>Swap to stop</t>
  </si>
  <si>
    <t>Infotrack</t>
  </si>
  <si>
    <t>Live compulsory purchase orders</t>
  </si>
  <si>
    <t>IT Contracts</t>
  </si>
  <si>
    <t>Barringtons</t>
  </si>
  <si>
    <t>Health and safety breaches at premier league football grounds</t>
  </si>
  <si>
    <t>Spending on external consultants</t>
  </si>
  <si>
    <t>Lamppost banners</t>
  </si>
  <si>
    <t>Gym membership for asylum seekers and refugees</t>
  </si>
  <si>
    <t>Clevacard</t>
  </si>
  <si>
    <t>Use of Direct Payments, Prepaid Cards, Cash and Voucher Schemes</t>
  </si>
  <si>
    <t>Walsingham</t>
  </si>
  <si>
    <t>Contact details for legal correspondence</t>
  </si>
  <si>
    <t>ITN</t>
  </si>
  <si>
    <t>Children's Society</t>
  </si>
  <si>
    <t>Alternative Provision</t>
  </si>
  <si>
    <t>Jun</t>
  </si>
  <si>
    <t>BWB</t>
  </si>
  <si>
    <t>Social housing - council tax information</t>
  </si>
  <si>
    <t>Home to transport appeals</t>
  </si>
  <si>
    <t>Nation federation of roofers</t>
  </si>
  <si>
    <t xml:space="preserve">Supplier Rebate Option Uptake under Early Payment Schemes </t>
  </si>
  <si>
    <t>Prevent strategy funding</t>
  </si>
  <si>
    <t>Procurement of agency staff</t>
  </si>
  <si>
    <t>Emap</t>
  </si>
  <si>
    <t>Construction contractor ISG</t>
  </si>
  <si>
    <t>BJP group</t>
  </si>
  <si>
    <t>Belmont House</t>
  </si>
  <si>
    <t>Colliers</t>
  </si>
  <si>
    <t xml:space="preserve">Enterprise Zone Business Rates </t>
  </si>
  <si>
    <t>School attendance enforcement</t>
  </si>
  <si>
    <t xml:space="preserve">High court enforcement officers </t>
  </si>
  <si>
    <t>Risk assessments in domestic abuse</t>
  </si>
  <si>
    <t>Social Media Management and Social Listening Platform</t>
  </si>
  <si>
    <t>Children's homes and children in our care</t>
  </si>
  <si>
    <t>ITV</t>
  </si>
  <si>
    <t>Deprivation of Liberty orders</t>
  </si>
  <si>
    <t>Contract register</t>
  </si>
  <si>
    <t>Clear Vehicle Data</t>
  </si>
  <si>
    <t>Battersea Dogs Home</t>
  </si>
  <si>
    <t>Animal licencing</t>
  </si>
  <si>
    <t>Videocon</t>
  </si>
  <si>
    <t>Venues with 100+ capacity</t>
  </si>
  <si>
    <t>Venn Group</t>
  </si>
  <si>
    <t>Finance staffing information</t>
  </si>
  <si>
    <t>Missing parcel complaints</t>
  </si>
  <si>
    <t>NDNA</t>
  </si>
  <si>
    <t>Early years expansion grant and childcare expansion capital grant funding</t>
  </si>
  <si>
    <t>LHLPA</t>
  </si>
  <si>
    <t>S21/S40 also applied</t>
  </si>
  <si>
    <t>Seafield House and Belmont House</t>
  </si>
  <si>
    <t>Museums - racial and LGBT policies</t>
  </si>
  <si>
    <t>Fraser &amp; Fraser</t>
  </si>
  <si>
    <t>Public funerals</t>
  </si>
  <si>
    <t>Foreview</t>
  </si>
  <si>
    <t>Non-domestic completions</t>
  </si>
  <si>
    <t>Flextecs</t>
  </si>
  <si>
    <t>Finance software</t>
  </si>
  <si>
    <t>NRLA</t>
  </si>
  <si>
    <t>Complaints re tenant fees</t>
  </si>
  <si>
    <t>Attacks on refuse workers</t>
  </si>
  <si>
    <t>Complaints about social media posts by Councillors</t>
  </si>
  <si>
    <t>Family time service</t>
  </si>
  <si>
    <t>S21</t>
  </si>
  <si>
    <t>Cloud infrastructure and data storage</t>
  </si>
  <si>
    <t>Care North East</t>
  </si>
  <si>
    <t>Older persons services</t>
  </si>
  <si>
    <t>Polygamas working</t>
  </si>
  <si>
    <t>New Schools Network</t>
  </si>
  <si>
    <t>Children's services structure and school improvement information</t>
  </si>
  <si>
    <t>Late payments made</t>
  </si>
  <si>
    <t>Cardiff University</t>
  </si>
  <si>
    <t>Homelessness policies - LGBTQ+</t>
  </si>
  <si>
    <t>Staff injuries</t>
  </si>
  <si>
    <t>Commissioning, Management and Social Work Staff Details</t>
  </si>
  <si>
    <t>Pupil Admission Numbers for 2026</t>
  </si>
  <si>
    <t>FOI statistics</t>
  </si>
  <si>
    <t>Illegal/Counterfeit Tobacco/Cigarettes Seizures and Prosecutions</t>
  </si>
  <si>
    <t>The I Paper</t>
  </si>
  <si>
    <t>Redundant staff rehired</t>
  </si>
  <si>
    <t>Shapefiles on School Catchment Areas</t>
  </si>
  <si>
    <t>Saltburn camper van consultation</t>
  </si>
  <si>
    <t>Variety</t>
  </si>
  <si>
    <t>SFAG</t>
  </si>
  <si>
    <t>Training provision</t>
  </si>
  <si>
    <t>Misuse of disabled parking spaces</t>
  </si>
  <si>
    <t>Trans training</t>
  </si>
  <si>
    <t>Map 16</t>
  </si>
  <si>
    <t>Asset management software</t>
  </si>
  <si>
    <t>Public toilet provision</t>
  </si>
  <si>
    <t>Proud PR</t>
  </si>
  <si>
    <t>Domestic disputes and complaints</t>
  </si>
  <si>
    <t>Payroll/HR system used</t>
  </si>
  <si>
    <t>Social Care Commissioning</t>
  </si>
  <si>
    <t>Network contracts</t>
  </si>
  <si>
    <t>Bauer Media</t>
  </si>
  <si>
    <t>Disposable vapes</t>
  </si>
  <si>
    <t>Family Rights Group</t>
  </si>
  <si>
    <t>Charging parents/children for children in our care services</t>
  </si>
  <si>
    <t>Adults learning disabilities services</t>
  </si>
  <si>
    <t>UT Compliance</t>
  </si>
  <si>
    <t>Social care provision gaps</t>
  </si>
  <si>
    <t>Building Control &amp; Building Safety - Workers &amp; Workloads</t>
  </si>
  <si>
    <t>Sky</t>
  </si>
  <si>
    <t>Children in our Care missing from placements</t>
  </si>
  <si>
    <t>Multi functional devices</t>
  </si>
  <si>
    <t>Complaints about second homes</t>
  </si>
  <si>
    <t>Looked after children and risk of exploitation</t>
  </si>
  <si>
    <t>Telegraph</t>
  </si>
  <si>
    <t>Staff well being days</t>
  </si>
  <si>
    <t>Exemplar Health Care</t>
  </si>
  <si>
    <t>S40 Personal information</t>
  </si>
  <si>
    <t>Non-disclosure agreements</t>
  </si>
  <si>
    <t>Mixoads</t>
  </si>
  <si>
    <t>Nalytics contract</t>
  </si>
  <si>
    <t>The Donkey Sanctuary</t>
  </si>
  <si>
    <t>Import and Export of Donkeys</t>
  </si>
  <si>
    <t>Houses of multiple occupation</t>
  </si>
  <si>
    <t>Unregistered alternative provision</t>
  </si>
  <si>
    <t>Centrepoint</t>
  </si>
  <si>
    <t>Youth Homelessness</t>
  </si>
  <si>
    <t>Crossing the Tees Festival</t>
  </si>
  <si>
    <t>Response to FOI 23 0860</t>
  </si>
  <si>
    <t>Attitcus Comms</t>
  </si>
  <si>
    <t>Taxi Licensing, CCTV, Multi-Area Permits &amp; Complaints (2018–2024)</t>
  </si>
  <si>
    <t>Complaints against PCC after they have left office</t>
  </si>
  <si>
    <t>Enovation Group</t>
  </si>
  <si>
    <t>Adult social care - telecare services</t>
  </si>
  <si>
    <t>Post 16 travel policy</t>
  </si>
  <si>
    <t>Refugee settlement costs</t>
  </si>
  <si>
    <t>QP Equity</t>
  </si>
  <si>
    <t>Shelter</t>
  </si>
  <si>
    <t>Children accommodated under S17 of the Children's Act</t>
  </si>
  <si>
    <t>Audit of care homes</t>
  </si>
  <si>
    <t>Cogora</t>
  </si>
  <si>
    <t>Local enhanced services available in the local area</t>
  </si>
  <si>
    <t>Councillor</t>
  </si>
  <si>
    <t>Copy of email that was sent between 3rd July &amp; 14th July.</t>
  </si>
  <si>
    <t>Emails containing the word TVERF or Code of Conduct.</t>
  </si>
  <si>
    <t>Emails containing the word TVERF or Code of Conduct plus additional questions</t>
  </si>
  <si>
    <t>S21 and some information not held</t>
  </si>
  <si>
    <t xml:space="preserve">Emails containing the word TVERF or Code of Conduct </t>
  </si>
  <si>
    <t>Channel 4 News</t>
  </si>
  <si>
    <t>Youth Justice Service and Offences</t>
  </si>
  <si>
    <t>Dogs Trust</t>
  </si>
  <si>
    <t>Stray Dogs Survey</t>
  </si>
  <si>
    <t>Online survey completed</t>
  </si>
  <si>
    <t>UK Vehicle Data LTD</t>
  </si>
  <si>
    <t>Taxi Licensing</t>
  </si>
  <si>
    <t>Deceased persons social care records</t>
  </si>
  <si>
    <t>Birmingham University</t>
  </si>
  <si>
    <t>Free school meals for families with no recourse to public funds</t>
  </si>
  <si>
    <t>No 10 Interim</t>
  </si>
  <si>
    <t>Case Management Systems</t>
  </si>
  <si>
    <t>The Complaining Cow</t>
  </si>
  <si>
    <t>Supermarkets selling out of date food</t>
  </si>
  <si>
    <t>Perceptiona</t>
  </si>
  <si>
    <t>Tennis courts</t>
  </si>
  <si>
    <t>Children's services policies and procedures</t>
  </si>
  <si>
    <t>Information related to specific case, questions were answered outside of FOI</t>
  </si>
  <si>
    <t>Triple West Medical</t>
  </si>
  <si>
    <t>Post mortems and pathology provision</t>
  </si>
  <si>
    <t>Resolutiion</t>
  </si>
  <si>
    <t>Legal disrepair claims against the council</t>
  </si>
  <si>
    <t>Prosecution of parents for non school attendance (SEN children)</t>
  </si>
  <si>
    <t>Payroll Easy</t>
  </si>
  <si>
    <t>Procurement opportunities</t>
  </si>
  <si>
    <t>Pathways between early help and statutory services</t>
  </si>
  <si>
    <t>Children's Commissioning structure and contact details</t>
  </si>
  <si>
    <t>Complaints about fake competitions</t>
  </si>
  <si>
    <t>Coatham ward information/HMO</t>
  </si>
  <si>
    <t>Criteria for denying clients emergency accommodation</t>
  </si>
  <si>
    <t>Q1 business rates info</t>
  </si>
  <si>
    <t>Submit A Plan</t>
  </si>
  <si>
    <t>Planning decisions</t>
  </si>
  <si>
    <t>CIAT</t>
  </si>
  <si>
    <t>Procurement of Architectural Design Services</t>
  </si>
  <si>
    <t>The Prayers</t>
  </si>
  <si>
    <t>Complaints about private landlords</t>
  </si>
  <si>
    <t>Super Young Minds</t>
  </si>
  <si>
    <t>Residential Children’s Home Placements</t>
  </si>
  <si>
    <t>Special Educational Needs Funding Arrangements</t>
  </si>
  <si>
    <t>New Trade</t>
  </si>
  <si>
    <t>Data on Illegal Vape and Tobacco Seizures</t>
  </si>
  <si>
    <t>Library usage data</t>
  </si>
  <si>
    <t>Stash Bee</t>
  </si>
  <si>
    <t>Council owned garages</t>
  </si>
  <si>
    <t>Pride Month</t>
  </si>
  <si>
    <t>Compliance with the Equality Act 2010 Staff &amp; Training</t>
  </si>
  <si>
    <t>Cadaema</t>
  </si>
  <si>
    <t>Facilities Management and Benchmarking</t>
  </si>
  <si>
    <t>The Sun</t>
  </si>
  <si>
    <t>School uniform grants</t>
  </si>
  <si>
    <t>Advice sector funding</t>
  </si>
  <si>
    <t>Subsidised access for immgrants</t>
  </si>
  <si>
    <t>Contact details for workshop manager</t>
  </si>
  <si>
    <t>Motorpoint</t>
  </si>
  <si>
    <t>Parking fines and income</t>
  </si>
  <si>
    <t>New Life Charity</t>
  </si>
  <si>
    <t>Paediatric OT Assessment Waiting Times</t>
  </si>
  <si>
    <t>Jul</t>
  </si>
  <si>
    <t>Hey PA</t>
  </si>
  <si>
    <t>Adult Mental Health Residential Placements &amp; SEND School Demand</t>
  </si>
  <si>
    <t>Asylum Seeker support</t>
  </si>
  <si>
    <t>School budget information</t>
  </si>
  <si>
    <t>Enforcement camera vehicle</t>
  </si>
  <si>
    <t>Penalty Charge Notices - littering</t>
  </si>
  <si>
    <t>DPG Law</t>
  </si>
  <si>
    <t>Looked After Children/UASC</t>
  </si>
  <si>
    <t>Reach PLC</t>
  </si>
  <si>
    <t>Households in temporary accommodation</t>
  </si>
  <si>
    <t>Code of Conduct investigations</t>
  </si>
  <si>
    <t>Agency staffing costs</t>
  </si>
  <si>
    <t>Travel Trainers Job description</t>
  </si>
  <si>
    <t>Taxi Licensing info</t>
  </si>
  <si>
    <t>Harvey and Hugo</t>
  </si>
  <si>
    <t>School fines/penalty notices</t>
  </si>
  <si>
    <t>LBC Radio</t>
  </si>
  <si>
    <t>Prevent Referrals</t>
  </si>
  <si>
    <t>Difference North East</t>
  </si>
  <si>
    <t>Disabled persons bus pass</t>
  </si>
  <si>
    <t>Roseberry Funeral Services</t>
  </si>
  <si>
    <t>Green Certificates issued to Pure Cremation</t>
  </si>
  <si>
    <t>Registrars not a public authority under FOIA</t>
  </si>
  <si>
    <t>Complaints, Inspections &amp; Closures in Aesthetics Sector</t>
  </si>
  <si>
    <t>Accommodation for refugees outside of area</t>
  </si>
  <si>
    <t>Cromwell House</t>
  </si>
  <si>
    <t>Advanced CCA</t>
  </si>
  <si>
    <t>Family Assessment Centres</t>
  </si>
  <si>
    <t>Misuse of EV bays and enforcement</t>
  </si>
  <si>
    <t>Post-16 specialist FE colleges</t>
  </si>
  <si>
    <t>Nature Watch</t>
  </si>
  <si>
    <t>Enforcement of sch 6, para 6(5) LAIAR 2018</t>
  </si>
  <si>
    <t>Antidote Comms</t>
  </si>
  <si>
    <t>Disabled access to leisure facilities</t>
  </si>
  <si>
    <t>Use of family support workers</t>
  </si>
  <si>
    <t>Schools Week</t>
  </si>
  <si>
    <t>School admissions fraud</t>
  </si>
  <si>
    <t>Rape Crisis</t>
  </si>
  <si>
    <t>Survivors of abuse funding</t>
  </si>
  <si>
    <t>Care home provider fees</t>
  </si>
  <si>
    <t>Settlement agreements</t>
  </si>
  <si>
    <t>Social housing waiting lists</t>
  </si>
  <si>
    <t>HMO data</t>
  </si>
  <si>
    <t>London School of Hygiene and Tropical Medicine</t>
  </si>
  <si>
    <t>Selective Licencing Scheme</t>
  </si>
  <si>
    <t>Benefits and revenues systems used</t>
  </si>
  <si>
    <t>Complaints about asylum seekers</t>
  </si>
  <si>
    <t>Use of PSPOs and CPNs</t>
  </si>
  <si>
    <t>Arcus Global Sales</t>
  </si>
  <si>
    <t>Software contracts</t>
  </si>
  <si>
    <t>Youth clubs</t>
  </si>
  <si>
    <t>Penalty Charge Notices - engine idling</t>
  </si>
  <si>
    <t>Vuelio</t>
  </si>
  <si>
    <t>Driving offences</t>
  </si>
  <si>
    <t>Software used by waste team</t>
  </si>
  <si>
    <t>Homeless refugees</t>
  </si>
  <si>
    <t>Winchester University</t>
  </si>
  <si>
    <t>Single handed and double handed care policies</t>
  </si>
  <si>
    <t>One Auto API</t>
  </si>
  <si>
    <t>Quiet days in schools</t>
  </si>
  <si>
    <t>Safe Families</t>
  </si>
  <si>
    <t>Supported lodgings data</t>
  </si>
  <si>
    <t>Wheelchair accessible housing</t>
  </si>
  <si>
    <t>Complaints about library books</t>
  </si>
  <si>
    <t>Fore View</t>
  </si>
  <si>
    <t>Non domestic completions</t>
  </si>
  <si>
    <t>Council staff sickness data</t>
  </si>
  <si>
    <t>Avison Young</t>
  </si>
  <si>
    <t>Business rates advisors</t>
  </si>
  <si>
    <t>Home to School PSVAR compliance after July 2025</t>
  </si>
  <si>
    <t>Grangetown bungalow information</t>
  </si>
  <si>
    <t>Migration information</t>
  </si>
  <si>
    <t>Rogue traders</t>
  </si>
  <si>
    <t xml:space="preserve">
</t>
  </si>
  <si>
    <t>Four Paws</t>
  </si>
  <si>
    <t>Dog breeding licences and enforcement</t>
  </si>
  <si>
    <t>Online learning platforms</t>
  </si>
  <si>
    <t>Illegal immigrants and housing</t>
  </si>
  <si>
    <t>Aug</t>
  </si>
  <si>
    <t>Taxi Licensing prosecutions</t>
  </si>
  <si>
    <t>Hotel use for temporary accommodation</t>
  </si>
  <si>
    <t>Adoption disruptions and breakdowns</t>
  </si>
  <si>
    <t>Fleet and fuel type</t>
  </si>
  <si>
    <t>Good thinking society</t>
  </si>
  <si>
    <t>Trading standards</t>
  </si>
  <si>
    <t>Agency workers</t>
  </si>
  <si>
    <t>Patriotic Millionaires</t>
  </si>
  <si>
    <t>Closures of venues due to financial decisions</t>
  </si>
  <si>
    <t>Salience</t>
  </si>
  <si>
    <t>Wayfinding sign costs</t>
  </si>
  <si>
    <t xml:space="preserve">Some information not held </t>
  </si>
  <si>
    <t>Zihuatanejo limited</t>
  </si>
  <si>
    <t>OK Each Day - housing benefit eligibility</t>
  </si>
  <si>
    <t>Advertising consent applications</t>
  </si>
  <si>
    <t>Transport for All</t>
  </si>
  <si>
    <t>Blue badges</t>
  </si>
  <si>
    <t>Support for Home Educators</t>
  </si>
  <si>
    <t>School attendance fines/prosecutions</t>
  </si>
  <si>
    <t>100% council tax premium on second homes</t>
  </si>
  <si>
    <t>Organisational Charts- Highways, Traffic and Transportation</t>
  </si>
  <si>
    <t>Data on digital books held by libraries</t>
  </si>
  <si>
    <t>Plus S21 applied</t>
  </si>
  <si>
    <t>AI policy documents and use of AI by staff</t>
  </si>
  <si>
    <t>Core Research</t>
  </si>
  <si>
    <t>Purchase of housing for asylum seekers</t>
  </si>
  <si>
    <t>Council tax and business rates contributions per ward</t>
  </si>
  <si>
    <t>Bin Wagon claims</t>
  </si>
  <si>
    <t>Youth and Community Workers</t>
  </si>
  <si>
    <t>UK Onward</t>
  </si>
  <si>
    <t>Discount schemes for non statutory services delivered</t>
  </si>
  <si>
    <t>Sep</t>
  </si>
  <si>
    <t xml:space="preserve">Clarification sought. No response. </t>
  </si>
  <si>
    <t>Pension Scheme</t>
  </si>
  <si>
    <t>Pitchpoint Comms</t>
  </si>
  <si>
    <t>Christmas lights and decorations</t>
  </si>
  <si>
    <t>Newbys Solicitors</t>
  </si>
  <si>
    <t>Respite care records from Meadowgate for a deceased individual</t>
  </si>
  <si>
    <t>Number of HMO licences, applications, and permitted occupants</t>
  </si>
  <si>
    <t>Missing People missing children research</t>
  </si>
  <si>
    <t>Highways maintenance budget</t>
  </si>
  <si>
    <t>Children's residential homes</t>
  </si>
  <si>
    <t xml:space="preserve">Adoptions </t>
  </si>
  <si>
    <t>Hales Group</t>
  </si>
  <si>
    <t>Older people's homecare commissioning data</t>
  </si>
  <si>
    <t>HGL uk</t>
  </si>
  <si>
    <t>Monies owed by the ICB to the council</t>
  </si>
  <si>
    <t>RAC</t>
  </si>
  <si>
    <t>Employment of Chartered civil and structural engineers within the Highways Department</t>
  </si>
  <si>
    <t>Belron UK</t>
  </si>
  <si>
    <t>Vehicle Glass Repair, Replacement &amp; Recalibration</t>
  </si>
  <si>
    <t>Housing allocations</t>
  </si>
  <si>
    <t>Tussell</t>
  </si>
  <si>
    <t>Call off contract</t>
  </si>
  <si>
    <t>The AA</t>
  </si>
  <si>
    <t>PCNs and parking on double yellow lines</t>
  </si>
  <si>
    <t>Brookes</t>
  </si>
  <si>
    <t>AI in planning</t>
  </si>
  <si>
    <t>International Holocaust Remembrance Alliance (IHRA) definition of anti-Semitism</t>
  </si>
  <si>
    <t>CYP advocacy services</t>
  </si>
  <si>
    <t>Commissioned Care Costs</t>
  </si>
  <si>
    <t>Renewal of treatment contract</t>
  </si>
  <si>
    <t>Learning Curve</t>
  </si>
  <si>
    <t>Taxi &amp; PHV Training Requirements</t>
  </si>
  <si>
    <t>Individual Services Funds</t>
  </si>
  <si>
    <t>Harry Potter events held in library</t>
  </si>
  <si>
    <t>Durham Council</t>
  </si>
  <si>
    <t>Adult social care charging</t>
  </si>
  <si>
    <t>Seized/euthanised dogs</t>
  </si>
  <si>
    <t>RCBC</t>
  </si>
  <si>
    <t>Coatham Crossing Patrol</t>
  </si>
  <si>
    <t>Stoke Council</t>
  </si>
  <si>
    <t>Software used for Neighbourhoods</t>
  </si>
  <si>
    <t>AI in welfare benefits</t>
  </si>
  <si>
    <t>Co-op Ltd</t>
  </si>
  <si>
    <t>Business rates</t>
  </si>
  <si>
    <t xml:space="preserve">CIPFA PQ level 7 apprenticeship </t>
  </si>
  <si>
    <t>Apira</t>
  </si>
  <si>
    <t>Care software systems used</t>
  </si>
  <si>
    <t>Xcessions</t>
  </si>
  <si>
    <t>IT management software used</t>
  </si>
  <si>
    <t>Just Checking</t>
  </si>
  <si>
    <t>Adult social care contacts</t>
  </si>
  <si>
    <t>Inside Housing</t>
  </si>
  <si>
    <t>Council housing</t>
  </si>
  <si>
    <t>Payment portal costs</t>
  </si>
  <si>
    <t>Best Outcome</t>
  </si>
  <si>
    <t>Project Management software and staff</t>
  </si>
  <si>
    <t>Speech and Language Therapists</t>
  </si>
  <si>
    <t>Estate Surveys and Asset information</t>
  </si>
  <si>
    <t>School safeguarding referrals</t>
  </si>
  <si>
    <t>Future Fuel UK</t>
  </si>
  <si>
    <t>Bulk fuel purchases</t>
  </si>
  <si>
    <t>S40 also applied</t>
  </si>
  <si>
    <t>Coatham Ward - Halfway Houses</t>
  </si>
  <si>
    <t>Council tax accounts in credit</t>
  </si>
  <si>
    <t>Yulife</t>
  </si>
  <si>
    <t>Allotment waiting times</t>
  </si>
  <si>
    <t>Step Change</t>
  </si>
  <si>
    <t>Council tax collection letters</t>
  </si>
  <si>
    <t>Public consultations</t>
  </si>
  <si>
    <t>Appendices regarding an LGO complaint - 2009</t>
  </si>
  <si>
    <t>Client Caseload Information System (CCIS) and Youth Services</t>
  </si>
  <si>
    <t>Northumbrian Water</t>
  </si>
  <si>
    <t>Data sets/maps</t>
  </si>
  <si>
    <t>Association of SEND mediators</t>
  </si>
  <si>
    <t>Commissioning information</t>
  </si>
  <si>
    <t>In-year admissions and Fair Access Panels</t>
  </si>
  <si>
    <t>Penalty Charge Notices - residential parking</t>
  </si>
  <si>
    <t>Use of agency social workers</t>
  </si>
  <si>
    <t>Marco Richards</t>
  </si>
  <si>
    <t>Local land searches</t>
  </si>
  <si>
    <t>National Hate Crime Awareness Week</t>
  </si>
  <si>
    <t>Hate Crime</t>
  </si>
  <si>
    <t>Children's social care expenditure</t>
  </si>
  <si>
    <t>Mayoral cars</t>
  </si>
  <si>
    <t>Global Data</t>
  </si>
  <si>
    <t>IT systems</t>
  </si>
  <si>
    <t>Next of kin tracing services</t>
  </si>
  <si>
    <t>Regulatory committee meetings 2019/20</t>
  </si>
  <si>
    <t>Award ceremonies</t>
  </si>
  <si>
    <t>Email communications</t>
  </si>
  <si>
    <t>HMO register</t>
  </si>
  <si>
    <t>JVMC Property</t>
  </si>
  <si>
    <t>Empty Properties</t>
  </si>
  <si>
    <t>Emails re Planning Application No. R/2025/0457/FF</t>
  </si>
  <si>
    <t>Anglia Ruskin University</t>
  </si>
  <si>
    <t>Young persons homeless referrals</t>
  </si>
  <si>
    <t>Elective home education</t>
  </si>
  <si>
    <t>Melatonin products</t>
  </si>
  <si>
    <t>Rooms for Faith</t>
  </si>
  <si>
    <t>Business rates in credit</t>
  </si>
  <si>
    <t>Fire dampers in buildings</t>
  </si>
  <si>
    <t>Illegally imported pets</t>
  </si>
  <si>
    <t>Serious incidents in unregistered children's homes</t>
  </si>
  <si>
    <t>Public protection zones</t>
  </si>
  <si>
    <t>Contract with Beam</t>
  </si>
  <si>
    <t>Waste contracts</t>
  </si>
  <si>
    <t>Zenergi</t>
  </si>
  <si>
    <t>Energy contracts</t>
  </si>
  <si>
    <t>SEN transport</t>
  </si>
  <si>
    <t>Inform Services</t>
  </si>
  <si>
    <t>Business rates - Redcar College</t>
  </si>
  <si>
    <t>Unregulated care/crisis interventions</t>
  </si>
  <si>
    <t>Tree survey costs</t>
  </si>
  <si>
    <t>Total Social</t>
  </si>
  <si>
    <t>Staff contact details</t>
  </si>
  <si>
    <t>Infopoint</t>
  </si>
  <si>
    <t>Private hire operators</t>
  </si>
  <si>
    <t>Distinctly PR</t>
  </si>
  <si>
    <t>Illegal vapes and nicotine replacement seizures</t>
  </si>
  <si>
    <t>Mental health social work</t>
  </si>
  <si>
    <t>Centre for Social Justice</t>
  </si>
  <si>
    <t>This is Focus</t>
  </si>
  <si>
    <t>Software used for Children's Services</t>
  </si>
  <si>
    <t>Education Mutual</t>
  </si>
  <si>
    <t>Education staff sickness insurance schemes</t>
  </si>
  <si>
    <t>Property information - Wicklow St, Middlesbrough</t>
  </si>
  <si>
    <t xml:space="preserve">Revised response issued </t>
  </si>
  <si>
    <t>Homelessness - out of borough temporary accommodation</t>
  </si>
  <si>
    <t>Paternity leave</t>
  </si>
  <si>
    <t>Zipcar</t>
  </si>
  <si>
    <t>Screaming Frog</t>
  </si>
  <si>
    <t>Compensation payments - potholes</t>
  </si>
  <si>
    <t>Care home fees</t>
  </si>
  <si>
    <t>Meat and fish supplied to schools</t>
  </si>
  <si>
    <t>Planning emails re R/2025/0457/FF</t>
  </si>
  <si>
    <t>Rexel Group</t>
  </si>
  <si>
    <t>Vacant commercial properties</t>
  </si>
  <si>
    <t>Clarified info required for RCBC and not Oldham</t>
  </si>
  <si>
    <t>Parking eye - Saltburn leisure centre</t>
  </si>
  <si>
    <t>S41 &amp; S42 also applied</t>
  </si>
  <si>
    <t>Advanced SCS</t>
  </si>
  <si>
    <t>Use of Independent Social Workers, External Providers, and Recruitment Agencies</t>
  </si>
  <si>
    <t>Children and young people in care settings</t>
  </si>
  <si>
    <t>Flashing lights media</t>
  </si>
  <si>
    <t>Deaf pupils and sign language support</t>
  </si>
  <si>
    <t>Frameworks/Supplier Lists for Supervision of Families in Children’s Services</t>
  </si>
  <si>
    <t>Complaints about home care services</t>
  </si>
  <si>
    <t>Adult care team size and structure</t>
  </si>
  <si>
    <t>Number and distribution of homecare providers</t>
  </si>
  <si>
    <t>Waiting times for care packages</t>
  </si>
  <si>
    <t>Social care services and policies and procedures - subcontractors</t>
  </si>
  <si>
    <t>Flag removal costs</t>
  </si>
  <si>
    <t>Pension and debt interest</t>
  </si>
  <si>
    <t>Northumberland Council</t>
  </si>
  <si>
    <t>Equipment loan service</t>
  </si>
  <si>
    <t>Historical business rates information for a property in Redcar High St</t>
  </si>
  <si>
    <t>Think Laser</t>
  </si>
  <si>
    <t>Lasers used in schools</t>
  </si>
  <si>
    <t>Family contact restrictions</t>
  </si>
  <si>
    <t>S21a Court of Protection applications</t>
  </si>
  <si>
    <t xml:space="preserve">Some information not held
</t>
  </si>
  <si>
    <t>Supported living - ASD &amp; LD</t>
  </si>
  <si>
    <t>West of England University</t>
  </si>
  <si>
    <t>Hoarding</t>
  </si>
  <si>
    <t>Digital mental health</t>
  </si>
  <si>
    <t>RC Devine</t>
  </si>
  <si>
    <t>Land at Skinningrove</t>
  </si>
  <si>
    <t>Some information no held</t>
  </si>
  <si>
    <t>Provision of social security benefits</t>
  </si>
  <si>
    <t>Oct</t>
  </si>
  <si>
    <t>Fenestration complaints</t>
  </si>
  <si>
    <t>Annual demolition permits issued</t>
  </si>
  <si>
    <t>Council Occupational Physiotherapy Service</t>
  </si>
  <si>
    <t>Cleveland Housing Advice Centre</t>
  </si>
  <si>
    <t>Council tax support</t>
  </si>
  <si>
    <t>Clocks on buildings</t>
  </si>
  <si>
    <t>Home to school transport</t>
  </si>
  <si>
    <t>Teacher injuries</t>
  </si>
  <si>
    <t>Second home council tax - void periods</t>
  </si>
  <si>
    <t>Regent Cinema</t>
  </si>
  <si>
    <t>Kirkleatham walled garden</t>
  </si>
  <si>
    <t>General elections</t>
  </si>
  <si>
    <t>Returning Officer not a public body for the purposes of FOI</t>
  </si>
  <si>
    <t>Redcar High St investment</t>
  </si>
  <si>
    <t>Empty property information</t>
  </si>
  <si>
    <t>Enforcement of family court orders</t>
  </si>
  <si>
    <t>Disposable vapes fines</t>
  </si>
  <si>
    <t>Third City</t>
  </si>
  <si>
    <t>Fostering service</t>
  </si>
  <si>
    <t>Disability Employment Schemes</t>
  </si>
  <si>
    <t>Deprivation of assets</t>
  </si>
  <si>
    <t>Blue badge - awards based on PIP - planning a journey</t>
  </si>
  <si>
    <t>Oyo Rooms</t>
  </si>
  <si>
    <t>Temporary accommodation</t>
  </si>
  <si>
    <t>UCL</t>
  </si>
  <si>
    <t>Conservation and Design Team</t>
  </si>
  <si>
    <t>Dangerous animal licenses</t>
  </si>
  <si>
    <t>Independent care home expenditure</t>
  </si>
  <si>
    <t>Irvings Law</t>
  </si>
  <si>
    <t>Deceased person's social care record</t>
  </si>
  <si>
    <t>Right to Buy homes repurchased</t>
  </si>
  <si>
    <t>Agency staff in children's social care</t>
  </si>
  <si>
    <t>FT</t>
  </si>
  <si>
    <t>Online schools</t>
  </si>
  <si>
    <t>Adult Learning Service</t>
  </si>
  <si>
    <t>Council tax summons</t>
  </si>
  <si>
    <t>Vape seizures</t>
  </si>
  <si>
    <t>Atticus Comms</t>
  </si>
  <si>
    <t>Vape fines</t>
  </si>
  <si>
    <t>Disabled parking bays</t>
  </si>
  <si>
    <t>Wanzl</t>
  </si>
  <si>
    <t>Abandoned shopping trolleys</t>
  </si>
  <si>
    <t>FOI requests</t>
  </si>
  <si>
    <t>Software used for planning</t>
  </si>
  <si>
    <t>Employees working outside of the UK</t>
  </si>
  <si>
    <t>Payments provider system</t>
  </si>
  <si>
    <t>Complaints about anti-social driving</t>
  </si>
  <si>
    <t>Montford</t>
  </si>
  <si>
    <t>Housing and homelessness</t>
  </si>
  <si>
    <t>Born Free</t>
  </si>
  <si>
    <t>Primate licensing</t>
  </si>
  <si>
    <t>Children's home data</t>
  </si>
  <si>
    <t>Cornwall Council</t>
  </si>
  <si>
    <t>Adult Social Care Funding for Drug and Alcohol Residential Rehabilitation</t>
  </si>
  <si>
    <t>The Independent</t>
  </si>
  <si>
    <t>Local Authority funding for Government-funded early years entitlement 2024/25</t>
  </si>
  <si>
    <t>Out-of-Hours / Emergency Duty Team (EDT) Service</t>
  </si>
  <si>
    <t>Freshfields</t>
  </si>
  <si>
    <t>Discharge of main housing duty policies</t>
  </si>
  <si>
    <t>Fixed Penalty Notices</t>
  </si>
  <si>
    <t>The Times</t>
  </si>
  <si>
    <t>Bus Lanes and yellow boxes</t>
  </si>
  <si>
    <t>Transformation team costs</t>
  </si>
  <si>
    <t>Code of Conduct investigation information</t>
  </si>
  <si>
    <t>Response sent by post as requested</t>
  </si>
  <si>
    <t>Housing contacts</t>
  </si>
  <si>
    <t>Civic car costs</t>
  </si>
  <si>
    <t>TES</t>
  </si>
  <si>
    <t>Attendance contracts, parenting orders and penalty notices</t>
  </si>
  <si>
    <t>BMRA</t>
  </si>
  <si>
    <t>Scrap metal dealer licensing</t>
  </si>
  <si>
    <t xml:space="preserve">Complex home care </t>
  </si>
  <si>
    <t>Child abuse where child known to be at risk</t>
  </si>
  <si>
    <t>Review of safeguarding policies</t>
  </si>
  <si>
    <t>Funding for Resolve programme at R&amp;C College</t>
  </si>
  <si>
    <t>ESOL funding</t>
  </si>
  <si>
    <t>Debt recovery for road traffic warrants</t>
  </si>
  <si>
    <t>Home schooled children</t>
  </si>
  <si>
    <t>Planning Committee Membership (2000–present)</t>
  </si>
  <si>
    <t>Singy Send Hub</t>
  </si>
  <si>
    <t>Queen Mary - University of London</t>
  </si>
  <si>
    <t>Children and Young People - Immigration Status</t>
  </si>
  <si>
    <t>Enforcement notice</t>
  </si>
  <si>
    <t>WAN Services</t>
  </si>
  <si>
    <t>Foreign national teachers</t>
  </si>
  <si>
    <t>Service Plans</t>
  </si>
  <si>
    <t>Prevent referrals</t>
  </si>
  <si>
    <t>Anti-social behaviour injunction applications</t>
  </si>
  <si>
    <t>Business rates information</t>
  </si>
  <si>
    <t xml:space="preserve">Facilities management  </t>
  </si>
  <si>
    <t>Drug and alcohol rehabilitation</t>
  </si>
  <si>
    <t>Dedicated Schools Grant deficits</t>
  </si>
  <si>
    <t>Planning application emails for R/2025/0457/FF</t>
  </si>
  <si>
    <t>Highway notice - Saltburn</t>
  </si>
  <si>
    <t>Christmas lights switch on</t>
  </si>
  <si>
    <t>Bransdale - information about the resident</t>
  </si>
  <si>
    <t>Employee dismissals and mutual agreement exits</t>
  </si>
  <si>
    <t>YMCA</t>
  </si>
  <si>
    <t>Youth Provision</t>
  </si>
  <si>
    <t>Mental Health Therapists employed in schools</t>
  </si>
  <si>
    <t>Contact details</t>
  </si>
  <si>
    <t>Migrants in receipt of benefits</t>
  </si>
  <si>
    <t>UC claims by non-UK nationals</t>
  </si>
  <si>
    <t>Asylum Seekers Granted Status and Subsequent Benefit Claims</t>
  </si>
  <si>
    <t>Discretionary Support Provided to Persons Subject to No Recourse to Public Funds</t>
  </si>
  <si>
    <t>Local Welfare Assistance / Household Support Fund Awards to Non-UK Nationals</t>
  </si>
  <si>
    <t>Section 17 Children Act Support to Families with No Recourse to Public Funds</t>
  </si>
  <si>
    <t>Council Tax Reduction Claims by EEA/Swiss Nationals</t>
  </si>
  <si>
    <t>The Observer</t>
  </si>
  <si>
    <t>Adult Gaming Centre Licences</t>
  </si>
  <si>
    <t>Taxi MOT/Compliance</t>
  </si>
  <si>
    <t>Number of Staff Disciplinaries</t>
  </si>
  <si>
    <t>Cleaning Costs, Deep Cleaning &amp; Biohazard</t>
  </si>
  <si>
    <t>Performance Communications</t>
  </si>
  <si>
    <t>OZEV Cross Pavement Charging</t>
  </si>
  <si>
    <t>Street Paws</t>
  </si>
  <si>
    <t>Homeless Hostels &amp; Temporary Accommodation Accepting Pets</t>
  </si>
  <si>
    <t>Facebook message response times</t>
  </si>
  <si>
    <t>Make Do And Mend Library, Library Services</t>
  </si>
  <si>
    <t>Complaints about flags</t>
  </si>
  <si>
    <t>University of Sunderland</t>
  </si>
  <si>
    <t>Young Fathers in Children's Services</t>
  </si>
  <si>
    <t>Future PR</t>
  </si>
  <si>
    <t>Lone Working</t>
  </si>
  <si>
    <t>Property Mark</t>
  </si>
  <si>
    <t>Empty Homes Strategy</t>
  </si>
  <si>
    <t xml:space="preserve">Children's Social Care Placements </t>
  </si>
  <si>
    <t>Nov</t>
  </si>
  <si>
    <t>First Class Train travel by Councillors</t>
  </si>
  <si>
    <t>Waste Partnership Details</t>
  </si>
  <si>
    <t>Guardian</t>
  </si>
  <si>
    <t>Highway Repairs</t>
  </si>
  <si>
    <t>Moving Up Care</t>
  </si>
  <si>
    <t>Looked After Children</t>
  </si>
  <si>
    <t>Contract for agency / temporary staff</t>
  </si>
  <si>
    <t>Homelessness / Temporary Accommodation</t>
  </si>
  <si>
    <t>Council Tax Enforcement Actions</t>
  </si>
  <si>
    <t>Planning staff</t>
  </si>
  <si>
    <t>Polimapper</t>
  </si>
  <si>
    <t>Adult Autism and Learning Disabiliy services</t>
  </si>
  <si>
    <t>Detailed Medical Agency Spend Breakdown</t>
  </si>
  <si>
    <t>Calls UK</t>
  </si>
  <si>
    <t>Penalty Charge Notices - motorbikes</t>
  </si>
  <si>
    <t>Civil Enforcement Governance, Liability Orders, Financial Reporting &amp; Audit</t>
  </si>
  <si>
    <t>Fenestration and construction complaints</t>
  </si>
  <si>
    <t>Children's Commissioning information</t>
  </si>
  <si>
    <t>Resolve Poverty</t>
  </si>
  <si>
    <t>Poverty Strategy</t>
  </si>
  <si>
    <t>Segmentation Group</t>
  </si>
  <si>
    <t>Telecoms</t>
  </si>
  <si>
    <t>Hinkley Bosworth Council</t>
  </si>
  <si>
    <t xml:space="preserve">Software used  </t>
  </si>
  <si>
    <t>Holloway Bond</t>
  </si>
  <si>
    <t>HMO licencing</t>
  </si>
  <si>
    <t>Tutor pay rates</t>
  </si>
  <si>
    <t>Developer details</t>
  </si>
  <si>
    <t>DPR Housing</t>
  </si>
  <si>
    <t>Unaccompanied Asylum Seekers</t>
  </si>
  <si>
    <t>Hamilton Cross</t>
  </si>
  <si>
    <t>Agency Spend - social services</t>
  </si>
  <si>
    <t>Parking Fines</t>
  </si>
  <si>
    <t>Use of management consultants</t>
  </si>
  <si>
    <t xml:space="preserve">Planning matters - article 4 </t>
  </si>
  <si>
    <t>New build developments</t>
  </si>
  <si>
    <t xml:space="preserve">Some information not held in the format requested. </t>
  </si>
  <si>
    <t>Politics Home</t>
  </si>
  <si>
    <t>Complaints re special educational needs</t>
  </si>
  <si>
    <t>Rural relief</t>
  </si>
  <si>
    <t>Western Media</t>
  </si>
  <si>
    <t>Unlicenced dog boarding kennels</t>
  </si>
  <si>
    <t>Meanwhile Housing</t>
  </si>
  <si>
    <t>Temporary accommodation and void expenditure</t>
  </si>
  <si>
    <t>Encircle Housing</t>
  </si>
  <si>
    <t>Housing benefit eligible rent levels</t>
  </si>
  <si>
    <t>Taxi licencing</t>
  </si>
  <si>
    <t>Roundabout advertising</t>
  </si>
  <si>
    <t>Info Track</t>
  </si>
  <si>
    <t>Live CPOs</t>
  </si>
  <si>
    <t>Guisborough Christmas parade</t>
  </si>
  <si>
    <t>Bransdale - property information</t>
  </si>
  <si>
    <t>Finance information</t>
  </si>
  <si>
    <t>Justice</t>
  </si>
  <si>
    <t>Civil orders and protest</t>
  </si>
  <si>
    <t>Derby university</t>
  </si>
  <si>
    <t>Registerable special treatments</t>
  </si>
  <si>
    <t>Strathclyde University</t>
  </si>
  <si>
    <t>Online services for citizens</t>
  </si>
  <si>
    <t>Residential care placements for children</t>
  </si>
  <si>
    <t>Civica</t>
  </si>
  <si>
    <t>Homeless contacts</t>
  </si>
  <si>
    <t>Non surgical cosmetic procedures</t>
  </si>
  <si>
    <t>Noise complaints</t>
  </si>
  <si>
    <t>QTOD / QTVI Qualifications</t>
  </si>
  <si>
    <t>Contracts register</t>
  </si>
  <si>
    <t>Disposal of ammunition</t>
  </si>
  <si>
    <t>BJP Group</t>
  </si>
  <si>
    <t>Care home rates</t>
  </si>
  <si>
    <t>One Search Direct</t>
  </si>
  <si>
    <t>Served notices</t>
  </si>
  <si>
    <t>Bristol University</t>
  </si>
  <si>
    <t>Research - Children's social care</t>
  </si>
  <si>
    <t xml:space="preserve">Sky </t>
  </si>
  <si>
    <t>Planning appeal costs</t>
  </si>
  <si>
    <t>Cyber security solution</t>
  </si>
  <si>
    <t>Tees Valley Move Forward project</t>
  </si>
  <si>
    <t>Training and Employment hubs</t>
  </si>
  <si>
    <t>Trailblazer project</t>
  </si>
  <si>
    <t>Staffing funded by Tees Valley projects</t>
  </si>
  <si>
    <t>Harvey &amp; Hugo</t>
  </si>
  <si>
    <t>Spend on digital rebuild</t>
  </si>
  <si>
    <t>Unoccupied new builds and council tax</t>
  </si>
  <si>
    <t>Public health services</t>
  </si>
  <si>
    <t>Library services</t>
  </si>
  <si>
    <t>Children's and refuge services staffing</t>
  </si>
  <si>
    <t>Pre-paid cards</t>
  </si>
  <si>
    <t>Yumo</t>
  </si>
  <si>
    <t>Property/HMO Licensing and Article 4 HMO Directions</t>
  </si>
  <si>
    <t>Independent special school fees</t>
  </si>
  <si>
    <t>Sunrise Software</t>
  </si>
  <si>
    <t>IT software</t>
  </si>
  <si>
    <t>Parking statistics</t>
  </si>
  <si>
    <t>Complaints about Councillors</t>
  </si>
  <si>
    <t>Sunderland University</t>
  </si>
  <si>
    <t>Children missing from education</t>
  </si>
  <si>
    <t>Domiciliary home care</t>
  </si>
  <si>
    <t>Worse street for parking notices</t>
  </si>
  <si>
    <t>Agency communications spend</t>
  </si>
  <si>
    <t>Residential rehab spend</t>
  </si>
  <si>
    <t>Hank Zarihs</t>
  </si>
  <si>
    <t>Private sector leasing</t>
  </si>
  <si>
    <t>WPI</t>
  </si>
  <si>
    <t>Homelessness statistics</t>
  </si>
  <si>
    <t>Police presence during the removal of children under Emergency Protection Orders</t>
  </si>
  <si>
    <t>Managed migration resulting in changes to council tax bills and social care costs</t>
  </si>
  <si>
    <t>Beautification projects spending</t>
  </si>
  <si>
    <t>Some information not held in format required</t>
  </si>
  <si>
    <t>Compliance with age-restricted sales of vaping products</t>
  </si>
  <si>
    <t>Teacher sick days</t>
  </si>
  <si>
    <t>Individual health care checks</t>
  </si>
  <si>
    <t>Traffic lights</t>
  </si>
  <si>
    <t>Children's social care information</t>
  </si>
  <si>
    <t>Sports facility sales</t>
  </si>
  <si>
    <t>NRPF status</t>
  </si>
  <si>
    <t>Real passenger time information</t>
  </si>
  <si>
    <t>Personal budgets and direct payments</t>
  </si>
  <si>
    <t>Mobility Lab</t>
  </si>
  <si>
    <t>School crossing patrols</t>
  </si>
  <si>
    <t>Contracts information</t>
  </si>
  <si>
    <t>Accessible taxi information</t>
  </si>
  <si>
    <t>Next Chapter Project</t>
  </si>
  <si>
    <t>Road information</t>
  </si>
  <si>
    <t>Electoral services not a public body for the purposes of FOIA however Information supplied separately</t>
  </si>
  <si>
    <t>Bransdale - planning report</t>
  </si>
  <si>
    <t>Police and Crime Commissioner elections costs</t>
  </si>
  <si>
    <t>Children's homes</t>
  </si>
  <si>
    <t>IAG and FIS web services</t>
  </si>
  <si>
    <t>Procurement Process for High Needs SEND Placements</t>
  </si>
  <si>
    <t>CCTV</t>
  </si>
  <si>
    <t>2024 election expenses</t>
  </si>
  <si>
    <t>Electoral services not a public body for the purposes of FOIA</t>
  </si>
  <si>
    <t>Communications costs</t>
  </si>
  <si>
    <t>Correspondence about flags</t>
  </si>
  <si>
    <t>Wild animal licencing</t>
  </si>
  <si>
    <t>High level council expenditure</t>
  </si>
  <si>
    <t>Cost - Middlesbrough to South Bank rail replacement bus</t>
  </si>
  <si>
    <t xml:space="preserve">Temporary accommodation </t>
  </si>
  <si>
    <t>Social Housing Action</t>
  </si>
  <si>
    <t>Housing Benefit  - service charges</t>
  </si>
  <si>
    <t>Planning - site visit report</t>
  </si>
  <si>
    <t>Money Outsider</t>
  </si>
  <si>
    <t>Housing enforcement actions</t>
  </si>
  <si>
    <t>S42 also applied</t>
  </si>
  <si>
    <t>Active Public Spaces Protection Orders (PSPOs) and Geospatial Boundary Data</t>
  </si>
  <si>
    <t>Edinburgh University</t>
  </si>
  <si>
    <t>Contact details for staff</t>
  </si>
  <si>
    <t>Penalty notices for school absences</t>
  </si>
  <si>
    <t>Adult social care income</t>
  </si>
  <si>
    <t>School staffing</t>
  </si>
  <si>
    <t>Criminal record</t>
  </si>
  <si>
    <t>Corporate Website</t>
  </si>
  <si>
    <t>S21 also applied</t>
  </si>
  <si>
    <t>Chemsex-related Services, Policies, and Pathways</t>
  </si>
  <si>
    <t>PSPO information</t>
  </si>
  <si>
    <t>Stray dogs</t>
  </si>
  <si>
    <t>ASR</t>
  </si>
  <si>
    <t>Looked after children information</t>
  </si>
  <si>
    <t>Residential children's care framework and fees</t>
  </si>
  <si>
    <t>Children's services referrals</t>
  </si>
  <si>
    <t>Outtareach</t>
  </si>
  <si>
    <t>Contact details and senior staff</t>
  </si>
  <si>
    <t>Uses of data analytics, predictive analytics, or algorithmic automated systems in council decision-making</t>
  </si>
  <si>
    <t>Bus lane enforcement and penalty charge notices</t>
  </si>
  <si>
    <t>Use of AI</t>
  </si>
  <si>
    <t>Legal research/AI tools</t>
  </si>
  <si>
    <t>Spend on digital tools for life story work for children in care</t>
  </si>
  <si>
    <t>Teesworks business rates</t>
  </si>
  <si>
    <t>Redcar and Cleveland House - library</t>
  </si>
  <si>
    <t>York University</t>
  </si>
  <si>
    <t>Parenting assessment tools</t>
  </si>
  <si>
    <t>Bedford Council</t>
  </si>
  <si>
    <t>Communications staffing</t>
  </si>
  <si>
    <t xml:space="preserve">Company status </t>
  </si>
  <si>
    <t>Cyber attacks</t>
  </si>
  <si>
    <t>Hair strand tests</t>
  </si>
  <si>
    <t>Regulation 19 Certificates</t>
  </si>
  <si>
    <t>Tradespeople investigations</t>
  </si>
  <si>
    <t>Dentsu</t>
  </si>
  <si>
    <t>Dog food recalls</t>
  </si>
  <si>
    <t>Allone Living</t>
  </si>
  <si>
    <t xml:space="preserve">Children's social care placements  </t>
  </si>
  <si>
    <t>Vaculug</t>
  </si>
  <si>
    <t>Use of retreaded tyres on fleet vehicles</t>
  </si>
  <si>
    <t>Randstad</t>
  </si>
  <si>
    <t>Adult assessments</t>
  </si>
  <si>
    <t>Children's assessments</t>
  </si>
  <si>
    <t>Bransdale - planning correspondence</t>
  </si>
  <si>
    <t>Complete Non-Residential / Business Property Rates Data (Q4 2025)</t>
  </si>
  <si>
    <t>Roundabout vandalism</t>
  </si>
  <si>
    <t>Closure Orders</t>
  </si>
  <si>
    <t>Talk TV</t>
  </si>
  <si>
    <t>Planning - staffing</t>
  </si>
  <si>
    <t>CPNs and PSPOs</t>
  </si>
  <si>
    <t>Chartered Institute of Housing</t>
  </si>
  <si>
    <t>Severe Weather Emergency Protocol</t>
  </si>
  <si>
    <t>Council tax collection and spending - Guisborough V Redcar</t>
  </si>
  <si>
    <t xml:space="preserve">Lamp post and street banners </t>
  </si>
  <si>
    <t>Oxford University</t>
  </si>
  <si>
    <t>Freeman of the land argument</t>
  </si>
  <si>
    <t>Technology enabled care and other support services</t>
  </si>
  <si>
    <t>Planning information</t>
  </si>
  <si>
    <t>CCTV room</t>
  </si>
  <si>
    <t>Technology enabled care</t>
  </si>
  <si>
    <t>Epscot</t>
  </si>
  <si>
    <t>Procurement of food</t>
  </si>
  <si>
    <t>Systems information</t>
  </si>
  <si>
    <t>NHS</t>
  </si>
  <si>
    <t>Accessible Information Standard</t>
  </si>
  <si>
    <t>Lawstop</t>
  </si>
  <si>
    <t>Use of external solicitors</t>
  </si>
  <si>
    <t>Childrens social worker recruitment</t>
  </si>
  <si>
    <t>Bereavement services</t>
  </si>
  <si>
    <t>Trade Unions</t>
  </si>
  <si>
    <t>Festival of Thrift</t>
  </si>
  <si>
    <t>PLEV seizures</t>
  </si>
  <si>
    <t>Confidential Waste contract</t>
  </si>
  <si>
    <t>Stockton BC</t>
  </si>
  <si>
    <t>Sexual harassment in the workplace</t>
  </si>
  <si>
    <t>MDN association</t>
  </si>
  <si>
    <t>Riser recliner chairs</t>
  </si>
  <si>
    <t>Data Subject Access Requests</t>
  </si>
  <si>
    <t>Fire safety checks</t>
  </si>
  <si>
    <t>Northumbria University</t>
  </si>
  <si>
    <t>Use of AI recording tools in social services</t>
  </si>
  <si>
    <t>The GWPF</t>
  </si>
  <si>
    <t>Council spending</t>
  </si>
  <si>
    <t>Illegal cigarettes and vaping products</t>
  </si>
  <si>
    <t>Single Regeneration Budget Schemes</t>
  </si>
  <si>
    <t>UKAT</t>
  </si>
  <si>
    <t>Possession of drugs in schools</t>
  </si>
  <si>
    <t>Parental conflict re missing children</t>
  </si>
  <si>
    <t>Electoral services</t>
  </si>
  <si>
    <t>Children's social care services</t>
  </si>
  <si>
    <t>Talos 360</t>
  </si>
  <si>
    <t>Applicant tracking system</t>
  </si>
  <si>
    <t>Adult social care training</t>
  </si>
  <si>
    <t>CCTV cameras</t>
  </si>
  <si>
    <t>Placements and spending for older persons care</t>
  </si>
  <si>
    <t xml:space="preserve">Allen Overy Shearman Sterling LLP </t>
  </si>
  <si>
    <t>Council tax collection - domestic abuse victims</t>
  </si>
  <si>
    <t>Deaths of homeless people</t>
  </si>
  <si>
    <t>Policy on council employees with second jobs or businesses</t>
  </si>
  <si>
    <t>Request
Received
Date</t>
  </si>
  <si>
    <t>Day 40</t>
  </si>
  <si>
    <t>Request
Received
Period</t>
  </si>
  <si>
    <t xml:space="preserve">Directorate </t>
  </si>
  <si>
    <t>Directorate - Data Validation</t>
  </si>
  <si>
    <t>Days taken to complete EIR</t>
  </si>
  <si>
    <t>Exception(s)
Applicable</t>
  </si>
  <si>
    <t>Exception Reference - 
Data Validation</t>
  </si>
  <si>
    <t>Pothole data</t>
  </si>
  <si>
    <t>Yes</t>
  </si>
  <si>
    <t>Regulation 6(1)(b) Already publicly available</t>
  </si>
  <si>
    <t>RS Bonds</t>
  </si>
  <si>
    <t>Section 38 &amp; Section 278 Schemes</t>
  </si>
  <si>
    <t>No</t>
  </si>
  <si>
    <t xml:space="preserve">Regulation 13 Personal data </t>
  </si>
  <si>
    <t>See FOI-2526-0064</t>
  </si>
  <si>
    <t>Regulation 12(4)(b) - Manifestly unreasonable requests</t>
  </si>
  <si>
    <t>Communications regarding TVERF</t>
  </si>
  <si>
    <t>Regulation 12(4)(c) Too general a manner</t>
  </si>
  <si>
    <t>Recycling of paper and cardboard waste</t>
  </si>
  <si>
    <t>Regulation 12(4)(d) Materials in the course of completion, unfinished documents and incomplete data</t>
  </si>
  <si>
    <t>Joynarun</t>
  </si>
  <si>
    <t>Street light data</t>
  </si>
  <si>
    <t>Regulation 12(4)(e) Disclosure of internal communications</t>
  </si>
  <si>
    <t>Car park attached to The Hall Close, Ormesby Bank</t>
  </si>
  <si>
    <t>Regulation 12(5)(b) Adversely affect the course of justice</t>
  </si>
  <si>
    <t>Regulation 12(5)(d) Adversely affect the confidentiality of proceedings of any public authority</t>
  </si>
  <si>
    <t>Dog fouling</t>
  </si>
  <si>
    <t xml:space="preserve">Regulation 12(5) (e) Confidentiality of commercial or industrial information  </t>
  </si>
  <si>
    <t>Mould in housing</t>
  </si>
  <si>
    <t>Regulation 12(5)(f) Adversely affect the interests of the person who provided the information</t>
  </si>
  <si>
    <t>Good law project</t>
  </si>
  <si>
    <t>Issuing of do not swim warnings during 2024 bathing season</t>
  </si>
  <si>
    <t>Food hygiene report</t>
  </si>
  <si>
    <t>Section 106 monies</t>
  </si>
  <si>
    <t>Performance Comms</t>
  </si>
  <si>
    <t>Care4Calais</t>
  </si>
  <si>
    <t>Asylum accommodation inspections</t>
  </si>
  <si>
    <t>EV chargers</t>
  </si>
  <si>
    <t>R/2023/0181/FFM - access road</t>
  </si>
  <si>
    <t>Use of 'cides'</t>
  </si>
  <si>
    <t>Electronic Waste Collected</t>
  </si>
  <si>
    <t>Fly tipping</t>
  </si>
  <si>
    <t>Data News</t>
  </si>
  <si>
    <t>Public litter bins</t>
  </si>
  <si>
    <t>Planning activities regarding the name Turley</t>
  </si>
  <si>
    <t>Road repairs</t>
  </si>
  <si>
    <t>Tees Valley Energy Recovery Facility</t>
  </si>
  <si>
    <t>Wilton waste treatment plant</t>
  </si>
  <si>
    <t>Green bin collections</t>
  </si>
  <si>
    <t>Cycle paths</t>
  </si>
  <si>
    <t>Recognition PR</t>
  </si>
  <si>
    <t>White goods waste</t>
  </si>
  <si>
    <t>Goodwood Road, Redcar - Highways policy and reports</t>
  </si>
  <si>
    <t>Trauma/Bio-hazard clean up</t>
  </si>
  <si>
    <t xml:space="preserve">Emails regarding hazardous waste incinerator </t>
  </si>
  <si>
    <t>Income from EDF re wind farm</t>
  </si>
  <si>
    <t>Ownership of field</t>
  </si>
  <si>
    <t>Kingston University</t>
  </si>
  <si>
    <t>Single use plastics</t>
  </si>
  <si>
    <t>Redcar improvement works - block paving</t>
  </si>
  <si>
    <t>Derby University</t>
  </si>
  <si>
    <t>Japanese Knotweed</t>
  </si>
  <si>
    <t>National Residential Landlords Association</t>
  </si>
  <si>
    <t>Private Landlord enforcement</t>
  </si>
  <si>
    <t>S106 - Coatham Marsh</t>
  </si>
  <si>
    <t>The Cut Back</t>
  </si>
  <si>
    <t>Grass mowing and weedkillers</t>
  </si>
  <si>
    <t>Animal Law Foundation</t>
  </si>
  <si>
    <t>Farmed animal welfare enforcement data</t>
  </si>
  <si>
    <t>Wood waste contract</t>
  </si>
  <si>
    <t>Westminster University</t>
  </si>
  <si>
    <t xml:space="preserve">Development of Highways </t>
  </si>
  <si>
    <t>Tenant complaints about landlords</t>
  </si>
  <si>
    <t>Kent University</t>
  </si>
  <si>
    <t>Wildlife stowaways</t>
  </si>
  <si>
    <t>Tax Payers Alliance</t>
  </si>
  <si>
    <t>Heat pumps in council housing</t>
  </si>
  <si>
    <t>CLA</t>
  </si>
  <si>
    <t>Public rights of way</t>
  </si>
  <si>
    <t>New Inn, Coatham</t>
  </si>
  <si>
    <t>Listed buildings altered or demolished without consent</t>
  </si>
  <si>
    <t>Cedarwood Digital</t>
  </si>
  <si>
    <t>Active travel spend</t>
  </si>
  <si>
    <t>Number of burials</t>
  </si>
  <si>
    <t>Information about potholes, claims and damages - A171</t>
  </si>
  <si>
    <t>Kier</t>
  </si>
  <si>
    <t>BBQ related fines and enforcement</t>
  </si>
  <si>
    <t xml:space="preserve">Residential planning applications and appeals </t>
  </si>
  <si>
    <t>Dog enforcement activities</t>
  </si>
  <si>
    <t>High street rental auctions and S21 notices</t>
  </si>
  <si>
    <t>Which</t>
  </si>
  <si>
    <t xml:space="preserve">Definite Map Modification Orders </t>
  </si>
  <si>
    <t>Fire door inspection contracts</t>
  </si>
  <si>
    <t>Fleet decarbonisation, carbon reduction initiatives, and related funding and infrastructure developments</t>
  </si>
  <si>
    <t>Stephen Hoffman Consulting</t>
  </si>
  <si>
    <t xml:space="preserve">Waste management </t>
  </si>
  <si>
    <t>Haymarket</t>
  </si>
  <si>
    <t>Council run nurseries and use of peat free compost</t>
  </si>
  <si>
    <t>5G mast in TS7 - emails</t>
  </si>
  <si>
    <t xml:space="preserve">Regulation 12(5) (e) Confidentiality of commercial or industrial information </t>
  </si>
  <si>
    <t>Oakdale</t>
  </si>
  <si>
    <t>Guisborough Embankment Tree Felling</t>
  </si>
  <si>
    <t>NMPR</t>
  </si>
  <si>
    <t>Tree planting strategy</t>
  </si>
  <si>
    <t>Developer contributions</t>
  </si>
  <si>
    <t>Planning application fees</t>
  </si>
  <si>
    <t>Air quality</t>
  </si>
  <si>
    <t>Solar Energy</t>
  </si>
  <si>
    <t>Planning application R/2011/0936</t>
  </si>
  <si>
    <t>Engine idling</t>
  </si>
  <si>
    <t>Verna</t>
  </si>
  <si>
    <t>Biodiversity Net Gain</t>
  </si>
  <si>
    <t>Reg 12 (5) (e) also applied</t>
  </si>
  <si>
    <t>New towns taskforce</t>
  </si>
  <si>
    <t>Kitchen Makeovers</t>
  </si>
  <si>
    <t>Dog barking complaints</t>
  </si>
  <si>
    <t>Rodent Infestations and Pest Control Services</t>
  </si>
  <si>
    <t>Roma</t>
  </si>
  <si>
    <t>Contractors - Duncan Place Library and Community Hub</t>
  </si>
  <si>
    <t>S106 affordable housing delivery</t>
  </si>
  <si>
    <t>Agilysis</t>
  </si>
  <si>
    <t>Traffic surveys</t>
  </si>
  <si>
    <t>On street EV charging</t>
  </si>
  <si>
    <t>Teesside High School</t>
  </si>
  <si>
    <t>Coastal Defences</t>
  </si>
  <si>
    <t>Land at Westminster Close</t>
  </si>
  <si>
    <t>Plus Reg 13 and partly refused under 12 (4)(b)</t>
  </si>
  <si>
    <t>New housing on Station Rd, Task and Finish Group</t>
  </si>
  <si>
    <t>Buildings with ACM Cladding</t>
  </si>
  <si>
    <t>Tendo Consulting</t>
  </si>
  <si>
    <t>S106 information</t>
  </si>
  <si>
    <t>Regulation 12(4)(e) Internal Communications</t>
  </si>
  <si>
    <t>Council house completions and forecasted completions</t>
  </si>
  <si>
    <t>Box Power</t>
  </si>
  <si>
    <t>Energy usage by the council</t>
  </si>
  <si>
    <t>Utilink Consulting</t>
  </si>
  <si>
    <t>Energy use in schools</t>
  </si>
  <si>
    <t>Regulation 6</t>
  </si>
  <si>
    <t>RAC Foundation</t>
  </si>
  <si>
    <t>Bridge Survey</t>
  </si>
  <si>
    <t>S38 &amp; S278 data</t>
  </si>
  <si>
    <t>Impression Digital</t>
  </si>
  <si>
    <t>The Word Agency</t>
  </si>
  <si>
    <t>Damp and mould in council properties</t>
  </si>
  <si>
    <t>Potholes</t>
  </si>
  <si>
    <t>Sintons</t>
  </si>
  <si>
    <t>A171 gritting in 2023</t>
  </si>
  <si>
    <t>UU Group</t>
  </si>
  <si>
    <t>Street works permit scheme</t>
  </si>
  <si>
    <t>Country land and business association</t>
  </si>
  <si>
    <t>Major developments and adoptions</t>
  </si>
  <si>
    <t>Locus</t>
  </si>
  <si>
    <t>Tree preservation order register</t>
  </si>
  <si>
    <t>Nottingham Trent University</t>
  </si>
  <si>
    <t>Redcar Primary Care Hospital</t>
  </si>
  <si>
    <t>H20 building services</t>
  </si>
  <si>
    <t>Water and waste water utilities</t>
  </si>
  <si>
    <t>Sinkholes</t>
  </si>
  <si>
    <t>S106 data</t>
  </si>
  <si>
    <t>Environment related complaints</t>
  </si>
  <si>
    <t>Connective 3</t>
  </si>
  <si>
    <t>Abandoned vehicles information</t>
  </si>
  <si>
    <t>Train noise at Saltburn</t>
  </si>
  <si>
    <t>The Sunday Times</t>
  </si>
  <si>
    <t>Community Infrastructure Levy</t>
  </si>
  <si>
    <t>Blue Cross</t>
  </si>
  <si>
    <t>Complaints about firework noise</t>
  </si>
  <si>
    <t>Food waste</t>
  </si>
  <si>
    <t>106 Money</t>
  </si>
  <si>
    <t>Noise complaints - dogs barking</t>
  </si>
  <si>
    <t>Royal Hotel, Loftus</t>
  </si>
  <si>
    <t>Business Waste</t>
  </si>
  <si>
    <t>Chewing gum removal</t>
  </si>
  <si>
    <t>Building enforcement case information</t>
  </si>
  <si>
    <t>Local Area Energy Plan</t>
  </si>
  <si>
    <t>S278 schemes</t>
  </si>
  <si>
    <t>S38 schemes</t>
  </si>
  <si>
    <t>Roadworks data</t>
  </si>
  <si>
    <t>Future of allotments</t>
  </si>
  <si>
    <t>S106 agreements</t>
  </si>
  <si>
    <t xml:space="preserve">No response </t>
  </si>
  <si>
    <t>S106 - Flatts Lane</t>
  </si>
  <si>
    <t>SLR Consulting</t>
  </si>
  <si>
    <t>Sites at Wilton International</t>
  </si>
  <si>
    <t xml:space="preserve">Planning Application No. R/2025/0457/FF </t>
  </si>
  <si>
    <t>Housing Development Delays</t>
  </si>
  <si>
    <t>Public Path Orders</t>
  </si>
  <si>
    <t>Traffic controls data</t>
  </si>
  <si>
    <t>A171 claims information</t>
  </si>
  <si>
    <t>Teesworks data centre</t>
  </si>
  <si>
    <t>Plus Regulation 6</t>
  </si>
  <si>
    <t>Leeds Beckett University</t>
  </si>
  <si>
    <t>Food crime</t>
  </si>
  <si>
    <t>Openreach</t>
  </si>
  <si>
    <t>Street works information</t>
  </si>
  <si>
    <t>HMO and Environmental health complaints</t>
  </si>
  <si>
    <t>Disposal Contract</t>
  </si>
  <si>
    <t>Spencerbeck Valley Sale</t>
  </si>
  <si>
    <t>Bubble gum search</t>
  </si>
  <si>
    <t>Dog Fouling</t>
  </si>
  <si>
    <t>Light pollution</t>
  </si>
  <si>
    <t>S251 notices</t>
  </si>
  <si>
    <t>S165 notices</t>
  </si>
  <si>
    <t>Beach huts</t>
  </si>
  <si>
    <t>Good Jobs First</t>
  </si>
  <si>
    <t>Housing Enforcement</t>
  </si>
  <si>
    <t>Flag removal</t>
  </si>
  <si>
    <t>Fixed penalty notices and enforcement officers</t>
  </si>
  <si>
    <t>Mums for Lungs</t>
  </si>
  <si>
    <t>Complaints about domestic fires</t>
  </si>
  <si>
    <t>Adam Smith Institute</t>
  </si>
  <si>
    <t>Football pitches</t>
  </si>
  <si>
    <t>Affordable housing</t>
  </si>
  <si>
    <t>Honcho Search</t>
  </si>
  <si>
    <t>EV charging infrastructure and funding/expenditure</t>
  </si>
  <si>
    <t>Pothole claims</t>
  </si>
  <si>
    <t>Roads - private contractors</t>
  </si>
  <si>
    <t>Cigarette and Vape litter</t>
  </si>
  <si>
    <t>Boating lake repairs</t>
  </si>
  <si>
    <t>Schneider Electric</t>
  </si>
  <si>
    <t>Net Zero commitment</t>
  </si>
  <si>
    <t xml:space="preserve">S106 </t>
  </si>
  <si>
    <t>Direct Business Services</t>
  </si>
  <si>
    <t>Energy use - Eston Leisure Centre</t>
  </si>
  <si>
    <t>Missed bin collections</t>
  </si>
  <si>
    <t>The Folk Group</t>
  </si>
  <si>
    <t>Flash Flooding</t>
  </si>
  <si>
    <t>Waste container storage regulations</t>
  </si>
  <si>
    <t>S147 applications</t>
  </si>
  <si>
    <t>UK property risk ltd</t>
  </si>
  <si>
    <t>Contaminated land register</t>
  </si>
  <si>
    <t>Asbestos surveys</t>
  </si>
  <si>
    <t>Pest control services</t>
  </si>
  <si>
    <t>Staffordshire Council</t>
  </si>
  <si>
    <t>DWF Law</t>
  </si>
  <si>
    <t>Whale Hill playing field bollards</t>
  </si>
  <si>
    <t>INCPEN</t>
  </si>
  <si>
    <t>Waste and recycling</t>
  </si>
  <si>
    <t>Pothole data and compensation payments</t>
  </si>
  <si>
    <t>ECO4 Energy Efficiency Grant Uptake and Savings</t>
  </si>
  <si>
    <t>Planning appeals</t>
  </si>
  <si>
    <t xml:space="preserve">DWF </t>
  </si>
  <si>
    <t>Skelton High St footpath closure</t>
  </si>
  <si>
    <t>Local Authority preparedness for climate change</t>
  </si>
  <si>
    <t>Planning performance agreements</t>
  </si>
  <si>
    <t>ASH ltd</t>
  </si>
  <si>
    <t>Cladding on buildings</t>
  </si>
  <si>
    <t>The Paddock, Redcar</t>
  </si>
  <si>
    <t>Noise survey</t>
  </si>
  <si>
    <t>Manchester University</t>
  </si>
  <si>
    <t xml:space="preserve">Active travel </t>
  </si>
  <si>
    <t>Land and property sales</t>
  </si>
  <si>
    <t>S106 information from 2014</t>
  </si>
  <si>
    <t>Trafalgar Strategy</t>
  </si>
  <si>
    <t>Road permits for water leak repairs</t>
  </si>
  <si>
    <t>Jellyfish</t>
  </si>
  <si>
    <t>Road closures due to snow and ice</t>
  </si>
  <si>
    <t>Clean Up Britain</t>
  </si>
  <si>
    <t>Littering Enforcement, Fly-tipping and Litter Bin Statistics</t>
  </si>
  <si>
    <t>Use of bird netting on buildings</t>
  </si>
  <si>
    <t>Nuisance complaints</t>
  </si>
  <si>
    <t>Highways Safety Inspection Manual</t>
  </si>
  <si>
    <t>Pothole claims and compensation</t>
  </si>
  <si>
    <t>Graffiti</t>
  </si>
  <si>
    <t>Roundabout repainting</t>
  </si>
  <si>
    <t>ESH Stantec</t>
  </si>
  <si>
    <t>Bran Sands</t>
  </si>
  <si>
    <t>Margrove Park flooding</t>
  </si>
  <si>
    <t>TVERF - community grants</t>
  </si>
  <si>
    <t>Estuary sediment</t>
  </si>
  <si>
    <t>Guisborough projects</t>
  </si>
  <si>
    <t>Asbestos in council buildings</t>
  </si>
  <si>
    <t>Community energy project</t>
  </si>
  <si>
    <t>Recycling rates</t>
  </si>
  <si>
    <t>Highways information</t>
  </si>
  <si>
    <t>Solar panels</t>
  </si>
  <si>
    <t>Recycling and waste data</t>
  </si>
  <si>
    <t>Bottled Imagination</t>
  </si>
  <si>
    <t xml:space="preserve">Noise complaints  </t>
  </si>
  <si>
    <t>Winter maintenance and gritting policies</t>
  </si>
  <si>
    <t>Gritting in Nunthorpe</t>
  </si>
  <si>
    <t>Advice from the police re flags and roundabout painting</t>
  </si>
  <si>
    <t>Winter road gritting activity</t>
  </si>
  <si>
    <t>Fly tipping and enforcement</t>
  </si>
  <si>
    <t xml:space="preserve">Traffic Signal Obsolescence Grant and/or Green Light Fund </t>
  </si>
  <si>
    <t>Building cladding</t>
  </si>
  <si>
    <t>Sound detection technology</t>
  </si>
  <si>
    <t>Live S38 &amp; S278 schemes</t>
  </si>
  <si>
    <t>Property holdings</t>
  </si>
  <si>
    <t>Tree felling in Redcar</t>
  </si>
  <si>
    <t>Open planning enforcements</t>
  </si>
  <si>
    <t>Title and Registration Status of Identified Land Assets</t>
  </si>
  <si>
    <t>Building control and planning - Honeysuckle Gardens</t>
  </si>
  <si>
    <t>North Yorkshire Council</t>
  </si>
  <si>
    <t>Clinical Waste</t>
  </si>
  <si>
    <t>Land holdings</t>
  </si>
  <si>
    <t>Parliament (MP)</t>
  </si>
  <si>
    <t>Kerbside recycling</t>
  </si>
  <si>
    <t>Council disposals and acquisitions since 2010</t>
  </si>
  <si>
    <t>Bin collections</t>
  </si>
  <si>
    <t>Greenhouse gas emissions</t>
  </si>
  <si>
    <t>Total FOI's</t>
  </si>
  <si>
    <t>Review Request Date</t>
  </si>
  <si>
    <t>Review Completion Date - Day 20</t>
  </si>
  <si>
    <t>Review Completion Date Response provided</t>
  </si>
  <si>
    <t>Response provided before completion date</t>
  </si>
  <si>
    <t>Outcome</t>
  </si>
  <si>
    <t>Comments/ Notes</t>
  </si>
  <si>
    <t>FOI-2425-0934</t>
  </si>
  <si>
    <t>Not applicable as out of time</t>
  </si>
  <si>
    <t>FOI-2526-0067</t>
  </si>
  <si>
    <t>Original response upheld</t>
  </si>
  <si>
    <t>Further information supplied</t>
  </si>
  <si>
    <t>FOI-2526-0025</t>
  </si>
  <si>
    <t>FOI-2425-1028</t>
  </si>
  <si>
    <t>FOI-2526-0011</t>
  </si>
  <si>
    <t>FOI-2526-0088</t>
  </si>
  <si>
    <t>EIR-2526-0073</t>
  </si>
  <si>
    <t>FOI-2526-0219</t>
  </si>
  <si>
    <t>Growth, Enterprise &amp; Environment</t>
  </si>
  <si>
    <t>FOI-2526-0209</t>
  </si>
  <si>
    <t>FOI-2526-0180</t>
  </si>
  <si>
    <t>Clarification given on response</t>
  </si>
  <si>
    <t>FOI-2526-0218</t>
  </si>
  <si>
    <t>FOI-2526-0294</t>
  </si>
  <si>
    <t>FOI-2526-0289</t>
  </si>
  <si>
    <t>EIR-2526-0136</t>
  </si>
  <si>
    <t>Original response not upheld</t>
  </si>
  <si>
    <t>Further information provided</t>
  </si>
  <si>
    <t>FOI-2526-0405</t>
  </si>
  <si>
    <t>FOI-2526-0404</t>
  </si>
  <si>
    <t>Original response partially upheld</t>
  </si>
  <si>
    <t>FOI-2526-0471</t>
  </si>
  <si>
    <t>FOI-2526-0651</t>
  </si>
  <si>
    <t>FOI-2526-0650</t>
  </si>
  <si>
    <t>FOI-2526-0652</t>
  </si>
  <si>
    <t>FOI-2526-0656</t>
  </si>
  <si>
    <t>FOI-2526-0653</t>
  </si>
  <si>
    <t>FOI-2526-0654</t>
  </si>
  <si>
    <t>FOI-2526-0680</t>
  </si>
  <si>
    <t>FOI-2526-0645</t>
  </si>
  <si>
    <t>Dec</t>
  </si>
  <si>
    <t>FOI-2526-0712</t>
  </si>
  <si>
    <t>EIR-2526-0222</t>
  </si>
  <si>
    <t>FOI-2526-0589</t>
  </si>
  <si>
    <t>FOI-2526-0655</t>
  </si>
  <si>
    <t>EIR-2526-0262</t>
  </si>
  <si>
    <t>Jan</t>
  </si>
  <si>
    <t>FOI-2526-0789</t>
  </si>
  <si>
    <t>Key data collection</t>
  </si>
  <si>
    <t>Name of organisation:</t>
  </si>
  <si>
    <t>Redcar &amp; Cleveland Borough Council</t>
  </si>
  <si>
    <t>Date of most recent data collection:</t>
  </si>
  <si>
    <t>Quarter 1</t>
  </si>
  <si>
    <t>Quarter 2</t>
  </si>
  <si>
    <t>Quarter 3</t>
  </si>
  <si>
    <t>Quarter 4</t>
  </si>
  <si>
    <t>Total FOI requests received</t>
  </si>
  <si>
    <t>Total open requests</t>
  </si>
  <si>
    <t>Total of open requests with permitted extensions – public interest test</t>
  </si>
  <si>
    <t>Total of open requests with permitted extensions – complex and voluminous</t>
  </si>
  <si>
    <t>Total requests closed</t>
  </si>
  <si>
    <t>Total requests closed within statutory timescale</t>
  </si>
  <si>
    <t>Total requests closed with a permitted extension</t>
  </si>
  <si>
    <t>Total requests closed outside statutory timescale</t>
  </si>
  <si>
    <t>Total closed requests where information was granted in full</t>
  </si>
  <si>
    <t>Total closed requests where information was withheld in full</t>
  </si>
  <si>
    <t>Total closed requests where information was partially provided</t>
  </si>
  <si>
    <t>Total internal reviews received</t>
  </si>
  <si>
    <t>Total requests with a stopped clock for clarification</t>
  </si>
  <si>
    <r>
      <t xml:space="preserve">Total requests with a </t>
    </r>
    <r>
      <rPr>
        <sz val="12"/>
        <rFont val="Verdana"/>
        <family val="2"/>
      </rPr>
      <t>paused</t>
    </r>
    <r>
      <rPr>
        <sz val="12"/>
        <color theme="1"/>
        <rFont val="Verdana"/>
        <family val="2"/>
      </rPr>
      <t xml:space="preserve"> clock for fees notice</t>
    </r>
  </si>
  <si>
    <t>Additional data collection</t>
  </si>
  <si>
    <t>FOI Compliance rate</t>
  </si>
  <si>
    <t>Total EIR requests received</t>
  </si>
  <si>
    <t>Total of overdue requests</t>
  </si>
  <si>
    <t>Total of overdue requests over one month old at the end of the period.</t>
  </si>
  <si>
    <t>Total of overdue requests over three months old</t>
  </si>
  <si>
    <t>Total of overdue requests over six months old</t>
  </si>
  <si>
    <t>Total of overdue requests over nine months old</t>
  </si>
  <si>
    <t>Total of overdue requests over one year old</t>
  </si>
  <si>
    <t>Exemptions and exceptions applied</t>
  </si>
  <si>
    <t>See Exemptions and exceptions tab, please use the additional tables provided</t>
  </si>
  <si>
    <t>Total closed requests where information was withheld under the provision at section 12</t>
  </si>
  <si>
    <t>Total closed requests where information was withheld under the provision at section 14</t>
  </si>
  <si>
    <t>Total internal reviews closed</t>
  </si>
  <si>
    <t>Total internal reviews closed within code of practice and statutory timescales</t>
  </si>
  <si>
    <t>Total internal reviews closed outside code of practice and statutory timescales</t>
  </si>
  <si>
    <t>Total internal reviews closed and original decision upheld</t>
  </si>
  <si>
    <t>Total internal reviews closed and partially upheld</t>
  </si>
  <si>
    <t>Total internal reviews closed and decision overturned</t>
  </si>
  <si>
    <t>Total internal reviews open</t>
  </si>
  <si>
    <t>Exemptions and exceptions data collection</t>
  </si>
  <si>
    <t>Exemptions applied (FOIA)</t>
  </si>
  <si>
    <t>Exceptions applied (EIR)</t>
  </si>
  <si>
    <t xml:space="preserve">Exemption </t>
  </si>
  <si>
    <t>Exception</t>
  </si>
  <si>
    <t>Section 21 - Information accessible by other means</t>
  </si>
  <si>
    <t>Regulation 12(4)(a) - Information not held</t>
  </si>
  <si>
    <t>Section 22 - Information Intended for Future Publication</t>
  </si>
  <si>
    <t>Section 22A - Research Information</t>
  </si>
  <si>
    <t>Regulation 12(4)(c) - Requests formulated in too general a manner</t>
  </si>
  <si>
    <t>Section 23 - National Security (Security Bodies)</t>
  </si>
  <si>
    <t>Regulation 12(4)(d) - Material in the course of completion, unfinished documents and incomplete data</t>
  </si>
  <si>
    <t>Section 24 - National Security</t>
  </si>
  <si>
    <t>Regulation 12(4)(e) - Internal communications</t>
  </si>
  <si>
    <t>Section 26 - Defence</t>
  </si>
  <si>
    <t>Regulation 12(5)(a) - International relations, defence, national security or public safety</t>
  </si>
  <si>
    <t>Section 27 - International Relations</t>
  </si>
  <si>
    <t>Regulation 12(5)(b) – The course of justice and inquiries exception</t>
  </si>
  <si>
    <t>Section 28 - Relations within the UK</t>
  </si>
  <si>
    <t>Regulation 12(5)(c) - Intellectual property rights</t>
  </si>
  <si>
    <t>Section 29 - The Economy</t>
  </si>
  <si>
    <t>Regulation 12(5)(d) - Confidentiality of proceedings</t>
  </si>
  <si>
    <t>Section 30 - Investigations and Proceedings Conducted by Public Authorities</t>
  </si>
  <si>
    <t>Regulation 12(5)(e) - Confidentiality of commercial or industrial information</t>
  </si>
  <si>
    <t>Section 31 - Law Enforcement</t>
  </si>
  <si>
    <t>Regulation 12(5)(f) - Interests of the person who provided the information to the public authority</t>
  </si>
  <si>
    <t>Section 32 - Court Records</t>
  </si>
  <si>
    <t>Regulation 12(5)(g) - Protection of the environment</t>
  </si>
  <si>
    <t>Section 33 - Audit Function</t>
  </si>
  <si>
    <t>Regulation 13 - Personal information</t>
  </si>
  <si>
    <t>Section 34 - Parliamentary Privilege</t>
  </si>
  <si>
    <t>Regulation 6(1)(b) - Already Publicly Available</t>
  </si>
  <si>
    <t>Section 35 - Formulation of government policy and Ministerial Communications</t>
  </si>
  <si>
    <t>Section 36 - Effective Conduct of Public Affairs</t>
  </si>
  <si>
    <t>Section 37 - Communications with the Royal Family and the granting of honours</t>
  </si>
  <si>
    <t>Section 38 - Health and Safety</t>
  </si>
  <si>
    <t>Section 39 - Environmental Information</t>
  </si>
  <si>
    <t>Section 40(1) - Personal Information of the requester</t>
  </si>
  <si>
    <t>Section 40(2) - Personal Information</t>
  </si>
  <si>
    <t>Section 41 - Information provided 'In Confidence'</t>
  </si>
  <si>
    <t>Section 42 - Legal Professional Privilege</t>
  </si>
  <si>
    <t>Section 43 - Commercial Interest</t>
  </si>
  <si>
    <t>Section 44 - Prohibitions on Disclosure</t>
  </si>
  <si>
    <t>FOI</t>
  </si>
  <si>
    <t>EIR</t>
  </si>
  <si>
    <t>Time Taken to Complete FOI</t>
  </si>
  <si>
    <t>Total</t>
  </si>
  <si>
    <t>Time Taken to Complete EIR</t>
  </si>
  <si>
    <t>FOI's Completed within 5 working days</t>
  </si>
  <si>
    <t>EIR's Completed within 5 working days</t>
  </si>
  <si>
    <t>FOI's Completed between 5-10 working days</t>
  </si>
  <si>
    <t>EIR's Completed between 5-10 working days</t>
  </si>
  <si>
    <t>FOI's Completed between 10-20 working days</t>
  </si>
  <si>
    <t>EIR's Completed between 10-20 working days</t>
  </si>
  <si>
    <t>FOI's Completed outside of the 20 working days timeframe</t>
  </si>
  <si>
    <t>EIR's Completed outside of the 20 working days timeframe</t>
  </si>
  <si>
    <t>Completed FOI's</t>
  </si>
  <si>
    <t>Completed EIR's</t>
  </si>
  <si>
    <t>Elapsed FOI's</t>
  </si>
  <si>
    <t>Elapsed EIR's</t>
  </si>
  <si>
    <t>Open FOI's</t>
  </si>
  <si>
    <t>Open EIR's</t>
  </si>
  <si>
    <t>Total EIR's</t>
  </si>
  <si>
    <t>Average days taken to complete FOI</t>
  </si>
  <si>
    <t>Average days taken to complete EIR</t>
  </si>
  <si>
    <t>% of FOI's Completed within 20 working days</t>
  </si>
  <si>
    <t>% of EIR's Completed within 20 working days</t>
  </si>
  <si>
    <t>Annual</t>
  </si>
  <si>
    <t>Non-duty paid cigarettes</t>
  </si>
  <si>
    <t>Homelessness after relationship breakdown</t>
  </si>
  <si>
    <t>Unadopted roads</t>
  </si>
  <si>
    <t>Holiday activities programme</t>
  </si>
  <si>
    <t>Every Child Matters</t>
  </si>
  <si>
    <t>Educational Psychology QA Governance, Authority and Documentation</t>
  </si>
  <si>
    <t>Ethical Commissioning - Home Care Worker Pay &amp; Monitoring</t>
  </si>
  <si>
    <t>Education, Health and Care Plan (EHCP) Tribunal Expenditure</t>
  </si>
  <si>
    <t>Directors pay</t>
  </si>
  <si>
    <t>Repayment of S106 Contributions</t>
  </si>
  <si>
    <t>Bin locations</t>
  </si>
  <si>
    <t>Marketing to Expats</t>
  </si>
  <si>
    <t>Angela CIC &amp; Six til Six payments</t>
  </si>
  <si>
    <t>GeoCerta</t>
  </si>
  <si>
    <t xml:space="preserve">Contaminated land </t>
  </si>
  <si>
    <t>Sexual health services</t>
  </si>
  <si>
    <t>Deceased persons social care record</t>
  </si>
  <si>
    <t>Unspent S106 contributions</t>
  </si>
  <si>
    <t>Lynas Engineering</t>
  </si>
  <si>
    <t>Highways materials</t>
  </si>
  <si>
    <t>Become Charity</t>
  </si>
  <si>
    <t>Agilyx Group</t>
  </si>
  <si>
    <t>HR and Finance platforms used</t>
  </si>
  <si>
    <t>Lynas Engineers</t>
  </si>
  <si>
    <t>Highways material testing</t>
  </si>
  <si>
    <t>Local IQ</t>
  </si>
  <si>
    <t>Spend on Pavements, Public Realm Repairs and Potholes</t>
  </si>
  <si>
    <t>Complaint information</t>
  </si>
  <si>
    <t>Burial charges for non-residents</t>
  </si>
  <si>
    <t>Freshworks</t>
  </si>
  <si>
    <t>IT services</t>
  </si>
  <si>
    <t>Digital Work Places</t>
  </si>
  <si>
    <t>Held by Electoral Services but not a public body under the FOIA</t>
  </si>
  <si>
    <t>Processed as EIR</t>
  </si>
  <si>
    <t>Feb</t>
  </si>
  <si>
    <t>FOI-2526-0894</t>
  </si>
  <si>
    <t>Void council houses</t>
  </si>
  <si>
    <t>Flag removal costs and Paternity leave</t>
  </si>
  <si>
    <t>Managed moves in education</t>
  </si>
  <si>
    <t>Software Based Data Destruction Assurance</t>
  </si>
  <si>
    <t>Disposal of felled trees</t>
  </si>
  <si>
    <t>Hoarding referrals and costs</t>
  </si>
  <si>
    <t>Employment of PAs</t>
  </si>
  <si>
    <t>EIR-2526-0277</t>
  </si>
  <si>
    <t>Blue Badges</t>
  </si>
  <si>
    <t>Number of FOI requests made by an individual</t>
  </si>
  <si>
    <t>Illegal fat freezing products</t>
  </si>
  <si>
    <t>Digital, CRM &amp; Web Team Structure</t>
  </si>
  <si>
    <t>FOI-2526-0842</t>
  </si>
  <si>
    <t>ICT staffing levels and budget</t>
  </si>
  <si>
    <t>Enforcement Staffing Levels</t>
  </si>
  <si>
    <t>North Point Geotechnical</t>
  </si>
  <si>
    <t>Land at Millholme Farm</t>
  </si>
  <si>
    <t>Helen Bamber Foundation</t>
  </si>
  <si>
    <t>Percentage of Residential Rehab/Detox budget by provider</t>
  </si>
  <si>
    <t>Business Rates Arrears &amp; SME Financial Stress Data</t>
  </si>
  <si>
    <t>Renew &amp; Sustain</t>
  </si>
  <si>
    <t>Energy consumption</t>
  </si>
  <si>
    <t>Loans and Debts</t>
  </si>
  <si>
    <t>Land ownership</t>
  </si>
  <si>
    <t>Further request submitted with this question included</t>
  </si>
  <si>
    <t>Council services and finances</t>
  </si>
  <si>
    <t>Caffeine pouches</t>
  </si>
  <si>
    <t xml:space="preserve">Parliament </t>
  </si>
  <si>
    <t>Planning applications for GP surgeries</t>
  </si>
  <si>
    <t>RBCB</t>
  </si>
  <si>
    <t>Workforce-related financial liabilities</t>
  </si>
  <si>
    <t>S12 exemption applied</t>
  </si>
  <si>
    <t>FOI-2526-0855</t>
  </si>
  <si>
    <t>Spending on dental services and products</t>
  </si>
  <si>
    <t>ISC</t>
  </si>
  <si>
    <t>The ALP</t>
  </si>
  <si>
    <t>Asbestos - former steel works</t>
  </si>
  <si>
    <t>Children's social care contacts</t>
  </si>
  <si>
    <t xml:space="preserve">Data </t>
  </si>
  <si>
    <t>Fines for unauthorised absences</t>
  </si>
  <si>
    <t>PCN - disabled spaces</t>
  </si>
  <si>
    <t>Alternative provision</t>
  </si>
  <si>
    <t>Gaming licencing</t>
  </si>
  <si>
    <t>Milk Education</t>
  </si>
  <si>
    <t>Agency spend in schools</t>
  </si>
  <si>
    <t>SEND Statutory Team Structure, Payroll and Tribunal Activity</t>
  </si>
  <si>
    <t>Electrical Safety First</t>
  </si>
  <si>
    <t>PRS electrical safety checks</t>
  </si>
  <si>
    <t>Road maintenance</t>
  </si>
  <si>
    <t>PTSG</t>
  </si>
  <si>
    <t>Electrical testing services</t>
  </si>
  <si>
    <t>Second homes taxation</t>
  </si>
  <si>
    <t>Major Healthcare</t>
  </si>
  <si>
    <t>Children's residential care information</t>
  </si>
  <si>
    <t>Saltburn TRO</t>
  </si>
  <si>
    <t>Well-being walks</t>
  </si>
  <si>
    <t>PS Data</t>
  </si>
  <si>
    <t>Specialist supported housing</t>
  </si>
  <si>
    <t>Home for Good</t>
  </si>
  <si>
    <t>CIN escalation to LAC</t>
  </si>
  <si>
    <t>Empty property premium</t>
  </si>
  <si>
    <t>Ramblers wellbeing walks</t>
  </si>
  <si>
    <t>Cost of flag removal</t>
  </si>
  <si>
    <t>Staff salaries and debt</t>
  </si>
  <si>
    <t>BACS system</t>
  </si>
  <si>
    <t>Planning correspondence</t>
  </si>
  <si>
    <t>School penalty notices</t>
  </si>
  <si>
    <t>This is Digital</t>
  </si>
  <si>
    <t>Motorhome Collisions, Enforcement and Safety Data</t>
  </si>
  <si>
    <t>Penalty charge notices</t>
  </si>
  <si>
    <t>Planning Guarantee Compliance (Reg 9A) - Major Applications</t>
  </si>
  <si>
    <t>Energy Performance Certificate (EPC) regulations</t>
  </si>
  <si>
    <t>360 Care Group</t>
  </si>
  <si>
    <t xml:space="preserve">Supported Living packages </t>
  </si>
  <si>
    <t>Drone policies</t>
  </si>
  <si>
    <t>Staff working abroad</t>
  </si>
  <si>
    <t>Vape related fires at disposal sites</t>
  </si>
  <si>
    <t>WJ group</t>
  </si>
  <si>
    <t>Procurement of highway maintenance and road marking services</t>
  </si>
  <si>
    <t>GB News</t>
  </si>
  <si>
    <t>School uniform policy</t>
  </si>
  <si>
    <t>LAC Demographics and Residential Care Placements</t>
  </si>
  <si>
    <t>FOI-2526-0823</t>
  </si>
  <si>
    <t xml:space="preserve">Applicants disqualified from the Tees Valley Homefinder Housing Register </t>
  </si>
  <si>
    <t>Looked after children - placement contact details</t>
  </si>
  <si>
    <t>FOI-2526-0917</t>
  </si>
  <si>
    <t>Income from parks</t>
  </si>
  <si>
    <t>Animal Welfare (Primate Licences) Regulations 2024</t>
  </si>
  <si>
    <t>Children at risk from harm outside the home</t>
  </si>
  <si>
    <t>Toilet charges</t>
  </si>
  <si>
    <t>Felled trees</t>
  </si>
  <si>
    <t>Seizures involving nicotine-containing products</t>
  </si>
  <si>
    <t>Childrens Society</t>
  </si>
  <si>
    <t>Child poverty</t>
  </si>
  <si>
    <t>Complaints information</t>
  </si>
  <si>
    <t>Bridges Outcomes</t>
  </si>
  <si>
    <t>Children in our Care reunited with family</t>
  </si>
  <si>
    <t>Looked after children</t>
  </si>
  <si>
    <t>RVC</t>
  </si>
  <si>
    <t>Animal health and welfare</t>
  </si>
  <si>
    <t>FOI-2526-0892</t>
  </si>
  <si>
    <t>CAFM Systems</t>
  </si>
  <si>
    <t>Creative Word PR</t>
  </si>
  <si>
    <t xml:space="preserve">CCTV cameras </t>
  </si>
  <si>
    <t>People with learning disabilities moving from home to care setting</t>
  </si>
  <si>
    <t>Emails containing the word TVERF or Code of Conduct</t>
  </si>
  <si>
    <t>Wensday</t>
  </si>
  <si>
    <t>Licensing information</t>
  </si>
  <si>
    <t>Sky News</t>
  </si>
  <si>
    <t>Sham marriages</t>
  </si>
  <si>
    <t>Telecare Insights</t>
  </si>
  <si>
    <t>Telecare services</t>
  </si>
  <si>
    <t>Sheffield University</t>
  </si>
  <si>
    <t>FOI requests retention</t>
  </si>
  <si>
    <t>Complaint interviews</t>
  </si>
  <si>
    <t>Social care waiting times</t>
  </si>
  <si>
    <t>Care contracts handed back</t>
  </si>
  <si>
    <t>Animal law foundation</t>
  </si>
  <si>
    <t>Full council tax liability</t>
  </si>
  <si>
    <t>Right to buy</t>
  </si>
  <si>
    <t>Public art and museums</t>
  </si>
  <si>
    <t>Info track</t>
  </si>
  <si>
    <t>CHC protocols</t>
  </si>
  <si>
    <t>MAEHC Panel Decision Data</t>
  </si>
  <si>
    <t>High Hedge complaints</t>
  </si>
  <si>
    <t>Dementia support services</t>
  </si>
  <si>
    <t>Callaghan Wright</t>
  </si>
  <si>
    <t>Community Asset Transfers</t>
  </si>
  <si>
    <t>Taxi roadworthiness</t>
  </si>
  <si>
    <t>Smoking in cars</t>
  </si>
  <si>
    <t>Recycling scheme</t>
  </si>
  <si>
    <t>Family Fund</t>
  </si>
  <si>
    <t>Cllrs casework numbers</t>
  </si>
  <si>
    <t>Vape shop applications</t>
  </si>
  <si>
    <t>Streetlighting PFI</t>
  </si>
  <si>
    <t>Lincoln University</t>
  </si>
  <si>
    <t>Zoo inspections</t>
  </si>
  <si>
    <t>Trio Capital Housing</t>
  </si>
  <si>
    <t>Worst car for parking</t>
  </si>
  <si>
    <t>R Comms</t>
  </si>
  <si>
    <t>Reported pot holes</t>
  </si>
  <si>
    <t>Empty properties list</t>
  </si>
  <si>
    <t>Some information not held in format requested</t>
  </si>
  <si>
    <t>Teesside University</t>
  </si>
  <si>
    <t>Cricket Grounds</t>
  </si>
  <si>
    <t>Pavement parking</t>
  </si>
  <si>
    <t>Children's placements</t>
  </si>
  <si>
    <t>Laburnum Road site visit</t>
  </si>
  <si>
    <t>IT Systems used for In-House Care Services</t>
  </si>
  <si>
    <t>Furthre information provided</t>
  </si>
  <si>
    <t>Chesterfield Council</t>
  </si>
  <si>
    <t>Injunctions</t>
  </si>
  <si>
    <t>Elective Home Education and Prevent</t>
  </si>
  <si>
    <t>Kings College London</t>
  </si>
  <si>
    <t>Temporary accommodation and EHCPs</t>
  </si>
  <si>
    <t>Councillors council tax arrears</t>
  </si>
  <si>
    <t>Police &amp; Crime Commissioner info</t>
  </si>
  <si>
    <t>LADO referrals</t>
  </si>
  <si>
    <t>Inkcap</t>
  </si>
  <si>
    <t>Tree planting</t>
  </si>
  <si>
    <t>Flowers</t>
  </si>
  <si>
    <t>Transgender complaints</t>
  </si>
  <si>
    <t>Planning enforcement in relation to protected trees</t>
  </si>
  <si>
    <t>PA Media</t>
  </si>
  <si>
    <t>Use of bailiffs for unpaid PCNs</t>
  </si>
  <si>
    <t>Naturewatch</t>
  </si>
  <si>
    <t>Consultation response</t>
  </si>
  <si>
    <t>Staff mileage allowances</t>
  </si>
  <si>
    <t>Clarkson Evans training</t>
  </si>
  <si>
    <t>Difference NE</t>
  </si>
  <si>
    <t>Taxi licencing information</t>
  </si>
  <si>
    <t>Mar</t>
  </si>
  <si>
    <t>Children's placement demands and costs</t>
  </si>
  <si>
    <t>Animal Insight</t>
  </si>
  <si>
    <t>Animal licences</t>
  </si>
  <si>
    <t>Intensive pig farming</t>
  </si>
  <si>
    <t>DOLS for children</t>
  </si>
  <si>
    <t>Apprenticeship levy</t>
  </si>
  <si>
    <t>Public Funerals</t>
  </si>
  <si>
    <t>S40, S21. S31 also applied</t>
  </si>
  <si>
    <t>IPS Group</t>
  </si>
  <si>
    <t>Parking applications</t>
  </si>
  <si>
    <t>The Outlook, Saltburn</t>
  </si>
  <si>
    <t>Insequa</t>
  </si>
  <si>
    <t>Pension/flexible retirement information</t>
  </si>
  <si>
    <t>Data Centres</t>
  </si>
  <si>
    <t>Normanby Hall planning information</t>
  </si>
  <si>
    <t>Blue Badge parking spaces</t>
  </si>
  <si>
    <t>Transport planning applications</t>
  </si>
  <si>
    <t>Children's Commissioning</t>
  </si>
  <si>
    <t>School exclusions</t>
  </si>
  <si>
    <t>London School of Economics</t>
  </si>
  <si>
    <t>Dog breeding and pet selling</t>
  </si>
  <si>
    <t>Section 19 support</t>
  </si>
  <si>
    <t>Discretionary reductions to council tax</t>
  </si>
  <si>
    <t>Redaction of planning objections</t>
  </si>
  <si>
    <t>Temporary accommodation health and safety data</t>
  </si>
  <si>
    <t>Staff training</t>
  </si>
  <si>
    <t>Tattoo shops</t>
  </si>
  <si>
    <t>Library Management System</t>
  </si>
  <si>
    <t>Free school meals</t>
  </si>
  <si>
    <t>Redcar development breaches</t>
  </si>
  <si>
    <t>Pets in temporary and emergency accommodation</t>
  </si>
  <si>
    <t>Data Real</t>
  </si>
  <si>
    <t>FOI-2526-0981</t>
  </si>
  <si>
    <t>Stray Dogs, Kennelling, and Outcomes</t>
  </si>
  <si>
    <t>Scrutiny of Dangerous Dogs Act - by PCC</t>
  </si>
  <si>
    <t>Uncover PR</t>
  </si>
  <si>
    <t>Support for people with NRPF</t>
  </si>
  <si>
    <t>LAI in OUD-treatment (Buvidal)</t>
  </si>
  <si>
    <t>Tindam</t>
  </si>
  <si>
    <t>Adult social care commissioning</t>
  </si>
  <si>
    <t>Police &amp; Crime Commissioner information</t>
  </si>
  <si>
    <t>Adults with learning disabilities</t>
  </si>
  <si>
    <t>Licencing enforcement roles</t>
  </si>
  <si>
    <t>Fonix</t>
  </si>
  <si>
    <t>Bridges information</t>
  </si>
  <si>
    <t>Caravan dwellers</t>
  </si>
  <si>
    <t>DIY shop information</t>
  </si>
  <si>
    <t>Council tax information about a Guisborough property</t>
  </si>
  <si>
    <t>St Georges Flags</t>
  </si>
  <si>
    <t>Pupils removed from Religious Education classes</t>
  </si>
  <si>
    <t>Live Compulsory Purchase Orders</t>
  </si>
  <si>
    <t>Public Defibrillator Installation and Usage Data</t>
  </si>
  <si>
    <t>Special Educational Needs and Disability tribunal costs</t>
  </si>
  <si>
    <t>Special Educational Needs and Disability spending</t>
  </si>
  <si>
    <t>Special Educational Needs and Disability deregistrations</t>
  </si>
  <si>
    <t>Special Educational Needs and Disability</t>
  </si>
  <si>
    <t>Special Educational Needs/Alternative provision</t>
  </si>
  <si>
    <t>Special Educational Needs and Disability transport data</t>
  </si>
  <si>
    <t>Special Educational Needs and Disability provision</t>
  </si>
  <si>
    <t>Special Educational Needs and Disability backlog</t>
  </si>
  <si>
    <t>Special Educational Needs and Disability capital grant allocation</t>
  </si>
  <si>
    <t>Special Educational Needs and Disability - Private school provision</t>
  </si>
  <si>
    <t>Special Educational Needs and Disability - State school provision</t>
  </si>
  <si>
    <t>Special Educational Needs and Disability contacts in schools</t>
  </si>
  <si>
    <t>Special Educational Needs and Disability transport costs</t>
  </si>
  <si>
    <t>Special Educational Needs and Disability/Alternative Learning Needs Decision-Making Governance</t>
  </si>
  <si>
    <t>Special Educational Needs and Disability tribunal appeals - Looked after children</t>
  </si>
  <si>
    <t xml:space="preserve">Special Educational Needs and Disability tribunal appeals </t>
  </si>
  <si>
    <t>Special Educational Needs and Disability support</t>
  </si>
  <si>
    <t>Education, Health and Care Plan information</t>
  </si>
  <si>
    <t>Age profile of children waiting for an Education, Health and Care Plan</t>
  </si>
  <si>
    <t>Outstanding Education, Health and Care Plan information</t>
  </si>
  <si>
    <t>Education, Health and Care Plan</t>
  </si>
  <si>
    <t>Education, Health and Care Plan data</t>
  </si>
  <si>
    <t>Education, Health and Care Plan and temporary accommodation</t>
  </si>
  <si>
    <t>Education, Health and Care plans and Emotional Based School Avoidance</t>
  </si>
  <si>
    <t>Children with a Statement or Education, Health and Care Plan in an Independent Special School</t>
  </si>
  <si>
    <t>Education, Health and Care Plan quality assurance</t>
  </si>
  <si>
    <t>Education other than at School pupils and budgets</t>
  </si>
  <si>
    <t>Education other than at School information</t>
  </si>
  <si>
    <t>Exclusions for children waiting for an Education, Health and Care Plan</t>
  </si>
  <si>
    <t xml:space="preserve">Cancelled Penalty Charge Notices </t>
  </si>
  <si>
    <t>Long-acting injectible buprenorphine</t>
  </si>
  <si>
    <t>Electric On-Street Charging</t>
  </si>
  <si>
    <t>Long-acting injectable buprenorphine</t>
  </si>
  <si>
    <t>Soldo</t>
  </si>
  <si>
    <t>Fund Disbursement Requirements</t>
  </si>
  <si>
    <t>FOI requests about taxi's</t>
  </si>
  <si>
    <t>Social value</t>
  </si>
  <si>
    <t>Members Enquiries by ward</t>
  </si>
  <si>
    <t>Bulk planning applications list</t>
  </si>
  <si>
    <t>Children's Residential Placement Fee Rates</t>
  </si>
  <si>
    <t>EIR-2526-0302</t>
  </si>
  <si>
    <t>Housing benefit - exempt accommodation</t>
  </si>
  <si>
    <t>Kirkleatham walled garden contract</t>
  </si>
  <si>
    <t>Data Centre Planning Applications and Non Disclosure Agreements</t>
  </si>
  <si>
    <t>Planning application R/2023/0482/OOM information</t>
  </si>
  <si>
    <t>Empty commercial properties</t>
  </si>
  <si>
    <t>Some information unredacted</t>
  </si>
  <si>
    <t>Costs of Weighing Reception Children</t>
  </si>
  <si>
    <t xml:space="preserve">The £150 energy bill support payments </t>
  </si>
  <si>
    <t>Some infornation not held</t>
  </si>
  <si>
    <t>S40 &amp; S21</t>
  </si>
  <si>
    <t>S40 applied</t>
  </si>
  <si>
    <t>S21 applied</t>
  </si>
  <si>
    <t>Average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</si>
</sst>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quot;FOI/2526/&quot;0000"/>
    <numFmt numFmtId="166" formatCode="&quot;EIR/2526/&quot;0000"/>
  </numFmts>
  <fonts count="24" x14ac:knownFonts="1">
    <font>
      <sz val="10"/>
      <name val="Arial"/>
    </font>
    <font>
      <sz val="8"/>
      <name val="Arial"/>
      <family val="2"/>
    </font>
    <font>
      <u/>
      <sz val="10"/>
      <color indexed="12"/>
      <name val="Arial"/>
      <family val="2"/>
    </font>
    <font>
      <b/>
      <sz val="10"/>
      <name val="Arial"/>
      <family val="2"/>
    </font>
    <font>
      <b/>
      <sz val="12"/>
      <name val="Arial"/>
      <family val="2"/>
    </font>
    <font>
      <sz val="12"/>
      <name val="Arial"/>
      <family val="2"/>
    </font>
    <font>
      <sz val="10"/>
      <name val="Arial"/>
      <family val="2"/>
    </font>
    <font>
      <sz val="8"/>
      <name val="Arial"/>
      <family val="2"/>
    </font>
    <font>
      <sz val="12"/>
      <color theme="1"/>
      <name val="Arial"/>
      <family val="2"/>
    </font>
    <font>
      <sz val="12"/>
      <color theme="1"/>
      <name val="Verdana"/>
      <family val="2"/>
    </font>
    <font>
      <u/>
      <sz val="12"/>
      <color theme="10"/>
      <name val="Verdana"/>
      <family val="2"/>
    </font>
    <font>
      <sz val="16"/>
      <color theme="1"/>
      <name val="Georgia"/>
      <family val="1"/>
    </font>
    <font>
      <b/>
      <sz val="12"/>
      <name val="Verdana"/>
      <family val="2"/>
    </font>
    <font>
      <sz val="12"/>
      <name val="Verdana"/>
      <family val="2"/>
    </font>
    <font>
      <sz val="14"/>
      <color theme="0"/>
      <name val="Georgia"/>
      <family val="1"/>
    </font>
    <font>
      <u/>
      <sz val="16"/>
      <color theme="1"/>
      <name val="Georgia"/>
      <family val="1"/>
    </font>
    <font>
      <sz val="14"/>
      <color theme="1"/>
      <name val="Georgia"/>
      <family val="1"/>
    </font>
    <font>
      <sz val="12"/>
      <color rgb="FF000000"/>
      <name val="Arial"/>
      <family val="2"/>
    </font>
    <font>
      <sz val="10"/>
      <name val="Verdana"/>
      <family val="2"/>
    </font>
    <font>
      <sz val="12"/>
      <color theme="0"/>
      <name val="Verdana"/>
      <family val="2"/>
    </font>
    <font>
      <sz val="14"/>
      <color theme="1"/>
      <name val="Verdana"/>
      <family val="2"/>
    </font>
    <font>
      <sz val="10"/>
      <color theme="1"/>
      <name val="Verdana"/>
      <family val="2"/>
    </font>
    <font>
      <sz val="12"/>
      <color rgb="FF212529"/>
      <name val="Arial"/>
      <family val="2"/>
    </font>
    <font>
      <sz val="12"/>
      <color rgb="FF1F1F1F"/>
      <name val="Arial"/>
      <family val="2"/>
    </font>
  </fonts>
  <fills count="18">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41"/>
        <bgColor indexed="64"/>
      </patternFill>
    </fill>
    <fill>
      <patternFill patternType="solid">
        <fgColor indexed="55"/>
        <bgColor indexed="64"/>
      </patternFill>
    </fill>
    <fill>
      <patternFill patternType="solid">
        <fgColor indexed="15"/>
        <bgColor indexed="64"/>
      </patternFill>
    </fill>
    <fill>
      <patternFill patternType="solid">
        <fgColor rgb="FFCCFFFF"/>
        <bgColor indexed="64"/>
      </patternFill>
    </fill>
    <fill>
      <patternFill patternType="solid">
        <fgColor rgb="FF66FFFF"/>
        <bgColor indexed="64"/>
      </patternFill>
    </fill>
    <fill>
      <patternFill patternType="solid">
        <fgColor rgb="FFFFFF99"/>
        <bgColor indexed="64"/>
      </patternFill>
    </fill>
    <fill>
      <patternFill patternType="solid">
        <fgColor rgb="FFFFFFA3"/>
        <bgColor indexed="64"/>
      </patternFill>
    </fill>
    <fill>
      <patternFill patternType="solid">
        <fgColor theme="0" tint="-0.34998626667073579"/>
        <bgColor indexed="64"/>
      </patternFill>
    </fill>
    <fill>
      <patternFill patternType="solid">
        <fgColor rgb="FFFFC00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
      <patternFill patternType="solid">
        <fgColor theme="8" tint="-0.249977111117893"/>
        <bgColor indexed="64"/>
      </patternFill>
    </fill>
    <fill>
      <patternFill patternType="solid">
        <fgColor rgb="FFFF000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s>
  <cellStyleXfs count="3">
    <xf numFmtId="0" fontId="0" fillId="0" borderId="0"/>
    <xf numFmtId="0" fontId="2" fillId="0" borderId="0" applyNumberFormat="0" applyFill="0" applyBorder="0" applyAlignment="0" applyProtection="0">
      <alignment vertical="top"/>
      <protection locked="0"/>
    </xf>
    <xf numFmtId="0" fontId="6" fillId="0" borderId="0"/>
  </cellStyleXfs>
  <cellXfs count="264">
    <xf numFmtId="0" fontId="0" fillId="0" borderId="0" xfId="0"/>
    <xf numFmtId="0" fontId="0" fillId="0" borderId="0" xfId="0" applyAlignment="1">
      <alignment horizontal="center"/>
    </xf>
    <xf numFmtId="0" fontId="4" fillId="8" borderId="1" xfId="0" applyFont="1" applyFill="1" applyBorder="1" applyAlignment="1">
      <alignment horizontal="left" vertical="center" wrapText="1"/>
    </xf>
    <xf numFmtId="0" fontId="0" fillId="7" borderId="1" xfId="0" applyFill="1" applyBorder="1"/>
    <xf numFmtId="49" fontId="0" fillId="7" borderId="3" xfId="0" applyNumberFormat="1" applyFill="1" applyBorder="1" applyAlignment="1">
      <alignment horizontal="left" vertical="center" wrapText="1"/>
    </xf>
    <xf numFmtId="0" fontId="5" fillId="4" borderId="1" xfId="0" applyFont="1" applyFill="1" applyBorder="1" applyAlignment="1">
      <alignment wrapText="1"/>
    </xf>
    <xf numFmtId="0" fontId="5" fillId="3" borderId="1" xfId="0" applyFont="1" applyFill="1" applyBorder="1" applyAlignment="1">
      <alignment wrapText="1"/>
    </xf>
    <xf numFmtId="0" fontId="5" fillId="0" borderId="1" xfId="0" applyFont="1" applyBorder="1"/>
    <xf numFmtId="0" fontId="5" fillId="7" borderId="1" xfId="0" applyFont="1" applyFill="1" applyBorder="1" applyAlignment="1">
      <alignment wrapText="1"/>
    </xf>
    <xf numFmtId="0" fontId="5" fillId="0" borderId="1" xfId="0" applyFont="1" applyBorder="1" applyAlignment="1">
      <alignment wrapText="1"/>
    </xf>
    <xf numFmtId="0" fontId="5" fillId="10" borderId="1" xfId="0" applyFont="1" applyFill="1" applyBorder="1" applyAlignment="1">
      <alignment wrapText="1"/>
    </xf>
    <xf numFmtId="14" fontId="5" fillId="4" borderId="1" xfId="0" applyNumberFormat="1" applyFont="1" applyFill="1" applyBorder="1" applyAlignment="1">
      <alignment wrapText="1"/>
    </xf>
    <xf numFmtId="0" fontId="5" fillId="7" borderId="1" xfId="0" applyFont="1" applyFill="1" applyBorder="1"/>
    <xf numFmtId="0" fontId="4" fillId="6" borderId="1" xfId="0" applyFont="1" applyFill="1" applyBorder="1" applyAlignment="1">
      <alignment wrapText="1"/>
    </xf>
    <xf numFmtId="14" fontId="4" fillId="6" borderId="1" xfId="0" applyNumberFormat="1" applyFont="1" applyFill="1" applyBorder="1" applyAlignment="1">
      <alignment wrapText="1"/>
    </xf>
    <xf numFmtId="1" fontId="4" fillId="13" borderId="1" xfId="0" applyNumberFormat="1" applyFont="1" applyFill="1" applyBorder="1" applyAlignment="1">
      <alignment wrapText="1"/>
    </xf>
    <xf numFmtId="0" fontId="4" fillId="0" borderId="1" xfId="0" applyFont="1" applyBorder="1"/>
    <xf numFmtId="14" fontId="5" fillId="7" borderId="1" xfId="0" applyNumberFormat="1" applyFont="1" applyFill="1" applyBorder="1" applyAlignment="1">
      <alignment wrapText="1"/>
    </xf>
    <xf numFmtId="0" fontId="5" fillId="5" borderId="1" xfId="0" applyFont="1" applyFill="1" applyBorder="1" applyAlignment="1">
      <alignment wrapText="1"/>
    </xf>
    <xf numFmtId="14" fontId="5" fillId="0" borderId="1" xfId="0" applyNumberFormat="1" applyFont="1" applyBorder="1" applyAlignment="1">
      <alignment wrapText="1"/>
    </xf>
    <xf numFmtId="0" fontId="6" fillId="7" borderId="1" xfId="0" applyFont="1" applyFill="1" applyBorder="1" applyAlignment="1">
      <alignment wrapText="1"/>
    </xf>
    <xf numFmtId="0" fontId="6" fillId="4" borderId="1" xfId="0" applyFont="1" applyFill="1" applyBorder="1" applyAlignment="1">
      <alignment wrapText="1"/>
    </xf>
    <xf numFmtId="164" fontId="5" fillId="7" borderId="1" xfId="0" applyNumberFormat="1" applyFont="1" applyFill="1" applyBorder="1" applyAlignment="1">
      <alignment wrapText="1"/>
    </xf>
    <xf numFmtId="49" fontId="6" fillId="7" borderId="3" xfId="0" applyNumberFormat="1" applyFont="1" applyFill="1" applyBorder="1" applyAlignment="1">
      <alignment horizontal="left" vertical="center" wrapText="1"/>
    </xf>
    <xf numFmtId="0" fontId="0" fillId="15" borderId="0" xfId="0" applyFill="1"/>
    <xf numFmtId="0" fontId="10" fillId="15" borderId="0" xfId="1" applyFont="1" applyFill="1" applyAlignment="1" applyProtection="1">
      <alignment horizontal="center" vertical="center" wrapText="1"/>
    </xf>
    <xf numFmtId="0" fontId="12" fillId="15" borderId="1" xfId="1" applyFont="1" applyFill="1" applyBorder="1" applyAlignment="1" applyProtection="1">
      <alignment horizontal="center" vertical="center" wrapText="1"/>
    </xf>
    <xf numFmtId="0" fontId="14" fillId="16" borderId="9" xfId="0" applyFont="1" applyFill="1" applyBorder="1" applyAlignment="1">
      <alignment horizontal="center" vertical="center"/>
    </xf>
    <xf numFmtId="0" fontId="14" fillId="16" borderId="10" xfId="0" applyFont="1" applyFill="1" applyBorder="1" applyAlignment="1">
      <alignment horizontal="center" vertical="center"/>
    </xf>
    <xf numFmtId="0" fontId="14" fillId="16" borderId="11" xfId="0" applyFont="1" applyFill="1" applyBorder="1" applyAlignment="1">
      <alignment horizontal="center" vertical="center"/>
    </xf>
    <xf numFmtId="0" fontId="9" fillId="14" borderId="12" xfId="0" applyFont="1" applyFill="1" applyBorder="1" applyAlignment="1">
      <alignment vertical="center" wrapText="1"/>
    </xf>
    <xf numFmtId="1" fontId="9" fillId="14" borderId="1" xfId="0" applyNumberFormat="1" applyFont="1" applyFill="1" applyBorder="1" applyAlignment="1" applyProtection="1">
      <alignment horizontal="center" vertical="center" wrapText="1"/>
      <protection locked="0"/>
    </xf>
    <xf numFmtId="1" fontId="9" fillId="14" borderId="13" xfId="0" applyNumberFormat="1" applyFont="1" applyFill="1" applyBorder="1" applyAlignment="1" applyProtection="1">
      <alignment horizontal="center" vertical="center" wrapText="1"/>
      <protection locked="0"/>
    </xf>
    <xf numFmtId="0" fontId="9" fillId="15" borderId="12" xfId="0" applyFont="1" applyFill="1" applyBorder="1" applyAlignment="1">
      <alignment vertical="center" wrapText="1"/>
    </xf>
    <xf numFmtId="1" fontId="13" fillId="14" borderId="1" xfId="0" applyNumberFormat="1" applyFont="1" applyFill="1" applyBorder="1" applyAlignment="1" applyProtection="1">
      <alignment horizontal="center" vertical="center" wrapText="1"/>
      <protection locked="0"/>
    </xf>
    <xf numFmtId="1" fontId="13" fillId="14" borderId="13" xfId="0" applyNumberFormat="1" applyFont="1" applyFill="1" applyBorder="1" applyAlignment="1" applyProtection="1">
      <alignment horizontal="center" vertical="center" wrapText="1"/>
      <protection locked="0"/>
    </xf>
    <xf numFmtId="0" fontId="13" fillId="15" borderId="12" xfId="0" applyFont="1" applyFill="1" applyBorder="1" applyAlignment="1">
      <alignment vertical="center" wrapText="1"/>
    </xf>
    <xf numFmtId="1" fontId="13" fillId="15" borderId="1" xfId="0" applyNumberFormat="1" applyFont="1" applyFill="1" applyBorder="1" applyAlignment="1" applyProtection="1">
      <alignment horizontal="center" vertical="center" wrapText="1"/>
      <protection locked="0"/>
    </xf>
    <xf numFmtId="1" fontId="13" fillId="15" borderId="13" xfId="0" applyNumberFormat="1" applyFont="1" applyFill="1" applyBorder="1" applyAlignment="1" applyProtection="1">
      <alignment horizontal="center" vertical="center" wrapText="1"/>
      <protection locked="0"/>
    </xf>
    <xf numFmtId="0" fontId="9" fillId="0" borderId="12" xfId="0" applyFont="1" applyBorder="1" applyAlignment="1">
      <alignment vertical="center" wrapText="1"/>
    </xf>
    <xf numFmtId="0" fontId="9" fillId="15" borderId="14" xfId="0" applyFont="1" applyFill="1" applyBorder="1" applyAlignment="1">
      <alignment vertical="center" wrapText="1"/>
    </xf>
    <xf numFmtId="1" fontId="13" fillId="15" borderId="15" xfId="0" applyNumberFormat="1" applyFont="1" applyFill="1" applyBorder="1" applyAlignment="1" applyProtection="1">
      <alignment horizontal="center" vertical="center" wrapText="1"/>
      <protection locked="0"/>
    </xf>
    <xf numFmtId="1" fontId="13" fillId="15" borderId="16" xfId="0" applyNumberFormat="1" applyFont="1" applyFill="1" applyBorder="1" applyAlignment="1" applyProtection="1">
      <alignment horizontal="center" vertical="center" wrapText="1"/>
      <protection locked="0"/>
    </xf>
    <xf numFmtId="0" fontId="15" fillId="15" borderId="0" xfId="0" applyFont="1" applyFill="1" applyAlignment="1">
      <alignment vertical="center" wrapText="1"/>
    </xf>
    <xf numFmtId="0" fontId="0" fillId="15" borderId="0" xfId="0" applyFill="1" applyAlignment="1">
      <alignment vertical="center"/>
    </xf>
    <xf numFmtId="0" fontId="15" fillId="15" borderId="0" xfId="0" applyFont="1" applyFill="1" applyAlignment="1">
      <alignment horizontal="center" vertical="center" wrapText="1"/>
    </xf>
    <xf numFmtId="0" fontId="14" fillId="16" borderId="9" xfId="0" applyFont="1" applyFill="1" applyBorder="1" applyAlignment="1">
      <alignment horizontal="center" vertical="center" wrapText="1"/>
    </xf>
    <xf numFmtId="0" fontId="14" fillId="16" borderId="10" xfId="0" applyFont="1" applyFill="1" applyBorder="1" applyAlignment="1">
      <alignment horizontal="center" vertical="center" wrapText="1"/>
    </xf>
    <xf numFmtId="0" fontId="14" fillId="15" borderId="0" xfId="0" applyFont="1" applyFill="1" applyAlignment="1">
      <alignment horizontal="center" vertical="center" wrapText="1"/>
    </xf>
    <xf numFmtId="1" fontId="9" fillId="15" borderId="1" xfId="0" applyNumberFormat="1" applyFont="1" applyFill="1" applyBorder="1" applyAlignment="1">
      <alignment horizontal="center" vertical="center" wrapText="1"/>
    </xf>
    <xf numFmtId="1" fontId="9" fillId="14" borderId="1" xfId="0" applyNumberFormat="1" applyFont="1" applyFill="1" applyBorder="1" applyAlignment="1">
      <alignment horizontal="center" vertical="center" wrapText="1"/>
    </xf>
    <xf numFmtId="1" fontId="9" fillId="14" borderId="13" xfId="0" applyNumberFormat="1" applyFont="1" applyFill="1" applyBorder="1" applyAlignment="1">
      <alignment horizontal="center" vertical="center" wrapText="1"/>
    </xf>
    <xf numFmtId="0" fontId="9" fillId="15" borderId="0" xfId="0" applyFont="1" applyFill="1" applyAlignment="1">
      <alignment vertical="center" wrapText="1"/>
    </xf>
    <xf numFmtId="1" fontId="9" fillId="15" borderId="0" xfId="0" applyNumberFormat="1" applyFont="1" applyFill="1" applyAlignment="1">
      <alignment vertical="center" wrapText="1"/>
    </xf>
    <xf numFmtId="0" fontId="9" fillId="14" borderId="14" xfId="0" applyFont="1" applyFill="1" applyBorder="1" applyAlignment="1">
      <alignment vertical="center" wrapText="1"/>
    </xf>
    <xf numFmtId="1" fontId="9" fillId="15" borderId="0" xfId="0" applyNumberFormat="1" applyFont="1" applyFill="1" applyAlignment="1">
      <alignment vertical="center"/>
    </xf>
    <xf numFmtId="0" fontId="0" fillId="15" borderId="0" xfId="0" applyFill="1" applyAlignment="1">
      <alignment vertical="center" wrapText="1"/>
    </xf>
    <xf numFmtId="0" fontId="9" fillId="15" borderId="0" xfId="0" applyFont="1" applyFill="1" applyAlignment="1">
      <alignment horizontal="center" vertical="center" wrapText="1"/>
    </xf>
    <xf numFmtId="0" fontId="0" fillId="15" borderId="0" xfId="0" applyFill="1" applyAlignment="1">
      <alignment horizontal="left" vertical="center" wrapText="1"/>
    </xf>
    <xf numFmtId="0" fontId="9" fillId="14" borderId="12" xfId="0" applyFont="1" applyFill="1" applyBorder="1" applyAlignment="1">
      <alignment horizontal="left" vertical="center" wrapText="1"/>
    </xf>
    <xf numFmtId="0" fontId="9" fillId="15" borderId="12" xfId="0" applyFont="1" applyFill="1" applyBorder="1" applyAlignment="1">
      <alignment horizontal="left" vertical="center" wrapText="1"/>
    </xf>
    <xf numFmtId="0" fontId="0" fillId="15" borderId="0" xfId="0" applyFill="1" applyAlignment="1">
      <alignment wrapText="1"/>
    </xf>
    <xf numFmtId="0" fontId="9" fillId="14" borderId="14" xfId="0" applyFont="1" applyFill="1" applyBorder="1" applyAlignment="1">
      <alignment horizontal="left" vertical="center" wrapText="1"/>
    </xf>
    <xf numFmtId="0" fontId="4" fillId="8" borderId="1" xfId="0" applyFont="1" applyFill="1" applyBorder="1" applyAlignment="1">
      <alignment horizontal="left" wrapText="1"/>
    </xf>
    <xf numFmtId="49" fontId="4" fillId="8" borderId="1" xfId="0" applyNumberFormat="1" applyFont="1" applyFill="1" applyBorder="1" applyAlignment="1">
      <alignment horizontal="left" wrapText="1"/>
    </xf>
    <xf numFmtId="0" fontId="5" fillId="4" borderId="1" xfId="0" applyFont="1" applyFill="1" applyBorder="1" applyAlignment="1">
      <alignment horizontal="left" wrapText="1"/>
    </xf>
    <xf numFmtId="0" fontId="5" fillId="7" borderId="1" xfId="0" applyFont="1" applyFill="1" applyBorder="1" applyAlignment="1">
      <alignment horizontal="left" wrapText="1"/>
    </xf>
    <xf numFmtId="164" fontId="5" fillId="7" borderId="1" xfId="0" applyNumberFormat="1" applyFont="1" applyFill="1" applyBorder="1" applyAlignment="1">
      <alignment horizontal="left" wrapText="1"/>
    </xf>
    <xf numFmtId="14" fontId="5" fillId="7" borderId="1" xfId="0" applyNumberFormat="1" applyFont="1" applyFill="1" applyBorder="1" applyAlignment="1">
      <alignment horizontal="left" wrapText="1"/>
    </xf>
    <xf numFmtId="164" fontId="5" fillId="4" borderId="1" xfId="0" applyNumberFormat="1" applyFont="1" applyFill="1" applyBorder="1" applyAlignment="1">
      <alignment horizontal="left" wrapText="1"/>
    </xf>
    <xf numFmtId="49" fontId="5" fillId="7" borderId="1" xfId="0" applyNumberFormat="1" applyFont="1" applyFill="1" applyBorder="1" applyAlignment="1">
      <alignment horizontal="left" wrapText="1"/>
    </xf>
    <xf numFmtId="49" fontId="5" fillId="9" borderId="1" xfId="0" applyNumberFormat="1" applyFont="1" applyFill="1" applyBorder="1" applyAlignment="1">
      <alignment horizontal="left" wrapText="1"/>
    </xf>
    <xf numFmtId="0" fontId="5" fillId="3" borderId="1" xfId="0" applyFont="1" applyFill="1" applyBorder="1" applyAlignment="1">
      <alignment horizontal="left" wrapText="1"/>
    </xf>
    <xf numFmtId="49" fontId="5" fillId="9" borderId="1" xfId="0" applyNumberFormat="1" applyFont="1" applyFill="1" applyBorder="1" applyAlignment="1">
      <alignment horizontal="left"/>
    </xf>
    <xf numFmtId="0" fontId="4" fillId="0" borderId="1" xfId="0" applyFont="1" applyBorder="1" applyAlignment="1">
      <alignment horizontal="left"/>
    </xf>
    <xf numFmtId="0" fontId="5" fillId="7" borderId="1" xfId="0" applyFont="1" applyFill="1" applyBorder="1" applyAlignment="1">
      <alignment horizontal="left"/>
    </xf>
    <xf numFmtId="0" fontId="6" fillId="0" borderId="0" xfId="0" applyFont="1"/>
    <xf numFmtId="164" fontId="4" fillId="8" borderId="1" xfId="0" applyNumberFormat="1" applyFont="1" applyFill="1" applyBorder="1" applyAlignment="1">
      <alignment horizontal="left" vertical="center" wrapText="1"/>
    </xf>
    <xf numFmtId="14" fontId="0" fillId="7" borderId="3" xfId="0" applyNumberFormat="1" applyFill="1" applyBorder="1" applyAlignment="1">
      <alignment horizontal="left" vertical="center" wrapText="1"/>
    </xf>
    <xf numFmtId="164" fontId="0" fillId="7" borderId="1" xfId="0" applyNumberFormat="1" applyFill="1" applyBorder="1" applyAlignment="1">
      <alignment horizontal="left"/>
    </xf>
    <xf numFmtId="14" fontId="0" fillId="7" borderId="1" xfId="0" applyNumberFormat="1" applyFill="1" applyBorder="1" applyAlignment="1">
      <alignment horizontal="left"/>
    </xf>
    <xf numFmtId="0" fontId="0" fillId="7" borderId="1" xfId="0" applyFill="1" applyBorder="1" applyAlignment="1">
      <alignment horizontal="left"/>
    </xf>
    <xf numFmtId="14" fontId="6" fillId="7" borderId="3" xfId="0" applyNumberFormat="1" applyFont="1" applyFill="1" applyBorder="1" applyAlignment="1">
      <alignment horizontal="left" vertical="center" wrapText="1"/>
    </xf>
    <xf numFmtId="1" fontId="9" fillId="15" borderId="13" xfId="0" applyNumberFormat="1" applyFont="1" applyFill="1" applyBorder="1" applyAlignment="1">
      <alignment horizontal="center" vertical="center" wrapText="1"/>
    </xf>
    <xf numFmtId="1" fontId="9" fillId="0" borderId="1" xfId="0" applyNumberFormat="1" applyFont="1" applyBorder="1" applyAlignment="1">
      <alignment horizontal="center" vertical="center" wrapText="1"/>
    </xf>
    <xf numFmtId="1" fontId="9" fillId="0" borderId="13" xfId="0" applyNumberFormat="1" applyFont="1" applyBorder="1" applyAlignment="1">
      <alignment horizontal="center" vertical="center" wrapText="1"/>
    </xf>
    <xf numFmtId="1" fontId="13" fillId="14" borderId="1" xfId="0" applyNumberFormat="1" applyFont="1" applyFill="1" applyBorder="1" applyAlignment="1">
      <alignment horizontal="center" vertical="center" wrapText="1"/>
    </xf>
    <xf numFmtId="1" fontId="13" fillId="14" borderId="13" xfId="0" applyNumberFormat="1" applyFont="1" applyFill="1" applyBorder="1" applyAlignment="1">
      <alignment horizontal="center" vertical="center" wrapText="1"/>
    </xf>
    <xf numFmtId="1" fontId="13" fillId="15" borderId="1" xfId="0" applyNumberFormat="1" applyFont="1" applyFill="1" applyBorder="1" applyAlignment="1">
      <alignment horizontal="center" vertical="center" wrapText="1"/>
    </xf>
    <xf numFmtId="1" fontId="13" fillId="15" borderId="13" xfId="0" applyNumberFormat="1" applyFont="1" applyFill="1" applyBorder="1" applyAlignment="1">
      <alignment horizontal="center" vertical="center" wrapText="1"/>
    </xf>
    <xf numFmtId="14" fontId="0" fillId="7" borderId="1" xfId="0" applyNumberFormat="1" applyFill="1" applyBorder="1" applyAlignment="1">
      <alignment horizontal="center"/>
    </xf>
    <xf numFmtId="49" fontId="6" fillId="7" borderId="1" xfId="0" applyNumberFormat="1" applyFont="1" applyFill="1" applyBorder="1" applyAlignment="1">
      <alignment horizontal="left" vertical="center" wrapText="1"/>
    </xf>
    <xf numFmtId="49" fontId="0" fillId="7" borderId="1" xfId="0" applyNumberFormat="1" applyFill="1" applyBorder="1" applyAlignment="1">
      <alignment horizontal="left" vertical="center" wrapText="1"/>
    </xf>
    <xf numFmtId="164" fontId="0" fillId="7" borderId="1" xfId="0" applyNumberFormat="1" applyFill="1" applyBorder="1" applyAlignment="1">
      <alignment horizontal="center"/>
    </xf>
    <xf numFmtId="49" fontId="6" fillId="7" borderId="3" xfId="0" applyNumberFormat="1" applyFont="1" applyFill="1" applyBorder="1" applyAlignment="1">
      <alignment horizontal="center" vertical="center" wrapText="1"/>
    </xf>
    <xf numFmtId="49" fontId="0" fillId="7" borderId="3" xfId="0" applyNumberFormat="1" applyFill="1" applyBorder="1" applyAlignment="1">
      <alignment horizontal="center" vertical="center" wrapText="1"/>
    </xf>
    <xf numFmtId="0" fontId="0" fillId="7" borderId="1" xfId="0" applyFill="1" applyBorder="1" applyAlignment="1">
      <alignment horizontal="center"/>
    </xf>
    <xf numFmtId="14" fontId="6" fillId="7" borderId="3" xfId="0" applyNumberFormat="1" applyFont="1" applyFill="1" applyBorder="1" applyAlignment="1">
      <alignment horizontal="center" vertical="center" wrapText="1"/>
    </xf>
    <xf numFmtId="164" fontId="0" fillId="0" borderId="0" xfId="0" applyNumberFormat="1" applyAlignment="1">
      <alignment horizontal="center"/>
    </xf>
    <xf numFmtId="1" fontId="13" fillId="15" borderId="0" xfId="0" applyNumberFormat="1" applyFont="1" applyFill="1" applyAlignment="1">
      <alignment horizontal="center" vertical="center"/>
    </xf>
    <xf numFmtId="1" fontId="13" fillId="15" borderId="1" xfId="0" applyNumberFormat="1" applyFont="1" applyFill="1" applyBorder="1" applyAlignment="1">
      <alignment horizontal="center" vertical="center"/>
    </xf>
    <xf numFmtId="1" fontId="9" fillId="15" borderId="13" xfId="0" applyNumberFormat="1" applyFont="1" applyFill="1" applyBorder="1" applyAlignment="1">
      <alignment horizontal="center" vertical="center"/>
    </xf>
    <xf numFmtId="1" fontId="13" fillId="14" borderId="1" xfId="0" applyNumberFormat="1" applyFont="1" applyFill="1" applyBorder="1" applyAlignment="1">
      <alignment horizontal="center" vertical="center"/>
    </xf>
    <xf numFmtId="1" fontId="9" fillId="14" borderId="13" xfId="0" applyNumberFormat="1" applyFont="1" applyFill="1" applyBorder="1" applyAlignment="1">
      <alignment horizontal="center" vertical="center"/>
    </xf>
    <xf numFmtId="1" fontId="13" fillId="14" borderId="15" xfId="0" applyNumberFormat="1" applyFont="1" applyFill="1" applyBorder="1" applyAlignment="1">
      <alignment horizontal="center" vertical="center" wrapText="1"/>
    </xf>
    <xf numFmtId="1" fontId="13" fillId="14" borderId="16" xfId="0" applyNumberFormat="1" applyFont="1" applyFill="1" applyBorder="1" applyAlignment="1">
      <alignment horizontal="center" vertical="center" wrapText="1"/>
    </xf>
    <xf numFmtId="0" fontId="13" fillId="14" borderId="1" xfId="0" applyFont="1" applyFill="1" applyBorder="1" applyAlignment="1">
      <alignment horizontal="center" vertical="center"/>
    </xf>
    <xf numFmtId="0" fontId="13" fillId="14" borderId="13" xfId="0" applyFont="1" applyFill="1" applyBorder="1" applyAlignment="1">
      <alignment horizontal="center" vertical="center"/>
    </xf>
    <xf numFmtId="1" fontId="13" fillId="14" borderId="13" xfId="0" applyNumberFormat="1" applyFont="1" applyFill="1" applyBorder="1" applyAlignment="1">
      <alignment horizontal="center" vertical="center"/>
    </xf>
    <xf numFmtId="1" fontId="13" fillId="15" borderId="13" xfId="0" applyNumberFormat="1" applyFont="1" applyFill="1" applyBorder="1" applyAlignment="1">
      <alignment horizontal="center" vertical="center"/>
    </xf>
    <xf numFmtId="0" fontId="13" fillId="15" borderId="1" xfId="0" applyFont="1" applyFill="1" applyBorder="1" applyAlignment="1">
      <alignment horizontal="center" vertical="center"/>
    </xf>
    <xf numFmtId="0" fontId="13" fillId="15" borderId="13" xfId="0" applyFont="1" applyFill="1" applyBorder="1" applyAlignment="1">
      <alignment horizontal="center" vertical="center"/>
    </xf>
    <xf numFmtId="0" fontId="13" fillId="14" borderId="15" xfId="0" applyFont="1" applyFill="1" applyBorder="1" applyAlignment="1">
      <alignment horizontal="center" vertical="center"/>
    </xf>
    <xf numFmtId="0" fontId="13" fillId="14" borderId="16" xfId="0" applyFont="1" applyFill="1" applyBorder="1" applyAlignment="1">
      <alignment horizontal="center" vertical="center"/>
    </xf>
    <xf numFmtId="0" fontId="9" fillId="15" borderId="18" xfId="0" applyFont="1" applyFill="1" applyBorder="1" applyAlignment="1">
      <alignment vertical="center" wrapText="1"/>
    </xf>
    <xf numFmtId="1" fontId="13" fillId="15" borderId="18" xfId="0" applyNumberFormat="1" applyFont="1" applyFill="1" applyBorder="1" applyAlignment="1">
      <alignment horizontal="center" vertical="center"/>
    </xf>
    <xf numFmtId="0" fontId="9" fillId="15" borderId="19" xfId="0" applyFont="1" applyFill="1" applyBorder="1" applyAlignment="1">
      <alignment vertical="center" wrapText="1"/>
    </xf>
    <xf numFmtId="1" fontId="13" fillId="15" borderId="20" xfId="0" applyNumberFormat="1" applyFont="1" applyFill="1" applyBorder="1" applyAlignment="1">
      <alignment horizontal="center" vertical="center"/>
    </xf>
    <xf numFmtId="1" fontId="13" fillId="15" borderId="21" xfId="0" applyNumberFormat="1" applyFont="1" applyFill="1" applyBorder="1" applyAlignment="1">
      <alignment horizontal="center" vertical="center"/>
    </xf>
    <xf numFmtId="10" fontId="9" fillId="14" borderId="1" xfId="0" applyNumberFormat="1" applyFont="1" applyFill="1" applyBorder="1" applyAlignment="1">
      <alignment horizontal="center" vertical="center" wrapText="1"/>
    </xf>
    <xf numFmtId="0" fontId="18" fillId="15" borderId="0" xfId="0" applyFont="1" applyFill="1"/>
    <xf numFmtId="0" fontId="18" fillId="0" borderId="0" xfId="0" applyFont="1"/>
    <xf numFmtId="0" fontId="13" fillId="15" borderId="0" xfId="0" applyFont="1" applyFill="1" applyAlignment="1">
      <alignment wrapText="1"/>
    </xf>
    <xf numFmtId="0" fontId="13" fillId="0" borderId="0" xfId="0" applyFont="1" applyAlignment="1">
      <alignment wrapText="1"/>
    </xf>
    <xf numFmtId="0" fontId="13" fillId="15" borderId="0" xfId="0" applyFont="1" applyFill="1" applyAlignment="1">
      <alignment vertical="center" wrapText="1"/>
    </xf>
    <xf numFmtId="0" fontId="18" fillId="15" borderId="0" xfId="0" applyFont="1" applyFill="1" applyAlignment="1">
      <alignment vertical="center"/>
    </xf>
    <xf numFmtId="0" fontId="18" fillId="14" borderId="1" xfId="0" applyFont="1" applyFill="1" applyBorder="1" applyAlignment="1">
      <alignment horizontal="center" vertical="center"/>
    </xf>
    <xf numFmtId="0" fontId="18" fillId="14" borderId="13" xfId="0" applyFont="1" applyFill="1" applyBorder="1" applyAlignment="1">
      <alignment horizontal="center" vertical="center"/>
    </xf>
    <xf numFmtId="0" fontId="18" fillId="15" borderId="1" xfId="0" applyFont="1" applyFill="1" applyBorder="1" applyAlignment="1">
      <alignment horizontal="center" vertical="center"/>
    </xf>
    <xf numFmtId="0" fontId="18" fillId="15" borderId="13" xfId="0" applyFont="1" applyFill="1" applyBorder="1" applyAlignment="1">
      <alignment horizontal="center" vertical="center"/>
    </xf>
    <xf numFmtId="0" fontId="18" fillId="15" borderId="0" xfId="0" applyFont="1" applyFill="1" applyAlignment="1">
      <alignment horizontal="center" vertical="center"/>
    </xf>
    <xf numFmtId="1" fontId="18" fillId="15" borderId="0" xfId="0" applyNumberFormat="1" applyFont="1" applyFill="1"/>
    <xf numFmtId="9" fontId="18" fillId="15" borderId="15" xfId="0" applyNumberFormat="1" applyFont="1" applyFill="1" applyBorder="1" applyAlignment="1">
      <alignment horizontal="center" vertical="center"/>
    </xf>
    <xf numFmtId="2" fontId="18" fillId="14" borderId="1" xfId="0" applyNumberFormat="1" applyFont="1" applyFill="1" applyBorder="1" applyAlignment="1">
      <alignment horizontal="center" vertical="center"/>
    </xf>
    <xf numFmtId="2" fontId="18" fillId="14" borderId="13" xfId="0" applyNumberFormat="1" applyFont="1" applyFill="1" applyBorder="1" applyAlignment="1">
      <alignment horizontal="center" vertical="center"/>
    </xf>
    <xf numFmtId="0" fontId="18" fillId="15" borderId="0" xfId="0" applyFont="1" applyFill="1" applyAlignment="1">
      <alignment horizontal="left" vertical="center" wrapText="1"/>
    </xf>
    <xf numFmtId="0" fontId="5" fillId="4" borderId="1" xfId="0" quotePrefix="1" applyFont="1" applyFill="1" applyBorder="1" applyAlignment="1">
      <alignment wrapText="1"/>
    </xf>
    <xf numFmtId="0" fontId="4" fillId="6" borderId="1" xfId="0" applyFont="1" applyFill="1" applyBorder="1" applyAlignment="1">
      <alignment horizontal="left" wrapText="1"/>
    </xf>
    <xf numFmtId="0" fontId="4" fillId="3" borderId="1" xfId="0" applyFont="1" applyFill="1" applyBorder="1" applyAlignment="1">
      <alignment horizontal="left" wrapText="1"/>
    </xf>
    <xf numFmtId="0" fontId="5" fillId="0" borderId="1" xfId="0" applyFont="1" applyBorder="1" applyAlignment="1">
      <alignment horizontal="left"/>
    </xf>
    <xf numFmtId="10" fontId="4" fillId="0" borderId="1" xfId="0" applyNumberFormat="1" applyFont="1" applyBorder="1" applyAlignment="1">
      <alignment horizontal="left"/>
    </xf>
    <xf numFmtId="0" fontId="5" fillId="9" borderId="1" xfId="0" applyFont="1" applyFill="1" applyBorder="1" applyAlignment="1">
      <alignment horizontal="left" wrapText="1"/>
    </xf>
    <xf numFmtId="0" fontId="5" fillId="0" borderId="1" xfId="0" applyFont="1" applyBorder="1" applyAlignment="1">
      <alignment horizontal="left" wrapText="1"/>
    </xf>
    <xf numFmtId="0" fontId="4" fillId="2" borderId="1" xfId="0" applyFont="1" applyFill="1" applyBorder="1" applyAlignment="1">
      <alignment horizontal="left" wrapText="1"/>
    </xf>
    <xf numFmtId="0" fontId="4" fillId="11" borderId="1" xfId="0" applyFont="1" applyFill="1" applyBorder="1" applyAlignment="1">
      <alignment horizontal="left" wrapText="1"/>
    </xf>
    <xf numFmtId="0" fontId="4" fillId="11" borderId="1" xfId="0" applyFont="1" applyFill="1" applyBorder="1" applyAlignment="1">
      <alignment horizontal="left"/>
    </xf>
    <xf numFmtId="14" fontId="5" fillId="0" borderId="1" xfId="0" applyNumberFormat="1" applyFont="1" applyBorder="1"/>
    <xf numFmtId="0" fontId="17" fillId="7" borderId="1" xfId="0" applyFont="1" applyFill="1" applyBorder="1"/>
    <xf numFmtId="49" fontId="5" fillId="0" borderId="1" xfId="0" applyNumberFormat="1" applyFont="1" applyBorder="1" applyAlignment="1">
      <alignment horizontal="left"/>
    </xf>
    <xf numFmtId="164" fontId="5" fillId="4" borderId="1" xfId="0" applyNumberFormat="1" applyFont="1" applyFill="1" applyBorder="1" applyAlignment="1">
      <alignment wrapText="1"/>
    </xf>
    <xf numFmtId="0" fontId="4" fillId="8" borderId="1" xfId="0" applyFont="1" applyFill="1" applyBorder="1" applyAlignment="1">
      <alignment wrapText="1"/>
    </xf>
    <xf numFmtId="0" fontId="4" fillId="3" borderId="1" xfId="0" applyFont="1" applyFill="1" applyBorder="1" applyAlignment="1">
      <alignment wrapText="1"/>
    </xf>
    <xf numFmtId="1" fontId="5" fillId="7" borderId="1" xfId="0" applyNumberFormat="1" applyFont="1" applyFill="1" applyBorder="1" applyAlignment="1">
      <alignment wrapText="1"/>
    </xf>
    <xf numFmtId="14" fontId="8" fillId="9" borderId="1" xfId="0" applyNumberFormat="1" applyFont="1" applyFill="1" applyBorder="1" applyAlignment="1">
      <alignment wrapText="1"/>
    </xf>
    <xf numFmtId="0" fontId="4" fillId="13" borderId="1" xfId="0" applyFont="1" applyFill="1" applyBorder="1"/>
    <xf numFmtId="0" fontId="5" fillId="10" borderId="1" xfId="0" applyFont="1" applyFill="1" applyBorder="1"/>
    <xf numFmtId="10" fontId="4" fillId="0" borderId="1" xfId="0" applyNumberFormat="1" applyFont="1" applyBorder="1" applyAlignment="1">
      <alignment wrapText="1"/>
    </xf>
    <xf numFmtId="14" fontId="5" fillId="9" borderId="1" xfId="0" applyNumberFormat="1" applyFont="1" applyFill="1" applyBorder="1" applyAlignment="1">
      <alignment wrapText="1"/>
    </xf>
    <xf numFmtId="14" fontId="5" fillId="3" borderId="1" xfId="0" applyNumberFormat="1" applyFont="1" applyFill="1" applyBorder="1" applyAlignment="1">
      <alignment wrapText="1"/>
    </xf>
    <xf numFmtId="14" fontId="5" fillId="13" borderId="1" xfId="0" applyNumberFormat="1" applyFont="1" applyFill="1" applyBorder="1" applyAlignment="1">
      <alignment wrapText="1"/>
    </xf>
    <xf numFmtId="0" fontId="5" fillId="13" borderId="1" xfId="0" applyFont="1" applyFill="1" applyBorder="1" applyAlignment="1">
      <alignment wrapText="1"/>
    </xf>
    <xf numFmtId="14" fontId="5" fillId="12" borderId="1" xfId="0" applyNumberFormat="1" applyFont="1" applyFill="1" applyBorder="1" applyAlignment="1">
      <alignment wrapText="1"/>
    </xf>
    <xf numFmtId="0" fontId="5" fillId="12" borderId="1" xfId="0" applyFont="1" applyFill="1" applyBorder="1" applyAlignment="1">
      <alignment wrapText="1"/>
    </xf>
    <xf numFmtId="0" fontId="5" fillId="7" borderId="1" xfId="0" quotePrefix="1" applyFont="1" applyFill="1" applyBorder="1" applyAlignment="1">
      <alignment wrapText="1"/>
    </xf>
    <xf numFmtId="0" fontId="8" fillId="4" borderId="1" xfId="1" applyFont="1" applyFill="1" applyBorder="1" applyAlignment="1" applyProtection="1">
      <alignment wrapText="1"/>
    </xf>
    <xf numFmtId="0" fontId="8" fillId="4" borderId="1" xfId="0" applyFont="1" applyFill="1" applyBorder="1" applyAlignment="1">
      <alignment wrapText="1"/>
    </xf>
    <xf numFmtId="0" fontId="20" fillId="15" borderId="0" xfId="0" applyFont="1" applyFill="1" applyAlignment="1">
      <alignment horizontal="center" vertical="center" wrapText="1"/>
    </xf>
    <xf numFmtId="0" fontId="18" fillId="14" borderId="2" xfId="0" applyFont="1" applyFill="1" applyBorder="1" applyAlignment="1">
      <alignment horizontal="center" vertical="center"/>
    </xf>
    <xf numFmtId="0" fontId="18" fillId="15" borderId="2" xfId="0" applyFont="1" applyFill="1" applyBorder="1" applyAlignment="1">
      <alignment horizontal="center" vertical="center"/>
    </xf>
    <xf numFmtId="2" fontId="18" fillId="14" borderId="2" xfId="0" applyNumberFormat="1" applyFont="1" applyFill="1" applyBorder="1" applyAlignment="1">
      <alignment horizontal="center" vertical="center"/>
    </xf>
    <xf numFmtId="9" fontId="18" fillId="15" borderId="28" xfId="0" applyNumberFormat="1" applyFont="1" applyFill="1" applyBorder="1" applyAlignment="1">
      <alignment horizontal="center" vertical="center"/>
    </xf>
    <xf numFmtId="0" fontId="18" fillId="14" borderId="29" xfId="0" applyFont="1" applyFill="1" applyBorder="1" applyAlignment="1">
      <alignment horizontal="center" vertical="center"/>
    </xf>
    <xf numFmtId="2" fontId="18" fillId="14" borderId="22" xfId="0" applyNumberFormat="1" applyFont="1" applyFill="1" applyBorder="1" applyAlignment="1">
      <alignment horizontal="center" vertical="center"/>
    </xf>
    <xf numFmtId="9" fontId="18" fillId="15" borderId="30" xfId="0" applyNumberFormat="1" applyFont="1" applyFill="1" applyBorder="1" applyAlignment="1">
      <alignment horizontal="center" vertical="center"/>
    </xf>
    <xf numFmtId="0" fontId="18" fillId="14" borderId="23" xfId="0" applyFont="1" applyFill="1" applyBorder="1" applyAlignment="1">
      <alignment horizontal="center" vertical="center"/>
    </xf>
    <xf numFmtId="0" fontId="18" fillId="15" borderId="23" xfId="0" applyFont="1" applyFill="1" applyBorder="1" applyAlignment="1">
      <alignment horizontal="center" vertical="center"/>
    </xf>
    <xf numFmtId="0" fontId="18" fillId="15" borderId="22" xfId="0" applyFont="1" applyFill="1" applyBorder="1" applyAlignment="1">
      <alignment horizontal="center" vertical="center"/>
    </xf>
    <xf numFmtId="0" fontId="18" fillId="14" borderId="4" xfId="0" applyFont="1" applyFill="1" applyBorder="1" applyAlignment="1">
      <alignment horizontal="center" vertical="center"/>
    </xf>
    <xf numFmtId="0" fontId="18" fillId="15" borderId="4" xfId="0" applyFont="1" applyFill="1" applyBorder="1" applyAlignment="1">
      <alignment horizontal="center" vertical="center"/>
    </xf>
    <xf numFmtId="2" fontId="18" fillId="14" borderId="4" xfId="0" applyNumberFormat="1" applyFont="1" applyFill="1" applyBorder="1" applyAlignment="1">
      <alignment horizontal="center" vertical="center"/>
    </xf>
    <xf numFmtId="9" fontId="18" fillId="15" borderId="31" xfId="0" applyNumberFormat="1" applyFont="1" applyFill="1" applyBorder="1" applyAlignment="1">
      <alignment horizontal="center" vertical="center"/>
    </xf>
    <xf numFmtId="0" fontId="21" fillId="14" borderId="22" xfId="0" applyFont="1" applyFill="1" applyBorder="1" applyAlignment="1">
      <alignment horizontal="left" vertical="center" wrapText="1"/>
    </xf>
    <xf numFmtId="0" fontId="21" fillId="15" borderId="22" xfId="0" applyFont="1" applyFill="1" applyBorder="1" applyAlignment="1">
      <alignment horizontal="left" vertical="center" wrapText="1"/>
    </xf>
    <xf numFmtId="0" fontId="21" fillId="15" borderId="30" xfId="0" applyFont="1" applyFill="1" applyBorder="1" applyAlignment="1">
      <alignment horizontal="left" vertical="center" wrapText="1"/>
    </xf>
    <xf numFmtId="0" fontId="21" fillId="14" borderId="25" xfId="0" applyFont="1" applyFill="1" applyBorder="1" applyAlignment="1">
      <alignment horizontal="left" vertical="center" wrapText="1"/>
    </xf>
    <xf numFmtId="0" fontId="18" fillId="14" borderId="8" xfId="0" applyFont="1" applyFill="1" applyBorder="1" applyAlignment="1">
      <alignment horizontal="center" vertical="center"/>
    </xf>
    <xf numFmtId="0" fontId="18" fillId="14" borderId="5" xfId="0" applyFont="1" applyFill="1" applyBorder="1" applyAlignment="1">
      <alignment horizontal="center" vertical="center"/>
    </xf>
    <xf numFmtId="0" fontId="18" fillId="14" borderId="26" xfId="0" applyFont="1" applyFill="1" applyBorder="1" applyAlignment="1">
      <alignment horizontal="center" vertical="center"/>
    </xf>
    <xf numFmtId="0" fontId="19" fillId="16" borderId="6" xfId="0" applyFont="1" applyFill="1" applyBorder="1" applyAlignment="1">
      <alignment horizontal="center" vertical="center" wrapText="1"/>
    </xf>
    <xf numFmtId="0" fontId="19" fillId="16" borderId="27" xfId="0" applyFont="1" applyFill="1" applyBorder="1" applyAlignment="1">
      <alignment horizontal="center" vertical="center" wrapText="1"/>
    </xf>
    <xf numFmtId="0" fontId="19" fillId="16" borderId="32" xfId="0" applyFont="1" applyFill="1" applyBorder="1" applyAlignment="1">
      <alignment horizontal="center" vertical="center" wrapText="1"/>
    </xf>
    <xf numFmtId="0" fontId="19" fillId="16" borderId="24" xfId="0" applyFont="1" applyFill="1" applyBorder="1" applyAlignment="1">
      <alignment horizontal="center" vertical="center" wrapText="1"/>
    </xf>
    <xf numFmtId="0" fontId="18" fillId="14" borderId="34" xfId="0" applyFont="1" applyFill="1" applyBorder="1" applyAlignment="1">
      <alignment horizontal="center" vertical="center"/>
    </xf>
    <xf numFmtId="0" fontId="19" fillId="16" borderId="35" xfId="0" applyFont="1" applyFill="1" applyBorder="1" applyAlignment="1">
      <alignment horizontal="center" vertical="center" wrapText="1"/>
    </xf>
    <xf numFmtId="0" fontId="19" fillId="16" borderId="36" xfId="0" applyFont="1" applyFill="1" applyBorder="1" applyAlignment="1">
      <alignment horizontal="center" vertical="center" wrapText="1"/>
    </xf>
    <xf numFmtId="0" fontId="18" fillId="15" borderId="22" xfId="0" applyFont="1" applyFill="1" applyBorder="1" applyAlignment="1">
      <alignment horizontal="left" vertical="center" wrapText="1"/>
    </xf>
    <xf numFmtId="0" fontId="18" fillId="15" borderId="30" xfId="0" applyFont="1" applyFill="1" applyBorder="1" applyAlignment="1">
      <alignment horizontal="left" vertical="center" wrapText="1"/>
    </xf>
    <xf numFmtId="1" fontId="21" fillId="15" borderId="22" xfId="0" applyNumberFormat="1" applyFont="1" applyFill="1" applyBorder="1" applyAlignment="1">
      <alignment horizontal="left" vertical="center" wrapText="1"/>
    </xf>
    <xf numFmtId="2" fontId="18" fillId="14" borderId="33" xfId="0" applyNumberFormat="1" applyFont="1" applyFill="1" applyBorder="1" applyAlignment="1">
      <alignment horizontal="center" vertical="center"/>
    </xf>
    <xf numFmtId="0" fontId="5" fillId="7" borderId="0" xfId="0" applyFont="1" applyFill="1"/>
    <xf numFmtId="0" fontId="6" fillId="7" borderId="1" xfId="0" applyFont="1" applyFill="1" applyBorder="1" applyAlignment="1">
      <alignment horizontal="left" vertical="center"/>
    </xf>
    <xf numFmtId="0" fontId="6" fillId="7" borderId="1" xfId="0" applyFont="1" applyFill="1" applyBorder="1" applyAlignment="1">
      <alignment horizontal="center" vertical="center"/>
    </xf>
    <xf numFmtId="14" fontId="0" fillId="7" borderId="1" xfId="0" applyNumberFormat="1" applyFill="1" applyBorder="1" applyAlignment="1">
      <alignment horizontal="left" vertical="center"/>
    </xf>
    <xf numFmtId="14" fontId="0" fillId="7" borderId="1" xfId="0" applyNumberFormat="1" applyFill="1" applyBorder="1" applyAlignment="1">
      <alignment horizontal="center" vertical="center"/>
    </xf>
    <xf numFmtId="0" fontId="0" fillId="0" borderId="0" xfId="0" applyAlignment="1">
      <alignment vertical="center"/>
    </xf>
    <xf numFmtId="0" fontId="5" fillId="4" borderId="1" xfId="1" applyFont="1" applyFill="1" applyBorder="1" applyAlignment="1" applyProtection="1">
      <alignment wrapText="1"/>
    </xf>
    <xf numFmtId="0" fontId="6" fillId="7" borderId="1" xfId="0" applyFont="1" applyFill="1" applyBorder="1" applyAlignment="1">
      <alignment horizontal="left"/>
    </xf>
    <xf numFmtId="0" fontId="6" fillId="7" borderId="1" xfId="0" applyFont="1" applyFill="1" applyBorder="1" applyAlignment="1">
      <alignment horizontal="center"/>
    </xf>
    <xf numFmtId="0" fontId="5" fillId="7" borderId="1" xfId="1" applyFont="1" applyFill="1" applyBorder="1" applyAlignment="1" applyProtection="1">
      <alignment wrapText="1"/>
    </xf>
    <xf numFmtId="165" fontId="4" fillId="6" borderId="1" xfId="0" applyNumberFormat="1" applyFont="1" applyFill="1" applyBorder="1" applyAlignment="1">
      <alignment horizontal="left" wrapText="1"/>
    </xf>
    <xf numFmtId="165" fontId="5" fillId="7" borderId="1" xfId="0" applyNumberFormat="1" applyFont="1" applyFill="1" applyBorder="1" applyAlignment="1">
      <alignment horizontal="left" wrapText="1"/>
    </xf>
    <xf numFmtId="165" fontId="5" fillId="4" borderId="1" xfId="0" applyNumberFormat="1" applyFont="1" applyFill="1" applyBorder="1" applyAlignment="1">
      <alignment horizontal="left" wrapText="1"/>
    </xf>
    <xf numFmtId="165" fontId="5" fillId="0" borderId="1" xfId="0" applyNumberFormat="1" applyFont="1" applyBorder="1" applyAlignment="1">
      <alignment horizontal="left" wrapText="1"/>
    </xf>
    <xf numFmtId="166" fontId="4" fillId="8" borderId="1" xfId="0" applyNumberFormat="1" applyFont="1" applyFill="1" applyBorder="1" applyAlignment="1">
      <alignment horizontal="left" wrapText="1"/>
    </xf>
    <xf numFmtId="166" fontId="5" fillId="7" borderId="1" xfId="0" applyNumberFormat="1" applyFont="1" applyFill="1" applyBorder="1" applyAlignment="1">
      <alignment horizontal="left" wrapText="1"/>
    </xf>
    <xf numFmtId="166" fontId="5" fillId="0" borderId="1" xfId="0" applyNumberFormat="1" applyFont="1" applyBorder="1" applyAlignment="1">
      <alignment horizontal="left"/>
    </xf>
    <xf numFmtId="1" fontId="5" fillId="4" borderId="1" xfId="0" applyNumberFormat="1" applyFont="1" applyFill="1" applyBorder="1" applyAlignment="1">
      <alignment horizontal="left" wrapText="1"/>
    </xf>
    <xf numFmtId="49" fontId="5" fillId="17" borderId="1" xfId="0" applyNumberFormat="1" applyFont="1" applyFill="1" applyBorder="1" applyAlignment="1">
      <alignment horizontal="left" wrapText="1"/>
    </xf>
    <xf numFmtId="0" fontId="17" fillId="7" borderId="0" xfId="0" applyFont="1" applyFill="1"/>
    <xf numFmtId="0" fontId="22" fillId="7" borderId="0" xfId="0" applyFont="1" applyFill="1" applyAlignment="1">
      <alignment vertical="center"/>
    </xf>
    <xf numFmtId="49" fontId="6" fillId="7" borderId="1" xfId="0" applyNumberFormat="1" applyFont="1" applyFill="1" applyBorder="1" applyAlignment="1">
      <alignment horizontal="center" vertical="center"/>
    </xf>
    <xf numFmtId="49" fontId="6" fillId="7" borderId="1" xfId="0" applyNumberFormat="1" applyFont="1" applyFill="1" applyBorder="1" applyAlignment="1">
      <alignment horizontal="left" vertical="center"/>
    </xf>
    <xf numFmtId="0" fontId="23" fillId="7" borderId="0" xfId="0" applyFont="1" applyFill="1"/>
    <xf numFmtId="0" fontId="5" fillId="4" borderId="1" xfId="0" applyFont="1" applyFill="1" applyBorder="1" applyAlignment="1">
      <alignment horizontal="left" vertical="top" wrapText="1"/>
    </xf>
    <xf numFmtId="164" fontId="0" fillId="0" borderId="0" xfId="0" applyNumberFormat="1" applyAlignment="1">
      <alignment horizontal="left"/>
    </xf>
    <xf numFmtId="164" fontId="4" fillId="8" borderId="1" xfId="0" applyNumberFormat="1" applyFont="1" applyFill="1" applyBorder="1" applyAlignment="1">
      <alignment horizontal="left" wrapText="1"/>
    </xf>
    <xf numFmtId="14" fontId="6" fillId="7" borderId="3" xfId="0" applyNumberFormat="1" applyFont="1" applyFill="1" applyBorder="1" applyAlignment="1">
      <alignment horizontal="left" wrapText="1"/>
    </xf>
    <xf numFmtId="14" fontId="0" fillId="7" borderId="3" xfId="0" applyNumberFormat="1" applyFill="1" applyBorder="1" applyAlignment="1">
      <alignment horizontal="left" wrapText="1"/>
    </xf>
    <xf numFmtId="0" fontId="6" fillId="7" borderId="1" xfId="0" applyFont="1" applyFill="1" applyBorder="1"/>
    <xf numFmtId="0" fontId="5" fillId="7" borderId="0" xfId="0" applyFont="1" applyFill="1" applyAlignment="1">
      <alignment vertical="center"/>
    </xf>
    <xf numFmtId="0" fontId="0" fillId="7" borderId="1" xfId="0" applyFill="1" applyBorder="1" applyAlignment="1">
      <alignment horizontal="left" wrapText="1"/>
    </xf>
    <xf numFmtId="0" fontId="0" fillId="7" borderId="1" xfId="0" applyFill="1" applyBorder="1" applyAlignment="1">
      <alignment wrapText="1"/>
    </xf>
    <xf numFmtId="164" fontId="6" fillId="7" borderId="1" xfId="0" applyNumberFormat="1" applyFont="1" applyFill="1" applyBorder="1" applyAlignment="1">
      <alignment horizontal="center"/>
    </xf>
    <xf numFmtId="10" fontId="14" fillId="15" borderId="0" xfId="0" applyNumberFormat="1" applyFont="1" applyFill="1" applyAlignment="1">
      <alignment horizontal="center" vertical="center" wrapText="1"/>
    </xf>
    <xf numFmtId="1" fontId="4" fillId="13" borderId="1" xfId="0" applyNumberFormat="1" applyFont="1" applyFill="1" applyBorder="1" applyAlignment="1">
      <alignment horizontal="left" wrapText="1"/>
    </xf>
    <xf numFmtId="1" fontId="4" fillId="0" borderId="1" xfId="0" applyNumberFormat="1" applyFont="1" applyBorder="1" applyAlignment="1">
      <alignment horizontal="left" wrapText="1"/>
    </xf>
    <xf numFmtId="1" fontId="4" fillId="4" borderId="1" xfId="0" applyNumberFormat="1" applyFont="1" applyFill="1" applyBorder="1" applyAlignment="1">
      <alignment horizontal="left" wrapText="1"/>
    </xf>
    <xf numFmtId="164" fontId="4" fillId="6" borderId="1" xfId="0" applyNumberFormat="1" applyFont="1" applyFill="1" applyBorder="1" applyAlignment="1">
      <alignment wrapText="1"/>
    </xf>
    <xf numFmtId="164" fontId="5" fillId="0" borderId="1" xfId="0" applyNumberFormat="1" applyFont="1" applyBorder="1" applyAlignment="1">
      <alignment wrapText="1"/>
    </xf>
    <xf numFmtId="0" fontId="14" fillId="16" borderId="38" xfId="0" applyFont="1" applyFill="1" applyBorder="1" applyAlignment="1">
      <alignment horizontal="center" vertical="center" wrapText="1"/>
    </xf>
    <xf numFmtId="10" fontId="9" fillId="14" borderId="2" xfId="0" applyNumberFormat="1" applyFont="1" applyFill="1" applyBorder="1" applyAlignment="1">
      <alignment horizontal="center" vertical="center" wrapText="1"/>
    </xf>
    <xf numFmtId="0" fontId="3" fillId="12" borderId="1" xfId="0" applyFont="1" applyFill="1" applyBorder="1" applyAlignment="1">
      <alignment horizontal="left" vertical="center"/>
    </xf>
    <xf numFmtId="10" fontId="3" fillId="12" borderId="1" xfId="0" applyNumberFormat="1" applyFont="1" applyFill="1" applyBorder="1" applyAlignment="1">
      <alignment horizontal="left" vertical="center"/>
    </xf>
    <xf numFmtId="0" fontId="4" fillId="3" borderId="1" xfId="0" applyFont="1" applyFill="1" applyBorder="1" applyAlignment="1">
      <alignment wrapText="1"/>
    </xf>
    <xf numFmtId="0" fontId="5" fillId="0" borderId="1" xfId="0" applyFont="1" applyBorder="1" applyAlignment="1">
      <alignment wrapText="1"/>
    </xf>
    <xf numFmtId="0" fontId="5" fillId="3" borderId="1" xfId="0" applyFont="1" applyFill="1" applyBorder="1" applyAlignment="1">
      <alignment wrapText="1"/>
    </xf>
    <xf numFmtId="0" fontId="4" fillId="11" borderId="1" xfId="0" applyFont="1" applyFill="1" applyBorder="1" applyAlignment="1">
      <alignment wrapText="1"/>
    </xf>
    <xf numFmtId="0" fontId="4" fillId="2" borderId="1" xfId="0" applyFont="1" applyFill="1" applyBorder="1" applyAlignment="1">
      <alignment wrapText="1"/>
    </xf>
    <xf numFmtId="0" fontId="5" fillId="2" borderId="1" xfId="0" applyFont="1" applyFill="1" applyBorder="1" applyAlignment="1">
      <alignment wrapText="1"/>
    </xf>
    <xf numFmtId="0" fontId="4" fillId="11" borderId="1" xfId="0" applyFont="1" applyFill="1" applyBorder="1"/>
    <xf numFmtId="0" fontId="4" fillId="3" borderId="1" xfId="0" applyFont="1" applyFill="1" applyBorder="1" applyAlignment="1">
      <alignment horizontal="left" wrapText="1"/>
    </xf>
    <xf numFmtId="0" fontId="5" fillId="0" borderId="1" xfId="0" applyFont="1" applyBorder="1" applyAlignment="1">
      <alignment horizontal="left" wrapText="1"/>
    </xf>
    <xf numFmtId="0" fontId="20" fillId="15" borderId="17" xfId="0" applyFont="1" applyFill="1" applyBorder="1" applyAlignment="1">
      <alignment horizontal="center" vertical="center" wrapText="1"/>
    </xf>
    <xf numFmtId="0" fontId="11" fillId="15" borderId="0" xfId="0" applyFont="1" applyFill="1" applyAlignment="1">
      <alignment horizontal="left" vertical="center"/>
    </xf>
    <xf numFmtId="0" fontId="13" fillId="15" borderId="2" xfId="1" applyFont="1" applyFill="1" applyBorder="1" applyAlignment="1" applyProtection="1">
      <alignment horizontal="center" vertical="center" wrapText="1"/>
    </xf>
    <xf numFmtId="0" fontId="13" fillId="15" borderId="7" xfId="1" applyFont="1" applyFill="1" applyBorder="1" applyAlignment="1" applyProtection="1">
      <alignment horizontal="center" vertical="center" wrapText="1"/>
    </xf>
    <xf numFmtId="0" fontId="13" fillId="15" borderId="4" xfId="1" applyFont="1" applyFill="1" applyBorder="1" applyAlignment="1" applyProtection="1">
      <alignment horizontal="center" vertical="center" wrapText="1"/>
    </xf>
    <xf numFmtId="15" fontId="13" fillId="15" borderId="1" xfId="1" applyNumberFormat="1" applyFont="1" applyFill="1" applyBorder="1" applyAlignment="1" applyProtection="1">
      <alignment horizontal="center" vertical="center" wrapText="1"/>
    </xf>
    <xf numFmtId="0" fontId="13" fillId="15" borderId="1" xfId="1" applyFont="1" applyFill="1" applyBorder="1" applyAlignment="1" applyProtection="1">
      <alignment horizontal="center" vertical="center" wrapText="1"/>
    </xf>
    <xf numFmtId="0" fontId="11" fillId="15" borderId="0" xfId="0" applyFont="1" applyFill="1" applyAlignment="1">
      <alignment horizontal="left" vertical="center" wrapText="1"/>
    </xf>
    <xf numFmtId="49" fontId="13" fillId="15" borderId="2" xfId="0" applyNumberFormat="1" applyFont="1" applyFill="1" applyBorder="1" applyAlignment="1" applyProtection="1">
      <alignment horizontal="center" vertical="center" wrapText="1"/>
      <protection locked="0"/>
    </xf>
    <xf numFmtId="49" fontId="13" fillId="15" borderId="7" xfId="0" applyNumberFormat="1" applyFont="1" applyFill="1" applyBorder="1" applyAlignment="1" applyProtection="1">
      <alignment horizontal="center" vertical="center" wrapText="1"/>
      <protection locked="0"/>
    </xf>
    <xf numFmtId="49" fontId="13" fillId="15" borderId="37" xfId="0" applyNumberFormat="1" applyFont="1" applyFill="1" applyBorder="1" applyAlignment="1" applyProtection="1">
      <alignment horizontal="center" vertical="center" wrapText="1"/>
      <protection locked="0"/>
    </xf>
    <xf numFmtId="0" fontId="16" fillId="15" borderId="17" xfId="0" applyFont="1" applyFill="1" applyBorder="1" applyAlignment="1">
      <alignment horizontal="center" vertical="center" wrapText="1"/>
    </xf>
  </cellXfs>
  <cellStyles count="3">
    <cellStyle name="Hyperlink" xfId="1" builtinId="8"/>
    <cellStyle name="Normal" xfId="0" builtinId="0"/>
    <cellStyle name="Normal 2" xfId="2" xr:uid="{00000000-0005-0000-0000-000002000000}"/>
  </cellStyles>
  <dxfs count="14">
    <dxf>
      <fill>
        <patternFill>
          <bgColor rgb="FF00FF00"/>
        </patternFill>
      </fill>
    </dxf>
    <dxf>
      <fill>
        <patternFill>
          <bgColor rgb="FFFF0000"/>
        </patternFill>
      </fill>
    </dxf>
    <dxf>
      <fill>
        <patternFill>
          <bgColor theme="0" tint="-0.24994659260841701"/>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0" tint="-0.24994659260841701"/>
        </patternFill>
      </fill>
    </dxf>
  </dxfs>
  <tableStyles count="0" defaultTableStyle="TableStyleMedium2" defaultPivotStyle="PivotStyleLight16"/>
  <colors>
    <mruColors>
      <color rgb="FFCCFFFF"/>
      <color rgb="FFCEEFEF"/>
      <color rgb="FFCCECFF"/>
      <color rgb="FF66FFFF"/>
      <color rgb="FFA8E8FA"/>
      <color rgb="FFB1EBF1"/>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3</xdr:col>
      <xdr:colOff>0</xdr:colOff>
      <xdr:row>150</xdr:row>
      <xdr:rowOff>217714</xdr:rowOff>
    </xdr:from>
    <xdr:ext cx="184731" cy="264560"/>
    <xdr:sp macro="" textlink="">
      <xdr:nvSpPr>
        <xdr:cNvPr id="2" name="TextBox 1">
          <a:extLst>
            <a:ext uri="{FF2B5EF4-FFF2-40B4-BE49-F238E27FC236}">
              <a16:creationId xmlns:a16="http://schemas.microsoft.com/office/drawing/2014/main" id="{D7F74159-BE10-94FF-3AE0-DFBC355B9AFB}"/>
            </a:ext>
          </a:extLst>
        </xdr:cNvPr>
        <xdr:cNvSpPr txBox="1"/>
      </xdr:nvSpPr>
      <xdr:spPr>
        <a:xfrm>
          <a:off x="7375071" y="58909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B6683"/>
  <sheetViews>
    <sheetView tabSelected="1" zoomScale="70" zoomScaleNormal="70" zoomScaleSheetLayoutView="75" workbookViewId="0">
      <pane ySplit="1" topLeftCell="A2" activePane="bottomLeft" state="frozen"/>
      <selection pane="bottomLeft" activeCell="Z2" sqref="Z2:AK31"/>
    </sheetView>
  </sheetViews>
  <sheetFormatPr defaultColWidth="8.81640625" defaultRowHeight="31.4" customHeight="1" x14ac:dyDescent="0.35"/>
  <cols>
    <col min="1" max="1" width="16" style="212" bestFit="1" customWidth="1"/>
    <col min="2" max="3" width="24.1796875" style="9" customWidth="1"/>
    <col min="4" max="4" width="38.453125" style="9" customWidth="1"/>
    <col min="5" max="5" width="15.54296875" style="238" customWidth="1"/>
    <col min="6" max="7" width="13.54296875" style="9" customWidth="1"/>
    <col min="8" max="8" width="14.453125" style="19" customWidth="1"/>
    <col min="9" max="9" width="11.54296875" style="142" customWidth="1"/>
    <col min="10" max="10" width="11.54296875" style="235" customWidth="1"/>
    <col min="11" max="11" width="43.453125" style="9" customWidth="1"/>
    <col min="12" max="12" width="23.1796875" style="9" hidden="1" customWidth="1"/>
    <col min="13" max="14" width="22.453125" style="19" customWidth="1"/>
    <col min="15" max="15" width="22" style="8" customWidth="1"/>
    <col min="16" max="17" width="6.1796875" style="6" hidden="1" customWidth="1"/>
    <col min="18" max="18" width="17.453125" style="9" customWidth="1"/>
    <col min="19" max="19" width="12.1796875" style="9" hidden="1" customWidth="1"/>
    <col min="20" max="20" width="15.81640625" style="9" customWidth="1"/>
    <col min="21" max="21" width="15.81640625" style="18" hidden="1" customWidth="1"/>
    <col min="22" max="22" width="15.81640625" style="18" customWidth="1"/>
    <col min="23" max="23" width="62" style="18" customWidth="1"/>
    <col min="24" max="24" width="18.81640625" style="18" hidden="1" customWidth="1"/>
    <col min="25" max="25" width="18.453125" style="7" customWidth="1"/>
    <col min="26" max="26" width="28" style="7" customWidth="1"/>
    <col min="27" max="29" width="12.54296875" style="7" customWidth="1"/>
    <col min="30" max="30" width="13" style="7" customWidth="1"/>
    <col min="31" max="33" width="12.54296875" style="7" customWidth="1"/>
    <col min="34" max="34" width="13.453125" style="7" customWidth="1"/>
    <col min="35" max="35" width="12.453125" style="7" customWidth="1"/>
    <col min="36" max="53" width="8.81640625" style="7"/>
    <col min="54" max="54" width="9.81640625" style="7" bestFit="1" customWidth="1"/>
    <col min="55" max="16384" width="8.81640625" style="7"/>
  </cols>
  <sheetData>
    <row r="1" spans="1:54" ht="45" customHeight="1" x14ac:dyDescent="0.35">
      <c r="A1" s="209" t="s">
        <v>17</v>
      </c>
      <c r="B1" s="13" t="s">
        <v>18</v>
      </c>
      <c r="C1" s="13" t="s">
        <v>2</v>
      </c>
      <c r="D1" s="13" t="s">
        <v>19</v>
      </c>
      <c r="E1" s="237" t="s">
        <v>20</v>
      </c>
      <c r="F1" s="13" t="s">
        <v>21</v>
      </c>
      <c r="G1" s="13" t="s">
        <v>22</v>
      </c>
      <c r="H1" s="14" t="s">
        <v>23</v>
      </c>
      <c r="I1" s="137" t="s">
        <v>24</v>
      </c>
      <c r="J1" s="234" t="s">
        <v>25</v>
      </c>
      <c r="K1" s="13" t="s">
        <v>0</v>
      </c>
      <c r="L1" s="13"/>
      <c r="M1" s="14" t="s">
        <v>26</v>
      </c>
      <c r="N1" s="14" t="s">
        <v>27</v>
      </c>
      <c r="O1" s="150" t="s">
        <v>28</v>
      </c>
      <c r="P1" s="151" t="s">
        <v>29</v>
      </c>
      <c r="Q1" s="151"/>
      <c r="R1" s="13" t="s">
        <v>30</v>
      </c>
      <c r="S1" s="151" t="s">
        <v>31</v>
      </c>
      <c r="T1" s="13" t="s">
        <v>32</v>
      </c>
      <c r="U1" s="151" t="s">
        <v>33</v>
      </c>
      <c r="V1" s="13" t="s">
        <v>34</v>
      </c>
      <c r="W1" s="13" t="s">
        <v>35</v>
      </c>
      <c r="X1" s="151" t="s">
        <v>36</v>
      </c>
      <c r="BB1" s="7" t="s">
        <v>37</v>
      </c>
    </row>
    <row r="2" spans="1:54" ht="31.4" customHeight="1" x14ac:dyDescent="0.35">
      <c r="A2" s="210">
        <v>1</v>
      </c>
      <c r="B2" s="5" t="s">
        <v>6</v>
      </c>
      <c r="C2" s="5" t="s">
        <v>6</v>
      </c>
      <c r="D2" s="5" t="s">
        <v>38</v>
      </c>
      <c r="E2" s="149">
        <v>45748</v>
      </c>
      <c r="F2" s="149">
        <f t="shared" ref="F2:F33" si="0">IF($E2="","",WORKDAY($E2,1,$Z$33:$Z$47))</f>
        <v>45749</v>
      </c>
      <c r="G2" s="149">
        <f t="shared" ref="G2:G33" si="1">IF($E2="","",WORKDAY($E2,10,$Z$33:$Z$47))</f>
        <v>45762</v>
      </c>
      <c r="H2" s="149">
        <v>45778</v>
      </c>
      <c r="I2" s="69" t="s">
        <v>158</v>
      </c>
      <c r="J2" s="216" t="str">
        <f t="shared" ref="J2:J65" ca="1" si="2">IF($E2="","",IF($M2="",$H2-TODAY(),""))</f>
        <v/>
      </c>
      <c r="K2" s="22" t="s">
        <v>4</v>
      </c>
      <c r="L2" s="22" t="s">
        <v>4</v>
      </c>
      <c r="M2" s="17">
        <v>45770</v>
      </c>
      <c r="N2" s="152">
        <f t="shared" ref="N2:N65" si="3">IF($M2="","",NETWORKDAYS($E2,$M2,$Z$33:$Z$47)-1)</f>
        <v>14</v>
      </c>
      <c r="O2" s="12" t="str">
        <f>IF(ISBLANK($M2),"",IF($N2&lt;21,"Yes","No"))</f>
        <v>Yes</v>
      </c>
      <c r="P2" s="153"/>
      <c r="Q2" s="153"/>
      <c r="R2" s="11" t="s">
        <v>39</v>
      </c>
      <c r="S2" s="154" t="s">
        <v>39</v>
      </c>
      <c r="T2" s="5" t="s">
        <v>40</v>
      </c>
      <c r="U2" s="155" t="s">
        <v>40</v>
      </c>
      <c r="V2" s="5"/>
      <c r="W2" s="5"/>
      <c r="X2" s="6" t="s">
        <v>41</v>
      </c>
      <c r="Z2" s="16"/>
      <c r="AA2" s="16"/>
      <c r="AB2" s="156"/>
      <c r="BB2" s="7" t="str" cm="1">
        <f t="array" ref="BB2:BB1787">_xlfn.IFS($I$2:$I$1787="Apr","Quarter 1", $I$2:$I$1787="May","Quarter 1", $I$2:$I$1787="Jun","Quarter 1", $I$2:$I$1787="Jul","Quarter 2", $I$2:$I$1787="Aug","Quarter 2", $I$2:$I$1787="Sep","Quarter 2",$I$2:$I$1787="Oct","Quarter 3", $I$2:$I$1787="Nov","Quarter 3", $I$2:$I$1787="Dec","Quarter 3", $I$2:$I$1787="Jan","Quarter 4", $I$2:$I$1787="Feb","Quarter 4", $I$2:$I$1787="Mar","Quarter 4")</f>
        <v>Quarter 1</v>
      </c>
    </row>
    <row r="3" spans="1:54" ht="31.4" customHeight="1" x14ac:dyDescent="0.35">
      <c r="A3" s="210">
        <v>2</v>
      </c>
      <c r="B3" s="5" t="s">
        <v>6</v>
      </c>
      <c r="C3" s="5" t="s">
        <v>6</v>
      </c>
      <c r="D3" s="5" t="s">
        <v>42</v>
      </c>
      <c r="E3" s="149">
        <v>45748</v>
      </c>
      <c r="F3" s="149">
        <f t="shared" si="0"/>
        <v>45749</v>
      </c>
      <c r="G3" s="149">
        <f t="shared" si="1"/>
        <v>45762</v>
      </c>
      <c r="H3" s="149">
        <f t="shared" ref="H3:H34" si="4">IF($E3="","",WORKDAY($E3,20,$Z$33:$Z$47))</f>
        <v>45778</v>
      </c>
      <c r="I3" s="69" t="str">
        <f>IF(ISBLANK($E3),"",TEXT($E3,"mmm"))</f>
        <v>Apr</v>
      </c>
      <c r="J3" s="216" t="str">
        <f t="shared" ca="1" si="2"/>
        <v/>
      </c>
      <c r="K3" s="22" t="s">
        <v>4</v>
      </c>
      <c r="L3" s="22" t="s">
        <v>43</v>
      </c>
      <c r="M3" s="17">
        <v>45769</v>
      </c>
      <c r="N3" s="152">
        <f t="shared" si="3"/>
        <v>13</v>
      </c>
      <c r="O3" s="12" t="str">
        <f t="shared" ref="O3:O66" si="5">IF(ISBLANK($M3),"",IF($N3&lt;21,"Yes","No"))</f>
        <v>Yes</v>
      </c>
      <c r="P3" s="157"/>
      <c r="Q3" s="157"/>
      <c r="R3" s="11" t="s">
        <v>39</v>
      </c>
      <c r="S3" s="154" t="s">
        <v>44</v>
      </c>
      <c r="T3" s="5" t="s">
        <v>40</v>
      </c>
      <c r="U3" s="155" t="s">
        <v>45</v>
      </c>
      <c r="V3" s="5"/>
      <c r="W3" s="5" t="s">
        <v>46</v>
      </c>
      <c r="X3" s="6" t="s">
        <v>47</v>
      </c>
      <c r="Z3" s="16"/>
      <c r="AA3" s="16"/>
      <c r="BB3" s="7" t="str">
        <v>Quarter 1</v>
      </c>
    </row>
    <row r="4" spans="1:54" ht="31.4" customHeight="1" x14ac:dyDescent="0.35">
      <c r="A4" s="210">
        <v>3</v>
      </c>
      <c r="B4" s="5" t="s">
        <v>48</v>
      </c>
      <c r="C4" s="5" t="s">
        <v>9</v>
      </c>
      <c r="D4" s="5" t="s">
        <v>49</v>
      </c>
      <c r="E4" s="149">
        <v>45748</v>
      </c>
      <c r="F4" s="149">
        <f t="shared" si="0"/>
        <v>45749</v>
      </c>
      <c r="G4" s="149">
        <f t="shared" si="1"/>
        <v>45762</v>
      </c>
      <c r="H4" s="149">
        <f t="shared" si="4"/>
        <v>45778</v>
      </c>
      <c r="I4" s="69" t="str">
        <f>IF(ISBLANK($E4),"",TEXT($E4,"mmm"))</f>
        <v>Apr</v>
      </c>
      <c r="J4" s="216" t="str">
        <f t="shared" ca="1" si="2"/>
        <v/>
      </c>
      <c r="K4" s="22" t="s">
        <v>4</v>
      </c>
      <c r="L4" s="22" t="s">
        <v>7</v>
      </c>
      <c r="M4" s="17">
        <v>45748</v>
      </c>
      <c r="N4" s="152">
        <f t="shared" si="3"/>
        <v>0</v>
      </c>
      <c r="O4" s="12" t="str">
        <f t="shared" si="5"/>
        <v>Yes</v>
      </c>
      <c r="P4" s="157"/>
      <c r="Q4" s="157"/>
      <c r="R4" s="11" t="s">
        <v>39</v>
      </c>
      <c r="S4" s="154" t="s">
        <v>50</v>
      </c>
      <c r="T4" s="5" t="s">
        <v>51</v>
      </c>
      <c r="U4" s="155" t="s">
        <v>52</v>
      </c>
      <c r="V4" s="5" t="s">
        <v>53</v>
      </c>
      <c r="W4" s="8"/>
      <c r="X4" s="6" t="s">
        <v>54</v>
      </c>
      <c r="Z4" s="16"/>
      <c r="AA4" s="16"/>
      <c r="AB4" s="16"/>
      <c r="BB4" s="7" t="str">
        <v>Quarter 1</v>
      </c>
    </row>
    <row r="5" spans="1:54" ht="31.4" customHeight="1" x14ac:dyDescent="0.35">
      <c r="A5" s="210">
        <v>4</v>
      </c>
      <c r="B5" s="5" t="s">
        <v>55</v>
      </c>
      <c r="C5" s="5" t="s">
        <v>13</v>
      </c>
      <c r="D5" s="5" t="s">
        <v>56</v>
      </c>
      <c r="E5" s="149">
        <v>45748</v>
      </c>
      <c r="F5" s="149">
        <f t="shared" si="0"/>
        <v>45749</v>
      </c>
      <c r="G5" s="149">
        <f t="shared" si="1"/>
        <v>45762</v>
      </c>
      <c r="H5" s="149">
        <f t="shared" si="4"/>
        <v>45778</v>
      </c>
      <c r="I5" s="69" t="str">
        <f t="shared" ref="I5:I67" si="6">IF(ISBLANK($E5),"",TEXT($E5,"mmm"))</f>
        <v>Apr</v>
      </c>
      <c r="J5" s="216" t="str">
        <f t="shared" ca="1" si="2"/>
        <v/>
      </c>
      <c r="K5" s="22" t="s">
        <v>43</v>
      </c>
      <c r="L5" s="22" t="s">
        <v>3</v>
      </c>
      <c r="M5" s="17">
        <v>45749</v>
      </c>
      <c r="N5" s="152">
        <f t="shared" si="3"/>
        <v>1</v>
      </c>
      <c r="O5" s="12" t="str">
        <f t="shared" si="5"/>
        <v>Yes</v>
      </c>
      <c r="P5" s="157"/>
      <c r="Q5" s="157"/>
      <c r="R5" s="11" t="s">
        <v>39</v>
      </c>
      <c r="S5" s="154" t="s">
        <v>57</v>
      </c>
      <c r="T5" s="5" t="s">
        <v>40</v>
      </c>
      <c r="U5" s="155" t="s">
        <v>51</v>
      </c>
      <c r="V5" s="5"/>
      <c r="W5" s="5"/>
      <c r="X5" s="6" t="s">
        <v>58</v>
      </c>
      <c r="Z5" s="9"/>
      <c r="BB5" s="7" t="str">
        <v>Quarter 1</v>
      </c>
    </row>
    <row r="6" spans="1:54" ht="31.4" customHeight="1" x14ac:dyDescent="0.35">
      <c r="A6" s="210">
        <v>5</v>
      </c>
      <c r="B6" s="5" t="s">
        <v>55</v>
      </c>
      <c r="C6" s="5" t="s">
        <v>13</v>
      </c>
      <c r="D6" s="5" t="s">
        <v>59</v>
      </c>
      <c r="E6" s="149">
        <v>45749</v>
      </c>
      <c r="F6" s="149">
        <f t="shared" si="0"/>
        <v>45750</v>
      </c>
      <c r="G6" s="149">
        <f t="shared" si="1"/>
        <v>45763</v>
      </c>
      <c r="H6" s="149">
        <f t="shared" si="4"/>
        <v>45779</v>
      </c>
      <c r="I6" s="69" t="str">
        <f t="shared" si="6"/>
        <v>Apr</v>
      </c>
      <c r="J6" s="216" t="str">
        <f t="shared" ca="1" si="2"/>
        <v/>
      </c>
      <c r="K6" s="22" t="s">
        <v>7</v>
      </c>
      <c r="L6" s="22"/>
      <c r="M6" s="17">
        <v>45777</v>
      </c>
      <c r="N6" s="152">
        <f t="shared" si="3"/>
        <v>18</v>
      </c>
      <c r="O6" s="12" t="str">
        <f t="shared" si="5"/>
        <v>Yes</v>
      </c>
      <c r="P6" s="157"/>
      <c r="Q6" s="157"/>
      <c r="R6" s="11" t="s">
        <v>39</v>
      </c>
      <c r="S6" s="154" t="s">
        <v>52</v>
      </c>
      <c r="T6" s="5" t="s">
        <v>40</v>
      </c>
      <c r="U6" s="155" t="s">
        <v>57</v>
      </c>
      <c r="V6" s="5"/>
      <c r="W6" s="5" t="s">
        <v>46</v>
      </c>
      <c r="X6" s="6" t="s">
        <v>60</v>
      </c>
      <c r="BB6" s="7" t="str">
        <v>Quarter 1</v>
      </c>
    </row>
    <row r="7" spans="1:54" ht="31.4" customHeight="1" x14ac:dyDescent="0.35">
      <c r="A7" s="210">
        <v>6</v>
      </c>
      <c r="B7" s="5" t="s">
        <v>55</v>
      </c>
      <c r="C7" s="5" t="s">
        <v>13</v>
      </c>
      <c r="D7" s="5" t="s">
        <v>61</v>
      </c>
      <c r="E7" s="149">
        <v>45749</v>
      </c>
      <c r="F7" s="149">
        <f t="shared" si="0"/>
        <v>45750</v>
      </c>
      <c r="G7" s="149">
        <f t="shared" si="1"/>
        <v>45763</v>
      </c>
      <c r="H7" s="149">
        <f t="shared" si="4"/>
        <v>45779</v>
      </c>
      <c r="I7" s="69" t="str">
        <f t="shared" si="6"/>
        <v>Apr</v>
      </c>
      <c r="J7" s="216" t="str">
        <f t="shared" ca="1" si="2"/>
        <v/>
      </c>
      <c r="K7" s="22" t="s">
        <v>7</v>
      </c>
      <c r="L7" s="22"/>
      <c r="M7" s="17">
        <v>45769</v>
      </c>
      <c r="N7" s="152">
        <f t="shared" si="3"/>
        <v>12</v>
      </c>
      <c r="O7" s="12" t="str">
        <f t="shared" si="5"/>
        <v>Yes</v>
      </c>
      <c r="P7" s="157"/>
      <c r="Q7" s="157"/>
      <c r="R7" s="11" t="s">
        <v>39</v>
      </c>
      <c r="S7" s="158"/>
      <c r="T7" s="5" t="s">
        <v>40</v>
      </c>
      <c r="U7" s="10" t="s">
        <v>62</v>
      </c>
      <c r="V7" s="5"/>
      <c r="W7" s="5"/>
      <c r="X7" s="6" t="s">
        <v>63</v>
      </c>
      <c r="Z7" s="16"/>
      <c r="AA7" s="16"/>
      <c r="AB7" s="16"/>
      <c r="BB7" s="7" t="str">
        <v>Quarter 1</v>
      </c>
    </row>
    <row r="8" spans="1:54" ht="31.4" customHeight="1" x14ac:dyDescent="0.35">
      <c r="A8" s="210">
        <v>7</v>
      </c>
      <c r="B8" s="5" t="s">
        <v>6</v>
      </c>
      <c r="C8" s="5" t="s">
        <v>6</v>
      </c>
      <c r="D8" s="5" t="s">
        <v>64</v>
      </c>
      <c r="E8" s="149">
        <v>45749</v>
      </c>
      <c r="F8" s="149">
        <f t="shared" si="0"/>
        <v>45750</v>
      </c>
      <c r="G8" s="149">
        <f t="shared" si="1"/>
        <v>45763</v>
      </c>
      <c r="H8" s="149">
        <f t="shared" si="4"/>
        <v>45779</v>
      </c>
      <c r="I8" s="69" t="str">
        <f t="shared" si="6"/>
        <v>Apr</v>
      </c>
      <c r="J8" s="216" t="str">
        <f t="shared" ca="1" si="2"/>
        <v/>
      </c>
      <c r="K8" s="22" t="s">
        <v>43</v>
      </c>
      <c r="L8" s="22"/>
      <c r="M8" s="17">
        <v>45754</v>
      </c>
      <c r="N8" s="152">
        <f t="shared" si="3"/>
        <v>3</v>
      </c>
      <c r="O8" s="12" t="str">
        <f t="shared" si="5"/>
        <v>Yes</v>
      </c>
      <c r="P8" s="157"/>
      <c r="Q8" s="157"/>
      <c r="R8" s="11" t="s">
        <v>39</v>
      </c>
      <c r="S8" s="158"/>
      <c r="T8" s="5" t="s">
        <v>45</v>
      </c>
      <c r="U8" s="10"/>
      <c r="V8" s="5" t="s">
        <v>53</v>
      </c>
      <c r="W8" s="5"/>
      <c r="X8" s="6" t="s">
        <v>65</v>
      </c>
      <c r="Z8" s="16"/>
      <c r="AA8" s="16"/>
      <c r="AB8" s="16"/>
      <c r="AC8" s="16"/>
      <c r="BB8" s="7" t="str">
        <v>Quarter 1</v>
      </c>
    </row>
    <row r="9" spans="1:54" ht="31.4" customHeight="1" x14ac:dyDescent="0.35">
      <c r="A9" s="210">
        <v>8</v>
      </c>
      <c r="B9" s="5" t="s">
        <v>6</v>
      </c>
      <c r="C9" s="5" t="s">
        <v>6</v>
      </c>
      <c r="D9" s="5" t="s">
        <v>66</v>
      </c>
      <c r="E9" s="149">
        <v>45749</v>
      </c>
      <c r="F9" s="149">
        <f t="shared" si="0"/>
        <v>45750</v>
      </c>
      <c r="G9" s="149">
        <f t="shared" si="1"/>
        <v>45763</v>
      </c>
      <c r="H9" s="149">
        <f t="shared" si="4"/>
        <v>45779</v>
      </c>
      <c r="I9" s="69" t="str">
        <f t="shared" si="6"/>
        <v>Apr</v>
      </c>
      <c r="J9" s="216" t="str">
        <f t="shared" ca="1" si="2"/>
        <v/>
      </c>
      <c r="K9" s="149" t="s">
        <v>7</v>
      </c>
      <c r="L9" s="149"/>
      <c r="M9" s="11">
        <v>45763</v>
      </c>
      <c r="N9" s="152">
        <f t="shared" si="3"/>
        <v>10</v>
      </c>
      <c r="O9" s="12" t="str">
        <f t="shared" si="5"/>
        <v>Yes</v>
      </c>
      <c r="P9" s="157"/>
      <c r="Q9" s="157"/>
      <c r="R9" s="11" t="s">
        <v>39</v>
      </c>
      <c r="S9" s="158"/>
      <c r="T9" s="5" t="s">
        <v>40</v>
      </c>
      <c r="U9" s="10"/>
      <c r="V9" s="5"/>
      <c r="W9" s="5"/>
      <c r="X9" s="6" t="s">
        <v>67</v>
      </c>
      <c r="Z9" s="16"/>
      <c r="AA9" s="16"/>
      <c r="BB9" s="7" t="str">
        <v>Quarter 1</v>
      </c>
    </row>
    <row r="10" spans="1:54" ht="31.4" customHeight="1" x14ac:dyDescent="0.35">
      <c r="A10" s="210">
        <v>9</v>
      </c>
      <c r="B10" s="5" t="s">
        <v>68</v>
      </c>
      <c r="C10" s="5" t="s">
        <v>9</v>
      </c>
      <c r="D10" s="5" t="s">
        <v>69</v>
      </c>
      <c r="E10" s="149">
        <v>45749</v>
      </c>
      <c r="F10" s="149">
        <f t="shared" si="0"/>
        <v>45750</v>
      </c>
      <c r="G10" s="149">
        <f t="shared" si="1"/>
        <v>45763</v>
      </c>
      <c r="H10" s="149">
        <f t="shared" si="4"/>
        <v>45779</v>
      </c>
      <c r="I10" s="69" t="str">
        <f t="shared" si="6"/>
        <v>Apr</v>
      </c>
      <c r="J10" s="216" t="str">
        <f t="shared" ca="1" si="2"/>
        <v/>
      </c>
      <c r="K10" s="149" t="s">
        <v>4</v>
      </c>
      <c r="L10" s="149"/>
      <c r="M10" s="11">
        <v>45749</v>
      </c>
      <c r="N10" s="152">
        <f t="shared" si="3"/>
        <v>0</v>
      </c>
      <c r="O10" s="12" t="str">
        <f t="shared" si="5"/>
        <v>Yes</v>
      </c>
      <c r="P10" s="157"/>
      <c r="Q10" s="157"/>
      <c r="R10" s="11" t="s">
        <v>39</v>
      </c>
      <c r="S10" s="158"/>
      <c r="T10" s="5" t="s">
        <v>40</v>
      </c>
      <c r="U10" s="10"/>
      <c r="V10" s="5"/>
      <c r="W10" s="5"/>
      <c r="X10" s="6" t="s">
        <v>70</v>
      </c>
      <c r="Z10" s="16"/>
      <c r="AA10" s="16"/>
      <c r="AC10" s="16"/>
      <c r="BB10" s="7" t="str">
        <v>Quarter 1</v>
      </c>
    </row>
    <row r="11" spans="1:54" ht="31.4" customHeight="1" x14ac:dyDescent="0.35">
      <c r="A11" s="210">
        <v>10</v>
      </c>
      <c r="B11" s="5" t="s">
        <v>55</v>
      </c>
      <c r="C11" s="5" t="s">
        <v>13</v>
      </c>
      <c r="D11" s="5" t="s">
        <v>71</v>
      </c>
      <c r="E11" s="149">
        <v>45749</v>
      </c>
      <c r="F11" s="149">
        <f t="shared" si="0"/>
        <v>45750</v>
      </c>
      <c r="G11" s="149">
        <f t="shared" si="1"/>
        <v>45763</v>
      </c>
      <c r="H11" s="149">
        <f t="shared" si="4"/>
        <v>45779</v>
      </c>
      <c r="I11" s="69" t="str">
        <f t="shared" si="6"/>
        <v>Apr</v>
      </c>
      <c r="J11" s="216" t="str">
        <f t="shared" ca="1" si="2"/>
        <v/>
      </c>
      <c r="K11" s="149" t="s">
        <v>4</v>
      </c>
      <c r="L11" s="149"/>
      <c r="M11" s="11">
        <v>45749</v>
      </c>
      <c r="N11" s="152">
        <f t="shared" si="3"/>
        <v>0</v>
      </c>
      <c r="O11" s="12" t="str">
        <f t="shared" si="5"/>
        <v>Yes</v>
      </c>
      <c r="P11" s="157"/>
      <c r="Q11" s="157"/>
      <c r="R11" s="11" t="s">
        <v>39</v>
      </c>
      <c r="S11" s="158"/>
      <c r="T11" s="5" t="s">
        <v>40</v>
      </c>
      <c r="U11" s="10"/>
      <c r="V11" s="5"/>
      <c r="W11" s="5"/>
      <c r="X11" s="6" t="s">
        <v>72</v>
      </c>
      <c r="Z11" s="16"/>
      <c r="AA11" s="16"/>
      <c r="BB11" s="7" t="str">
        <v>Quarter 1</v>
      </c>
    </row>
    <row r="12" spans="1:54" ht="31.4" customHeight="1" x14ac:dyDescent="0.35">
      <c r="A12" s="210">
        <v>11</v>
      </c>
      <c r="B12" s="5" t="s">
        <v>6</v>
      </c>
      <c r="C12" s="5" t="s">
        <v>6</v>
      </c>
      <c r="D12" s="5" t="s">
        <v>64</v>
      </c>
      <c r="E12" s="149">
        <v>45750</v>
      </c>
      <c r="F12" s="149">
        <f t="shared" si="0"/>
        <v>45751</v>
      </c>
      <c r="G12" s="149">
        <f t="shared" si="1"/>
        <v>45764</v>
      </c>
      <c r="H12" s="149">
        <f t="shared" si="4"/>
        <v>45783</v>
      </c>
      <c r="I12" s="149" t="str">
        <f t="shared" si="6"/>
        <v>Apr</v>
      </c>
      <c r="J12" s="216" t="str">
        <f t="shared" ca="1" si="2"/>
        <v/>
      </c>
      <c r="K12" s="149" t="s">
        <v>43</v>
      </c>
      <c r="L12" s="149"/>
      <c r="M12" s="11">
        <v>45756</v>
      </c>
      <c r="N12" s="152">
        <f t="shared" si="3"/>
        <v>4</v>
      </c>
      <c r="O12" s="12" t="str">
        <f t="shared" si="5"/>
        <v>Yes</v>
      </c>
      <c r="P12" s="157"/>
      <c r="Q12" s="157"/>
      <c r="R12" s="11" t="s">
        <v>39</v>
      </c>
      <c r="S12" s="158"/>
      <c r="T12" s="5" t="s">
        <v>45</v>
      </c>
      <c r="U12" s="10"/>
      <c r="V12" s="5" t="s">
        <v>53</v>
      </c>
      <c r="W12" s="5"/>
      <c r="X12" s="6" t="s">
        <v>73</v>
      </c>
      <c r="BB12" s="7" t="str">
        <v>Quarter 1</v>
      </c>
    </row>
    <row r="13" spans="1:54" ht="31.4" customHeight="1" x14ac:dyDescent="0.35">
      <c r="A13" s="210">
        <v>12</v>
      </c>
      <c r="B13" s="5" t="s">
        <v>55</v>
      </c>
      <c r="C13" s="5" t="s">
        <v>6</v>
      </c>
      <c r="D13" s="5" t="s">
        <v>74</v>
      </c>
      <c r="E13" s="149">
        <v>45750</v>
      </c>
      <c r="F13" s="149">
        <f t="shared" si="0"/>
        <v>45751</v>
      </c>
      <c r="G13" s="149">
        <f t="shared" si="1"/>
        <v>45764</v>
      </c>
      <c r="H13" s="149">
        <f t="shared" si="4"/>
        <v>45783</v>
      </c>
      <c r="I13" s="149" t="str">
        <f t="shared" si="6"/>
        <v>Apr</v>
      </c>
      <c r="J13" s="216" t="str">
        <f t="shared" ca="1" si="2"/>
        <v/>
      </c>
      <c r="K13" s="149" t="s">
        <v>43</v>
      </c>
      <c r="L13" s="149"/>
      <c r="M13" s="11">
        <v>45754</v>
      </c>
      <c r="N13" s="152">
        <f t="shared" si="3"/>
        <v>2</v>
      </c>
      <c r="O13" s="12" t="str">
        <f t="shared" si="5"/>
        <v>Yes</v>
      </c>
      <c r="P13" s="157"/>
      <c r="Q13" s="157"/>
      <c r="R13" s="11" t="s">
        <v>39</v>
      </c>
      <c r="S13" s="158"/>
      <c r="T13" s="5" t="s">
        <v>40</v>
      </c>
      <c r="U13" s="10"/>
      <c r="V13" s="5"/>
      <c r="W13" s="5"/>
      <c r="X13" s="6" t="s">
        <v>75</v>
      </c>
      <c r="AB13" s="243"/>
      <c r="AC13" s="244"/>
      <c r="AD13" s="244"/>
      <c r="AE13" s="244"/>
      <c r="AF13" s="244"/>
      <c r="AG13" s="9"/>
      <c r="BB13" s="7" t="str">
        <v>Quarter 1</v>
      </c>
    </row>
    <row r="14" spans="1:54" ht="31.4" customHeight="1" x14ac:dyDescent="0.35">
      <c r="A14" s="210">
        <v>13</v>
      </c>
      <c r="B14" s="5" t="s">
        <v>6</v>
      </c>
      <c r="C14" s="5" t="s">
        <v>6</v>
      </c>
      <c r="D14" s="5" t="s">
        <v>76</v>
      </c>
      <c r="E14" s="149">
        <v>45750</v>
      </c>
      <c r="F14" s="149">
        <f t="shared" si="0"/>
        <v>45751</v>
      </c>
      <c r="G14" s="149">
        <f t="shared" si="1"/>
        <v>45764</v>
      </c>
      <c r="H14" s="149">
        <f t="shared" si="4"/>
        <v>45783</v>
      </c>
      <c r="I14" s="149" t="str">
        <f t="shared" si="6"/>
        <v>Apr</v>
      </c>
      <c r="J14" s="216" t="str">
        <f t="shared" ca="1" si="2"/>
        <v/>
      </c>
      <c r="K14" s="149" t="s">
        <v>3</v>
      </c>
      <c r="L14" s="149"/>
      <c r="M14" s="11">
        <v>45757</v>
      </c>
      <c r="N14" s="152">
        <f t="shared" si="3"/>
        <v>5</v>
      </c>
      <c r="O14" s="12" t="str">
        <f t="shared" si="5"/>
        <v>Yes</v>
      </c>
      <c r="P14" s="157"/>
      <c r="Q14" s="157"/>
      <c r="R14" s="11" t="s">
        <v>39</v>
      </c>
      <c r="S14" s="158"/>
      <c r="T14" s="5" t="s">
        <v>40</v>
      </c>
      <c r="U14" s="10"/>
      <c r="V14" s="5"/>
      <c r="W14" s="5"/>
      <c r="X14" s="6" t="s">
        <v>77</v>
      </c>
      <c r="AA14" s="247"/>
      <c r="AB14" s="243"/>
      <c r="AC14" s="243"/>
      <c r="AD14" s="243"/>
      <c r="AE14" s="243"/>
      <c r="AF14" s="243"/>
      <c r="AG14" s="246"/>
      <c r="AH14" s="249"/>
      <c r="BB14" s="7" t="str">
        <v>Quarter 1</v>
      </c>
    </row>
    <row r="15" spans="1:54" ht="31.4" customHeight="1" x14ac:dyDescent="0.35">
      <c r="A15" s="210">
        <v>14</v>
      </c>
      <c r="B15" s="5" t="s">
        <v>55</v>
      </c>
      <c r="C15" s="5" t="s">
        <v>13</v>
      </c>
      <c r="D15" s="5" t="s">
        <v>78</v>
      </c>
      <c r="E15" s="149">
        <v>45750</v>
      </c>
      <c r="F15" s="149">
        <f t="shared" si="0"/>
        <v>45751</v>
      </c>
      <c r="G15" s="149">
        <f t="shared" si="1"/>
        <v>45764</v>
      </c>
      <c r="H15" s="149">
        <f t="shared" si="4"/>
        <v>45783</v>
      </c>
      <c r="I15" s="149" t="str">
        <f t="shared" si="6"/>
        <v>Apr</v>
      </c>
      <c r="J15" s="216" t="str">
        <f t="shared" ca="1" si="2"/>
        <v/>
      </c>
      <c r="K15" s="149" t="s">
        <v>43</v>
      </c>
      <c r="L15" s="149"/>
      <c r="M15" s="11">
        <v>45754</v>
      </c>
      <c r="N15" s="152">
        <f t="shared" si="3"/>
        <v>2</v>
      </c>
      <c r="O15" s="12" t="str">
        <f t="shared" si="5"/>
        <v>Yes</v>
      </c>
      <c r="P15" s="157"/>
      <c r="Q15" s="157"/>
      <c r="R15" s="11" t="s">
        <v>39</v>
      </c>
      <c r="S15" s="158"/>
      <c r="T15" s="5" t="s">
        <v>40</v>
      </c>
      <c r="U15" s="10"/>
      <c r="V15" s="5"/>
      <c r="W15" s="5"/>
      <c r="X15" s="6" t="s">
        <v>53</v>
      </c>
      <c r="AA15" s="248"/>
      <c r="AB15" s="245"/>
      <c r="AC15" s="245"/>
      <c r="AD15" s="245"/>
      <c r="AE15" s="245"/>
      <c r="AF15" s="243"/>
      <c r="AG15" s="246"/>
      <c r="AH15" s="249"/>
      <c r="BB15" s="7" t="str">
        <v>Quarter 1</v>
      </c>
    </row>
    <row r="16" spans="1:54" ht="31.4" customHeight="1" x14ac:dyDescent="0.35">
      <c r="A16" s="210">
        <v>15</v>
      </c>
      <c r="B16" s="5" t="s">
        <v>68</v>
      </c>
      <c r="C16" s="5" t="s">
        <v>9</v>
      </c>
      <c r="D16" s="5" t="s">
        <v>79</v>
      </c>
      <c r="E16" s="149">
        <v>45751</v>
      </c>
      <c r="F16" s="149">
        <f t="shared" si="0"/>
        <v>45754</v>
      </c>
      <c r="G16" s="149">
        <f t="shared" si="1"/>
        <v>45769</v>
      </c>
      <c r="H16" s="149">
        <f t="shared" si="4"/>
        <v>45784</v>
      </c>
      <c r="I16" s="149" t="str">
        <f t="shared" si="6"/>
        <v>Apr</v>
      </c>
      <c r="J16" s="216" t="str">
        <f t="shared" ca="1" si="2"/>
        <v/>
      </c>
      <c r="K16" s="149" t="s">
        <v>4</v>
      </c>
      <c r="L16" s="149"/>
      <c r="M16" s="11">
        <v>45763</v>
      </c>
      <c r="N16" s="152">
        <f t="shared" si="3"/>
        <v>8</v>
      </c>
      <c r="O16" s="12" t="str">
        <f t="shared" si="5"/>
        <v>Yes</v>
      </c>
      <c r="P16" s="157"/>
      <c r="Q16" s="157"/>
      <c r="R16" s="11" t="s">
        <v>39</v>
      </c>
      <c r="S16" s="158"/>
      <c r="T16" s="5" t="s">
        <v>45</v>
      </c>
      <c r="U16" s="10"/>
      <c r="V16" s="5" t="s">
        <v>80</v>
      </c>
      <c r="W16" s="5" t="s">
        <v>81</v>
      </c>
      <c r="X16" s="6" t="s">
        <v>82</v>
      </c>
      <c r="Z16" s="16"/>
      <c r="AA16" s="16"/>
      <c r="AB16" s="16"/>
      <c r="AC16" s="16"/>
      <c r="AD16" s="16"/>
      <c r="AE16" s="16"/>
      <c r="AF16" s="16"/>
      <c r="AG16" s="16"/>
      <c r="AH16" s="16"/>
      <c r="BB16" s="7" t="str">
        <v>Quarter 1</v>
      </c>
    </row>
    <row r="17" spans="1:54" ht="31.4" customHeight="1" x14ac:dyDescent="0.35">
      <c r="A17" s="210">
        <v>16</v>
      </c>
      <c r="B17" s="5" t="s">
        <v>6</v>
      </c>
      <c r="C17" s="5" t="s">
        <v>6</v>
      </c>
      <c r="D17" s="5" t="s">
        <v>83</v>
      </c>
      <c r="E17" s="149">
        <v>45754</v>
      </c>
      <c r="F17" s="149">
        <f t="shared" si="0"/>
        <v>45755</v>
      </c>
      <c r="G17" s="149">
        <f t="shared" si="1"/>
        <v>45770</v>
      </c>
      <c r="H17" s="149">
        <f t="shared" si="4"/>
        <v>45785</v>
      </c>
      <c r="I17" s="149" t="str">
        <f t="shared" si="6"/>
        <v>Apr</v>
      </c>
      <c r="J17" s="216" t="str">
        <f t="shared" ca="1" si="2"/>
        <v/>
      </c>
      <c r="K17" s="149" t="s">
        <v>4</v>
      </c>
      <c r="L17" s="149"/>
      <c r="M17" s="11">
        <v>45756</v>
      </c>
      <c r="N17" s="152">
        <f t="shared" si="3"/>
        <v>2</v>
      </c>
      <c r="O17" s="12" t="str">
        <f t="shared" si="5"/>
        <v>Yes</v>
      </c>
      <c r="P17" s="157"/>
      <c r="Q17" s="157"/>
      <c r="R17" s="11" t="s">
        <v>39</v>
      </c>
      <c r="S17" s="158"/>
      <c r="T17" s="5" t="s">
        <v>45</v>
      </c>
      <c r="U17" s="10"/>
      <c r="V17" s="5" t="s">
        <v>54</v>
      </c>
      <c r="W17" s="5" t="s">
        <v>84</v>
      </c>
      <c r="X17" s="6" t="s">
        <v>85</v>
      </c>
      <c r="BB17" s="7" t="str">
        <v>Quarter 1</v>
      </c>
    </row>
    <row r="18" spans="1:54" ht="31.4" customHeight="1" x14ac:dyDescent="0.35">
      <c r="A18" s="210">
        <v>17</v>
      </c>
      <c r="B18" s="5" t="s">
        <v>55</v>
      </c>
      <c r="C18" s="5" t="s">
        <v>13</v>
      </c>
      <c r="D18" s="5" t="s">
        <v>86</v>
      </c>
      <c r="E18" s="149">
        <v>45754</v>
      </c>
      <c r="F18" s="149">
        <f t="shared" si="0"/>
        <v>45755</v>
      </c>
      <c r="G18" s="149">
        <f t="shared" si="1"/>
        <v>45770</v>
      </c>
      <c r="H18" s="149">
        <f t="shared" si="4"/>
        <v>45785</v>
      </c>
      <c r="I18" s="149" t="str">
        <f t="shared" si="6"/>
        <v>Apr</v>
      </c>
      <c r="J18" s="216" t="str">
        <f t="shared" ca="1" si="2"/>
        <v/>
      </c>
      <c r="K18" s="149" t="s">
        <v>4</v>
      </c>
      <c r="L18" s="149"/>
      <c r="M18" s="11">
        <v>45772</v>
      </c>
      <c r="N18" s="152">
        <f t="shared" si="3"/>
        <v>12</v>
      </c>
      <c r="O18" s="12" t="str">
        <f t="shared" si="5"/>
        <v>Yes</v>
      </c>
      <c r="P18" s="158"/>
      <c r="Q18" s="157"/>
      <c r="R18" s="11" t="s">
        <v>39</v>
      </c>
      <c r="S18" s="158"/>
      <c r="T18" s="5" t="s">
        <v>45</v>
      </c>
      <c r="U18" s="10"/>
      <c r="V18" s="5" t="s">
        <v>87</v>
      </c>
      <c r="W18" s="5"/>
      <c r="X18" s="6" t="s">
        <v>88</v>
      </c>
      <c r="Z18" s="16"/>
      <c r="AA18" s="16"/>
      <c r="AB18" s="16"/>
      <c r="AC18" s="16"/>
      <c r="AD18" s="16"/>
      <c r="AE18" s="16"/>
      <c r="AF18" s="16"/>
      <c r="AG18" s="16"/>
      <c r="AH18" s="16"/>
      <c r="BB18" s="7" t="str">
        <v>Quarter 1</v>
      </c>
    </row>
    <row r="19" spans="1:54" ht="31.4" customHeight="1" x14ac:dyDescent="0.35">
      <c r="A19" s="210">
        <v>18</v>
      </c>
      <c r="B19" s="5" t="s">
        <v>6</v>
      </c>
      <c r="C19" s="5" t="s">
        <v>6</v>
      </c>
      <c r="D19" s="5" t="s">
        <v>86</v>
      </c>
      <c r="E19" s="149">
        <v>45754</v>
      </c>
      <c r="F19" s="149">
        <f t="shared" si="0"/>
        <v>45755</v>
      </c>
      <c r="G19" s="149">
        <f t="shared" si="1"/>
        <v>45770</v>
      </c>
      <c r="H19" s="149">
        <f t="shared" si="4"/>
        <v>45785</v>
      </c>
      <c r="I19" s="149" t="str">
        <f t="shared" si="6"/>
        <v>Apr</v>
      </c>
      <c r="J19" s="216" t="str">
        <f t="shared" ca="1" si="2"/>
        <v/>
      </c>
      <c r="K19" s="149" t="s">
        <v>4</v>
      </c>
      <c r="L19" s="149"/>
      <c r="M19" s="11">
        <v>45764</v>
      </c>
      <c r="N19" s="152">
        <f t="shared" si="3"/>
        <v>8</v>
      </c>
      <c r="O19" s="12" t="str">
        <f t="shared" si="5"/>
        <v>Yes</v>
      </c>
      <c r="P19" s="158"/>
      <c r="Q19" s="157"/>
      <c r="R19" s="11" t="s">
        <v>39</v>
      </c>
      <c r="S19" s="158"/>
      <c r="T19" s="5" t="s">
        <v>45</v>
      </c>
      <c r="U19" s="10"/>
      <c r="V19" s="5" t="s">
        <v>87</v>
      </c>
      <c r="W19" s="5"/>
      <c r="X19" s="6" t="s">
        <v>89</v>
      </c>
      <c r="Z19" s="16"/>
      <c r="AA19" s="16"/>
      <c r="AB19" s="16"/>
      <c r="AC19" s="16"/>
      <c r="AD19" s="16"/>
      <c r="AE19" s="16"/>
      <c r="AF19" s="16"/>
      <c r="AG19" s="16"/>
      <c r="AH19" s="16"/>
      <c r="BB19" s="7" t="str">
        <v>Quarter 1</v>
      </c>
    </row>
    <row r="20" spans="1:54" ht="31.4" customHeight="1" x14ac:dyDescent="0.35">
      <c r="A20" s="210">
        <v>19</v>
      </c>
      <c r="B20" s="5" t="s">
        <v>90</v>
      </c>
      <c r="C20" s="5" t="s">
        <v>9</v>
      </c>
      <c r="D20" s="5" t="s">
        <v>91</v>
      </c>
      <c r="E20" s="149">
        <v>45754</v>
      </c>
      <c r="F20" s="149">
        <f t="shared" si="0"/>
        <v>45755</v>
      </c>
      <c r="G20" s="149">
        <f t="shared" si="1"/>
        <v>45770</v>
      </c>
      <c r="H20" s="149">
        <f t="shared" si="4"/>
        <v>45785</v>
      </c>
      <c r="I20" s="149" t="str">
        <f t="shared" si="6"/>
        <v>Apr</v>
      </c>
      <c r="J20" s="216" t="str">
        <f t="shared" ca="1" si="2"/>
        <v/>
      </c>
      <c r="K20" s="149" t="s">
        <v>3</v>
      </c>
      <c r="L20" s="149"/>
      <c r="M20" s="11">
        <v>45769</v>
      </c>
      <c r="N20" s="152">
        <f t="shared" si="3"/>
        <v>9</v>
      </c>
      <c r="O20" s="12" t="str">
        <f t="shared" si="5"/>
        <v>Yes</v>
      </c>
      <c r="P20" s="158"/>
      <c r="Q20" s="157"/>
      <c r="R20" s="11" t="s">
        <v>39</v>
      </c>
      <c r="S20" s="158"/>
      <c r="T20" s="5" t="s">
        <v>40</v>
      </c>
      <c r="U20" s="10"/>
      <c r="V20" s="5"/>
      <c r="W20" s="5"/>
      <c r="X20" s="6" t="s">
        <v>92</v>
      </c>
      <c r="Z20" s="16"/>
      <c r="AA20" s="16"/>
      <c r="AB20" s="16"/>
      <c r="AC20" s="16"/>
      <c r="AD20" s="16"/>
      <c r="AE20" s="16"/>
      <c r="AF20" s="16"/>
      <c r="AG20" s="16"/>
      <c r="AH20" s="16"/>
      <c r="BB20" s="7" t="str">
        <v>Quarter 1</v>
      </c>
    </row>
    <row r="21" spans="1:54" ht="31.4" customHeight="1" x14ac:dyDescent="0.35">
      <c r="A21" s="210">
        <v>20</v>
      </c>
      <c r="B21" s="5" t="s">
        <v>93</v>
      </c>
      <c r="C21" s="5" t="s">
        <v>9</v>
      </c>
      <c r="D21" s="5" t="s">
        <v>94</v>
      </c>
      <c r="E21" s="149">
        <v>45754</v>
      </c>
      <c r="F21" s="149">
        <f t="shared" si="0"/>
        <v>45755</v>
      </c>
      <c r="G21" s="149">
        <f t="shared" si="1"/>
        <v>45770</v>
      </c>
      <c r="H21" s="149">
        <f t="shared" si="4"/>
        <v>45785</v>
      </c>
      <c r="I21" s="149" t="str">
        <f t="shared" si="6"/>
        <v>Apr</v>
      </c>
      <c r="J21" s="216" t="str">
        <f t="shared" ca="1" si="2"/>
        <v/>
      </c>
      <c r="K21" s="149" t="s">
        <v>4</v>
      </c>
      <c r="L21" s="149"/>
      <c r="M21" s="11">
        <v>45756</v>
      </c>
      <c r="N21" s="152">
        <f t="shared" si="3"/>
        <v>2</v>
      </c>
      <c r="O21" s="12" t="str">
        <f t="shared" si="5"/>
        <v>Yes</v>
      </c>
      <c r="P21" s="158"/>
      <c r="Q21" s="157"/>
      <c r="R21" s="11" t="s">
        <v>39</v>
      </c>
      <c r="S21" s="158"/>
      <c r="T21" s="5" t="s">
        <v>40</v>
      </c>
      <c r="U21" s="10"/>
      <c r="V21" s="5"/>
      <c r="W21" s="5"/>
      <c r="X21" s="6" t="s">
        <v>95</v>
      </c>
      <c r="Z21" s="16"/>
      <c r="AA21" s="16"/>
      <c r="AB21" s="16"/>
      <c r="AC21" s="16"/>
      <c r="AD21" s="16"/>
      <c r="AE21" s="16"/>
      <c r="AF21" s="16"/>
      <c r="AG21" s="16"/>
      <c r="AH21" s="16"/>
      <c r="BB21" s="7" t="str">
        <v>Quarter 1</v>
      </c>
    </row>
    <row r="22" spans="1:54" ht="31.4" customHeight="1" x14ac:dyDescent="0.35">
      <c r="A22" s="210">
        <v>21</v>
      </c>
      <c r="B22" s="5" t="s">
        <v>55</v>
      </c>
      <c r="C22" s="5" t="s">
        <v>13</v>
      </c>
      <c r="D22" s="5" t="s">
        <v>96</v>
      </c>
      <c r="E22" s="149">
        <v>45754</v>
      </c>
      <c r="F22" s="149">
        <f t="shared" si="0"/>
        <v>45755</v>
      </c>
      <c r="G22" s="149">
        <f t="shared" si="1"/>
        <v>45770</v>
      </c>
      <c r="H22" s="149">
        <f t="shared" si="4"/>
        <v>45785</v>
      </c>
      <c r="I22" s="149" t="str">
        <f t="shared" si="6"/>
        <v>Apr</v>
      </c>
      <c r="J22" s="216" t="str">
        <f t="shared" ca="1" si="2"/>
        <v/>
      </c>
      <c r="K22" s="149" t="s">
        <v>4</v>
      </c>
      <c r="L22" s="149"/>
      <c r="M22" s="11">
        <v>45778</v>
      </c>
      <c r="N22" s="152">
        <f t="shared" si="3"/>
        <v>16</v>
      </c>
      <c r="O22" s="12" t="str">
        <f t="shared" si="5"/>
        <v>Yes</v>
      </c>
      <c r="P22" s="158"/>
      <c r="Q22" s="157"/>
      <c r="R22" s="11" t="s">
        <v>39</v>
      </c>
      <c r="S22" s="158"/>
      <c r="T22" s="5" t="s">
        <v>40</v>
      </c>
      <c r="U22" s="10"/>
      <c r="V22" s="5"/>
      <c r="W22" s="5"/>
      <c r="X22" s="6" t="s">
        <v>97</v>
      </c>
      <c r="Z22" s="16"/>
      <c r="AA22" s="16"/>
      <c r="AB22" s="16"/>
      <c r="AC22" s="16"/>
      <c r="AD22" s="16"/>
      <c r="AE22" s="16"/>
      <c r="AF22" s="16"/>
      <c r="AG22" s="16"/>
      <c r="AH22" s="16"/>
      <c r="BB22" s="7" t="str">
        <v>Quarter 1</v>
      </c>
    </row>
    <row r="23" spans="1:54" ht="31.4" customHeight="1" x14ac:dyDescent="0.35">
      <c r="A23" s="210">
        <v>22</v>
      </c>
      <c r="B23" s="5" t="s">
        <v>55</v>
      </c>
      <c r="C23" s="5" t="s">
        <v>13</v>
      </c>
      <c r="D23" s="5" t="s">
        <v>99</v>
      </c>
      <c r="E23" s="149">
        <v>45754</v>
      </c>
      <c r="F23" s="149">
        <f t="shared" si="0"/>
        <v>45755</v>
      </c>
      <c r="G23" s="149">
        <f t="shared" si="1"/>
        <v>45770</v>
      </c>
      <c r="H23" s="149">
        <f t="shared" si="4"/>
        <v>45785</v>
      </c>
      <c r="I23" s="149" t="str">
        <f t="shared" si="6"/>
        <v>Apr</v>
      </c>
      <c r="J23" s="216" t="str">
        <f t="shared" ca="1" si="2"/>
        <v/>
      </c>
      <c r="K23" s="149" t="s">
        <v>4</v>
      </c>
      <c r="L23" s="149"/>
      <c r="M23" s="11">
        <v>45756</v>
      </c>
      <c r="N23" s="152">
        <f t="shared" si="3"/>
        <v>2</v>
      </c>
      <c r="O23" s="12" t="str">
        <f t="shared" si="5"/>
        <v>Yes</v>
      </c>
      <c r="P23" s="158"/>
      <c r="Q23" s="157"/>
      <c r="R23" s="11" t="s">
        <v>39</v>
      </c>
      <c r="S23" s="158"/>
      <c r="T23" s="5" t="s">
        <v>45</v>
      </c>
      <c r="U23" s="10"/>
      <c r="V23" s="5" t="s">
        <v>54</v>
      </c>
      <c r="W23" s="5"/>
      <c r="X23" s="6" t="s">
        <v>87</v>
      </c>
      <c r="Z23" s="16"/>
      <c r="AA23" s="16"/>
      <c r="AB23" s="16"/>
      <c r="AC23" s="16"/>
      <c r="AD23" s="16"/>
      <c r="AE23" s="16"/>
      <c r="AF23" s="16"/>
      <c r="AG23" s="16"/>
      <c r="AH23" s="16"/>
      <c r="BB23" s="7" t="str">
        <v>Quarter 1</v>
      </c>
    </row>
    <row r="24" spans="1:54" ht="31.4" customHeight="1" x14ac:dyDescent="0.35">
      <c r="A24" s="210">
        <v>23</v>
      </c>
      <c r="B24" s="5" t="s">
        <v>100</v>
      </c>
      <c r="C24" s="5" t="s">
        <v>9</v>
      </c>
      <c r="D24" s="5" t="s">
        <v>101</v>
      </c>
      <c r="E24" s="149">
        <v>45755</v>
      </c>
      <c r="F24" s="149">
        <f t="shared" si="0"/>
        <v>45756</v>
      </c>
      <c r="G24" s="149">
        <f t="shared" si="1"/>
        <v>45771</v>
      </c>
      <c r="H24" s="149">
        <f t="shared" si="4"/>
        <v>45786</v>
      </c>
      <c r="I24" s="149" t="str">
        <f t="shared" si="6"/>
        <v>Apr</v>
      </c>
      <c r="J24" s="216" t="str">
        <f t="shared" ca="1" si="2"/>
        <v/>
      </c>
      <c r="K24" s="149" t="s">
        <v>43</v>
      </c>
      <c r="L24" s="149"/>
      <c r="M24" s="11">
        <v>45755</v>
      </c>
      <c r="N24" s="152">
        <f t="shared" si="3"/>
        <v>0</v>
      </c>
      <c r="O24" s="12" t="str">
        <f t="shared" si="5"/>
        <v>Yes</v>
      </c>
      <c r="P24" s="158"/>
      <c r="Q24" s="157"/>
      <c r="R24" s="11" t="s">
        <v>39</v>
      </c>
      <c r="S24" s="158"/>
      <c r="T24" s="5" t="s">
        <v>40</v>
      </c>
      <c r="U24" s="10"/>
      <c r="V24" s="5"/>
      <c r="W24" s="5"/>
      <c r="X24" s="6" t="s">
        <v>102</v>
      </c>
      <c r="Z24" s="16"/>
      <c r="AA24" s="16"/>
      <c r="AB24" s="16"/>
      <c r="AC24" s="16"/>
      <c r="AD24" s="16"/>
      <c r="AE24" s="16"/>
      <c r="AF24" s="16"/>
      <c r="AG24" s="16"/>
      <c r="AH24" s="16"/>
      <c r="BB24" s="7" t="str">
        <v>Quarter 1</v>
      </c>
    </row>
    <row r="25" spans="1:54" ht="31.4" customHeight="1" x14ac:dyDescent="0.35">
      <c r="A25" s="210">
        <v>24</v>
      </c>
      <c r="B25" s="5" t="s">
        <v>6</v>
      </c>
      <c r="C25" s="5" t="s">
        <v>6</v>
      </c>
      <c r="D25" s="5" t="s">
        <v>103</v>
      </c>
      <c r="E25" s="149">
        <v>45754</v>
      </c>
      <c r="F25" s="149">
        <f t="shared" si="0"/>
        <v>45755</v>
      </c>
      <c r="G25" s="149">
        <f t="shared" si="1"/>
        <v>45770</v>
      </c>
      <c r="H25" s="149">
        <f t="shared" si="4"/>
        <v>45785</v>
      </c>
      <c r="I25" s="149" t="str">
        <f t="shared" si="6"/>
        <v>Apr</v>
      </c>
      <c r="J25" s="216" t="str">
        <f t="shared" ca="1" si="2"/>
        <v/>
      </c>
      <c r="K25" s="149" t="s">
        <v>4</v>
      </c>
      <c r="L25" s="149"/>
      <c r="M25" s="11">
        <v>45757</v>
      </c>
      <c r="N25" s="152">
        <f t="shared" si="3"/>
        <v>3</v>
      </c>
      <c r="O25" s="12" t="str">
        <f t="shared" si="5"/>
        <v>Yes</v>
      </c>
      <c r="P25" s="158"/>
      <c r="Q25" s="157"/>
      <c r="R25" s="11" t="s">
        <v>39</v>
      </c>
      <c r="S25" s="158"/>
      <c r="T25" s="5" t="s">
        <v>40</v>
      </c>
      <c r="U25" s="10"/>
      <c r="V25" s="5"/>
      <c r="W25" s="5"/>
      <c r="X25" s="6" t="s">
        <v>104</v>
      </c>
      <c r="Z25" s="16"/>
      <c r="AA25" s="16"/>
      <c r="AB25" s="16"/>
      <c r="AC25" s="16"/>
      <c r="AD25" s="16"/>
      <c r="AE25" s="16"/>
      <c r="AF25" s="16"/>
      <c r="AG25" s="16"/>
      <c r="AH25" s="16"/>
      <c r="BB25" s="7" t="str">
        <v>Quarter 1</v>
      </c>
    </row>
    <row r="26" spans="1:54" ht="31.4" customHeight="1" x14ac:dyDescent="0.35">
      <c r="A26" s="210">
        <v>25</v>
      </c>
      <c r="B26" s="5" t="s">
        <v>55</v>
      </c>
      <c r="C26" s="5" t="s">
        <v>13</v>
      </c>
      <c r="D26" s="5" t="s">
        <v>105</v>
      </c>
      <c r="E26" s="149">
        <v>45755</v>
      </c>
      <c r="F26" s="149">
        <f t="shared" si="0"/>
        <v>45756</v>
      </c>
      <c r="G26" s="149">
        <f t="shared" si="1"/>
        <v>45771</v>
      </c>
      <c r="H26" s="149">
        <f t="shared" si="4"/>
        <v>45786</v>
      </c>
      <c r="I26" s="149" t="str">
        <f t="shared" si="6"/>
        <v>Apr</v>
      </c>
      <c r="J26" s="216" t="str">
        <f t="shared" ca="1" si="2"/>
        <v/>
      </c>
      <c r="K26" s="149" t="s">
        <v>4</v>
      </c>
      <c r="L26" s="149"/>
      <c r="M26" s="11">
        <v>45762</v>
      </c>
      <c r="N26" s="152">
        <f t="shared" si="3"/>
        <v>5</v>
      </c>
      <c r="O26" s="12" t="str">
        <f t="shared" si="5"/>
        <v>Yes</v>
      </c>
      <c r="P26" s="158"/>
      <c r="Q26" s="157"/>
      <c r="R26" s="11" t="s">
        <v>39</v>
      </c>
      <c r="S26" s="158"/>
      <c r="T26" s="5" t="s">
        <v>51</v>
      </c>
      <c r="U26" s="10"/>
      <c r="V26" s="5"/>
      <c r="W26" s="5" t="s">
        <v>106</v>
      </c>
      <c r="X26" s="6" t="s">
        <v>80</v>
      </c>
      <c r="Z26" s="16"/>
      <c r="AA26" s="16"/>
      <c r="AB26" s="16"/>
      <c r="AC26" s="16"/>
      <c r="AD26" s="16"/>
      <c r="AE26" s="16"/>
      <c r="AF26" s="16"/>
      <c r="AG26" s="16"/>
      <c r="AH26" s="16"/>
      <c r="BB26" s="7" t="str">
        <v>Quarter 1</v>
      </c>
    </row>
    <row r="27" spans="1:54" ht="31.4" customHeight="1" x14ac:dyDescent="0.35">
      <c r="A27" s="210">
        <v>26</v>
      </c>
      <c r="B27" s="5" t="s">
        <v>55</v>
      </c>
      <c r="C27" s="5" t="s">
        <v>13</v>
      </c>
      <c r="D27" s="5" t="s">
        <v>107</v>
      </c>
      <c r="E27" s="149">
        <v>45756</v>
      </c>
      <c r="F27" s="149">
        <f t="shared" si="0"/>
        <v>45757</v>
      </c>
      <c r="G27" s="149">
        <f t="shared" si="1"/>
        <v>45772</v>
      </c>
      <c r="H27" s="149">
        <f t="shared" si="4"/>
        <v>45789</v>
      </c>
      <c r="I27" s="149" t="str">
        <f t="shared" si="6"/>
        <v>Apr</v>
      </c>
      <c r="J27" s="216" t="str">
        <f t="shared" ca="1" si="2"/>
        <v/>
      </c>
      <c r="K27" s="149" t="s">
        <v>7</v>
      </c>
      <c r="L27" s="149"/>
      <c r="M27" s="11">
        <v>45756</v>
      </c>
      <c r="N27" s="152">
        <f t="shared" si="3"/>
        <v>0</v>
      </c>
      <c r="O27" s="12" t="str">
        <f t="shared" si="5"/>
        <v>Yes</v>
      </c>
      <c r="P27" s="158"/>
      <c r="Q27" s="157"/>
      <c r="R27" s="11" t="s">
        <v>39</v>
      </c>
      <c r="S27" s="158"/>
      <c r="T27" s="5" t="s">
        <v>62</v>
      </c>
      <c r="U27" s="10"/>
      <c r="V27" s="5"/>
      <c r="W27" s="5"/>
      <c r="X27" s="6" t="s">
        <v>108</v>
      </c>
      <c r="Z27" s="16"/>
      <c r="AA27" s="16"/>
      <c r="AB27" s="16"/>
      <c r="AC27" s="16"/>
      <c r="AD27" s="16"/>
      <c r="AE27" s="16"/>
      <c r="AF27" s="16"/>
      <c r="AG27" s="16"/>
      <c r="AH27" s="16"/>
      <c r="BB27" s="7" t="str">
        <v>Quarter 1</v>
      </c>
    </row>
    <row r="28" spans="1:54" ht="31.4" customHeight="1" x14ac:dyDescent="0.35">
      <c r="A28" s="210">
        <v>27</v>
      </c>
      <c r="B28" s="5" t="s">
        <v>6</v>
      </c>
      <c r="C28" s="5" t="s">
        <v>6</v>
      </c>
      <c r="D28" s="5" t="s">
        <v>109</v>
      </c>
      <c r="E28" s="149">
        <v>45754</v>
      </c>
      <c r="F28" s="149">
        <f t="shared" si="0"/>
        <v>45755</v>
      </c>
      <c r="G28" s="149">
        <f t="shared" si="1"/>
        <v>45770</v>
      </c>
      <c r="H28" s="149">
        <f t="shared" si="4"/>
        <v>45785</v>
      </c>
      <c r="I28" s="149" t="str">
        <f t="shared" si="6"/>
        <v>Apr</v>
      </c>
      <c r="J28" s="216" t="str">
        <f t="shared" ca="1" si="2"/>
        <v/>
      </c>
      <c r="K28" s="149" t="s">
        <v>43</v>
      </c>
      <c r="L28" s="149"/>
      <c r="M28" s="11">
        <v>45762</v>
      </c>
      <c r="N28" s="152">
        <f t="shared" si="3"/>
        <v>6</v>
      </c>
      <c r="O28" s="12" t="str">
        <f t="shared" si="5"/>
        <v>Yes</v>
      </c>
      <c r="P28" s="158"/>
      <c r="Q28" s="157"/>
      <c r="R28" s="11" t="s">
        <v>39</v>
      </c>
      <c r="S28" s="158"/>
      <c r="T28" s="5" t="s">
        <v>40</v>
      </c>
      <c r="U28" s="10"/>
      <c r="V28" s="5"/>
      <c r="W28" s="5"/>
      <c r="X28" s="6"/>
      <c r="Z28" s="16"/>
      <c r="AA28" s="16"/>
      <c r="AB28" s="16"/>
      <c r="AC28" s="16"/>
      <c r="AD28" s="16"/>
      <c r="AE28" s="16"/>
      <c r="AF28" s="16"/>
      <c r="AG28" s="16"/>
      <c r="AH28" s="16"/>
      <c r="BB28" s="7" t="str">
        <v>Quarter 1</v>
      </c>
    </row>
    <row r="29" spans="1:54" ht="31.4" customHeight="1" x14ac:dyDescent="0.35">
      <c r="A29" s="210">
        <v>28</v>
      </c>
      <c r="B29" s="5" t="s">
        <v>110</v>
      </c>
      <c r="C29" s="5" t="s">
        <v>9</v>
      </c>
      <c r="D29" s="5" t="s">
        <v>111</v>
      </c>
      <c r="E29" s="149">
        <v>45756</v>
      </c>
      <c r="F29" s="149">
        <f t="shared" si="0"/>
        <v>45757</v>
      </c>
      <c r="G29" s="149">
        <f t="shared" si="1"/>
        <v>45772</v>
      </c>
      <c r="H29" s="149">
        <f t="shared" si="4"/>
        <v>45789</v>
      </c>
      <c r="I29" s="149" t="str">
        <f t="shared" si="6"/>
        <v>Apr</v>
      </c>
      <c r="J29" s="216" t="str">
        <f t="shared" ca="1" si="2"/>
        <v/>
      </c>
      <c r="K29" s="149" t="s">
        <v>7</v>
      </c>
      <c r="L29" s="149"/>
      <c r="M29" s="11">
        <v>45775</v>
      </c>
      <c r="N29" s="152">
        <f t="shared" si="3"/>
        <v>11</v>
      </c>
      <c r="O29" s="12" t="str">
        <f t="shared" si="5"/>
        <v>Yes</v>
      </c>
      <c r="P29" s="158"/>
      <c r="Q29" s="157"/>
      <c r="R29" s="11" t="s">
        <v>39</v>
      </c>
      <c r="S29" s="158"/>
      <c r="T29" s="5" t="s">
        <v>40</v>
      </c>
      <c r="U29" s="10"/>
      <c r="V29" s="5"/>
      <c r="W29" s="5"/>
      <c r="X29" s="6"/>
      <c r="Z29" s="16"/>
      <c r="AA29" s="16"/>
      <c r="AB29" s="16"/>
      <c r="AC29" s="16"/>
      <c r="AD29" s="16"/>
      <c r="AE29" s="16"/>
      <c r="AF29" s="16"/>
      <c r="AG29" s="16"/>
      <c r="AH29" s="16"/>
      <c r="BB29" s="7" t="str">
        <v>Quarter 1</v>
      </c>
    </row>
    <row r="30" spans="1:54" ht="31.4" customHeight="1" x14ac:dyDescent="0.35">
      <c r="A30" s="210">
        <v>29</v>
      </c>
      <c r="B30" s="5" t="s">
        <v>112</v>
      </c>
      <c r="C30" s="5" t="s">
        <v>5</v>
      </c>
      <c r="D30" s="5" t="s">
        <v>113</v>
      </c>
      <c r="E30" s="149">
        <v>45756</v>
      </c>
      <c r="F30" s="149">
        <f t="shared" si="0"/>
        <v>45757</v>
      </c>
      <c r="G30" s="149">
        <f t="shared" si="1"/>
        <v>45772</v>
      </c>
      <c r="H30" s="149">
        <f t="shared" si="4"/>
        <v>45789</v>
      </c>
      <c r="I30" s="149" t="str">
        <f t="shared" si="6"/>
        <v>Apr</v>
      </c>
      <c r="J30" s="216" t="str">
        <f t="shared" ca="1" si="2"/>
        <v/>
      </c>
      <c r="K30" s="149" t="s">
        <v>4</v>
      </c>
      <c r="L30" s="149"/>
      <c r="M30" s="11">
        <v>45771</v>
      </c>
      <c r="N30" s="152">
        <f t="shared" si="3"/>
        <v>9</v>
      </c>
      <c r="O30" s="12" t="str">
        <f t="shared" si="5"/>
        <v>Yes</v>
      </c>
      <c r="P30" s="158"/>
      <c r="Q30" s="157"/>
      <c r="R30" s="11" t="s">
        <v>39</v>
      </c>
      <c r="S30" s="158"/>
      <c r="T30" s="5" t="s">
        <v>40</v>
      </c>
      <c r="U30" s="10"/>
      <c r="V30" s="5"/>
      <c r="W30" s="5"/>
      <c r="X30" s="6"/>
      <c r="BB30" s="7" t="str">
        <v>Quarter 1</v>
      </c>
    </row>
    <row r="31" spans="1:54" ht="31.4" customHeight="1" x14ac:dyDescent="0.35">
      <c r="A31" s="210">
        <v>30</v>
      </c>
      <c r="B31" s="5" t="s">
        <v>114</v>
      </c>
      <c r="C31" s="5" t="s">
        <v>9</v>
      </c>
      <c r="D31" s="5" t="s">
        <v>115</v>
      </c>
      <c r="E31" s="149">
        <v>45749</v>
      </c>
      <c r="F31" s="149">
        <f t="shared" si="0"/>
        <v>45750</v>
      </c>
      <c r="G31" s="149">
        <f t="shared" si="1"/>
        <v>45763</v>
      </c>
      <c r="H31" s="149">
        <f t="shared" si="4"/>
        <v>45779</v>
      </c>
      <c r="I31" s="149" t="str">
        <f t="shared" si="6"/>
        <v>Apr</v>
      </c>
      <c r="J31" s="216" t="str">
        <f t="shared" ca="1" si="2"/>
        <v/>
      </c>
      <c r="K31" s="149" t="s">
        <v>3</v>
      </c>
      <c r="L31" s="149"/>
      <c r="M31" s="11">
        <v>45769</v>
      </c>
      <c r="N31" s="152">
        <f t="shared" si="3"/>
        <v>12</v>
      </c>
      <c r="O31" s="12" t="str">
        <f t="shared" si="5"/>
        <v>Yes</v>
      </c>
      <c r="P31" s="158"/>
      <c r="Q31" s="157"/>
      <c r="R31" s="11" t="s">
        <v>39</v>
      </c>
      <c r="S31" s="158"/>
      <c r="T31" s="5" t="s">
        <v>40</v>
      </c>
      <c r="U31" s="10"/>
      <c r="V31" s="5"/>
      <c r="W31" s="5"/>
      <c r="X31" s="6"/>
      <c r="BB31" s="7" t="str">
        <v>Quarter 1</v>
      </c>
    </row>
    <row r="32" spans="1:54" ht="31.4" customHeight="1" x14ac:dyDescent="0.35">
      <c r="A32" s="210">
        <v>31</v>
      </c>
      <c r="B32" s="5" t="s">
        <v>6</v>
      </c>
      <c r="C32" s="5" t="s">
        <v>6</v>
      </c>
      <c r="D32" s="5" t="s">
        <v>116</v>
      </c>
      <c r="E32" s="149">
        <v>45757</v>
      </c>
      <c r="F32" s="149">
        <f t="shared" si="0"/>
        <v>45758</v>
      </c>
      <c r="G32" s="149">
        <f t="shared" si="1"/>
        <v>45775</v>
      </c>
      <c r="H32" s="149">
        <f t="shared" si="4"/>
        <v>45790</v>
      </c>
      <c r="I32" s="149" t="str">
        <f t="shared" si="6"/>
        <v>Apr</v>
      </c>
      <c r="J32" s="216" t="str">
        <f t="shared" ca="1" si="2"/>
        <v/>
      </c>
      <c r="K32" s="149" t="s">
        <v>3</v>
      </c>
      <c r="L32" s="149"/>
      <c r="M32" s="11">
        <v>45992</v>
      </c>
      <c r="N32" s="152">
        <f t="shared" si="3"/>
        <v>162</v>
      </c>
      <c r="O32" s="12" t="str">
        <f t="shared" si="5"/>
        <v>No</v>
      </c>
      <c r="P32" s="158"/>
      <c r="Q32" s="157"/>
      <c r="R32" s="11" t="s">
        <v>39</v>
      </c>
      <c r="S32" s="158"/>
      <c r="T32" s="5" t="s">
        <v>40</v>
      </c>
      <c r="U32" s="10"/>
      <c r="V32" s="5"/>
      <c r="W32" s="5" t="s">
        <v>46</v>
      </c>
      <c r="X32" s="6"/>
      <c r="BB32" s="7" t="str">
        <v>Quarter 1</v>
      </c>
    </row>
    <row r="33" spans="1:54" ht="31.4" customHeight="1" x14ac:dyDescent="0.35">
      <c r="A33" s="210">
        <v>32</v>
      </c>
      <c r="B33" s="5" t="s">
        <v>6</v>
      </c>
      <c r="C33" s="5" t="s">
        <v>6</v>
      </c>
      <c r="D33" s="5" t="s">
        <v>117</v>
      </c>
      <c r="E33" s="149">
        <v>45757</v>
      </c>
      <c r="F33" s="149">
        <f t="shared" si="0"/>
        <v>45758</v>
      </c>
      <c r="G33" s="149">
        <f t="shared" si="1"/>
        <v>45775</v>
      </c>
      <c r="H33" s="149">
        <f t="shared" si="4"/>
        <v>45790</v>
      </c>
      <c r="I33" s="149" t="str">
        <f t="shared" si="6"/>
        <v>Apr</v>
      </c>
      <c r="J33" s="216" t="str">
        <f t="shared" ca="1" si="2"/>
        <v/>
      </c>
      <c r="K33" s="149" t="s">
        <v>4</v>
      </c>
      <c r="L33" s="149"/>
      <c r="M33" s="11">
        <v>45757</v>
      </c>
      <c r="N33" s="152">
        <f t="shared" si="3"/>
        <v>0</v>
      </c>
      <c r="O33" s="12" t="str">
        <f t="shared" si="5"/>
        <v>Yes</v>
      </c>
      <c r="P33" s="158"/>
      <c r="Q33" s="157"/>
      <c r="R33" s="11" t="s">
        <v>39</v>
      </c>
      <c r="S33" s="158"/>
      <c r="T33" s="5" t="s">
        <v>45</v>
      </c>
      <c r="U33" s="10"/>
      <c r="V33" s="5" t="s">
        <v>54</v>
      </c>
      <c r="W33" s="5"/>
      <c r="X33" s="6"/>
      <c r="Z33" s="146">
        <v>45765</v>
      </c>
      <c r="BB33" s="7" t="str">
        <v>Quarter 1</v>
      </c>
    </row>
    <row r="34" spans="1:54" ht="31.4" customHeight="1" x14ac:dyDescent="0.35">
      <c r="A34" s="210">
        <v>33</v>
      </c>
      <c r="B34" s="5" t="s">
        <v>6</v>
      </c>
      <c r="C34" s="5" t="s">
        <v>6</v>
      </c>
      <c r="D34" s="5" t="s">
        <v>118</v>
      </c>
      <c r="E34" s="149">
        <v>45757</v>
      </c>
      <c r="F34" s="149">
        <f t="shared" ref="F34:F63" si="7">IF($E34="","",WORKDAY($E34,1,$Z$33:$Z$47))</f>
        <v>45758</v>
      </c>
      <c r="G34" s="149">
        <f t="shared" ref="G34:G63" si="8">IF($E34="","",WORKDAY($E34,10,$Z$33:$Z$47))</f>
        <v>45775</v>
      </c>
      <c r="H34" s="149">
        <f t="shared" si="4"/>
        <v>45790</v>
      </c>
      <c r="I34" s="149" t="str">
        <f t="shared" si="6"/>
        <v>Apr</v>
      </c>
      <c r="J34" s="216" t="str">
        <f t="shared" ca="1" si="2"/>
        <v/>
      </c>
      <c r="K34" s="149" t="s">
        <v>4</v>
      </c>
      <c r="L34" s="149"/>
      <c r="M34" s="11">
        <v>45769</v>
      </c>
      <c r="N34" s="152">
        <f t="shared" si="3"/>
        <v>6</v>
      </c>
      <c r="O34" s="12" t="str">
        <f t="shared" si="5"/>
        <v>Yes</v>
      </c>
      <c r="P34" s="158"/>
      <c r="Q34" s="157"/>
      <c r="R34" s="11" t="s">
        <v>39</v>
      </c>
      <c r="S34" s="158"/>
      <c r="T34" s="5" t="s">
        <v>45</v>
      </c>
      <c r="U34" s="10"/>
      <c r="V34" s="5" t="s">
        <v>54</v>
      </c>
      <c r="W34" s="5" t="s">
        <v>46</v>
      </c>
      <c r="X34" s="6"/>
      <c r="Z34" s="146">
        <v>45768</v>
      </c>
      <c r="BB34" s="7" t="str">
        <v>Quarter 1</v>
      </c>
    </row>
    <row r="35" spans="1:54" ht="31.4" customHeight="1" x14ac:dyDescent="0.35">
      <c r="A35" s="210">
        <v>34</v>
      </c>
      <c r="B35" s="5" t="s">
        <v>6</v>
      </c>
      <c r="C35" s="5" t="s">
        <v>6</v>
      </c>
      <c r="D35" s="5" t="s">
        <v>119</v>
      </c>
      <c r="E35" s="149">
        <v>45758</v>
      </c>
      <c r="F35" s="149">
        <f t="shared" si="7"/>
        <v>45761</v>
      </c>
      <c r="G35" s="149">
        <f t="shared" si="8"/>
        <v>45776</v>
      </c>
      <c r="H35" s="149">
        <f t="shared" ref="H35:H63" si="9">IF($E35="","",WORKDAY($E35,20,$Z$33:$Z$47))</f>
        <v>45791</v>
      </c>
      <c r="I35" s="149" t="str">
        <f t="shared" si="6"/>
        <v>Apr</v>
      </c>
      <c r="J35" s="216" t="str">
        <f t="shared" ca="1" si="2"/>
        <v/>
      </c>
      <c r="K35" s="149" t="s">
        <v>3</v>
      </c>
      <c r="L35" s="149"/>
      <c r="M35" s="11">
        <v>45791</v>
      </c>
      <c r="N35" s="152">
        <f t="shared" si="3"/>
        <v>20</v>
      </c>
      <c r="O35" s="12" t="str">
        <f t="shared" si="5"/>
        <v>Yes</v>
      </c>
      <c r="P35" s="158"/>
      <c r="Q35" s="157"/>
      <c r="R35" s="11" t="s">
        <v>39</v>
      </c>
      <c r="S35" s="158"/>
      <c r="T35" s="5" t="s">
        <v>45</v>
      </c>
      <c r="U35" s="10"/>
      <c r="V35" s="5"/>
      <c r="W35" s="5" t="s">
        <v>46</v>
      </c>
      <c r="X35" s="6"/>
      <c r="Z35" s="146">
        <v>45782</v>
      </c>
      <c r="BB35" s="7" t="str">
        <v>Quarter 1</v>
      </c>
    </row>
    <row r="36" spans="1:54" ht="31.4" customHeight="1" x14ac:dyDescent="0.35">
      <c r="A36" s="210">
        <v>35</v>
      </c>
      <c r="B36" s="5" t="s">
        <v>68</v>
      </c>
      <c r="C36" s="5" t="s">
        <v>9</v>
      </c>
      <c r="D36" s="218" t="s">
        <v>120</v>
      </c>
      <c r="E36" s="149">
        <v>45758</v>
      </c>
      <c r="F36" s="149">
        <f t="shared" si="7"/>
        <v>45761</v>
      </c>
      <c r="G36" s="149">
        <f t="shared" si="8"/>
        <v>45776</v>
      </c>
      <c r="H36" s="149">
        <f t="shared" si="9"/>
        <v>45791</v>
      </c>
      <c r="I36" s="149" t="str">
        <f t="shared" si="6"/>
        <v>Apr</v>
      </c>
      <c r="J36" s="216" t="str">
        <f t="shared" ca="1" si="2"/>
        <v/>
      </c>
      <c r="K36" s="149" t="s">
        <v>4</v>
      </c>
      <c r="L36" s="149"/>
      <c r="M36" s="11">
        <v>45777</v>
      </c>
      <c r="N36" s="152">
        <f t="shared" si="3"/>
        <v>11</v>
      </c>
      <c r="O36" s="12" t="str">
        <f t="shared" si="5"/>
        <v>Yes</v>
      </c>
      <c r="P36" s="158"/>
      <c r="Q36" s="157"/>
      <c r="R36" s="11" t="s">
        <v>39</v>
      </c>
      <c r="S36" s="158"/>
      <c r="T36" s="5" t="s">
        <v>40</v>
      </c>
      <c r="U36" s="10"/>
      <c r="V36" s="5"/>
      <c r="W36" s="5"/>
      <c r="X36" s="6"/>
      <c r="Z36" s="146">
        <v>45803</v>
      </c>
      <c r="BB36" s="7" t="str">
        <v>Quarter 1</v>
      </c>
    </row>
    <row r="37" spans="1:54" ht="31.4" customHeight="1" x14ac:dyDescent="0.35">
      <c r="A37" s="210">
        <v>36</v>
      </c>
      <c r="B37" s="5" t="s">
        <v>6</v>
      </c>
      <c r="C37" s="5" t="s">
        <v>6</v>
      </c>
      <c r="D37" s="5" t="s">
        <v>121</v>
      </c>
      <c r="E37" s="149">
        <v>45761</v>
      </c>
      <c r="F37" s="149">
        <f t="shared" si="7"/>
        <v>45762</v>
      </c>
      <c r="G37" s="149">
        <f t="shared" si="8"/>
        <v>45777</v>
      </c>
      <c r="H37" s="149">
        <f t="shared" si="9"/>
        <v>45792</v>
      </c>
      <c r="I37" s="149" t="str">
        <f t="shared" si="6"/>
        <v>Apr</v>
      </c>
      <c r="J37" s="216" t="str">
        <f t="shared" ca="1" si="2"/>
        <v/>
      </c>
      <c r="K37" s="149" t="s">
        <v>43</v>
      </c>
      <c r="L37" s="149"/>
      <c r="M37" s="11">
        <v>45769</v>
      </c>
      <c r="N37" s="152">
        <f t="shared" si="3"/>
        <v>4</v>
      </c>
      <c r="O37" s="12" t="str">
        <f t="shared" si="5"/>
        <v>Yes</v>
      </c>
      <c r="P37" s="158"/>
      <c r="Q37" s="157"/>
      <c r="R37" s="11" t="s">
        <v>39</v>
      </c>
      <c r="S37" s="158"/>
      <c r="T37" s="5" t="s">
        <v>62</v>
      </c>
      <c r="U37" s="10"/>
      <c r="V37" s="5"/>
      <c r="W37" s="5"/>
      <c r="X37" s="6"/>
      <c r="Z37" s="146">
        <v>45894</v>
      </c>
      <c r="BB37" s="7" t="str">
        <v>Quarter 1</v>
      </c>
    </row>
    <row r="38" spans="1:54" ht="31.4" customHeight="1" x14ac:dyDescent="0.35">
      <c r="A38" s="210">
        <v>37</v>
      </c>
      <c r="B38" s="5" t="s">
        <v>55</v>
      </c>
      <c r="C38" s="5" t="s">
        <v>13</v>
      </c>
      <c r="D38" s="5" t="s">
        <v>122</v>
      </c>
      <c r="E38" s="149">
        <v>45761</v>
      </c>
      <c r="F38" s="149">
        <f t="shared" si="7"/>
        <v>45762</v>
      </c>
      <c r="G38" s="149">
        <f t="shared" si="8"/>
        <v>45777</v>
      </c>
      <c r="H38" s="149">
        <f t="shared" si="9"/>
        <v>45792</v>
      </c>
      <c r="I38" s="149" t="str">
        <f t="shared" si="6"/>
        <v>Apr</v>
      </c>
      <c r="J38" s="216" t="str">
        <f t="shared" ca="1" si="2"/>
        <v/>
      </c>
      <c r="K38" s="149" t="s">
        <v>7</v>
      </c>
      <c r="L38" s="149"/>
      <c r="M38" s="11">
        <v>45791</v>
      </c>
      <c r="N38" s="152">
        <f t="shared" si="3"/>
        <v>19</v>
      </c>
      <c r="O38" s="12" t="str">
        <f t="shared" si="5"/>
        <v>Yes</v>
      </c>
      <c r="P38" s="158"/>
      <c r="Q38" s="157"/>
      <c r="R38" s="11" t="s">
        <v>39</v>
      </c>
      <c r="S38" s="158"/>
      <c r="T38" s="5" t="s">
        <v>40</v>
      </c>
      <c r="U38" s="10"/>
      <c r="V38" s="5"/>
      <c r="W38" s="5"/>
      <c r="X38" s="6"/>
      <c r="Z38" s="146">
        <v>46016</v>
      </c>
      <c r="BB38" s="7" t="str">
        <v>Quarter 1</v>
      </c>
    </row>
    <row r="39" spans="1:54" ht="31.4" customHeight="1" x14ac:dyDescent="0.35">
      <c r="A39" s="210">
        <v>38</v>
      </c>
      <c r="B39" s="5" t="s">
        <v>123</v>
      </c>
      <c r="C39" s="5" t="s">
        <v>11</v>
      </c>
      <c r="D39" s="5" t="s">
        <v>124</v>
      </c>
      <c r="E39" s="149">
        <v>45761</v>
      </c>
      <c r="F39" s="149">
        <f t="shared" si="7"/>
        <v>45762</v>
      </c>
      <c r="G39" s="149">
        <f t="shared" si="8"/>
        <v>45777</v>
      </c>
      <c r="H39" s="149">
        <f t="shared" si="9"/>
        <v>45792</v>
      </c>
      <c r="I39" s="149" t="str">
        <f t="shared" si="6"/>
        <v>Apr</v>
      </c>
      <c r="J39" s="216" t="str">
        <f t="shared" ca="1" si="2"/>
        <v/>
      </c>
      <c r="K39" s="149" t="s">
        <v>3</v>
      </c>
      <c r="L39" s="149"/>
      <c r="M39" s="11">
        <v>45789</v>
      </c>
      <c r="N39" s="152">
        <f t="shared" si="3"/>
        <v>17</v>
      </c>
      <c r="O39" s="12" t="str">
        <f t="shared" si="5"/>
        <v>Yes</v>
      </c>
      <c r="P39" s="158"/>
      <c r="Q39" s="157"/>
      <c r="R39" s="11" t="s">
        <v>39</v>
      </c>
      <c r="S39" s="158"/>
      <c r="T39" s="5" t="s">
        <v>40</v>
      </c>
      <c r="U39" s="10"/>
      <c r="V39" s="5"/>
      <c r="W39" s="5"/>
      <c r="X39" s="6"/>
      <c r="Z39" s="146">
        <v>46017</v>
      </c>
      <c r="BB39" s="7" t="str">
        <v>Quarter 1</v>
      </c>
    </row>
    <row r="40" spans="1:54" ht="31.4" customHeight="1" x14ac:dyDescent="0.35">
      <c r="A40" s="210">
        <v>39</v>
      </c>
      <c r="B40" s="5" t="s">
        <v>123</v>
      </c>
      <c r="C40" s="5" t="s">
        <v>11</v>
      </c>
      <c r="D40" s="5" t="s">
        <v>125</v>
      </c>
      <c r="E40" s="149">
        <v>45761</v>
      </c>
      <c r="F40" s="149">
        <f t="shared" si="7"/>
        <v>45762</v>
      </c>
      <c r="G40" s="149">
        <f t="shared" si="8"/>
        <v>45777</v>
      </c>
      <c r="H40" s="149">
        <f t="shared" si="9"/>
        <v>45792</v>
      </c>
      <c r="I40" s="149" t="str">
        <f t="shared" si="6"/>
        <v>Apr</v>
      </c>
      <c r="J40" s="216" t="str">
        <f t="shared" ca="1" si="2"/>
        <v/>
      </c>
      <c r="K40" s="149" t="s">
        <v>3</v>
      </c>
      <c r="L40" s="149"/>
      <c r="M40" s="11">
        <v>45785</v>
      </c>
      <c r="N40" s="152">
        <f t="shared" si="3"/>
        <v>15</v>
      </c>
      <c r="O40" s="12" t="str">
        <f t="shared" si="5"/>
        <v>Yes</v>
      </c>
      <c r="P40" s="158"/>
      <c r="Q40" s="157"/>
      <c r="R40" s="11" t="s">
        <v>39</v>
      </c>
      <c r="S40" s="158"/>
      <c r="T40" s="5" t="s">
        <v>40</v>
      </c>
      <c r="U40" s="10"/>
      <c r="V40" s="5"/>
      <c r="W40" s="5"/>
      <c r="X40" s="6"/>
      <c r="Z40" s="146">
        <v>46023</v>
      </c>
      <c r="BB40" s="7" t="str">
        <v>Quarter 1</v>
      </c>
    </row>
    <row r="41" spans="1:54" ht="31.4" customHeight="1" x14ac:dyDescent="0.35">
      <c r="A41" s="210">
        <v>40</v>
      </c>
      <c r="B41" s="5" t="s">
        <v>6</v>
      </c>
      <c r="C41" s="5" t="s">
        <v>6</v>
      </c>
      <c r="D41" s="5" t="s">
        <v>126</v>
      </c>
      <c r="E41" s="149">
        <v>45761</v>
      </c>
      <c r="F41" s="149">
        <f t="shared" si="7"/>
        <v>45762</v>
      </c>
      <c r="G41" s="149">
        <f t="shared" si="8"/>
        <v>45777</v>
      </c>
      <c r="H41" s="149">
        <f t="shared" si="9"/>
        <v>45792</v>
      </c>
      <c r="I41" s="149" t="str">
        <f t="shared" si="6"/>
        <v>Apr</v>
      </c>
      <c r="J41" s="216" t="str">
        <f t="shared" ca="1" si="2"/>
        <v/>
      </c>
      <c r="K41" s="149" t="s">
        <v>4</v>
      </c>
      <c r="L41" s="149"/>
      <c r="M41" s="11">
        <v>45762</v>
      </c>
      <c r="N41" s="152">
        <f t="shared" si="3"/>
        <v>1</v>
      </c>
      <c r="O41" s="12" t="str">
        <f t="shared" si="5"/>
        <v>Yes</v>
      </c>
      <c r="P41" s="158"/>
      <c r="Q41" s="157"/>
      <c r="R41" s="11" t="s">
        <v>39</v>
      </c>
      <c r="S41" s="158"/>
      <c r="T41" s="5" t="s">
        <v>40</v>
      </c>
      <c r="U41" s="10"/>
      <c r="V41" s="5"/>
      <c r="W41" s="8"/>
      <c r="X41" s="6"/>
      <c r="Z41" s="146">
        <v>46115</v>
      </c>
      <c r="BB41" s="7" t="str">
        <v>Quarter 1</v>
      </c>
    </row>
    <row r="42" spans="1:54" ht="31.4" customHeight="1" x14ac:dyDescent="0.35">
      <c r="A42" s="210">
        <v>41</v>
      </c>
      <c r="B42" s="5" t="s">
        <v>6</v>
      </c>
      <c r="C42" s="5" t="s">
        <v>6</v>
      </c>
      <c r="D42" s="5" t="s">
        <v>127</v>
      </c>
      <c r="E42" s="149">
        <v>45762</v>
      </c>
      <c r="F42" s="149">
        <f t="shared" si="7"/>
        <v>45763</v>
      </c>
      <c r="G42" s="149">
        <f t="shared" si="8"/>
        <v>45778</v>
      </c>
      <c r="H42" s="149">
        <f t="shared" si="9"/>
        <v>45793</v>
      </c>
      <c r="I42" s="149" t="str">
        <f t="shared" si="6"/>
        <v>Apr</v>
      </c>
      <c r="J42" s="216" t="str">
        <f t="shared" ca="1" si="2"/>
        <v/>
      </c>
      <c r="K42" s="149" t="s">
        <v>4</v>
      </c>
      <c r="L42" s="149"/>
      <c r="M42" s="11">
        <v>45782</v>
      </c>
      <c r="N42" s="152">
        <f t="shared" si="3"/>
        <v>11</v>
      </c>
      <c r="O42" s="12" t="str">
        <f t="shared" si="5"/>
        <v>Yes</v>
      </c>
      <c r="P42" s="158"/>
      <c r="Q42" s="157"/>
      <c r="R42" s="11" t="s">
        <v>39</v>
      </c>
      <c r="S42" s="158"/>
      <c r="T42" s="5" t="s">
        <v>40</v>
      </c>
      <c r="U42" s="10"/>
      <c r="V42" s="5"/>
      <c r="W42" s="5"/>
      <c r="X42" s="6"/>
      <c r="Z42" s="146">
        <v>46118</v>
      </c>
      <c r="BB42" s="7" t="str">
        <v>Quarter 1</v>
      </c>
    </row>
    <row r="43" spans="1:54" ht="31.4" customHeight="1" x14ac:dyDescent="0.35">
      <c r="A43" s="210">
        <v>42</v>
      </c>
      <c r="B43" s="5" t="s">
        <v>128</v>
      </c>
      <c r="C43" s="5" t="s">
        <v>5</v>
      </c>
      <c r="D43" s="5" t="s">
        <v>129</v>
      </c>
      <c r="E43" s="149">
        <v>45761</v>
      </c>
      <c r="F43" s="149">
        <f t="shared" si="7"/>
        <v>45762</v>
      </c>
      <c r="G43" s="149">
        <f t="shared" si="8"/>
        <v>45777</v>
      </c>
      <c r="H43" s="149">
        <f t="shared" si="9"/>
        <v>45792</v>
      </c>
      <c r="I43" s="149" t="str">
        <f t="shared" si="6"/>
        <v>Apr</v>
      </c>
      <c r="J43" s="216" t="str">
        <f t="shared" ca="1" si="2"/>
        <v/>
      </c>
      <c r="K43" s="149" t="s">
        <v>7</v>
      </c>
      <c r="L43" s="149"/>
      <c r="M43" s="11">
        <v>45764</v>
      </c>
      <c r="N43" s="152">
        <f t="shared" si="3"/>
        <v>3</v>
      </c>
      <c r="O43" s="12" t="str">
        <f t="shared" si="5"/>
        <v>Yes</v>
      </c>
      <c r="P43" s="158"/>
      <c r="Q43" s="157"/>
      <c r="R43" s="11" t="s">
        <v>39</v>
      </c>
      <c r="S43" s="158"/>
      <c r="T43" s="5" t="s">
        <v>40</v>
      </c>
      <c r="U43" s="10"/>
      <c r="V43" s="5"/>
      <c r="W43" s="5"/>
      <c r="X43" s="6"/>
      <c r="Z43" s="146">
        <v>46146</v>
      </c>
      <c r="BB43" s="7" t="str">
        <v>Quarter 1</v>
      </c>
    </row>
    <row r="44" spans="1:54" ht="31.4" customHeight="1" x14ac:dyDescent="0.35">
      <c r="A44" s="210">
        <v>43</v>
      </c>
      <c r="B44" s="5" t="s">
        <v>55</v>
      </c>
      <c r="C44" s="5" t="s">
        <v>13</v>
      </c>
      <c r="D44" s="5" t="s">
        <v>130</v>
      </c>
      <c r="E44" s="149">
        <v>45761</v>
      </c>
      <c r="F44" s="149">
        <f t="shared" si="7"/>
        <v>45762</v>
      </c>
      <c r="G44" s="149">
        <f t="shared" si="8"/>
        <v>45777</v>
      </c>
      <c r="H44" s="149">
        <f t="shared" si="9"/>
        <v>45792</v>
      </c>
      <c r="I44" s="149" t="str">
        <f t="shared" si="6"/>
        <v>Apr</v>
      </c>
      <c r="J44" s="216" t="str">
        <f t="shared" ca="1" si="2"/>
        <v/>
      </c>
      <c r="K44" s="149" t="s">
        <v>7</v>
      </c>
      <c r="L44" s="22"/>
      <c r="M44" s="11">
        <v>45777</v>
      </c>
      <c r="N44" s="152">
        <f t="shared" si="3"/>
        <v>10</v>
      </c>
      <c r="O44" s="12" t="str">
        <f t="shared" si="5"/>
        <v>Yes</v>
      </c>
      <c r="P44" s="158"/>
      <c r="Q44" s="157"/>
      <c r="R44" s="11" t="s">
        <v>39</v>
      </c>
      <c r="S44" s="17"/>
      <c r="T44" s="5" t="s">
        <v>40</v>
      </c>
      <c r="U44" s="8"/>
      <c r="V44" s="5"/>
      <c r="W44" s="5"/>
      <c r="X44" s="6"/>
      <c r="Z44" s="146">
        <v>46167</v>
      </c>
      <c r="BB44" s="7" t="str">
        <v>Quarter 1</v>
      </c>
    </row>
    <row r="45" spans="1:54" ht="31.4" customHeight="1" x14ac:dyDescent="0.35">
      <c r="A45" s="210">
        <v>44</v>
      </c>
      <c r="B45" s="5" t="s">
        <v>131</v>
      </c>
      <c r="C45" s="5" t="s">
        <v>5</v>
      </c>
      <c r="D45" s="5" t="s">
        <v>132</v>
      </c>
      <c r="E45" s="149">
        <v>45761</v>
      </c>
      <c r="F45" s="149">
        <f t="shared" si="7"/>
        <v>45762</v>
      </c>
      <c r="G45" s="149">
        <f t="shared" si="8"/>
        <v>45777</v>
      </c>
      <c r="H45" s="149">
        <f t="shared" si="9"/>
        <v>45792</v>
      </c>
      <c r="I45" s="149" t="str">
        <f t="shared" si="6"/>
        <v>Apr</v>
      </c>
      <c r="J45" s="216" t="str">
        <f t="shared" ca="1" si="2"/>
        <v/>
      </c>
      <c r="K45" s="149" t="s">
        <v>7</v>
      </c>
      <c r="L45" s="22"/>
      <c r="M45" s="11">
        <v>45789</v>
      </c>
      <c r="N45" s="152">
        <f t="shared" si="3"/>
        <v>17</v>
      </c>
      <c r="O45" s="12" t="str">
        <f t="shared" si="5"/>
        <v>Yes</v>
      </c>
      <c r="P45" s="158"/>
      <c r="Q45" s="157"/>
      <c r="R45" s="11" t="s">
        <v>39</v>
      </c>
      <c r="S45" s="17"/>
      <c r="T45" s="5" t="s">
        <v>62</v>
      </c>
      <c r="U45" s="8"/>
      <c r="V45" s="5"/>
      <c r="W45" s="5"/>
      <c r="X45" s="6"/>
      <c r="Z45" s="146">
        <v>46265</v>
      </c>
      <c r="BB45" s="7" t="str">
        <v>Quarter 1</v>
      </c>
    </row>
    <row r="46" spans="1:54" ht="31.4" customHeight="1" x14ac:dyDescent="0.35">
      <c r="A46" s="210">
        <v>45</v>
      </c>
      <c r="B46" s="5" t="s">
        <v>6</v>
      </c>
      <c r="C46" s="5" t="s">
        <v>6</v>
      </c>
      <c r="D46" s="8" t="s">
        <v>133</v>
      </c>
      <c r="E46" s="149">
        <v>45761</v>
      </c>
      <c r="F46" s="149">
        <f t="shared" si="7"/>
        <v>45762</v>
      </c>
      <c r="G46" s="149">
        <f t="shared" si="8"/>
        <v>45777</v>
      </c>
      <c r="H46" s="149">
        <f t="shared" si="9"/>
        <v>45792</v>
      </c>
      <c r="I46" s="149" t="str">
        <f t="shared" si="6"/>
        <v>Apr</v>
      </c>
      <c r="J46" s="216" t="str">
        <f t="shared" ca="1" si="2"/>
        <v/>
      </c>
      <c r="K46" s="149" t="s">
        <v>7</v>
      </c>
      <c r="L46" s="149"/>
      <c r="M46" s="11">
        <v>45783</v>
      </c>
      <c r="N46" s="152">
        <f t="shared" si="3"/>
        <v>13</v>
      </c>
      <c r="O46" s="12" t="str">
        <f t="shared" si="5"/>
        <v>Yes</v>
      </c>
      <c r="P46" s="158"/>
      <c r="Q46" s="157"/>
      <c r="R46" s="11" t="s">
        <v>39</v>
      </c>
      <c r="S46" s="17"/>
      <c r="T46" s="5" t="s">
        <v>40</v>
      </c>
      <c r="U46" s="10"/>
      <c r="V46" s="5"/>
      <c r="W46" s="5"/>
      <c r="X46" s="6"/>
      <c r="Z46" s="146">
        <v>46381</v>
      </c>
      <c r="BB46" s="7" t="str">
        <v>Quarter 1</v>
      </c>
    </row>
    <row r="47" spans="1:54" ht="31.4" customHeight="1" x14ac:dyDescent="0.35">
      <c r="A47" s="210">
        <v>46</v>
      </c>
      <c r="B47" s="5" t="s">
        <v>6</v>
      </c>
      <c r="C47" s="5" t="s">
        <v>6</v>
      </c>
      <c r="D47" s="5" t="s">
        <v>1857</v>
      </c>
      <c r="E47" s="149">
        <v>45762</v>
      </c>
      <c r="F47" s="149">
        <f t="shared" si="7"/>
        <v>45763</v>
      </c>
      <c r="G47" s="149">
        <f t="shared" si="8"/>
        <v>45778</v>
      </c>
      <c r="H47" s="149">
        <f t="shared" si="9"/>
        <v>45793</v>
      </c>
      <c r="I47" s="149" t="str">
        <f t="shared" si="6"/>
        <v>Apr</v>
      </c>
      <c r="J47" s="216" t="str">
        <f t="shared" ca="1" si="2"/>
        <v/>
      </c>
      <c r="K47" s="149" t="s">
        <v>7</v>
      </c>
      <c r="L47" s="149"/>
      <c r="M47" s="11">
        <v>45766</v>
      </c>
      <c r="N47" s="152">
        <f t="shared" si="3"/>
        <v>2</v>
      </c>
      <c r="O47" s="12" t="str">
        <f t="shared" si="5"/>
        <v>Yes</v>
      </c>
      <c r="P47" s="158"/>
      <c r="Q47" s="157"/>
      <c r="R47" s="11" t="s">
        <v>39</v>
      </c>
      <c r="S47" s="17"/>
      <c r="T47" s="5" t="s">
        <v>40</v>
      </c>
      <c r="U47" s="10"/>
      <c r="V47" s="5"/>
      <c r="W47" s="5"/>
      <c r="X47" s="6"/>
      <c r="Z47" s="146">
        <v>46384</v>
      </c>
      <c r="BB47" s="7" t="str">
        <v>Quarter 1</v>
      </c>
    </row>
    <row r="48" spans="1:54" ht="31.4" customHeight="1" x14ac:dyDescent="0.35">
      <c r="A48" s="210">
        <v>47</v>
      </c>
      <c r="B48" s="5" t="s">
        <v>134</v>
      </c>
      <c r="C48" s="5" t="s">
        <v>9</v>
      </c>
      <c r="D48" s="147" t="s">
        <v>135</v>
      </c>
      <c r="E48" s="149">
        <v>45762</v>
      </c>
      <c r="F48" s="149">
        <f t="shared" si="7"/>
        <v>45763</v>
      </c>
      <c r="G48" s="149">
        <f t="shared" si="8"/>
        <v>45778</v>
      </c>
      <c r="H48" s="149">
        <f t="shared" si="9"/>
        <v>45793</v>
      </c>
      <c r="I48" s="149" t="str">
        <f t="shared" si="6"/>
        <v>Apr</v>
      </c>
      <c r="J48" s="216" t="str">
        <f t="shared" ca="1" si="2"/>
        <v/>
      </c>
      <c r="K48" s="149" t="s">
        <v>4</v>
      </c>
      <c r="L48" s="149"/>
      <c r="M48" s="11">
        <v>45762</v>
      </c>
      <c r="N48" s="152">
        <f t="shared" si="3"/>
        <v>0</v>
      </c>
      <c r="O48" s="12" t="str">
        <f t="shared" si="5"/>
        <v>Yes</v>
      </c>
      <c r="P48" s="158"/>
      <c r="Q48" s="157"/>
      <c r="R48" s="11" t="s">
        <v>39</v>
      </c>
      <c r="S48" s="17"/>
      <c r="T48" s="5" t="s">
        <v>40</v>
      </c>
      <c r="U48" s="10"/>
      <c r="V48" s="5"/>
      <c r="W48" s="5"/>
      <c r="X48" s="6"/>
      <c r="BB48" s="7" t="str">
        <v>Quarter 1</v>
      </c>
    </row>
    <row r="49" spans="1:54" ht="31.4" customHeight="1" x14ac:dyDescent="0.35">
      <c r="A49" s="210">
        <v>48</v>
      </c>
      <c r="B49" s="5" t="s">
        <v>55</v>
      </c>
      <c r="C49" s="5" t="s">
        <v>13</v>
      </c>
      <c r="D49" s="5" t="s">
        <v>136</v>
      </c>
      <c r="E49" s="149">
        <v>45762</v>
      </c>
      <c r="F49" s="149">
        <f t="shared" si="7"/>
        <v>45763</v>
      </c>
      <c r="G49" s="149">
        <f t="shared" si="8"/>
        <v>45778</v>
      </c>
      <c r="H49" s="149">
        <f t="shared" si="9"/>
        <v>45793</v>
      </c>
      <c r="I49" s="149" t="str">
        <f t="shared" si="6"/>
        <v>Apr</v>
      </c>
      <c r="J49" s="216" t="str">
        <f t="shared" ca="1" si="2"/>
        <v/>
      </c>
      <c r="K49" s="149" t="s">
        <v>43</v>
      </c>
      <c r="L49" s="149"/>
      <c r="M49" s="11">
        <v>45770</v>
      </c>
      <c r="N49" s="152">
        <f t="shared" si="3"/>
        <v>4</v>
      </c>
      <c r="O49" s="12" t="str">
        <f t="shared" si="5"/>
        <v>Yes</v>
      </c>
      <c r="P49" s="158"/>
      <c r="Q49" s="157"/>
      <c r="R49" s="11" t="s">
        <v>39</v>
      </c>
      <c r="S49" s="17"/>
      <c r="T49" s="5" t="s">
        <v>40</v>
      </c>
      <c r="U49" s="10"/>
      <c r="V49" s="5"/>
      <c r="W49" s="5"/>
      <c r="X49" s="6"/>
      <c r="BB49" s="7" t="str">
        <v>Quarter 1</v>
      </c>
    </row>
    <row r="50" spans="1:54" ht="31.4" customHeight="1" x14ac:dyDescent="0.35">
      <c r="A50" s="210">
        <v>49</v>
      </c>
      <c r="B50" s="5" t="s">
        <v>6</v>
      </c>
      <c r="C50" s="5" t="s">
        <v>6</v>
      </c>
      <c r="D50" s="5" t="s">
        <v>137</v>
      </c>
      <c r="E50" s="149">
        <v>45762</v>
      </c>
      <c r="F50" s="149">
        <f t="shared" si="7"/>
        <v>45763</v>
      </c>
      <c r="G50" s="149">
        <f t="shared" si="8"/>
        <v>45778</v>
      </c>
      <c r="H50" s="149">
        <f t="shared" si="9"/>
        <v>45793</v>
      </c>
      <c r="I50" s="149" t="str">
        <f t="shared" si="6"/>
        <v>Apr</v>
      </c>
      <c r="J50" s="216" t="str">
        <f t="shared" ca="1" si="2"/>
        <v/>
      </c>
      <c r="K50" s="149" t="s">
        <v>4</v>
      </c>
      <c r="L50" s="149"/>
      <c r="M50" s="11">
        <v>45763</v>
      </c>
      <c r="N50" s="152">
        <f t="shared" si="3"/>
        <v>1</v>
      </c>
      <c r="O50" s="12" t="str">
        <f t="shared" si="5"/>
        <v>Yes</v>
      </c>
      <c r="P50" s="158"/>
      <c r="Q50" s="157"/>
      <c r="R50" s="11" t="s">
        <v>39</v>
      </c>
      <c r="S50" s="17"/>
      <c r="T50" s="5" t="s">
        <v>45</v>
      </c>
      <c r="U50" s="10"/>
      <c r="V50" s="5" t="s">
        <v>54</v>
      </c>
      <c r="W50" s="5" t="s">
        <v>46</v>
      </c>
      <c r="X50" s="6"/>
      <c r="BB50" s="7" t="str">
        <v>Quarter 1</v>
      </c>
    </row>
    <row r="51" spans="1:54" ht="31.4" customHeight="1" x14ac:dyDescent="0.35">
      <c r="A51" s="210">
        <v>50</v>
      </c>
      <c r="B51" s="5" t="s">
        <v>6</v>
      </c>
      <c r="C51" s="5" t="s">
        <v>6</v>
      </c>
      <c r="D51" s="5" t="s">
        <v>138</v>
      </c>
      <c r="E51" s="149">
        <v>45762</v>
      </c>
      <c r="F51" s="149">
        <f t="shared" si="7"/>
        <v>45763</v>
      </c>
      <c r="G51" s="149">
        <f t="shared" si="8"/>
        <v>45778</v>
      </c>
      <c r="H51" s="149">
        <f t="shared" si="9"/>
        <v>45793</v>
      </c>
      <c r="I51" s="149" t="str">
        <f t="shared" si="6"/>
        <v>Apr</v>
      </c>
      <c r="J51" s="216" t="str">
        <f t="shared" ca="1" si="2"/>
        <v/>
      </c>
      <c r="K51" s="149" t="s">
        <v>4</v>
      </c>
      <c r="L51" s="149"/>
      <c r="M51" s="11">
        <v>45763</v>
      </c>
      <c r="N51" s="152">
        <f t="shared" si="3"/>
        <v>1</v>
      </c>
      <c r="O51" s="12" t="str">
        <f t="shared" si="5"/>
        <v>Yes</v>
      </c>
      <c r="P51" s="158"/>
      <c r="Q51" s="157"/>
      <c r="R51" s="11" t="s">
        <v>39</v>
      </c>
      <c r="S51" s="17"/>
      <c r="T51" s="5" t="s">
        <v>45</v>
      </c>
      <c r="U51" s="10"/>
      <c r="V51" s="5" t="s">
        <v>54</v>
      </c>
      <c r="W51" s="5" t="s">
        <v>46</v>
      </c>
      <c r="X51" s="6"/>
      <c r="BB51" s="7" t="str">
        <v>Quarter 1</v>
      </c>
    </row>
    <row r="52" spans="1:54" ht="31.4" customHeight="1" x14ac:dyDescent="0.35">
      <c r="A52" s="210">
        <v>51</v>
      </c>
      <c r="B52" s="5" t="s">
        <v>112</v>
      </c>
      <c r="C52" s="5" t="s">
        <v>5</v>
      </c>
      <c r="D52" s="5" t="s">
        <v>139</v>
      </c>
      <c r="E52" s="149">
        <v>45762</v>
      </c>
      <c r="F52" s="149">
        <f t="shared" si="7"/>
        <v>45763</v>
      </c>
      <c r="G52" s="149">
        <f t="shared" si="8"/>
        <v>45778</v>
      </c>
      <c r="H52" s="149">
        <f t="shared" si="9"/>
        <v>45793</v>
      </c>
      <c r="I52" s="149" t="str">
        <f t="shared" si="6"/>
        <v>Apr</v>
      </c>
      <c r="J52" s="216" t="str">
        <f t="shared" ca="1" si="2"/>
        <v/>
      </c>
      <c r="K52" s="149" t="s">
        <v>4</v>
      </c>
      <c r="L52" s="149"/>
      <c r="M52" s="11">
        <v>45769</v>
      </c>
      <c r="N52" s="152">
        <f t="shared" si="3"/>
        <v>3</v>
      </c>
      <c r="O52" s="12" t="str">
        <f t="shared" si="5"/>
        <v>Yes</v>
      </c>
      <c r="P52" s="158"/>
      <c r="Q52" s="157"/>
      <c r="R52" s="11" t="s">
        <v>39</v>
      </c>
      <c r="S52" s="17"/>
      <c r="T52" s="5" t="s">
        <v>40</v>
      </c>
      <c r="U52" s="10"/>
      <c r="V52" s="5"/>
      <c r="W52" s="5" t="s">
        <v>46</v>
      </c>
      <c r="X52" s="6"/>
      <c r="BB52" s="7" t="str">
        <v>Quarter 1</v>
      </c>
    </row>
    <row r="53" spans="1:54" ht="31.4" customHeight="1" x14ac:dyDescent="0.35">
      <c r="A53" s="210">
        <v>52</v>
      </c>
      <c r="B53" s="5" t="s">
        <v>55</v>
      </c>
      <c r="C53" s="5" t="s">
        <v>13</v>
      </c>
      <c r="D53" s="8" t="s">
        <v>140</v>
      </c>
      <c r="E53" s="149">
        <v>45762</v>
      </c>
      <c r="F53" s="149">
        <f t="shared" si="7"/>
        <v>45763</v>
      </c>
      <c r="G53" s="149">
        <f t="shared" si="8"/>
        <v>45778</v>
      </c>
      <c r="H53" s="149">
        <f t="shared" si="9"/>
        <v>45793</v>
      </c>
      <c r="I53" s="149" t="str">
        <f t="shared" si="6"/>
        <v>Apr</v>
      </c>
      <c r="J53" s="216" t="str">
        <f t="shared" ca="1" si="2"/>
        <v/>
      </c>
      <c r="K53" s="149" t="s">
        <v>43</v>
      </c>
      <c r="L53" s="22"/>
      <c r="M53" s="11">
        <v>45763</v>
      </c>
      <c r="N53" s="152">
        <f t="shared" si="3"/>
        <v>1</v>
      </c>
      <c r="O53" s="12" t="str">
        <f t="shared" si="5"/>
        <v>Yes</v>
      </c>
      <c r="P53" s="158"/>
      <c r="Q53" s="157"/>
      <c r="R53" s="11" t="s">
        <v>39</v>
      </c>
      <c r="S53" s="17"/>
      <c r="T53" s="5" t="s">
        <v>40</v>
      </c>
      <c r="U53" s="8"/>
      <c r="V53" s="5"/>
      <c r="W53" s="5"/>
      <c r="X53" s="6"/>
      <c r="BB53" s="7" t="str">
        <v>Quarter 1</v>
      </c>
    </row>
    <row r="54" spans="1:54" ht="31.4" customHeight="1" x14ac:dyDescent="0.35">
      <c r="A54" s="210">
        <v>53</v>
      </c>
      <c r="B54" s="5" t="s">
        <v>6</v>
      </c>
      <c r="C54" s="5" t="s">
        <v>6</v>
      </c>
      <c r="D54" s="5" t="s">
        <v>141</v>
      </c>
      <c r="E54" s="149">
        <v>45763</v>
      </c>
      <c r="F54" s="149">
        <f t="shared" si="7"/>
        <v>45764</v>
      </c>
      <c r="G54" s="149">
        <f t="shared" si="8"/>
        <v>45779</v>
      </c>
      <c r="H54" s="149">
        <f t="shared" si="9"/>
        <v>45796</v>
      </c>
      <c r="I54" s="149" t="str">
        <f t="shared" si="6"/>
        <v>Apr</v>
      </c>
      <c r="J54" s="216" t="str">
        <f t="shared" ca="1" si="2"/>
        <v/>
      </c>
      <c r="K54" s="149" t="s">
        <v>43</v>
      </c>
      <c r="L54" s="149"/>
      <c r="M54" s="11">
        <v>45764</v>
      </c>
      <c r="N54" s="152">
        <f t="shared" si="3"/>
        <v>1</v>
      </c>
      <c r="O54" s="12" t="str">
        <f t="shared" si="5"/>
        <v>Yes</v>
      </c>
      <c r="P54" s="158"/>
      <c r="Q54" s="157"/>
      <c r="R54" s="11" t="s">
        <v>39</v>
      </c>
      <c r="S54" s="17"/>
      <c r="T54" s="5" t="s">
        <v>40</v>
      </c>
      <c r="U54" s="10"/>
      <c r="V54" s="5"/>
      <c r="W54" s="8" t="s">
        <v>46</v>
      </c>
      <c r="X54" s="6"/>
      <c r="BB54" s="7" t="str">
        <v>Quarter 1</v>
      </c>
    </row>
    <row r="55" spans="1:54" ht="31.4" customHeight="1" x14ac:dyDescent="0.35">
      <c r="A55" s="210">
        <v>54</v>
      </c>
      <c r="B55" s="5" t="s">
        <v>142</v>
      </c>
      <c r="C55" s="5" t="s">
        <v>9</v>
      </c>
      <c r="D55" s="5" t="s">
        <v>143</v>
      </c>
      <c r="E55" s="149">
        <v>45763</v>
      </c>
      <c r="F55" s="149">
        <f t="shared" si="7"/>
        <v>45764</v>
      </c>
      <c r="G55" s="149">
        <f t="shared" si="8"/>
        <v>45779</v>
      </c>
      <c r="H55" s="149">
        <f t="shared" si="9"/>
        <v>45796</v>
      </c>
      <c r="I55" s="149" t="str">
        <f t="shared" si="6"/>
        <v>Apr</v>
      </c>
      <c r="J55" s="216" t="str">
        <f t="shared" ca="1" si="2"/>
        <v/>
      </c>
      <c r="K55" s="149" t="s">
        <v>4</v>
      </c>
      <c r="L55" s="149"/>
      <c r="M55" s="11">
        <v>45763</v>
      </c>
      <c r="N55" s="152">
        <f t="shared" si="3"/>
        <v>0</v>
      </c>
      <c r="O55" s="12" t="str">
        <f t="shared" si="5"/>
        <v>Yes</v>
      </c>
      <c r="P55" s="158"/>
      <c r="Q55" s="157"/>
      <c r="R55" s="11" t="s">
        <v>39</v>
      </c>
      <c r="S55" s="17"/>
      <c r="T55" s="5" t="s">
        <v>51</v>
      </c>
      <c r="U55" s="10"/>
      <c r="V55" s="5" t="s">
        <v>53</v>
      </c>
      <c r="W55" s="5"/>
      <c r="X55" s="6"/>
      <c r="BB55" s="7" t="str">
        <v>Quarter 1</v>
      </c>
    </row>
    <row r="56" spans="1:54" ht="31.4" customHeight="1" x14ac:dyDescent="0.35">
      <c r="A56" s="210">
        <v>55</v>
      </c>
      <c r="B56" s="5" t="s">
        <v>144</v>
      </c>
      <c r="C56" s="5" t="s">
        <v>9</v>
      </c>
      <c r="D56" s="5" t="s">
        <v>145</v>
      </c>
      <c r="E56" s="149">
        <v>45764</v>
      </c>
      <c r="F56" s="149">
        <f t="shared" si="7"/>
        <v>45769</v>
      </c>
      <c r="G56" s="149">
        <f t="shared" si="8"/>
        <v>45783</v>
      </c>
      <c r="H56" s="149">
        <f t="shared" si="9"/>
        <v>45797</v>
      </c>
      <c r="I56" s="149" t="str">
        <f t="shared" si="6"/>
        <v>Apr</v>
      </c>
      <c r="J56" s="216" t="str">
        <f t="shared" ca="1" si="2"/>
        <v/>
      </c>
      <c r="K56" s="149" t="s">
        <v>43</v>
      </c>
      <c r="L56" s="149"/>
      <c r="M56" s="11">
        <v>45771</v>
      </c>
      <c r="N56" s="152">
        <f t="shared" si="3"/>
        <v>3</v>
      </c>
      <c r="O56" s="12" t="str">
        <f t="shared" si="5"/>
        <v>Yes</v>
      </c>
      <c r="P56" s="158"/>
      <c r="Q56" s="157"/>
      <c r="R56" s="11" t="s">
        <v>39</v>
      </c>
      <c r="S56" s="17"/>
      <c r="T56" s="5" t="s">
        <v>45</v>
      </c>
      <c r="U56" s="10"/>
      <c r="V56" s="5" t="s">
        <v>87</v>
      </c>
      <c r="W56" s="5"/>
      <c r="X56" s="6"/>
      <c r="BB56" s="7" t="str">
        <v>Quarter 1</v>
      </c>
    </row>
    <row r="57" spans="1:54" ht="31.4" customHeight="1" x14ac:dyDescent="0.35">
      <c r="A57" s="210">
        <v>56</v>
      </c>
      <c r="B57" s="5" t="s">
        <v>6</v>
      </c>
      <c r="C57" s="5" t="s">
        <v>6</v>
      </c>
      <c r="D57" s="5" t="s">
        <v>146</v>
      </c>
      <c r="E57" s="149">
        <v>45764</v>
      </c>
      <c r="F57" s="149">
        <f t="shared" si="7"/>
        <v>45769</v>
      </c>
      <c r="G57" s="149">
        <f t="shared" si="8"/>
        <v>45783</v>
      </c>
      <c r="H57" s="149">
        <f t="shared" si="9"/>
        <v>45797</v>
      </c>
      <c r="I57" s="149" t="str">
        <f t="shared" si="6"/>
        <v>Apr</v>
      </c>
      <c r="J57" s="216" t="str">
        <f t="shared" ca="1" si="2"/>
        <v/>
      </c>
      <c r="K57" s="149" t="s">
        <v>43</v>
      </c>
      <c r="L57" s="149"/>
      <c r="M57" s="11">
        <v>45777</v>
      </c>
      <c r="N57" s="152">
        <f t="shared" si="3"/>
        <v>7</v>
      </c>
      <c r="O57" s="12" t="str">
        <f t="shared" si="5"/>
        <v>Yes</v>
      </c>
      <c r="P57" s="158"/>
      <c r="Q57" s="157"/>
      <c r="R57" s="11" t="s">
        <v>39</v>
      </c>
      <c r="S57" s="17"/>
      <c r="T57" s="5" t="s">
        <v>40</v>
      </c>
      <c r="U57" s="10"/>
      <c r="V57" s="5"/>
      <c r="W57" s="5"/>
      <c r="X57" s="6"/>
      <c r="BB57" s="7" t="str">
        <v>Quarter 1</v>
      </c>
    </row>
    <row r="58" spans="1:54" ht="31.4" customHeight="1" x14ac:dyDescent="0.35">
      <c r="A58" s="210">
        <v>57</v>
      </c>
      <c r="B58" s="5" t="s">
        <v>55</v>
      </c>
      <c r="C58" s="5" t="s">
        <v>13</v>
      </c>
      <c r="D58" s="5" t="s">
        <v>147</v>
      </c>
      <c r="E58" s="149">
        <v>45764</v>
      </c>
      <c r="F58" s="149">
        <f t="shared" si="7"/>
        <v>45769</v>
      </c>
      <c r="G58" s="149">
        <f t="shared" si="8"/>
        <v>45783</v>
      </c>
      <c r="H58" s="149">
        <f t="shared" si="9"/>
        <v>45797</v>
      </c>
      <c r="I58" s="149" t="str">
        <f t="shared" si="6"/>
        <v>Apr</v>
      </c>
      <c r="J58" s="216" t="str">
        <f t="shared" ca="1" si="2"/>
        <v/>
      </c>
      <c r="K58" s="149" t="s">
        <v>4</v>
      </c>
      <c r="L58" s="149"/>
      <c r="M58" s="11">
        <v>45770</v>
      </c>
      <c r="N58" s="152">
        <f t="shared" si="3"/>
        <v>2</v>
      </c>
      <c r="O58" s="12" t="str">
        <f t="shared" si="5"/>
        <v>Yes</v>
      </c>
      <c r="P58" s="158"/>
      <c r="Q58" s="157"/>
      <c r="R58" s="11" t="s">
        <v>39</v>
      </c>
      <c r="S58" s="17"/>
      <c r="T58" s="5" t="s">
        <v>40</v>
      </c>
      <c r="U58" s="10"/>
      <c r="V58" s="5"/>
      <c r="W58" s="5"/>
      <c r="X58" s="6"/>
      <c r="BB58" s="7" t="str">
        <v>Quarter 1</v>
      </c>
    </row>
    <row r="59" spans="1:54" ht="31.4" customHeight="1" x14ac:dyDescent="0.35">
      <c r="A59" s="210">
        <v>58</v>
      </c>
      <c r="B59" s="8" t="s">
        <v>148</v>
      </c>
      <c r="C59" s="8" t="s">
        <v>12</v>
      </c>
      <c r="D59" s="8" t="s">
        <v>149</v>
      </c>
      <c r="E59" s="149">
        <v>45764</v>
      </c>
      <c r="F59" s="149">
        <f t="shared" si="7"/>
        <v>45769</v>
      </c>
      <c r="G59" s="149">
        <f t="shared" si="8"/>
        <v>45783</v>
      </c>
      <c r="H59" s="149">
        <f t="shared" si="9"/>
        <v>45797</v>
      </c>
      <c r="I59" s="149" t="str">
        <f t="shared" si="6"/>
        <v>Apr</v>
      </c>
      <c r="J59" s="216" t="str">
        <f t="shared" ca="1" si="2"/>
        <v/>
      </c>
      <c r="K59" s="149" t="s">
        <v>7</v>
      </c>
      <c r="L59" s="149"/>
      <c r="M59" s="11">
        <v>45776</v>
      </c>
      <c r="N59" s="152">
        <f t="shared" si="3"/>
        <v>6</v>
      </c>
      <c r="O59" s="12" t="str">
        <f t="shared" si="5"/>
        <v>Yes</v>
      </c>
      <c r="P59" s="158"/>
      <c r="Q59" s="157"/>
      <c r="R59" s="11" t="s">
        <v>39</v>
      </c>
      <c r="S59" s="17"/>
      <c r="T59" s="5" t="s">
        <v>40</v>
      </c>
      <c r="U59" s="10"/>
      <c r="V59" s="5"/>
      <c r="W59" s="5" t="s">
        <v>46</v>
      </c>
      <c r="X59" s="6"/>
      <c r="BB59" s="7" t="str">
        <v>Quarter 1</v>
      </c>
    </row>
    <row r="60" spans="1:54" ht="31.4" customHeight="1" x14ac:dyDescent="0.35">
      <c r="A60" s="210">
        <v>59</v>
      </c>
      <c r="B60" s="8" t="s">
        <v>55</v>
      </c>
      <c r="C60" s="8" t="s">
        <v>13</v>
      </c>
      <c r="D60" s="5" t="s">
        <v>150</v>
      </c>
      <c r="E60" s="149">
        <v>45764</v>
      </c>
      <c r="F60" s="149">
        <f t="shared" si="7"/>
        <v>45769</v>
      </c>
      <c r="G60" s="149">
        <f t="shared" si="8"/>
        <v>45783</v>
      </c>
      <c r="H60" s="149">
        <f t="shared" si="9"/>
        <v>45797</v>
      </c>
      <c r="I60" s="149" t="str">
        <f t="shared" si="6"/>
        <v>Apr</v>
      </c>
      <c r="J60" s="216" t="str">
        <f t="shared" ca="1" si="2"/>
        <v/>
      </c>
      <c r="K60" s="149" t="s">
        <v>43</v>
      </c>
      <c r="L60" s="149"/>
      <c r="M60" s="11">
        <v>45766</v>
      </c>
      <c r="N60" s="152">
        <f t="shared" si="3"/>
        <v>0</v>
      </c>
      <c r="O60" s="12" t="str">
        <f t="shared" si="5"/>
        <v>Yes</v>
      </c>
      <c r="P60" s="158"/>
      <c r="Q60" s="157"/>
      <c r="R60" s="11" t="s">
        <v>39</v>
      </c>
      <c r="S60" s="17"/>
      <c r="T60" s="5" t="s">
        <v>40</v>
      </c>
      <c r="U60" s="10"/>
      <c r="V60" s="5"/>
      <c r="W60" s="5"/>
      <c r="X60" s="6"/>
      <c r="BB60" s="7" t="str">
        <v>Quarter 1</v>
      </c>
    </row>
    <row r="61" spans="1:54" ht="31.4" customHeight="1" x14ac:dyDescent="0.35">
      <c r="A61" s="210">
        <v>60</v>
      </c>
      <c r="B61" s="5" t="s">
        <v>151</v>
      </c>
      <c r="C61" s="5" t="s">
        <v>9</v>
      </c>
      <c r="D61" s="5" t="s">
        <v>152</v>
      </c>
      <c r="E61" s="149">
        <v>45769</v>
      </c>
      <c r="F61" s="149">
        <f t="shared" si="7"/>
        <v>45770</v>
      </c>
      <c r="G61" s="149">
        <f t="shared" si="8"/>
        <v>45784</v>
      </c>
      <c r="H61" s="149">
        <f t="shared" si="9"/>
        <v>45798</v>
      </c>
      <c r="I61" s="149" t="str">
        <f t="shared" si="6"/>
        <v>Apr</v>
      </c>
      <c r="J61" s="216" t="str">
        <f t="shared" ca="1" si="2"/>
        <v/>
      </c>
      <c r="K61" s="149" t="s">
        <v>43</v>
      </c>
      <c r="L61" s="149"/>
      <c r="M61" s="11">
        <v>45771</v>
      </c>
      <c r="N61" s="152">
        <f t="shared" si="3"/>
        <v>2</v>
      </c>
      <c r="O61" s="12" t="str">
        <f t="shared" si="5"/>
        <v>Yes</v>
      </c>
      <c r="P61" s="158"/>
      <c r="Q61" s="157"/>
      <c r="R61" s="11" t="s">
        <v>39</v>
      </c>
      <c r="S61" s="17"/>
      <c r="T61" s="5" t="s">
        <v>45</v>
      </c>
      <c r="U61" s="10"/>
      <c r="V61" s="5" t="s">
        <v>54</v>
      </c>
      <c r="W61" s="5"/>
      <c r="X61" s="6"/>
      <c r="BB61" s="7" t="str">
        <v>Quarter 1</v>
      </c>
    </row>
    <row r="62" spans="1:54" ht="31.4" customHeight="1" x14ac:dyDescent="0.35">
      <c r="A62" s="210">
        <v>61</v>
      </c>
      <c r="B62" s="5" t="s">
        <v>6</v>
      </c>
      <c r="C62" s="5" t="s">
        <v>6</v>
      </c>
      <c r="D62" s="5" t="s">
        <v>153</v>
      </c>
      <c r="E62" s="149">
        <v>45769</v>
      </c>
      <c r="F62" s="149">
        <f t="shared" si="7"/>
        <v>45770</v>
      </c>
      <c r="G62" s="149">
        <f t="shared" si="8"/>
        <v>45784</v>
      </c>
      <c r="H62" s="149">
        <f t="shared" si="9"/>
        <v>45798</v>
      </c>
      <c r="I62" s="149" t="str">
        <f t="shared" si="6"/>
        <v>Apr</v>
      </c>
      <c r="J62" s="216" t="str">
        <f t="shared" ca="1" si="2"/>
        <v/>
      </c>
      <c r="K62" s="149" t="s">
        <v>43</v>
      </c>
      <c r="L62" s="149"/>
      <c r="M62" s="11">
        <v>45770</v>
      </c>
      <c r="N62" s="152">
        <f t="shared" si="3"/>
        <v>1</v>
      </c>
      <c r="O62" s="12" t="str">
        <f t="shared" si="5"/>
        <v>Yes</v>
      </c>
      <c r="P62" s="158"/>
      <c r="Q62" s="157"/>
      <c r="R62" s="11" t="s">
        <v>39</v>
      </c>
      <c r="S62" s="17"/>
      <c r="T62" s="5" t="s">
        <v>40</v>
      </c>
      <c r="U62" s="10"/>
      <c r="V62" s="5"/>
      <c r="W62" s="5"/>
      <c r="X62" s="6"/>
      <c r="BB62" s="7" t="str">
        <v>Quarter 1</v>
      </c>
    </row>
    <row r="63" spans="1:54" ht="31.4" customHeight="1" x14ac:dyDescent="0.35">
      <c r="A63" s="210">
        <v>62</v>
      </c>
      <c r="B63" s="5" t="s">
        <v>154</v>
      </c>
      <c r="C63" s="5" t="s">
        <v>11</v>
      </c>
      <c r="D63" s="5" t="s">
        <v>155</v>
      </c>
      <c r="E63" s="149">
        <v>45769</v>
      </c>
      <c r="F63" s="149">
        <f t="shared" si="7"/>
        <v>45770</v>
      </c>
      <c r="G63" s="149">
        <f t="shared" si="8"/>
        <v>45784</v>
      </c>
      <c r="H63" s="149">
        <f t="shared" si="9"/>
        <v>45798</v>
      </c>
      <c r="I63" s="149" t="str">
        <f t="shared" si="6"/>
        <v>Apr</v>
      </c>
      <c r="J63" s="216" t="str">
        <f t="shared" ca="1" si="2"/>
        <v/>
      </c>
      <c r="K63" s="149" t="s">
        <v>7</v>
      </c>
      <c r="L63" s="149"/>
      <c r="M63" s="11">
        <v>45770</v>
      </c>
      <c r="N63" s="152">
        <f t="shared" si="3"/>
        <v>1</v>
      </c>
      <c r="O63" s="12" t="str">
        <f t="shared" si="5"/>
        <v>Yes</v>
      </c>
      <c r="P63" s="158"/>
      <c r="Q63" s="157"/>
      <c r="R63" s="11" t="s">
        <v>39</v>
      </c>
      <c r="S63" s="158"/>
      <c r="T63" s="5" t="s">
        <v>40</v>
      </c>
      <c r="U63" s="10"/>
      <c r="V63" s="5"/>
      <c r="W63" s="5"/>
      <c r="X63" s="6"/>
      <c r="BB63" s="7" t="str">
        <v>Quarter 1</v>
      </c>
    </row>
    <row r="64" spans="1:54" ht="31.4" customHeight="1" x14ac:dyDescent="0.35">
      <c r="A64" s="210">
        <v>63</v>
      </c>
      <c r="B64" s="5" t="s">
        <v>156</v>
      </c>
      <c r="C64" s="5" t="s">
        <v>9</v>
      </c>
      <c r="D64" s="5" t="s">
        <v>157</v>
      </c>
      <c r="E64" s="149"/>
      <c r="F64" s="149"/>
      <c r="G64" s="149"/>
      <c r="H64" s="149"/>
      <c r="I64" s="149" t="s">
        <v>158</v>
      </c>
      <c r="J64" s="216" t="str">
        <f t="shared" ca="1" si="2"/>
        <v/>
      </c>
      <c r="K64" s="149" t="s">
        <v>7</v>
      </c>
      <c r="L64" s="149"/>
      <c r="M64" s="11"/>
      <c r="N64" s="152" t="str">
        <f t="shared" si="3"/>
        <v/>
      </c>
      <c r="O64" s="12" t="str">
        <f t="shared" si="5"/>
        <v/>
      </c>
      <c r="P64" s="158"/>
      <c r="Q64" s="157"/>
      <c r="R64" s="11" t="s">
        <v>52</v>
      </c>
      <c r="S64" s="158"/>
      <c r="T64" s="5" t="s">
        <v>52</v>
      </c>
      <c r="U64" s="10"/>
      <c r="V64" s="5"/>
      <c r="W64" s="5" t="s">
        <v>159</v>
      </c>
      <c r="X64" s="6"/>
      <c r="BB64" s="7" t="str">
        <v>Quarter 1</v>
      </c>
    </row>
    <row r="65" spans="1:54" ht="31.4" customHeight="1" x14ac:dyDescent="0.35">
      <c r="A65" s="210">
        <v>64</v>
      </c>
      <c r="B65" s="8" t="s">
        <v>6</v>
      </c>
      <c r="C65" s="8" t="s">
        <v>6</v>
      </c>
      <c r="D65" s="5" t="s">
        <v>160</v>
      </c>
      <c r="E65" s="149">
        <v>45751</v>
      </c>
      <c r="F65" s="149">
        <f>IF($E65="","",WORKDAY($E65,1,$Z$33:$Z$47))</f>
        <v>45754</v>
      </c>
      <c r="G65" s="149">
        <f>IF($E65="","",WORKDAY($E65,10,$Z$33:$Z$47))</f>
        <v>45769</v>
      </c>
      <c r="H65" s="149">
        <f>IF($E65="","",WORKDAY($E65,20,$Z$33:$Z$47))</f>
        <v>45784</v>
      </c>
      <c r="I65" s="149" t="str">
        <f t="shared" si="6"/>
        <v>Apr</v>
      </c>
      <c r="J65" s="216" t="str">
        <f t="shared" ca="1" si="2"/>
        <v/>
      </c>
      <c r="K65" s="149" t="s">
        <v>43</v>
      </c>
      <c r="L65" s="22"/>
      <c r="M65" s="11">
        <v>45769</v>
      </c>
      <c r="N65" s="152">
        <f t="shared" si="3"/>
        <v>10</v>
      </c>
      <c r="O65" s="12" t="str">
        <f t="shared" si="5"/>
        <v>Yes</v>
      </c>
      <c r="P65" s="158"/>
      <c r="Q65" s="157"/>
      <c r="R65" s="11" t="s">
        <v>39</v>
      </c>
      <c r="S65" s="158"/>
      <c r="T65" s="5" t="s">
        <v>45</v>
      </c>
      <c r="U65" s="10"/>
      <c r="V65" s="5" t="s">
        <v>53</v>
      </c>
      <c r="W65" s="5" t="s">
        <v>161</v>
      </c>
      <c r="X65" s="6"/>
      <c r="BB65" s="7" t="str">
        <v>Quarter 1</v>
      </c>
    </row>
    <row r="66" spans="1:54" ht="31.4" customHeight="1" x14ac:dyDescent="0.35">
      <c r="A66" s="210">
        <v>65</v>
      </c>
      <c r="B66" s="5" t="s">
        <v>162</v>
      </c>
      <c r="C66" s="5" t="s">
        <v>5</v>
      </c>
      <c r="D66" s="5" t="s">
        <v>163</v>
      </c>
      <c r="E66" s="149">
        <v>45771</v>
      </c>
      <c r="F66" s="149">
        <f>IF($E66="","",WORKDAY($E66,1,$Z$33:$Z$47))</f>
        <v>45772</v>
      </c>
      <c r="G66" s="149">
        <f>IF($E66="","",WORKDAY($E66,10,$Z$33:$Z$47))</f>
        <v>45786</v>
      </c>
      <c r="H66" s="149">
        <f>IF($E66="","",WORKDAY($E66,20,$Z$33:$Z$47))</f>
        <v>45800</v>
      </c>
      <c r="I66" s="149" t="str">
        <f t="shared" si="6"/>
        <v>Apr</v>
      </c>
      <c r="J66" s="216" t="str">
        <f t="shared" ref="J66:J129" ca="1" si="10">IF($E66="","",IF($M66="",$H66-TODAY(),""))</f>
        <v/>
      </c>
      <c r="K66" s="149" t="s">
        <v>4</v>
      </c>
      <c r="L66" s="149"/>
      <c r="M66" s="11">
        <v>45804</v>
      </c>
      <c r="N66" s="152">
        <f t="shared" ref="N66:N129" si="11">IF($M66="","",NETWORKDAYS($E66,$M66,$Z$33:$Z$47)-1)</f>
        <v>21</v>
      </c>
      <c r="O66" s="12" t="str">
        <f t="shared" si="5"/>
        <v>No</v>
      </c>
      <c r="P66" s="158"/>
      <c r="Q66" s="157"/>
      <c r="R66" s="11" t="s">
        <v>39</v>
      </c>
      <c r="S66" s="158"/>
      <c r="T66" s="5" t="s">
        <v>40</v>
      </c>
      <c r="U66" s="10"/>
      <c r="V66" s="5"/>
      <c r="W66" s="5"/>
      <c r="X66" s="6"/>
      <c r="BB66" s="7" t="str">
        <v>Quarter 1</v>
      </c>
    </row>
    <row r="67" spans="1:54" ht="31.4" customHeight="1" x14ac:dyDescent="0.35">
      <c r="A67" s="210">
        <v>66</v>
      </c>
      <c r="B67" s="5" t="s">
        <v>164</v>
      </c>
      <c r="C67" s="5" t="s">
        <v>9</v>
      </c>
      <c r="D67" s="5" t="s">
        <v>165</v>
      </c>
      <c r="E67" s="149">
        <v>45771</v>
      </c>
      <c r="F67" s="149">
        <f>IF($E67="","",WORKDAY($E67,1,$Z$33:$Z$47))</f>
        <v>45772</v>
      </c>
      <c r="G67" s="149">
        <f>IF($E67="","",WORKDAY($E67,10,$Z$33:$Z$47))</f>
        <v>45786</v>
      </c>
      <c r="H67" s="149">
        <f>IF($E67="","",WORKDAY($E67,20,$Z$33:$Z$47))</f>
        <v>45800</v>
      </c>
      <c r="I67" s="149" t="str">
        <f t="shared" si="6"/>
        <v>Apr</v>
      </c>
      <c r="J67" s="216" t="str">
        <f t="shared" ca="1" si="10"/>
        <v/>
      </c>
      <c r="K67" s="149" t="s">
        <v>4</v>
      </c>
      <c r="L67" s="149"/>
      <c r="M67" s="11">
        <v>45771</v>
      </c>
      <c r="N67" s="152">
        <f t="shared" si="11"/>
        <v>0</v>
      </c>
      <c r="O67" s="12" t="str">
        <f t="shared" ref="O67:O130" si="12">IF(ISBLANK($M67),"",IF($N67&lt;21,"Yes","No"))</f>
        <v>Yes</v>
      </c>
      <c r="P67" s="158"/>
      <c r="Q67" s="157"/>
      <c r="R67" s="11" t="s">
        <v>39</v>
      </c>
      <c r="S67" s="158"/>
      <c r="T67" s="5" t="s">
        <v>40</v>
      </c>
      <c r="U67" s="10"/>
      <c r="V67" s="5"/>
      <c r="W67" s="5"/>
      <c r="X67" s="6"/>
      <c r="BB67" s="7" t="str">
        <v>Quarter 1</v>
      </c>
    </row>
    <row r="68" spans="1:54" ht="31.4" customHeight="1" x14ac:dyDescent="0.35">
      <c r="A68" s="210">
        <v>67</v>
      </c>
      <c r="B68" s="5" t="s">
        <v>6</v>
      </c>
      <c r="C68" s="5" t="s">
        <v>6</v>
      </c>
      <c r="D68" s="5" t="s">
        <v>117</v>
      </c>
      <c r="E68" s="149">
        <v>45749</v>
      </c>
      <c r="F68" s="149">
        <f>IF($E68="","",WORKDAY($E68,1,$Z$33:$Z$47))</f>
        <v>45750</v>
      </c>
      <c r="G68" s="149">
        <f>IF($E68="","",WORKDAY($E68,10,$Z$33:$Z$47))</f>
        <v>45763</v>
      </c>
      <c r="H68" s="149">
        <f>IF($E68="","",WORKDAY($E68,20,$Z$33:$Z$47))</f>
        <v>45779</v>
      </c>
      <c r="I68" s="149" t="str">
        <f t="shared" ref="I68:I145" si="13">IF(ISBLANK($E68),"",TEXT($E68,"mmm"))</f>
        <v>Apr</v>
      </c>
      <c r="J68" s="216" t="str">
        <f t="shared" ca="1" si="10"/>
        <v/>
      </c>
      <c r="K68" s="149" t="s">
        <v>4</v>
      </c>
      <c r="L68" s="149"/>
      <c r="M68" s="11">
        <v>45771</v>
      </c>
      <c r="N68" s="152">
        <f t="shared" si="11"/>
        <v>14</v>
      </c>
      <c r="O68" s="12" t="str">
        <f t="shared" si="12"/>
        <v>Yes</v>
      </c>
      <c r="P68" s="158"/>
      <c r="Q68" s="157"/>
      <c r="R68" s="11" t="s">
        <v>39</v>
      </c>
      <c r="S68" s="158"/>
      <c r="T68" s="5" t="s">
        <v>45</v>
      </c>
      <c r="U68" s="10"/>
      <c r="V68" s="5" t="s">
        <v>54</v>
      </c>
      <c r="W68" s="5"/>
      <c r="X68" s="6"/>
      <c r="BB68" s="7" t="str">
        <v>Quarter 1</v>
      </c>
    </row>
    <row r="69" spans="1:54" ht="31.4" customHeight="1" x14ac:dyDescent="0.35">
      <c r="A69" s="210">
        <v>68</v>
      </c>
      <c r="B69" s="5" t="s">
        <v>55</v>
      </c>
      <c r="C69" s="5" t="s">
        <v>13</v>
      </c>
      <c r="D69" s="5" t="s">
        <v>166</v>
      </c>
      <c r="E69" s="149">
        <v>45771</v>
      </c>
      <c r="F69" s="149">
        <f>IF($E69="","",WORKDAY($E69,1,$Z$33:$Z$47))</f>
        <v>45772</v>
      </c>
      <c r="G69" s="149">
        <f>IF($E69="","",WORKDAY($E69,10,$Z$33:$Z$47))</f>
        <v>45786</v>
      </c>
      <c r="H69" s="149">
        <f>IF($E69="","",WORKDAY($E69,20,$Z$33:$Z$47))</f>
        <v>45800</v>
      </c>
      <c r="I69" s="149" t="str">
        <f t="shared" si="13"/>
        <v>Apr</v>
      </c>
      <c r="J69" s="216" t="str">
        <f t="shared" ca="1" si="10"/>
        <v/>
      </c>
      <c r="K69" s="149" t="s">
        <v>43</v>
      </c>
      <c r="L69" s="149"/>
      <c r="M69" s="11">
        <v>45783</v>
      </c>
      <c r="N69" s="152">
        <f t="shared" si="11"/>
        <v>7</v>
      </c>
      <c r="O69" s="12" t="str">
        <f t="shared" si="12"/>
        <v>Yes</v>
      </c>
      <c r="P69" s="158"/>
      <c r="Q69" s="157"/>
      <c r="R69" s="11" t="s">
        <v>39</v>
      </c>
      <c r="S69" s="158"/>
      <c r="T69" s="5" t="s">
        <v>45</v>
      </c>
      <c r="U69" s="10"/>
      <c r="V69" s="5" t="s">
        <v>54</v>
      </c>
      <c r="W69" s="5"/>
      <c r="X69" s="6"/>
      <c r="BB69" s="7" t="str">
        <v>Quarter 1</v>
      </c>
    </row>
    <row r="70" spans="1:54" ht="31.4" customHeight="1" x14ac:dyDescent="0.35">
      <c r="A70" s="210">
        <v>69</v>
      </c>
      <c r="B70" s="5" t="s">
        <v>55</v>
      </c>
      <c r="C70" s="5" t="s">
        <v>13</v>
      </c>
      <c r="D70" s="5" t="s">
        <v>167</v>
      </c>
      <c r="E70" s="149"/>
      <c r="F70" s="149"/>
      <c r="G70" s="149"/>
      <c r="H70" s="149"/>
      <c r="I70" s="149" t="s">
        <v>158</v>
      </c>
      <c r="J70" s="216" t="str">
        <f t="shared" ca="1" si="10"/>
        <v/>
      </c>
      <c r="K70" s="149" t="s">
        <v>43</v>
      </c>
      <c r="L70" s="149"/>
      <c r="M70" s="11"/>
      <c r="N70" s="152" t="str">
        <f t="shared" si="11"/>
        <v/>
      </c>
      <c r="O70" s="12" t="str">
        <f t="shared" si="12"/>
        <v/>
      </c>
      <c r="P70" s="158"/>
      <c r="Q70" s="157"/>
      <c r="R70" s="11" t="s">
        <v>52</v>
      </c>
      <c r="S70" s="158"/>
      <c r="T70" s="5" t="s">
        <v>52</v>
      </c>
      <c r="U70" s="10"/>
      <c r="V70" s="5"/>
      <c r="W70" s="5" t="s">
        <v>168</v>
      </c>
      <c r="X70" s="6"/>
      <c r="BB70" s="7" t="str">
        <v>Quarter 1</v>
      </c>
    </row>
    <row r="71" spans="1:54" ht="31.4" customHeight="1" x14ac:dyDescent="0.35">
      <c r="A71" s="210">
        <v>70</v>
      </c>
      <c r="B71" s="5" t="s">
        <v>6</v>
      </c>
      <c r="C71" s="5" t="s">
        <v>6</v>
      </c>
      <c r="D71" s="5" t="s">
        <v>169</v>
      </c>
      <c r="E71" s="149">
        <v>45775</v>
      </c>
      <c r="F71" s="149">
        <f t="shared" ref="F71:F102" si="14">IF($E71="","",WORKDAY($E71,1,$Z$33:$Z$47))</f>
        <v>45776</v>
      </c>
      <c r="G71" s="149">
        <f t="shared" ref="G71:G102" si="15">IF($E71="","",WORKDAY($E71,10,$Z$33:$Z$47))</f>
        <v>45790</v>
      </c>
      <c r="H71" s="149">
        <f t="shared" ref="H71:H102" si="16">IF($E71="","",WORKDAY($E71,20,$Z$33:$Z$47))</f>
        <v>45805</v>
      </c>
      <c r="I71" s="149" t="str">
        <f t="shared" si="13"/>
        <v>Apr</v>
      </c>
      <c r="J71" s="216" t="str">
        <f t="shared" ca="1" si="10"/>
        <v/>
      </c>
      <c r="K71" s="149" t="s">
        <v>43</v>
      </c>
      <c r="L71" s="149"/>
      <c r="M71" s="11">
        <v>45805</v>
      </c>
      <c r="N71" s="152">
        <f t="shared" si="11"/>
        <v>20</v>
      </c>
      <c r="O71" s="12" t="str">
        <f t="shared" si="12"/>
        <v>Yes</v>
      </c>
      <c r="P71" s="158"/>
      <c r="Q71" s="157"/>
      <c r="R71" s="11" t="s">
        <v>39</v>
      </c>
      <c r="S71" s="158"/>
      <c r="T71" s="5" t="s">
        <v>51</v>
      </c>
      <c r="U71" s="10"/>
      <c r="V71" s="5" t="s">
        <v>53</v>
      </c>
      <c r="W71" s="5"/>
      <c r="X71" s="6"/>
      <c r="BB71" s="7" t="str">
        <v>Quarter 1</v>
      </c>
    </row>
    <row r="72" spans="1:54" ht="31.4" customHeight="1" x14ac:dyDescent="0.35">
      <c r="A72" s="210">
        <v>71</v>
      </c>
      <c r="B72" s="5" t="s">
        <v>55</v>
      </c>
      <c r="C72" s="5" t="s">
        <v>13</v>
      </c>
      <c r="D72" s="5" t="s">
        <v>170</v>
      </c>
      <c r="E72" s="149">
        <v>45775</v>
      </c>
      <c r="F72" s="149">
        <f t="shared" si="14"/>
        <v>45776</v>
      </c>
      <c r="G72" s="149">
        <f t="shared" si="15"/>
        <v>45790</v>
      </c>
      <c r="H72" s="149">
        <f t="shared" si="16"/>
        <v>45805</v>
      </c>
      <c r="I72" s="149" t="str">
        <f t="shared" si="13"/>
        <v>Apr</v>
      </c>
      <c r="J72" s="216" t="str">
        <f t="shared" ca="1" si="10"/>
        <v/>
      </c>
      <c r="K72" s="149" t="s">
        <v>4</v>
      </c>
      <c r="L72" s="149"/>
      <c r="M72" s="11">
        <v>45775</v>
      </c>
      <c r="N72" s="152">
        <f t="shared" si="11"/>
        <v>0</v>
      </c>
      <c r="O72" s="12" t="str">
        <f t="shared" si="12"/>
        <v>Yes</v>
      </c>
      <c r="P72" s="158"/>
      <c r="Q72" s="157"/>
      <c r="R72" s="11" t="s">
        <v>39</v>
      </c>
      <c r="S72" s="158"/>
      <c r="T72" s="5" t="s">
        <v>45</v>
      </c>
      <c r="U72" s="10"/>
      <c r="V72" s="5" t="s">
        <v>54</v>
      </c>
      <c r="W72" s="5"/>
      <c r="X72" s="6"/>
      <c r="BB72" s="7" t="str">
        <v>Quarter 1</v>
      </c>
    </row>
    <row r="73" spans="1:54" ht="31.4" customHeight="1" x14ac:dyDescent="0.35">
      <c r="A73" s="210">
        <v>72</v>
      </c>
      <c r="B73" s="5" t="s">
        <v>6</v>
      </c>
      <c r="C73" s="5" t="s">
        <v>6</v>
      </c>
      <c r="D73" s="5" t="s">
        <v>171</v>
      </c>
      <c r="E73" s="149">
        <v>45776</v>
      </c>
      <c r="F73" s="149">
        <f t="shared" si="14"/>
        <v>45777</v>
      </c>
      <c r="G73" s="149">
        <f t="shared" si="15"/>
        <v>45791</v>
      </c>
      <c r="H73" s="149">
        <f t="shared" si="16"/>
        <v>45806</v>
      </c>
      <c r="I73" s="149" t="str">
        <f t="shared" si="13"/>
        <v>Apr</v>
      </c>
      <c r="J73" s="216" t="str">
        <f t="shared" ca="1" si="10"/>
        <v/>
      </c>
      <c r="K73" s="149" t="s">
        <v>43</v>
      </c>
      <c r="L73" s="149"/>
      <c r="M73" s="11">
        <v>45793</v>
      </c>
      <c r="N73" s="152">
        <f t="shared" si="11"/>
        <v>12</v>
      </c>
      <c r="O73" s="12" t="str">
        <f t="shared" si="12"/>
        <v>Yes</v>
      </c>
      <c r="P73" s="158"/>
      <c r="Q73" s="157"/>
      <c r="R73" s="11" t="s">
        <v>39</v>
      </c>
      <c r="S73" s="158"/>
      <c r="T73" s="5" t="s">
        <v>45</v>
      </c>
      <c r="U73" s="10"/>
      <c r="V73" s="5" t="s">
        <v>87</v>
      </c>
      <c r="W73" s="5"/>
      <c r="X73" s="6"/>
      <c r="BB73" s="7" t="str">
        <v>Quarter 1</v>
      </c>
    </row>
    <row r="74" spans="1:54" ht="31.4" customHeight="1" x14ac:dyDescent="0.35">
      <c r="A74" s="210">
        <v>73</v>
      </c>
      <c r="B74" s="5" t="s">
        <v>172</v>
      </c>
      <c r="C74" s="5" t="s">
        <v>11</v>
      </c>
      <c r="D74" s="5" t="s">
        <v>173</v>
      </c>
      <c r="E74" s="149">
        <v>45776</v>
      </c>
      <c r="F74" s="149">
        <f t="shared" si="14"/>
        <v>45777</v>
      </c>
      <c r="G74" s="149">
        <f t="shared" si="15"/>
        <v>45791</v>
      </c>
      <c r="H74" s="149">
        <f t="shared" si="16"/>
        <v>45806</v>
      </c>
      <c r="I74" s="149" t="str">
        <f t="shared" si="13"/>
        <v>Apr</v>
      </c>
      <c r="J74" s="216" t="str">
        <f t="shared" ca="1" si="10"/>
        <v/>
      </c>
      <c r="K74" s="149" t="s">
        <v>7</v>
      </c>
      <c r="L74" s="149"/>
      <c r="M74" s="11">
        <v>45791</v>
      </c>
      <c r="N74" s="152">
        <f t="shared" si="11"/>
        <v>10</v>
      </c>
      <c r="O74" s="12" t="str">
        <f t="shared" si="12"/>
        <v>Yes</v>
      </c>
      <c r="P74" s="158"/>
      <c r="Q74" s="157"/>
      <c r="R74" s="11" t="s">
        <v>39</v>
      </c>
      <c r="S74" s="158"/>
      <c r="T74" s="5" t="s">
        <v>40</v>
      </c>
      <c r="U74" s="10"/>
      <c r="V74" s="5"/>
      <c r="W74" s="5"/>
      <c r="X74" s="6"/>
      <c r="BB74" s="7" t="str">
        <v>Quarter 1</v>
      </c>
    </row>
    <row r="75" spans="1:54" ht="31.4" customHeight="1" x14ac:dyDescent="0.35">
      <c r="A75" s="210">
        <v>74</v>
      </c>
      <c r="B75" s="5" t="s">
        <v>6</v>
      </c>
      <c r="C75" s="5" t="s">
        <v>6</v>
      </c>
      <c r="D75" s="5" t="s">
        <v>174</v>
      </c>
      <c r="E75" s="149">
        <v>45777</v>
      </c>
      <c r="F75" s="149">
        <f t="shared" si="14"/>
        <v>45778</v>
      </c>
      <c r="G75" s="149">
        <f t="shared" si="15"/>
        <v>45792</v>
      </c>
      <c r="H75" s="149">
        <f t="shared" si="16"/>
        <v>45807</v>
      </c>
      <c r="I75" s="149" t="str">
        <f t="shared" si="13"/>
        <v>Apr</v>
      </c>
      <c r="J75" s="216" t="str">
        <f t="shared" ca="1" si="10"/>
        <v/>
      </c>
      <c r="K75" s="149" t="s">
        <v>43</v>
      </c>
      <c r="L75" s="149"/>
      <c r="M75" s="11">
        <v>45778</v>
      </c>
      <c r="N75" s="152">
        <f t="shared" si="11"/>
        <v>1</v>
      </c>
      <c r="O75" s="12" t="str">
        <f t="shared" si="12"/>
        <v>Yes</v>
      </c>
      <c r="P75" s="158"/>
      <c r="Q75" s="157"/>
      <c r="R75" s="11" t="s">
        <v>39</v>
      </c>
      <c r="S75" s="158"/>
      <c r="T75" s="5" t="s">
        <v>45</v>
      </c>
      <c r="U75" s="10"/>
      <c r="V75" s="5" t="s">
        <v>87</v>
      </c>
      <c r="W75" s="5"/>
      <c r="X75" s="6"/>
      <c r="BB75" s="7" t="str">
        <v>Quarter 1</v>
      </c>
    </row>
    <row r="76" spans="1:54" ht="31.4" customHeight="1" x14ac:dyDescent="0.35">
      <c r="A76" s="210">
        <v>75</v>
      </c>
      <c r="B76" s="5" t="s">
        <v>175</v>
      </c>
      <c r="C76" s="5" t="s">
        <v>12</v>
      </c>
      <c r="D76" s="5" t="s">
        <v>176</v>
      </c>
      <c r="E76" s="149">
        <v>45777</v>
      </c>
      <c r="F76" s="149">
        <f t="shared" si="14"/>
        <v>45778</v>
      </c>
      <c r="G76" s="149">
        <f t="shared" si="15"/>
        <v>45792</v>
      </c>
      <c r="H76" s="149">
        <f t="shared" si="16"/>
        <v>45807</v>
      </c>
      <c r="I76" s="149" t="str">
        <f t="shared" si="13"/>
        <v>Apr</v>
      </c>
      <c r="J76" s="216" t="str">
        <f t="shared" ca="1" si="10"/>
        <v/>
      </c>
      <c r="K76" s="149" t="s">
        <v>3</v>
      </c>
      <c r="L76" s="149"/>
      <c r="M76" s="11">
        <v>45785</v>
      </c>
      <c r="N76" s="152">
        <f t="shared" si="11"/>
        <v>5</v>
      </c>
      <c r="O76" s="12" t="str">
        <f t="shared" si="12"/>
        <v>Yes</v>
      </c>
      <c r="P76" s="158"/>
      <c r="Q76" s="157"/>
      <c r="R76" s="11" t="s">
        <v>39</v>
      </c>
      <c r="S76" s="158"/>
      <c r="T76" s="5" t="s">
        <v>62</v>
      </c>
      <c r="U76" s="10"/>
      <c r="V76" s="5"/>
      <c r="W76" s="5"/>
      <c r="X76" s="6"/>
      <c r="BB76" s="7" t="str">
        <v>Quarter 1</v>
      </c>
    </row>
    <row r="77" spans="1:54" ht="31.4" customHeight="1" x14ac:dyDescent="0.35">
      <c r="A77" s="210">
        <v>76</v>
      </c>
      <c r="B77" s="5" t="s">
        <v>177</v>
      </c>
      <c r="C77" s="5" t="s">
        <v>9</v>
      </c>
      <c r="D77" s="8" t="s">
        <v>178</v>
      </c>
      <c r="E77" s="149">
        <v>45777</v>
      </c>
      <c r="F77" s="149">
        <f t="shared" si="14"/>
        <v>45778</v>
      </c>
      <c r="G77" s="149">
        <f t="shared" si="15"/>
        <v>45792</v>
      </c>
      <c r="H77" s="149">
        <f t="shared" si="16"/>
        <v>45807</v>
      </c>
      <c r="I77" s="149" t="str">
        <f t="shared" si="13"/>
        <v>Apr</v>
      </c>
      <c r="J77" s="216" t="str">
        <f t="shared" ca="1" si="10"/>
        <v/>
      </c>
      <c r="K77" s="149" t="s">
        <v>3</v>
      </c>
      <c r="L77" s="22"/>
      <c r="M77" s="11">
        <v>45792</v>
      </c>
      <c r="N77" s="152">
        <f t="shared" si="11"/>
        <v>10</v>
      </c>
      <c r="O77" s="12" t="str">
        <f t="shared" si="12"/>
        <v>Yes</v>
      </c>
      <c r="P77" s="158"/>
      <c r="Q77" s="157"/>
      <c r="R77" s="11" t="s">
        <v>39</v>
      </c>
      <c r="S77" s="158"/>
      <c r="T77" s="5" t="s">
        <v>40</v>
      </c>
      <c r="U77" s="10"/>
      <c r="V77" s="5"/>
      <c r="W77" s="5"/>
      <c r="X77" s="6"/>
      <c r="BB77" s="7" t="str">
        <v>Quarter 1</v>
      </c>
    </row>
    <row r="78" spans="1:54" ht="31.4" customHeight="1" x14ac:dyDescent="0.35">
      <c r="A78" s="210">
        <v>77</v>
      </c>
      <c r="B78" s="5" t="s">
        <v>6</v>
      </c>
      <c r="C78" s="5" t="s">
        <v>6</v>
      </c>
      <c r="D78" s="8" t="s">
        <v>179</v>
      </c>
      <c r="E78" s="149">
        <v>45777</v>
      </c>
      <c r="F78" s="149">
        <f t="shared" si="14"/>
        <v>45778</v>
      </c>
      <c r="G78" s="149">
        <f t="shared" si="15"/>
        <v>45792</v>
      </c>
      <c r="H78" s="149">
        <f t="shared" si="16"/>
        <v>45807</v>
      </c>
      <c r="I78" s="149" t="str">
        <f t="shared" si="13"/>
        <v>Apr</v>
      </c>
      <c r="J78" s="216" t="str">
        <f t="shared" ca="1" si="10"/>
        <v/>
      </c>
      <c r="K78" s="149" t="s">
        <v>4</v>
      </c>
      <c r="L78" s="22"/>
      <c r="M78" s="11">
        <v>45784</v>
      </c>
      <c r="N78" s="152">
        <f t="shared" si="11"/>
        <v>4</v>
      </c>
      <c r="O78" s="12" t="str">
        <f t="shared" si="12"/>
        <v>Yes</v>
      </c>
      <c r="P78" s="158"/>
      <c r="Q78" s="157"/>
      <c r="R78" s="11" t="s">
        <v>39</v>
      </c>
      <c r="S78" s="158"/>
      <c r="T78" s="5" t="s">
        <v>40</v>
      </c>
      <c r="U78" s="10"/>
      <c r="V78" s="5"/>
      <c r="W78" s="5"/>
      <c r="X78" s="6"/>
      <c r="BB78" s="7" t="str">
        <v>Quarter 1</v>
      </c>
    </row>
    <row r="79" spans="1:54" ht="31.4" customHeight="1" x14ac:dyDescent="0.35">
      <c r="A79" s="210">
        <v>78</v>
      </c>
      <c r="B79" s="8" t="s">
        <v>6</v>
      </c>
      <c r="C79" s="8" t="s">
        <v>6</v>
      </c>
      <c r="D79" s="8" t="s">
        <v>180</v>
      </c>
      <c r="E79" s="149">
        <v>45777</v>
      </c>
      <c r="F79" s="149">
        <f t="shared" si="14"/>
        <v>45778</v>
      </c>
      <c r="G79" s="149">
        <f t="shared" si="15"/>
        <v>45792</v>
      </c>
      <c r="H79" s="149">
        <f t="shared" si="16"/>
        <v>45807</v>
      </c>
      <c r="I79" s="149" t="str">
        <f t="shared" si="13"/>
        <v>Apr</v>
      </c>
      <c r="J79" s="216" t="str">
        <f t="shared" ca="1" si="10"/>
        <v/>
      </c>
      <c r="K79" s="149" t="s">
        <v>43</v>
      </c>
      <c r="L79" s="22"/>
      <c r="M79" s="11">
        <v>45778</v>
      </c>
      <c r="N79" s="152">
        <f t="shared" si="11"/>
        <v>1</v>
      </c>
      <c r="O79" s="12" t="str">
        <f t="shared" si="12"/>
        <v>Yes</v>
      </c>
      <c r="P79" s="158"/>
      <c r="Q79" s="157"/>
      <c r="R79" s="11" t="s">
        <v>39</v>
      </c>
      <c r="S79" s="158"/>
      <c r="T79" s="5" t="s">
        <v>40</v>
      </c>
      <c r="U79" s="10"/>
      <c r="V79" s="5"/>
      <c r="W79" s="5"/>
      <c r="X79" s="6"/>
      <c r="BB79" s="7" t="str">
        <v>Quarter 1</v>
      </c>
    </row>
    <row r="80" spans="1:54" ht="31.4" customHeight="1" x14ac:dyDescent="0.35">
      <c r="A80" s="210">
        <v>79</v>
      </c>
      <c r="B80" s="8" t="s">
        <v>68</v>
      </c>
      <c r="C80" s="8" t="s">
        <v>9</v>
      </c>
      <c r="D80" s="8" t="s">
        <v>181</v>
      </c>
      <c r="E80" s="149">
        <v>45778</v>
      </c>
      <c r="F80" s="149">
        <f t="shared" si="14"/>
        <v>45779</v>
      </c>
      <c r="G80" s="149">
        <f t="shared" si="15"/>
        <v>45793</v>
      </c>
      <c r="H80" s="149">
        <f t="shared" si="16"/>
        <v>45810</v>
      </c>
      <c r="I80" s="149" t="str">
        <f t="shared" si="13"/>
        <v>May</v>
      </c>
      <c r="J80" s="216" t="str">
        <f t="shared" ca="1" si="10"/>
        <v/>
      </c>
      <c r="K80" s="149" t="s">
        <v>3</v>
      </c>
      <c r="L80" s="22"/>
      <c r="M80" s="11">
        <v>45797</v>
      </c>
      <c r="N80" s="152">
        <f t="shared" si="11"/>
        <v>12</v>
      </c>
      <c r="O80" s="12" t="str">
        <f t="shared" si="12"/>
        <v>Yes</v>
      </c>
      <c r="P80" s="158"/>
      <c r="Q80" s="157"/>
      <c r="R80" s="11" t="s">
        <v>39</v>
      </c>
      <c r="S80" s="158"/>
      <c r="T80" s="5" t="s">
        <v>51</v>
      </c>
      <c r="U80" s="10"/>
      <c r="V80" s="5" t="s">
        <v>41</v>
      </c>
      <c r="W80" s="5"/>
      <c r="X80" s="6"/>
      <c r="BB80" s="7" t="str">
        <v>Quarter 1</v>
      </c>
    </row>
    <row r="81" spans="1:54" ht="31.4" customHeight="1" x14ac:dyDescent="0.35">
      <c r="A81" s="210">
        <v>80</v>
      </c>
      <c r="B81" s="8" t="s">
        <v>68</v>
      </c>
      <c r="C81" s="8" t="s">
        <v>9</v>
      </c>
      <c r="D81" s="8" t="s">
        <v>1858</v>
      </c>
      <c r="E81" s="149">
        <v>45778</v>
      </c>
      <c r="F81" s="149">
        <f t="shared" si="14"/>
        <v>45779</v>
      </c>
      <c r="G81" s="149">
        <f t="shared" si="15"/>
        <v>45793</v>
      </c>
      <c r="H81" s="149">
        <f t="shared" si="16"/>
        <v>45810</v>
      </c>
      <c r="I81" s="149" t="str">
        <f t="shared" si="13"/>
        <v>May</v>
      </c>
      <c r="J81" s="216" t="str">
        <f t="shared" ca="1" si="10"/>
        <v/>
      </c>
      <c r="K81" s="149" t="s">
        <v>7</v>
      </c>
      <c r="L81" s="22"/>
      <c r="M81" s="11">
        <v>45793</v>
      </c>
      <c r="N81" s="152">
        <f t="shared" si="11"/>
        <v>10</v>
      </c>
      <c r="O81" s="12" t="str">
        <f t="shared" si="12"/>
        <v>Yes</v>
      </c>
      <c r="P81" s="158"/>
      <c r="Q81" s="157"/>
      <c r="R81" s="11" t="s">
        <v>39</v>
      </c>
      <c r="S81" s="158"/>
      <c r="T81" s="5" t="s">
        <v>51</v>
      </c>
      <c r="U81" s="10"/>
      <c r="V81" s="5" t="s">
        <v>41</v>
      </c>
      <c r="W81" s="5"/>
      <c r="X81" s="6"/>
      <c r="BB81" s="7" t="str">
        <v>Quarter 1</v>
      </c>
    </row>
    <row r="82" spans="1:54" ht="31.4" customHeight="1" x14ac:dyDescent="0.35">
      <c r="A82" s="210">
        <v>81</v>
      </c>
      <c r="B82" s="5" t="s">
        <v>182</v>
      </c>
      <c r="C82" s="5" t="s">
        <v>11</v>
      </c>
      <c r="D82" s="8" t="s">
        <v>183</v>
      </c>
      <c r="E82" s="149">
        <v>45778</v>
      </c>
      <c r="F82" s="149">
        <f t="shared" si="14"/>
        <v>45779</v>
      </c>
      <c r="G82" s="149">
        <f t="shared" si="15"/>
        <v>45793</v>
      </c>
      <c r="H82" s="149">
        <f t="shared" si="16"/>
        <v>45810</v>
      </c>
      <c r="I82" s="149" t="str">
        <f t="shared" si="13"/>
        <v>May</v>
      </c>
      <c r="J82" s="216" t="str">
        <f t="shared" ca="1" si="10"/>
        <v/>
      </c>
      <c r="K82" s="149" t="s">
        <v>3</v>
      </c>
      <c r="L82" s="22"/>
      <c r="M82" s="11">
        <v>45851</v>
      </c>
      <c r="N82" s="152">
        <f t="shared" si="11"/>
        <v>49</v>
      </c>
      <c r="O82" s="12" t="str">
        <f t="shared" si="12"/>
        <v>No</v>
      </c>
      <c r="P82" s="158"/>
      <c r="Q82" s="157"/>
      <c r="R82" s="11" t="s">
        <v>39</v>
      </c>
      <c r="S82" s="158"/>
      <c r="T82" s="5" t="s">
        <v>40</v>
      </c>
      <c r="U82" s="10"/>
      <c r="V82" s="5"/>
      <c r="W82" s="5"/>
      <c r="X82" s="6"/>
      <c r="BB82" s="7" t="str">
        <v>Quarter 1</v>
      </c>
    </row>
    <row r="83" spans="1:54" ht="31.4" customHeight="1" x14ac:dyDescent="0.35">
      <c r="A83" s="210">
        <v>82</v>
      </c>
      <c r="B83" s="8" t="s">
        <v>184</v>
      </c>
      <c r="C83" s="8" t="s">
        <v>11</v>
      </c>
      <c r="D83" s="8" t="s">
        <v>185</v>
      </c>
      <c r="E83" s="149">
        <v>45778</v>
      </c>
      <c r="F83" s="149">
        <f t="shared" si="14"/>
        <v>45779</v>
      </c>
      <c r="G83" s="149">
        <f t="shared" si="15"/>
        <v>45793</v>
      </c>
      <c r="H83" s="149">
        <f t="shared" si="16"/>
        <v>45810</v>
      </c>
      <c r="I83" s="149" t="str">
        <f t="shared" si="13"/>
        <v>May</v>
      </c>
      <c r="J83" s="216" t="str">
        <f t="shared" ca="1" si="10"/>
        <v/>
      </c>
      <c r="K83" s="149" t="s">
        <v>4</v>
      </c>
      <c r="L83" s="22"/>
      <c r="M83" s="11">
        <v>45806</v>
      </c>
      <c r="N83" s="152">
        <f t="shared" si="11"/>
        <v>18</v>
      </c>
      <c r="O83" s="12" t="str">
        <f t="shared" si="12"/>
        <v>Yes</v>
      </c>
      <c r="P83" s="158"/>
      <c r="Q83" s="157"/>
      <c r="R83" s="11" t="s">
        <v>39</v>
      </c>
      <c r="S83" s="158"/>
      <c r="T83" s="5" t="s">
        <v>40</v>
      </c>
      <c r="U83" s="10"/>
      <c r="V83" s="5"/>
      <c r="W83" s="5"/>
      <c r="X83" s="6"/>
      <c r="BB83" s="7" t="str">
        <v>Quarter 1</v>
      </c>
    </row>
    <row r="84" spans="1:54" ht="31.4" customHeight="1" x14ac:dyDescent="0.35">
      <c r="A84" s="210">
        <v>83</v>
      </c>
      <c r="B84" s="5" t="s">
        <v>186</v>
      </c>
      <c r="C84" s="5" t="s">
        <v>11</v>
      </c>
      <c r="D84" s="8" t="s">
        <v>187</v>
      </c>
      <c r="E84" s="149">
        <v>45778</v>
      </c>
      <c r="F84" s="149">
        <f t="shared" si="14"/>
        <v>45779</v>
      </c>
      <c r="G84" s="149">
        <f t="shared" si="15"/>
        <v>45793</v>
      </c>
      <c r="H84" s="149">
        <f t="shared" si="16"/>
        <v>45810</v>
      </c>
      <c r="I84" s="149" t="str">
        <f t="shared" si="13"/>
        <v>May</v>
      </c>
      <c r="J84" s="216" t="str">
        <f t="shared" ca="1" si="10"/>
        <v/>
      </c>
      <c r="K84" s="149" t="s">
        <v>43</v>
      </c>
      <c r="L84" s="22"/>
      <c r="M84" s="11">
        <v>45779</v>
      </c>
      <c r="N84" s="152">
        <f t="shared" si="11"/>
        <v>1</v>
      </c>
      <c r="O84" s="12" t="str">
        <f t="shared" si="12"/>
        <v>Yes</v>
      </c>
      <c r="P84" s="158"/>
      <c r="Q84" s="157"/>
      <c r="R84" s="11" t="s">
        <v>39</v>
      </c>
      <c r="S84" s="158"/>
      <c r="T84" s="5" t="s">
        <v>40</v>
      </c>
      <c r="U84" s="10"/>
      <c r="V84" s="5"/>
      <c r="W84" s="8"/>
      <c r="X84" s="6"/>
      <c r="BB84" s="7" t="str">
        <v>Quarter 1</v>
      </c>
    </row>
    <row r="85" spans="1:54" ht="31.4" customHeight="1" x14ac:dyDescent="0.35">
      <c r="A85" s="210">
        <v>84</v>
      </c>
      <c r="B85" s="5" t="s">
        <v>188</v>
      </c>
      <c r="C85" s="5" t="s">
        <v>9</v>
      </c>
      <c r="D85" s="8" t="s">
        <v>189</v>
      </c>
      <c r="E85" s="149">
        <v>45779</v>
      </c>
      <c r="F85" s="149">
        <f t="shared" si="14"/>
        <v>45783</v>
      </c>
      <c r="G85" s="149">
        <f t="shared" si="15"/>
        <v>45796</v>
      </c>
      <c r="H85" s="149">
        <f t="shared" si="16"/>
        <v>45811</v>
      </c>
      <c r="I85" s="149" t="str">
        <f t="shared" si="13"/>
        <v>May</v>
      </c>
      <c r="J85" s="216" t="str">
        <f t="shared" ca="1" si="10"/>
        <v/>
      </c>
      <c r="K85" s="149" t="s">
        <v>43</v>
      </c>
      <c r="L85" s="22"/>
      <c r="M85" s="11">
        <v>45792</v>
      </c>
      <c r="N85" s="152">
        <f t="shared" si="11"/>
        <v>8</v>
      </c>
      <c r="O85" s="12" t="str">
        <f t="shared" si="12"/>
        <v>Yes</v>
      </c>
      <c r="P85" s="158"/>
      <c r="Q85" s="157"/>
      <c r="R85" s="11" t="s">
        <v>39</v>
      </c>
      <c r="S85" s="158"/>
      <c r="T85" s="5" t="s">
        <v>40</v>
      </c>
      <c r="U85" s="10"/>
      <c r="V85" s="5"/>
      <c r="W85" s="5" t="s">
        <v>46</v>
      </c>
      <c r="X85" s="6"/>
      <c r="BB85" s="7" t="str">
        <v>Quarter 1</v>
      </c>
    </row>
    <row r="86" spans="1:54" ht="31.4" customHeight="1" x14ac:dyDescent="0.35">
      <c r="A86" s="210">
        <v>85</v>
      </c>
      <c r="B86" s="8" t="s">
        <v>190</v>
      </c>
      <c r="C86" s="8" t="s">
        <v>9</v>
      </c>
      <c r="D86" s="8" t="s">
        <v>191</v>
      </c>
      <c r="E86" s="149">
        <v>45779</v>
      </c>
      <c r="F86" s="149">
        <f t="shared" si="14"/>
        <v>45783</v>
      </c>
      <c r="G86" s="149">
        <f t="shared" si="15"/>
        <v>45796</v>
      </c>
      <c r="H86" s="149">
        <f t="shared" si="16"/>
        <v>45811</v>
      </c>
      <c r="I86" s="149" t="str">
        <f t="shared" si="13"/>
        <v>May</v>
      </c>
      <c r="J86" s="216" t="str">
        <f t="shared" ca="1" si="10"/>
        <v/>
      </c>
      <c r="K86" s="149" t="s">
        <v>4</v>
      </c>
      <c r="L86" s="22"/>
      <c r="M86" s="11">
        <v>45786</v>
      </c>
      <c r="N86" s="152">
        <f t="shared" si="11"/>
        <v>4</v>
      </c>
      <c r="O86" s="12" t="str">
        <f t="shared" si="12"/>
        <v>Yes</v>
      </c>
      <c r="P86" s="158"/>
      <c r="Q86" s="157"/>
      <c r="R86" s="11" t="s">
        <v>39</v>
      </c>
      <c r="S86" s="158"/>
      <c r="T86" s="5" t="s">
        <v>40</v>
      </c>
      <c r="U86" s="10"/>
      <c r="V86" s="5"/>
      <c r="W86" s="8"/>
      <c r="X86" s="6"/>
      <c r="BB86" s="7" t="str">
        <v>Quarter 1</v>
      </c>
    </row>
    <row r="87" spans="1:54" ht="31.4" customHeight="1" x14ac:dyDescent="0.35">
      <c r="A87" s="210">
        <v>86</v>
      </c>
      <c r="B87" s="8" t="s">
        <v>184</v>
      </c>
      <c r="C87" s="8" t="s">
        <v>11</v>
      </c>
      <c r="D87" s="8" t="s">
        <v>192</v>
      </c>
      <c r="E87" s="149">
        <v>45779</v>
      </c>
      <c r="F87" s="149">
        <f t="shared" si="14"/>
        <v>45783</v>
      </c>
      <c r="G87" s="149">
        <f t="shared" si="15"/>
        <v>45796</v>
      </c>
      <c r="H87" s="149">
        <f t="shared" si="16"/>
        <v>45811</v>
      </c>
      <c r="I87" s="149" t="str">
        <f t="shared" si="13"/>
        <v>May</v>
      </c>
      <c r="J87" s="216" t="str">
        <f t="shared" ca="1" si="10"/>
        <v/>
      </c>
      <c r="K87" s="149" t="s">
        <v>4</v>
      </c>
      <c r="L87" s="22"/>
      <c r="M87" s="11">
        <v>45783</v>
      </c>
      <c r="N87" s="152">
        <f t="shared" si="11"/>
        <v>1</v>
      </c>
      <c r="O87" s="12" t="str">
        <f t="shared" si="12"/>
        <v>Yes</v>
      </c>
      <c r="P87" s="158"/>
      <c r="Q87" s="157"/>
      <c r="R87" s="11" t="s">
        <v>39</v>
      </c>
      <c r="S87" s="158"/>
      <c r="T87" s="5" t="s">
        <v>40</v>
      </c>
      <c r="U87" s="10"/>
      <c r="V87" s="5"/>
      <c r="W87" s="5"/>
      <c r="X87" s="6"/>
      <c r="BB87" s="7" t="str">
        <v>Quarter 1</v>
      </c>
    </row>
    <row r="88" spans="1:54" ht="31.4" customHeight="1" x14ac:dyDescent="0.35">
      <c r="A88" s="210">
        <v>87</v>
      </c>
      <c r="B88" s="8" t="s">
        <v>55</v>
      </c>
      <c r="C88" s="8" t="s">
        <v>13</v>
      </c>
      <c r="D88" s="8" t="s">
        <v>86</v>
      </c>
      <c r="E88" s="149">
        <v>45779</v>
      </c>
      <c r="F88" s="149">
        <f t="shared" si="14"/>
        <v>45783</v>
      </c>
      <c r="G88" s="149">
        <f t="shared" si="15"/>
        <v>45796</v>
      </c>
      <c r="H88" s="149">
        <f t="shared" si="16"/>
        <v>45811</v>
      </c>
      <c r="I88" s="149" t="str">
        <f t="shared" si="13"/>
        <v>May</v>
      </c>
      <c r="J88" s="216" t="str">
        <f t="shared" ca="1" si="10"/>
        <v/>
      </c>
      <c r="K88" s="149" t="s">
        <v>4</v>
      </c>
      <c r="L88" s="22"/>
      <c r="M88" s="11">
        <v>45782</v>
      </c>
      <c r="N88" s="152">
        <f t="shared" si="11"/>
        <v>0</v>
      </c>
      <c r="O88" s="12" t="str">
        <f t="shared" si="12"/>
        <v>Yes</v>
      </c>
      <c r="P88" s="158"/>
      <c r="Q88" s="157"/>
      <c r="R88" s="11" t="s">
        <v>39</v>
      </c>
      <c r="S88" s="158"/>
      <c r="T88" s="5" t="s">
        <v>45</v>
      </c>
      <c r="U88" s="10"/>
      <c r="V88" s="5" t="s">
        <v>53</v>
      </c>
      <c r="W88" s="5" t="s">
        <v>193</v>
      </c>
      <c r="X88" s="6"/>
      <c r="BB88" s="7" t="str">
        <v>Quarter 1</v>
      </c>
    </row>
    <row r="89" spans="1:54" ht="31.4" customHeight="1" x14ac:dyDescent="0.35">
      <c r="A89" s="210">
        <v>88</v>
      </c>
      <c r="B89" s="5" t="s">
        <v>55</v>
      </c>
      <c r="C89" s="5" t="s">
        <v>13</v>
      </c>
      <c r="D89" s="8" t="s">
        <v>194</v>
      </c>
      <c r="E89" s="149">
        <v>45783</v>
      </c>
      <c r="F89" s="149">
        <f t="shared" si="14"/>
        <v>45784</v>
      </c>
      <c r="G89" s="149">
        <f t="shared" si="15"/>
        <v>45797</v>
      </c>
      <c r="H89" s="149">
        <f t="shared" si="16"/>
        <v>45812</v>
      </c>
      <c r="I89" s="149" t="str">
        <f t="shared" si="13"/>
        <v>May</v>
      </c>
      <c r="J89" s="216" t="str">
        <f t="shared" ca="1" si="10"/>
        <v/>
      </c>
      <c r="K89" s="149" t="s">
        <v>4</v>
      </c>
      <c r="L89" s="22"/>
      <c r="M89" s="11">
        <v>45784</v>
      </c>
      <c r="N89" s="152">
        <f t="shared" si="11"/>
        <v>1</v>
      </c>
      <c r="O89" s="12" t="str">
        <f t="shared" si="12"/>
        <v>Yes</v>
      </c>
      <c r="P89" s="158"/>
      <c r="Q89" s="157"/>
      <c r="R89" s="11" t="s">
        <v>39</v>
      </c>
      <c r="S89" s="158"/>
      <c r="T89" s="5" t="s">
        <v>51</v>
      </c>
      <c r="U89" s="10"/>
      <c r="V89" s="5" t="s">
        <v>80</v>
      </c>
      <c r="W89" s="5" t="s">
        <v>195</v>
      </c>
      <c r="X89" s="6"/>
      <c r="BB89" s="7" t="str">
        <v>Quarter 1</v>
      </c>
    </row>
    <row r="90" spans="1:54" ht="31.4" customHeight="1" x14ac:dyDescent="0.35">
      <c r="A90" s="210">
        <v>89</v>
      </c>
      <c r="B90" s="5" t="s">
        <v>6</v>
      </c>
      <c r="C90" s="5" t="s">
        <v>6</v>
      </c>
      <c r="D90" s="8" t="s">
        <v>196</v>
      </c>
      <c r="E90" s="149">
        <v>45783</v>
      </c>
      <c r="F90" s="149">
        <f t="shared" si="14"/>
        <v>45784</v>
      </c>
      <c r="G90" s="149">
        <f t="shared" si="15"/>
        <v>45797</v>
      </c>
      <c r="H90" s="149">
        <f t="shared" si="16"/>
        <v>45812</v>
      </c>
      <c r="I90" s="149" t="str">
        <f t="shared" si="13"/>
        <v>May</v>
      </c>
      <c r="J90" s="216" t="str">
        <f t="shared" ca="1" si="10"/>
        <v/>
      </c>
      <c r="K90" s="149" t="s">
        <v>3</v>
      </c>
      <c r="L90" s="22"/>
      <c r="M90" s="11">
        <v>45793</v>
      </c>
      <c r="N90" s="152">
        <f t="shared" si="11"/>
        <v>8</v>
      </c>
      <c r="O90" s="12" t="str">
        <f t="shared" si="12"/>
        <v>Yes</v>
      </c>
      <c r="P90" s="158"/>
      <c r="Q90" s="157"/>
      <c r="R90" s="17" t="s">
        <v>39</v>
      </c>
      <c r="S90" s="158"/>
      <c r="T90" s="8" t="s">
        <v>45</v>
      </c>
      <c r="U90" s="10"/>
      <c r="V90" s="5"/>
      <c r="W90" s="8" t="s">
        <v>46</v>
      </c>
      <c r="X90" s="6"/>
      <c r="BB90" s="7" t="str">
        <v>Quarter 1</v>
      </c>
    </row>
    <row r="91" spans="1:54" ht="31.4" customHeight="1" x14ac:dyDescent="0.35">
      <c r="A91" s="210">
        <v>90</v>
      </c>
      <c r="B91" s="5" t="s">
        <v>6</v>
      </c>
      <c r="C91" s="5" t="s">
        <v>6</v>
      </c>
      <c r="D91" s="8" t="s">
        <v>160</v>
      </c>
      <c r="E91" s="149">
        <v>45783</v>
      </c>
      <c r="F91" s="149">
        <f t="shared" si="14"/>
        <v>45784</v>
      </c>
      <c r="G91" s="149">
        <f t="shared" si="15"/>
        <v>45797</v>
      </c>
      <c r="H91" s="149">
        <f t="shared" si="16"/>
        <v>45812</v>
      </c>
      <c r="I91" s="149" t="str">
        <f t="shared" si="13"/>
        <v>May</v>
      </c>
      <c r="J91" s="216" t="str">
        <f t="shared" ca="1" si="10"/>
        <v/>
      </c>
      <c r="K91" s="149" t="s">
        <v>4</v>
      </c>
      <c r="L91" s="22"/>
      <c r="M91" s="11">
        <v>45784</v>
      </c>
      <c r="N91" s="152">
        <f t="shared" si="11"/>
        <v>1</v>
      </c>
      <c r="O91" s="12" t="str">
        <f t="shared" si="12"/>
        <v>Yes</v>
      </c>
      <c r="P91" s="158"/>
      <c r="Q91" s="157"/>
      <c r="R91" s="11" t="s">
        <v>39</v>
      </c>
      <c r="S91" s="158"/>
      <c r="T91" s="5" t="s">
        <v>45</v>
      </c>
      <c r="U91" s="10"/>
      <c r="V91" s="5" t="s">
        <v>53</v>
      </c>
      <c r="W91" s="5"/>
      <c r="X91" s="6"/>
      <c r="BB91" s="7" t="str">
        <v>Quarter 1</v>
      </c>
    </row>
    <row r="92" spans="1:54" ht="31.4" customHeight="1" x14ac:dyDescent="0.35">
      <c r="A92" s="210">
        <v>91</v>
      </c>
      <c r="B92" s="8" t="s">
        <v>55</v>
      </c>
      <c r="C92" s="8" t="s">
        <v>13</v>
      </c>
      <c r="D92" s="8" t="s">
        <v>197</v>
      </c>
      <c r="E92" s="149">
        <v>45784</v>
      </c>
      <c r="F92" s="149">
        <f t="shared" si="14"/>
        <v>45785</v>
      </c>
      <c r="G92" s="149">
        <f t="shared" si="15"/>
        <v>45798</v>
      </c>
      <c r="H92" s="149">
        <f t="shared" si="16"/>
        <v>45813</v>
      </c>
      <c r="I92" s="149" t="str">
        <f t="shared" si="13"/>
        <v>May</v>
      </c>
      <c r="J92" s="216" t="str">
        <f t="shared" ca="1" si="10"/>
        <v/>
      </c>
      <c r="K92" s="149" t="s">
        <v>4</v>
      </c>
      <c r="L92" s="22"/>
      <c r="M92" s="11">
        <v>45784</v>
      </c>
      <c r="N92" s="152">
        <f t="shared" si="11"/>
        <v>0</v>
      </c>
      <c r="O92" s="12" t="str">
        <f t="shared" si="12"/>
        <v>Yes</v>
      </c>
      <c r="P92" s="158"/>
      <c r="Q92" s="157"/>
      <c r="R92" s="11" t="s">
        <v>39</v>
      </c>
      <c r="S92" s="158"/>
      <c r="T92" s="5" t="s">
        <v>45</v>
      </c>
      <c r="U92" s="10"/>
      <c r="V92" s="5" t="s">
        <v>87</v>
      </c>
      <c r="W92" s="5"/>
      <c r="X92" s="6"/>
      <c r="BB92" s="7" t="str">
        <v>Quarter 1</v>
      </c>
    </row>
    <row r="93" spans="1:54" ht="31.4" customHeight="1" x14ac:dyDescent="0.35">
      <c r="A93" s="210">
        <v>92</v>
      </c>
      <c r="B93" s="8" t="s">
        <v>6</v>
      </c>
      <c r="C93" s="8" t="s">
        <v>6</v>
      </c>
      <c r="D93" s="8" t="s">
        <v>198</v>
      </c>
      <c r="E93" s="149">
        <v>45784</v>
      </c>
      <c r="F93" s="149">
        <f t="shared" si="14"/>
        <v>45785</v>
      </c>
      <c r="G93" s="149">
        <f t="shared" si="15"/>
        <v>45798</v>
      </c>
      <c r="H93" s="149">
        <f t="shared" si="16"/>
        <v>45813</v>
      </c>
      <c r="I93" s="149" t="str">
        <f t="shared" si="13"/>
        <v>May</v>
      </c>
      <c r="J93" s="216" t="str">
        <f t="shared" ca="1" si="10"/>
        <v/>
      </c>
      <c r="K93" s="149" t="s">
        <v>4</v>
      </c>
      <c r="L93" s="22"/>
      <c r="M93" s="11">
        <v>45806</v>
      </c>
      <c r="N93" s="152">
        <f t="shared" si="11"/>
        <v>15</v>
      </c>
      <c r="O93" s="12" t="str">
        <f t="shared" si="12"/>
        <v>Yes</v>
      </c>
      <c r="P93" s="158"/>
      <c r="Q93" s="157"/>
      <c r="R93" s="11" t="s">
        <v>39</v>
      </c>
      <c r="S93" s="158"/>
      <c r="T93" s="5" t="s">
        <v>51</v>
      </c>
      <c r="U93" s="10"/>
      <c r="V93" s="5" t="s">
        <v>53</v>
      </c>
      <c r="W93" s="5"/>
      <c r="X93" s="6"/>
      <c r="BB93" s="7" t="str">
        <v>Quarter 1</v>
      </c>
    </row>
    <row r="94" spans="1:54" ht="31.4" customHeight="1" x14ac:dyDescent="0.35">
      <c r="A94" s="210">
        <v>93</v>
      </c>
      <c r="B94" s="5" t="s">
        <v>55</v>
      </c>
      <c r="C94" s="5" t="s">
        <v>13</v>
      </c>
      <c r="D94" s="5" t="s">
        <v>199</v>
      </c>
      <c r="E94" s="149">
        <v>45784</v>
      </c>
      <c r="F94" s="149">
        <f t="shared" si="14"/>
        <v>45785</v>
      </c>
      <c r="G94" s="149">
        <f t="shared" si="15"/>
        <v>45798</v>
      </c>
      <c r="H94" s="149">
        <f t="shared" si="16"/>
        <v>45813</v>
      </c>
      <c r="I94" s="149" t="str">
        <f t="shared" si="13"/>
        <v>May</v>
      </c>
      <c r="J94" s="216" t="str">
        <f t="shared" ca="1" si="10"/>
        <v/>
      </c>
      <c r="K94" s="149" t="s">
        <v>3</v>
      </c>
      <c r="L94" s="149"/>
      <c r="M94" s="11">
        <v>45804</v>
      </c>
      <c r="N94" s="152">
        <f t="shared" si="11"/>
        <v>13</v>
      </c>
      <c r="O94" s="12" t="str">
        <f t="shared" si="12"/>
        <v>Yes</v>
      </c>
      <c r="P94" s="158"/>
      <c r="Q94" s="157"/>
      <c r="R94" s="11" t="s">
        <v>39</v>
      </c>
      <c r="S94" s="158"/>
      <c r="T94" s="5" t="s">
        <v>40</v>
      </c>
      <c r="U94" s="10"/>
      <c r="V94" s="5"/>
      <c r="W94" s="5"/>
      <c r="X94" s="6"/>
      <c r="BB94" s="7" t="str">
        <v>Quarter 1</v>
      </c>
    </row>
    <row r="95" spans="1:54" ht="31.4" customHeight="1" x14ac:dyDescent="0.35">
      <c r="A95" s="210">
        <v>94</v>
      </c>
      <c r="B95" s="5" t="s">
        <v>200</v>
      </c>
      <c r="C95" s="5" t="s">
        <v>9</v>
      </c>
      <c r="D95" s="5" t="s">
        <v>201</v>
      </c>
      <c r="E95" s="149">
        <v>45785</v>
      </c>
      <c r="F95" s="149">
        <f t="shared" si="14"/>
        <v>45786</v>
      </c>
      <c r="G95" s="149">
        <f t="shared" si="15"/>
        <v>45799</v>
      </c>
      <c r="H95" s="149">
        <f t="shared" si="16"/>
        <v>45814</v>
      </c>
      <c r="I95" s="149" t="str">
        <f t="shared" si="13"/>
        <v>May</v>
      </c>
      <c r="J95" s="216" t="str">
        <f t="shared" ca="1" si="10"/>
        <v/>
      </c>
      <c r="K95" s="149" t="s">
        <v>4</v>
      </c>
      <c r="L95" s="149"/>
      <c r="M95" s="11">
        <v>45786</v>
      </c>
      <c r="N95" s="152">
        <f t="shared" si="11"/>
        <v>1</v>
      </c>
      <c r="O95" s="12" t="str">
        <f t="shared" si="12"/>
        <v>Yes</v>
      </c>
      <c r="P95" s="158"/>
      <c r="Q95" s="157"/>
      <c r="R95" s="17" t="s">
        <v>39</v>
      </c>
      <c r="S95" s="159"/>
      <c r="T95" s="8" t="s">
        <v>62</v>
      </c>
      <c r="U95" s="160"/>
      <c r="V95" s="5"/>
      <c r="W95" s="8" t="s">
        <v>202</v>
      </c>
      <c r="X95" s="6"/>
      <c r="BB95" s="7" t="str">
        <v>Quarter 1</v>
      </c>
    </row>
    <row r="96" spans="1:54" ht="31.4" customHeight="1" x14ac:dyDescent="0.35">
      <c r="A96" s="210">
        <v>95</v>
      </c>
      <c r="B96" s="5" t="s">
        <v>203</v>
      </c>
      <c r="C96" s="5" t="s">
        <v>12</v>
      </c>
      <c r="D96" s="5" t="s">
        <v>204</v>
      </c>
      <c r="E96" s="149">
        <v>45785</v>
      </c>
      <c r="F96" s="149">
        <f t="shared" si="14"/>
        <v>45786</v>
      </c>
      <c r="G96" s="149">
        <f t="shared" si="15"/>
        <v>45799</v>
      </c>
      <c r="H96" s="149">
        <f t="shared" si="16"/>
        <v>45814</v>
      </c>
      <c r="I96" s="149" t="str">
        <f t="shared" si="13"/>
        <v>May</v>
      </c>
      <c r="J96" s="216" t="str">
        <f t="shared" ca="1" si="10"/>
        <v/>
      </c>
      <c r="K96" s="149" t="s">
        <v>43</v>
      </c>
      <c r="L96" s="149"/>
      <c r="M96" s="11">
        <v>45786</v>
      </c>
      <c r="N96" s="152">
        <f t="shared" si="11"/>
        <v>1</v>
      </c>
      <c r="O96" s="12" t="str">
        <f t="shared" si="12"/>
        <v>Yes</v>
      </c>
      <c r="P96" s="158"/>
      <c r="Q96" s="157"/>
      <c r="R96" s="11" t="s">
        <v>39</v>
      </c>
      <c r="S96" s="158"/>
      <c r="T96" s="5" t="s">
        <v>45</v>
      </c>
      <c r="U96" s="10"/>
      <c r="V96" s="5" t="s">
        <v>87</v>
      </c>
      <c r="W96" s="5"/>
      <c r="X96" s="6"/>
      <c r="BB96" s="7" t="str">
        <v>Quarter 1</v>
      </c>
    </row>
    <row r="97" spans="1:54" ht="31.4" customHeight="1" x14ac:dyDescent="0.35">
      <c r="A97" s="210">
        <v>96</v>
      </c>
      <c r="B97" s="5" t="s">
        <v>205</v>
      </c>
      <c r="C97" s="5" t="s">
        <v>11</v>
      </c>
      <c r="D97" s="5" t="s">
        <v>206</v>
      </c>
      <c r="E97" s="149">
        <v>45785</v>
      </c>
      <c r="F97" s="149">
        <f t="shared" si="14"/>
        <v>45786</v>
      </c>
      <c r="G97" s="149">
        <f t="shared" si="15"/>
        <v>45799</v>
      </c>
      <c r="H97" s="149">
        <f t="shared" si="16"/>
        <v>45814</v>
      </c>
      <c r="I97" s="149" t="str">
        <f t="shared" si="13"/>
        <v>May</v>
      </c>
      <c r="J97" s="216" t="str">
        <f t="shared" ca="1" si="10"/>
        <v/>
      </c>
      <c r="K97" s="149" t="s">
        <v>3</v>
      </c>
      <c r="L97" s="149"/>
      <c r="M97" s="11">
        <v>45796</v>
      </c>
      <c r="N97" s="152">
        <f t="shared" si="11"/>
        <v>7</v>
      </c>
      <c r="O97" s="12" t="str">
        <f t="shared" si="12"/>
        <v>Yes</v>
      </c>
      <c r="P97" s="158"/>
      <c r="Q97" s="157"/>
      <c r="R97" s="11" t="s">
        <v>39</v>
      </c>
      <c r="S97" s="158"/>
      <c r="T97" s="5" t="s">
        <v>62</v>
      </c>
      <c r="U97" s="10"/>
      <c r="V97" s="5"/>
      <c r="W97" s="5"/>
      <c r="X97" s="6"/>
      <c r="BB97" s="7" t="str">
        <v>Quarter 1</v>
      </c>
    </row>
    <row r="98" spans="1:54" ht="31.4" customHeight="1" x14ac:dyDescent="0.35">
      <c r="A98" s="210">
        <v>97</v>
      </c>
      <c r="B98" s="5" t="s">
        <v>207</v>
      </c>
      <c r="C98" s="5" t="s">
        <v>5</v>
      </c>
      <c r="D98" s="5" t="s">
        <v>208</v>
      </c>
      <c r="E98" s="149">
        <v>45786</v>
      </c>
      <c r="F98" s="149">
        <f t="shared" si="14"/>
        <v>45789</v>
      </c>
      <c r="G98" s="149">
        <f t="shared" si="15"/>
        <v>45800</v>
      </c>
      <c r="H98" s="149">
        <f t="shared" si="16"/>
        <v>45817</v>
      </c>
      <c r="I98" s="149" t="str">
        <f t="shared" si="13"/>
        <v>May</v>
      </c>
      <c r="J98" s="216" t="str">
        <f t="shared" ca="1" si="10"/>
        <v/>
      </c>
      <c r="K98" s="149" t="s">
        <v>43</v>
      </c>
      <c r="L98" s="149"/>
      <c r="M98" s="11">
        <v>45789</v>
      </c>
      <c r="N98" s="152">
        <f t="shared" si="11"/>
        <v>1</v>
      </c>
      <c r="O98" s="12" t="str">
        <f t="shared" si="12"/>
        <v>Yes</v>
      </c>
      <c r="P98" s="158"/>
      <c r="Q98" s="157"/>
      <c r="R98" s="11" t="s">
        <v>39</v>
      </c>
      <c r="S98" s="158"/>
      <c r="T98" s="5" t="s">
        <v>40</v>
      </c>
      <c r="U98" s="10"/>
      <c r="V98" s="5"/>
      <c r="W98" s="5"/>
      <c r="X98" s="6"/>
      <c r="BB98" s="7" t="str">
        <v>Quarter 1</v>
      </c>
    </row>
    <row r="99" spans="1:54" ht="31.4" customHeight="1" x14ac:dyDescent="0.35">
      <c r="A99" s="210">
        <v>98</v>
      </c>
      <c r="B99" s="5" t="s">
        <v>6</v>
      </c>
      <c r="C99" s="5" t="s">
        <v>6</v>
      </c>
      <c r="D99" s="5" t="s">
        <v>209</v>
      </c>
      <c r="E99" s="149">
        <v>45786</v>
      </c>
      <c r="F99" s="149">
        <f t="shared" si="14"/>
        <v>45789</v>
      </c>
      <c r="G99" s="149">
        <f t="shared" si="15"/>
        <v>45800</v>
      </c>
      <c r="H99" s="149">
        <f t="shared" si="16"/>
        <v>45817</v>
      </c>
      <c r="I99" s="149" t="str">
        <f t="shared" si="13"/>
        <v>May</v>
      </c>
      <c r="J99" s="216" t="str">
        <f t="shared" ca="1" si="10"/>
        <v/>
      </c>
      <c r="K99" s="149" t="s">
        <v>7</v>
      </c>
      <c r="L99" s="149"/>
      <c r="M99" s="11">
        <v>45804</v>
      </c>
      <c r="N99" s="152">
        <f t="shared" si="11"/>
        <v>11</v>
      </c>
      <c r="O99" s="12" t="str">
        <f t="shared" si="12"/>
        <v>Yes</v>
      </c>
      <c r="P99" s="158"/>
      <c r="Q99" s="157"/>
      <c r="R99" s="11" t="s">
        <v>39</v>
      </c>
      <c r="S99" s="158"/>
      <c r="T99" s="5" t="s">
        <v>40</v>
      </c>
      <c r="U99" s="10"/>
      <c r="V99" s="5"/>
      <c r="W99" s="5"/>
      <c r="X99" s="6"/>
      <c r="BB99" s="7" t="str">
        <v>Quarter 1</v>
      </c>
    </row>
    <row r="100" spans="1:54" ht="31.4" customHeight="1" x14ac:dyDescent="0.35">
      <c r="A100" s="210">
        <v>99</v>
      </c>
      <c r="B100" s="5" t="s">
        <v>6</v>
      </c>
      <c r="C100" s="5" t="s">
        <v>6</v>
      </c>
      <c r="D100" s="5" t="s">
        <v>210</v>
      </c>
      <c r="E100" s="149">
        <v>45789</v>
      </c>
      <c r="F100" s="149">
        <f t="shared" si="14"/>
        <v>45790</v>
      </c>
      <c r="G100" s="149">
        <f t="shared" si="15"/>
        <v>45804</v>
      </c>
      <c r="H100" s="149">
        <f t="shared" si="16"/>
        <v>45818</v>
      </c>
      <c r="I100" s="149" t="str">
        <f t="shared" si="13"/>
        <v>May</v>
      </c>
      <c r="J100" s="216" t="str">
        <f t="shared" ca="1" si="10"/>
        <v/>
      </c>
      <c r="K100" s="149" t="s">
        <v>4</v>
      </c>
      <c r="L100" s="149"/>
      <c r="M100" s="11">
        <v>45789</v>
      </c>
      <c r="N100" s="152">
        <f t="shared" si="11"/>
        <v>0</v>
      </c>
      <c r="O100" s="12" t="str">
        <f t="shared" si="12"/>
        <v>Yes</v>
      </c>
      <c r="P100" s="158"/>
      <c r="Q100" s="157"/>
      <c r="R100" s="11" t="s">
        <v>39</v>
      </c>
      <c r="S100" s="158"/>
      <c r="T100" s="5" t="s">
        <v>62</v>
      </c>
      <c r="U100" s="10"/>
      <c r="V100" s="5"/>
      <c r="W100" s="5"/>
      <c r="X100" s="6"/>
      <c r="BB100" s="7" t="str">
        <v>Quarter 1</v>
      </c>
    </row>
    <row r="101" spans="1:54" ht="31.4" customHeight="1" x14ac:dyDescent="0.35">
      <c r="A101" s="210">
        <v>100</v>
      </c>
      <c r="B101" s="5" t="s">
        <v>55</v>
      </c>
      <c r="C101" s="5" t="s">
        <v>13</v>
      </c>
      <c r="D101" s="5" t="s">
        <v>211</v>
      </c>
      <c r="E101" s="149">
        <v>45789</v>
      </c>
      <c r="F101" s="149">
        <f t="shared" si="14"/>
        <v>45790</v>
      </c>
      <c r="G101" s="149">
        <f t="shared" si="15"/>
        <v>45804</v>
      </c>
      <c r="H101" s="149">
        <f t="shared" si="16"/>
        <v>45818</v>
      </c>
      <c r="I101" s="149" t="str">
        <f t="shared" si="13"/>
        <v>May</v>
      </c>
      <c r="J101" s="216" t="str">
        <f t="shared" ca="1" si="10"/>
        <v/>
      </c>
      <c r="K101" s="149" t="s">
        <v>3</v>
      </c>
      <c r="L101" s="149"/>
      <c r="M101" s="11">
        <v>45807</v>
      </c>
      <c r="N101" s="152">
        <f t="shared" si="11"/>
        <v>13</v>
      </c>
      <c r="O101" s="12" t="str">
        <f t="shared" si="12"/>
        <v>Yes</v>
      </c>
      <c r="P101" s="158"/>
      <c r="Q101" s="157"/>
      <c r="R101" s="11" t="s">
        <v>39</v>
      </c>
      <c r="S101" s="158"/>
      <c r="T101" s="5" t="s">
        <v>40</v>
      </c>
      <c r="U101" s="10"/>
      <c r="V101" s="5"/>
      <c r="W101" s="5"/>
      <c r="X101" s="6"/>
      <c r="BB101" s="7" t="str">
        <v>Quarter 1</v>
      </c>
    </row>
    <row r="102" spans="1:54" ht="31.4" customHeight="1" x14ac:dyDescent="0.35">
      <c r="A102" s="210">
        <v>101</v>
      </c>
      <c r="B102" s="5" t="s">
        <v>55</v>
      </c>
      <c r="C102" s="5" t="s">
        <v>13</v>
      </c>
      <c r="D102" s="5" t="s">
        <v>212</v>
      </c>
      <c r="E102" s="149">
        <v>45789</v>
      </c>
      <c r="F102" s="149">
        <f t="shared" si="14"/>
        <v>45790</v>
      </c>
      <c r="G102" s="149">
        <f t="shared" si="15"/>
        <v>45804</v>
      </c>
      <c r="H102" s="149">
        <f t="shared" si="16"/>
        <v>45818</v>
      </c>
      <c r="I102" s="149" t="str">
        <f t="shared" si="13"/>
        <v>May</v>
      </c>
      <c r="J102" s="216" t="str">
        <f t="shared" ca="1" si="10"/>
        <v/>
      </c>
      <c r="K102" s="149" t="s">
        <v>4</v>
      </c>
      <c r="L102" s="149"/>
      <c r="M102" s="11">
        <v>45789</v>
      </c>
      <c r="N102" s="152">
        <f t="shared" si="11"/>
        <v>0</v>
      </c>
      <c r="O102" s="12" t="str">
        <f t="shared" si="12"/>
        <v>Yes</v>
      </c>
      <c r="P102" s="158"/>
      <c r="Q102" s="157"/>
      <c r="R102" s="11" t="s">
        <v>39</v>
      </c>
      <c r="S102" s="158"/>
      <c r="T102" s="5" t="s">
        <v>45</v>
      </c>
      <c r="U102" s="10"/>
      <c r="V102" s="5" t="s">
        <v>87</v>
      </c>
      <c r="W102" s="5"/>
      <c r="X102" s="6"/>
      <c r="BB102" s="7" t="str">
        <v>Quarter 1</v>
      </c>
    </row>
    <row r="103" spans="1:54" ht="31.4" customHeight="1" x14ac:dyDescent="0.35">
      <c r="A103" s="210">
        <v>102</v>
      </c>
      <c r="B103" s="5" t="s">
        <v>6</v>
      </c>
      <c r="C103" s="5" t="s">
        <v>6</v>
      </c>
      <c r="D103" s="5" t="s">
        <v>213</v>
      </c>
      <c r="E103" s="149">
        <v>45789</v>
      </c>
      <c r="F103" s="149">
        <f t="shared" ref="F103:F134" si="17">IF($E103="","",WORKDAY($E103,1,$Z$33:$Z$47))</f>
        <v>45790</v>
      </c>
      <c r="G103" s="149">
        <f t="shared" ref="G103:G134" si="18">IF($E103="","",WORKDAY($E103,10,$Z$33:$Z$47))</f>
        <v>45804</v>
      </c>
      <c r="H103" s="149">
        <f t="shared" ref="H103:H134" si="19">IF($E103="","",WORKDAY($E103,20,$Z$33:$Z$47))</f>
        <v>45818</v>
      </c>
      <c r="I103" s="149" t="str">
        <f t="shared" si="13"/>
        <v>May</v>
      </c>
      <c r="J103" s="216" t="str">
        <f t="shared" ca="1" si="10"/>
        <v/>
      </c>
      <c r="K103" s="149" t="s">
        <v>43</v>
      </c>
      <c r="L103" s="149"/>
      <c r="M103" s="11">
        <v>45791</v>
      </c>
      <c r="N103" s="152">
        <f t="shared" si="11"/>
        <v>2</v>
      </c>
      <c r="O103" s="12" t="str">
        <f t="shared" si="12"/>
        <v>Yes</v>
      </c>
      <c r="P103" s="158"/>
      <c r="Q103" s="157"/>
      <c r="R103" s="11" t="s">
        <v>39</v>
      </c>
      <c r="S103" s="158"/>
      <c r="T103" s="5" t="s">
        <v>40</v>
      </c>
      <c r="U103" s="10"/>
      <c r="V103" s="5"/>
      <c r="W103" s="5" t="s">
        <v>46</v>
      </c>
      <c r="X103" s="6"/>
      <c r="BB103" s="7" t="str">
        <v>Quarter 1</v>
      </c>
    </row>
    <row r="104" spans="1:54" ht="31.4" customHeight="1" x14ac:dyDescent="0.35">
      <c r="A104" s="210">
        <v>103</v>
      </c>
      <c r="B104" s="5" t="s">
        <v>214</v>
      </c>
      <c r="C104" s="5" t="s">
        <v>5</v>
      </c>
      <c r="D104" s="5" t="s">
        <v>215</v>
      </c>
      <c r="E104" s="149">
        <v>45789</v>
      </c>
      <c r="F104" s="149">
        <f t="shared" si="17"/>
        <v>45790</v>
      </c>
      <c r="G104" s="149">
        <f t="shared" si="18"/>
        <v>45804</v>
      </c>
      <c r="H104" s="149">
        <f t="shared" si="19"/>
        <v>45818</v>
      </c>
      <c r="I104" s="149" t="str">
        <f t="shared" si="13"/>
        <v>May</v>
      </c>
      <c r="J104" s="216" t="str">
        <f t="shared" ca="1" si="10"/>
        <v/>
      </c>
      <c r="K104" s="149" t="s">
        <v>3</v>
      </c>
      <c r="L104" s="149"/>
      <c r="M104" s="11">
        <v>45819</v>
      </c>
      <c r="N104" s="152">
        <f t="shared" si="11"/>
        <v>21</v>
      </c>
      <c r="O104" s="12" t="str">
        <f t="shared" si="12"/>
        <v>No</v>
      </c>
      <c r="P104" s="158"/>
      <c r="Q104" s="157"/>
      <c r="R104" s="11" t="s">
        <v>39</v>
      </c>
      <c r="S104" s="158"/>
      <c r="T104" s="5" t="s">
        <v>40</v>
      </c>
      <c r="U104" s="10"/>
      <c r="V104" s="5"/>
      <c r="W104" s="5"/>
      <c r="X104" s="6"/>
      <c r="BB104" s="7" t="str">
        <v>Quarter 1</v>
      </c>
    </row>
    <row r="105" spans="1:54" ht="31.4" customHeight="1" x14ac:dyDescent="0.35">
      <c r="A105" s="210">
        <v>104</v>
      </c>
      <c r="B105" s="5" t="s">
        <v>55</v>
      </c>
      <c r="C105" s="5" t="s">
        <v>13</v>
      </c>
      <c r="D105" s="5" t="s">
        <v>216</v>
      </c>
      <c r="E105" s="149">
        <v>45790</v>
      </c>
      <c r="F105" s="149">
        <f t="shared" si="17"/>
        <v>45791</v>
      </c>
      <c r="G105" s="149">
        <f t="shared" si="18"/>
        <v>45805</v>
      </c>
      <c r="H105" s="149">
        <f t="shared" si="19"/>
        <v>45819</v>
      </c>
      <c r="I105" s="149" t="str">
        <f t="shared" si="13"/>
        <v>May</v>
      </c>
      <c r="J105" s="216" t="str">
        <f t="shared" ca="1" si="10"/>
        <v/>
      </c>
      <c r="K105" s="149" t="s">
        <v>43</v>
      </c>
      <c r="L105" s="149"/>
      <c r="M105" s="11">
        <v>45790</v>
      </c>
      <c r="N105" s="152">
        <f t="shared" si="11"/>
        <v>0</v>
      </c>
      <c r="O105" s="12" t="str">
        <f t="shared" si="12"/>
        <v>Yes</v>
      </c>
      <c r="P105" s="158"/>
      <c r="Q105" s="157"/>
      <c r="R105" s="11" t="s">
        <v>39</v>
      </c>
      <c r="S105" s="158"/>
      <c r="T105" s="5" t="s">
        <v>40</v>
      </c>
      <c r="U105" s="10"/>
      <c r="V105" s="5"/>
      <c r="W105" s="5"/>
      <c r="X105" s="6"/>
      <c r="BB105" s="7" t="str">
        <v>Quarter 1</v>
      </c>
    </row>
    <row r="106" spans="1:54" ht="31.4" customHeight="1" x14ac:dyDescent="0.35">
      <c r="A106" s="210">
        <v>105</v>
      </c>
      <c r="B106" s="5" t="s">
        <v>217</v>
      </c>
      <c r="C106" s="5" t="s">
        <v>11</v>
      </c>
      <c r="D106" s="5" t="s">
        <v>218</v>
      </c>
      <c r="E106" s="149">
        <v>45790</v>
      </c>
      <c r="F106" s="149">
        <f t="shared" si="17"/>
        <v>45791</v>
      </c>
      <c r="G106" s="149">
        <f t="shared" si="18"/>
        <v>45805</v>
      </c>
      <c r="H106" s="149">
        <f t="shared" si="19"/>
        <v>45819</v>
      </c>
      <c r="I106" s="149" t="str">
        <f t="shared" si="13"/>
        <v>May</v>
      </c>
      <c r="J106" s="216" t="str">
        <f t="shared" ca="1" si="10"/>
        <v/>
      </c>
      <c r="K106" s="149" t="s">
        <v>7</v>
      </c>
      <c r="L106" s="149"/>
      <c r="M106" s="11">
        <v>45817</v>
      </c>
      <c r="N106" s="152">
        <f t="shared" si="11"/>
        <v>18</v>
      </c>
      <c r="O106" s="12" t="str">
        <f t="shared" si="12"/>
        <v>Yes</v>
      </c>
      <c r="P106" s="158"/>
      <c r="Q106" s="157"/>
      <c r="R106" s="11" t="s">
        <v>39</v>
      </c>
      <c r="S106" s="158"/>
      <c r="T106" s="5" t="s">
        <v>40</v>
      </c>
      <c r="U106" s="10"/>
      <c r="V106" s="5"/>
      <c r="W106" s="5"/>
      <c r="X106" s="6"/>
      <c r="BB106" s="7" t="str">
        <v>Quarter 1</v>
      </c>
    </row>
    <row r="107" spans="1:54" ht="31.4" customHeight="1" x14ac:dyDescent="0.35">
      <c r="A107" s="210">
        <v>106</v>
      </c>
      <c r="B107" s="5" t="s">
        <v>6</v>
      </c>
      <c r="C107" s="5" t="s">
        <v>6</v>
      </c>
      <c r="D107" s="5" t="s">
        <v>219</v>
      </c>
      <c r="E107" s="149">
        <v>45790</v>
      </c>
      <c r="F107" s="149">
        <f t="shared" si="17"/>
        <v>45791</v>
      </c>
      <c r="G107" s="149">
        <f t="shared" si="18"/>
        <v>45805</v>
      </c>
      <c r="H107" s="149">
        <f t="shared" si="19"/>
        <v>45819</v>
      </c>
      <c r="I107" s="149" t="str">
        <f t="shared" si="13"/>
        <v>May</v>
      </c>
      <c r="J107" s="216" t="str">
        <f t="shared" ca="1" si="10"/>
        <v/>
      </c>
      <c r="K107" s="149" t="s">
        <v>7</v>
      </c>
      <c r="L107" s="149"/>
      <c r="M107" s="11">
        <v>45811</v>
      </c>
      <c r="N107" s="152">
        <f t="shared" si="11"/>
        <v>14</v>
      </c>
      <c r="O107" s="12" t="str">
        <f t="shared" si="12"/>
        <v>Yes</v>
      </c>
      <c r="P107" s="158"/>
      <c r="Q107" s="157"/>
      <c r="R107" s="11" t="s">
        <v>39</v>
      </c>
      <c r="S107" s="158"/>
      <c r="T107" s="5" t="s">
        <v>40</v>
      </c>
      <c r="U107" s="10"/>
      <c r="V107" s="5"/>
      <c r="W107" s="5" t="s">
        <v>46</v>
      </c>
      <c r="X107" s="6"/>
      <c r="BB107" s="7" t="str">
        <v>Quarter 1</v>
      </c>
    </row>
    <row r="108" spans="1:54" ht="31.4" customHeight="1" x14ac:dyDescent="0.35">
      <c r="A108" s="210">
        <v>107</v>
      </c>
      <c r="B108" s="5" t="s">
        <v>6</v>
      </c>
      <c r="C108" s="5" t="s">
        <v>6</v>
      </c>
      <c r="D108" s="5" t="s">
        <v>220</v>
      </c>
      <c r="E108" s="149">
        <v>45790</v>
      </c>
      <c r="F108" s="149">
        <f t="shared" si="17"/>
        <v>45791</v>
      </c>
      <c r="G108" s="149">
        <f t="shared" si="18"/>
        <v>45805</v>
      </c>
      <c r="H108" s="149">
        <f t="shared" si="19"/>
        <v>45819</v>
      </c>
      <c r="I108" s="149" t="str">
        <f t="shared" si="13"/>
        <v>May</v>
      </c>
      <c r="J108" s="216" t="str">
        <f t="shared" ca="1" si="10"/>
        <v/>
      </c>
      <c r="K108" s="149" t="s">
        <v>43</v>
      </c>
      <c r="L108" s="149"/>
      <c r="M108" s="11">
        <v>45796</v>
      </c>
      <c r="N108" s="152">
        <f t="shared" si="11"/>
        <v>4</v>
      </c>
      <c r="O108" s="12" t="str">
        <f t="shared" si="12"/>
        <v>Yes</v>
      </c>
      <c r="P108" s="158"/>
      <c r="Q108" s="157"/>
      <c r="R108" s="11" t="s">
        <v>39</v>
      </c>
      <c r="S108" s="158"/>
      <c r="T108" s="5" t="s">
        <v>45</v>
      </c>
      <c r="U108" s="10"/>
      <c r="V108" s="5" t="s">
        <v>41</v>
      </c>
      <c r="W108" s="5"/>
      <c r="X108" s="6"/>
      <c r="BB108" s="7" t="str">
        <v>Quarter 1</v>
      </c>
    </row>
    <row r="109" spans="1:54" ht="31.4" customHeight="1" x14ac:dyDescent="0.35">
      <c r="A109" s="210">
        <v>108</v>
      </c>
      <c r="B109" s="5" t="s">
        <v>221</v>
      </c>
      <c r="C109" s="5" t="s">
        <v>9</v>
      </c>
      <c r="D109" s="5" t="s">
        <v>222</v>
      </c>
      <c r="E109" s="149">
        <v>45790</v>
      </c>
      <c r="F109" s="149">
        <f t="shared" si="17"/>
        <v>45791</v>
      </c>
      <c r="G109" s="149">
        <f t="shared" si="18"/>
        <v>45805</v>
      </c>
      <c r="H109" s="149">
        <f t="shared" si="19"/>
        <v>45819</v>
      </c>
      <c r="I109" s="149" t="str">
        <f t="shared" si="13"/>
        <v>May</v>
      </c>
      <c r="J109" s="216" t="str">
        <f t="shared" ca="1" si="10"/>
        <v/>
      </c>
      <c r="K109" s="149" t="s">
        <v>3</v>
      </c>
      <c r="L109" s="149"/>
      <c r="M109" s="11">
        <v>45807</v>
      </c>
      <c r="N109" s="152">
        <f t="shared" si="11"/>
        <v>12</v>
      </c>
      <c r="O109" s="12" t="str">
        <f t="shared" si="12"/>
        <v>Yes</v>
      </c>
      <c r="P109" s="158"/>
      <c r="Q109" s="157"/>
      <c r="R109" s="11" t="s">
        <v>39</v>
      </c>
      <c r="S109" s="158"/>
      <c r="T109" s="5" t="s">
        <v>40</v>
      </c>
      <c r="U109" s="10"/>
      <c r="V109" s="5"/>
      <c r="W109" s="5"/>
      <c r="X109" s="6"/>
      <c r="BB109" s="7" t="str">
        <v>Quarter 1</v>
      </c>
    </row>
    <row r="110" spans="1:54" ht="31.4" customHeight="1" x14ac:dyDescent="0.35">
      <c r="A110" s="210">
        <v>109</v>
      </c>
      <c r="B110" s="5" t="s">
        <v>223</v>
      </c>
      <c r="C110" s="5" t="s">
        <v>9</v>
      </c>
      <c r="D110" s="5" t="s">
        <v>224</v>
      </c>
      <c r="E110" s="149">
        <v>45790</v>
      </c>
      <c r="F110" s="149">
        <f t="shared" si="17"/>
        <v>45791</v>
      </c>
      <c r="G110" s="149">
        <f t="shared" si="18"/>
        <v>45805</v>
      </c>
      <c r="H110" s="149">
        <f t="shared" si="19"/>
        <v>45819</v>
      </c>
      <c r="I110" s="149" t="str">
        <f t="shared" si="13"/>
        <v>May</v>
      </c>
      <c r="J110" s="216" t="str">
        <f t="shared" ca="1" si="10"/>
        <v/>
      </c>
      <c r="K110" s="149" t="s">
        <v>4</v>
      </c>
      <c r="L110" s="149"/>
      <c r="M110" s="11">
        <v>45791</v>
      </c>
      <c r="N110" s="152">
        <f t="shared" si="11"/>
        <v>1</v>
      </c>
      <c r="O110" s="12" t="str">
        <f t="shared" si="12"/>
        <v>Yes</v>
      </c>
      <c r="P110" s="158"/>
      <c r="Q110" s="157"/>
      <c r="R110" s="11" t="s">
        <v>39</v>
      </c>
      <c r="S110" s="158"/>
      <c r="T110" s="5" t="s">
        <v>40</v>
      </c>
      <c r="U110" s="10"/>
      <c r="V110" s="5"/>
      <c r="W110" s="5"/>
      <c r="X110" s="6"/>
      <c r="BB110" s="7" t="str">
        <v>Quarter 1</v>
      </c>
    </row>
    <row r="111" spans="1:54" ht="31.4" customHeight="1" x14ac:dyDescent="0.35">
      <c r="A111" s="210">
        <v>110</v>
      </c>
      <c r="B111" s="5" t="s">
        <v>55</v>
      </c>
      <c r="C111" s="5" t="s">
        <v>13</v>
      </c>
      <c r="D111" s="5" t="s">
        <v>225</v>
      </c>
      <c r="E111" s="149">
        <v>45791</v>
      </c>
      <c r="F111" s="149">
        <f t="shared" si="17"/>
        <v>45792</v>
      </c>
      <c r="G111" s="149">
        <f t="shared" si="18"/>
        <v>45806</v>
      </c>
      <c r="H111" s="149">
        <f t="shared" si="19"/>
        <v>45820</v>
      </c>
      <c r="I111" s="149" t="str">
        <f t="shared" si="13"/>
        <v>May</v>
      </c>
      <c r="J111" s="216" t="str">
        <f t="shared" ca="1" si="10"/>
        <v/>
      </c>
      <c r="K111" s="149" t="s">
        <v>43</v>
      </c>
      <c r="L111" s="149"/>
      <c r="M111" s="11">
        <v>45814</v>
      </c>
      <c r="N111" s="152">
        <f t="shared" si="11"/>
        <v>16</v>
      </c>
      <c r="O111" s="12" t="str">
        <f t="shared" si="12"/>
        <v>Yes</v>
      </c>
      <c r="P111" s="158"/>
      <c r="Q111" s="157"/>
      <c r="R111" s="11" t="s">
        <v>39</v>
      </c>
      <c r="S111" s="158"/>
      <c r="T111" s="5" t="s">
        <v>45</v>
      </c>
      <c r="U111" s="10"/>
      <c r="V111" s="5" t="s">
        <v>80</v>
      </c>
      <c r="W111" s="5" t="s">
        <v>226</v>
      </c>
      <c r="X111" s="6"/>
      <c r="BB111" s="7" t="str">
        <v>Quarter 1</v>
      </c>
    </row>
    <row r="112" spans="1:54" ht="31.4" customHeight="1" x14ac:dyDescent="0.35">
      <c r="A112" s="210">
        <v>111</v>
      </c>
      <c r="B112" s="5" t="s">
        <v>6</v>
      </c>
      <c r="C112" s="5" t="s">
        <v>6</v>
      </c>
      <c r="D112" s="5" t="s">
        <v>227</v>
      </c>
      <c r="E112" s="149">
        <v>45792</v>
      </c>
      <c r="F112" s="149">
        <f t="shared" si="17"/>
        <v>45793</v>
      </c>
      <c r="G112" s="149">
        <f t="shared" si="18"/>
        <v>45807</v>
      </c>
      <c r="H112" s="149">
        <f t="shared" si="19"/>
        <v>45821</v>
      </c>
      <c r="I112" s="149" t="str">
        <f t="shared" si="13"/>
        <v>May</v>
      </c>
      <c r="J112" s="216" t="str">
        <f t="shared" ca="1" si="10"/>
        <v/>
      </c>
      <c r="K112" s="149" t="s">
        <v>4</v>
      </c>
      <c r="L112" s="149"/>
      <c r="M112" s="11">
        <v>45810</v>
      </c>
      <c r="N112" s="152">
        <f t="shared" si="11"/>
        <v>11</v>
      </c>
      <c r="O112" s="12" t="str">
        <f t="shared" si="12"/>
        <v>Yes</v>
      </c>
      <c r="P112" s="158"/>
      <c r="Q112" s="157"/>
      <c r="R112" s="11" t="s">
        <v>39</v>
      </c>
      <c r="S112" s="158"/>
      <c r="T112" s="5" t="s">
        <v>40</v>
      </c>
      <c r="U112" s="10"/>
      <c r="V112" s="5"/>
      <c r="W112" s="5"/>
      <c r="X112" s="6"/>
      <c r="BB112" s="7" t="str">
        <v>Quarter 1</v>
      </c>
    </row>
    <row r="113" spans="1:54" ht="31.4" customHeight="1" x14ac:dyDescent="0.35">
      <c r="A113" s="210">
        <v>112</v>
      </c>
      <c r="B113" s="5" t="s">
        <v>6</v>
      </c>
      <c r="C113" s="5" t="s">
        <v>6</v>
      </c>
      <c r="D113" s="5" t="s">
        <v>228</v>
      </c>
      <c r="E113" s="149">
        <v>45792</v>
      </c>
      <c r="F113" s="149">
        <f t="shared" si="17"/>
        <v>45793</v>
      </c>
      <c r="G113" s="149">
        <f t="shared" si="18"/>
        <v>45807</v>
      </c>
      <c r="H113" s="149">
        <f t="shared" si="19"/>
        <v>45821</v>
      </c>
      <c r="I113" s="149" t="str">
        <f t="shared" si="13"/>
        <v>May</v>
      </c>
      <c r="J113" s="216" t="str">
        <f t="shared" ca="1" si="10"/>
        <v/>
      </c>
      <c r="K113" s="149" t="s">
        <v>4</v>
      </c>
      <c r="L113" s="149"/>
      <c r="M113" s="11">
        <v>45810</v>
      </c>
      <c r="N113" s="152">
        <f t="shared" si="11"/>
        <v>11</v>
      </c>
      <c r="O113" s="12" t="str">
        <f t="shared" si="12"/>
        <v>Yes</v>
      </c>
      <c r="P113" s="158"/>
      <c r="Q113" s="157"/>
      <c r="R113" s="11" t="s">
        <v>39</v>
      </c>
      <c r="S113" s="158"/>
      <c r="T113" s="5" t="s">
        <v>40</v>
      </c>
      <c r="U113" s="10"/>
      <c r="V113" s="5"/>
      <c r="W113" s="5"/>
      <c r="X113" s="6"/>
      <c r="BB113" s="7" t="str">
        <v>Quarter 1</v>
      </c>
    </row>
    <row r="114" spans="1:54" ht="31.4" customHeight="1" x14ac:dyDescent="0.35">
      <c r="A114" s="210">
        <v>113</v>
      </c>
      <c r="B114" s="5" t="s">
        <v>229</v>
      </c>
      <c r="C114" s="5" t="s">
        <v>9</v>
      </c>
      <c r="D114" s="5" t="s">
        <v>230</v>
      </c>
      <c r="E114" s="149">
        <v>45792</v>
      </c>
      <c r="F114" s="149">
        <f t="shared" si="17"/>
        <v>45793</v>
      </c>
      <c r="G114" s="149">
        <f t="shared" si="18"/>
        <v>45807</v>
      </c>
      <c r="H114" s="149">
        <f t="shared" si="19"/>
        <v>45821</v>
      </c>
      <c r="I114" s="149" t="str">
        <f t="shared" si="13"/>
        <v>May</v>
      </c>
      <c r="J114" s="216" t="str">
        <f t="shared" ca="1" si="10"/>
        <v/>
      </c>
      <c r="K114" s="149" t="s">
        <v>4</v>
      </c>
      <c r="L114" s="149"/>
      <c r="M114" s="11">
        <v>45796</v>
      </c>
      <c r="N114" s="152">
        <f t="shared" si="11"/>
        <v>2</v>
      </c>
      <c r="O114" s="12" t="str">
        <f t="shared" si="12"/>
        <v>Yes</v>
      </c>
      <c r="P114" s="158"/>
      <c r="Q114" s="157"/>
      <c r="R114" s="11" t="s">
        <v>39</v>
      </c>
      <c r="S114" s="158"/>
      <c r="T114" s="5" t="s">
        <v>40</v>
      </c>
      <c r="U114" s="10"/>
      <c r="V114" s="5"/>
      <c r="W114" s="5" t="s">
        <v>46</v>
      </c>
      <c r="X114" s="6"/>
      <c r="BB114" s="7" t="str">
        <v>Quarter 1</v>
      </c>
    </row>
    <row r="115" spans="1:54" ht="31.4" customHeight="1" x14ac:dyDescent="0.35">
      <c r="A115" s="210">
        <v>114</v>
      </c>
      <c r="B115" s="5" t="s">
        <v>55</v>
      </c>
      <c r="C115" s="5" t="s">
        <v>13</v>
      </c>
      <c r="D115" s="5" t="s">
        <v>231</v>
      </c>
      <c r="E115" s="149">
        <v>45792</v>
      </c>
      <c r="F115" s="149">
        <f t="shared" si="17"/>
        <v>45793</v>
      </c>
      <c r="G115" s="149">
        <f t="shared" si="18"/>
        <v>45807</v>
      </c>
      <c r="H115" s="149">
        <f t="shared" si="19"/>
        <v>45821</v>
      </c>
      <c r="I115" s="149" t="str">
        <f t="shared" si="13"/>
        <v>May</v>
      </c>
      <c r="J115" s="216" t="str">
        <f t="shared" ca="1" si="10"/>
        <v/>
      </c>
      <c r="K115" s="149" t="s">
        <v>4</v>
      </c>
      <c r="L115" s="149"/>
      <c r="M115" s="11">
        <v>45810</v>
      </c>
      <c r="N115" s="152">
        <f t="shared" si="11"/>
        <v>11</v>
      </c>
      <c r="O115" s="12" t="str">
        <f t="shared" si="12"/>
        <v>Yes</v>
      </c>
      <c r="P115" s="158"/>
      <c r="Q115" s="157"/>
      <c r="R115" s="11" t="s">
        <v>39</v>
      </c>
      <c r="S115" s="158"/>
      <c r="T115" s="5" t="s">
        <v>40</v>
      </c>
      <c r="U115" s="10"/>
      <c r="V115" s="5"/>
      <c r="W115" s="5"/>
      <c r="X115" s="6"/>
      <c r="BB115" s="7" t="str">
        <v>Quarter 1</v>
      </c>
    </row>
    <row r="116" spans="1:54" ht="31.4" customHeight="1" x14ac:dyDescent="0.35">
      <c r="A116" s="210">
        <v>115</v>
      </c>
      <c r="B116" s="5" t="s">
        <v>232</v>
      </c>
      <c r="C116" s="5" t="s">
        <v>9</v>
      </c>
      <c r="D116" s="5" t="s">
        <v>233</v>
      </c>
      <c r="E116" s="149">
        <v>45792</v>
      </c>
      <c r="F116" s="149">
        <f t="shared" si="17"/>
        <v>45793</v>
      </c>
      <c r="G116" s="149">
        <f t="shared" si="18"/>
        <v>45807</v>
      </c>
      <c r="H116" s="149">
        <f t="shared" si="19"/>
        <v>45821</v>
      </c>
      <c r="I116" s="149" t="str">
        <f t="shared" si="13"/>
        <v>May</v>
      </c>
      <c r="J116" s="216" t="str">
        <f t="shared" ca="1" si="10"/>
        <v/>
      </c>
      <c r="K116" s="149" t="s">
        <v>3</v>
      </c>
      <c r="L116" s="149"/>
      <c r="M116" s="11">
        <v>45819</v>
      </c>
      <c r="N116" s="152">
        <f t="shared" si="11"/>
        <v>18</v>
      </c>
      <c r="O116" s="12" t="str">
        <f t="shared" si="12"/>
        <v>Yes</v>
      </c>
      <c r="P116" s="158"/>
      <c r="Q116" s="157"/>
      <c r="R116" s="11" t="s">
        <v>39</v>
      </c>
      <c r="S116" s="158"/>
      <c r="T116" s="5" t="s">
        <v>40</v>
      </c>
      <c r="U116" s="10"/>
      <c r="V116" s="5"/>
      <c r="W116" s="5" t="s">
        <v>46</v>
      </c>
      <c r="X116" s="6"/>
      <c r="BB116" s="7" t="str">
        <v>Quarter 1</v>
      </c>
    </row>
    <row r="117" spans="1:54" ht="31.4" customHeight="1" x14ac:dyDescent="0.35">
      <c r="A117" s="210">
        <v>116</v>
      </c>
      <c r="B117" s="5" t="s">
        <v>6</v>
      </c>
      <c r="C117" s="5" t="s">
        <v>6</v>
      </c>
      <c r="D117" s="5" t="s">
        <v>433</v>
      </c>
      <c r="E117" s="149">
        <v>45796</v>
      </c>
      <c r="F117" s="149">
        <f t="shared" si="17"/>
        <v>45797</v>
      </c>
      <c r="G117" s="149">
        <f t="shared" si="18"/>
        <v>45811</v>
      </c>
      <c r="H117" s="149">
        <f t="shared" si="19"/>
        <v>45825</v>
      </c>
      <c r="I117" s="149" t="str">
        <f t="shared" si="13"/>
        <v>May</v>
      </c>
      <c r="J117" s="216" t="str">
        <f t="shared" ca="1" si="10"/>
        <v/>
      </c>
      <c r="K117" s="149" t="s">
        <v>3</v>
      </c>
      <c r="L117" s="149"/>
      <c r="M117" s="11">
        <v>45810</v>
      </c>
      <c r="N117" s="152">
        <f t="shared" si="11"/>
        <v>9</v>
      </c>
      <c r="O117" s="12" t="str">
        <f t="shared" si="12"/>
        <v>Yes</v>
      </c>
      <c r="P117" s="158"/>
      <c r="Q117" s="157"/>
      <c r="R117" s="11" t="s">
        <v>39</v>
      </c>
      <c r="S117" s="158"/>
      <c r="T117" s="5" t="s">
        <v>51</v>
      </c>
      <c r="U117" s="10"/>
      <c r="V117" s="5" t="s">
        <v>102</v>
      </c>
      <c r="W117" s="5"/>
      <c r="X117" s="6"/>
      <c r="BB117" s="7" t="str">
        <v>Quarter 1</v>
      </c>
    </row>
    <row r="118" spans="1:54" ht="31.4" customHeight="1" x14ac:dyDescent="0.35">
      <c r="A118" s="210">
        <v>117</v>
      </c>
      <c r="B118" s="5" t="s">
        <v>6</v>
      </c>
      <c r="C118" s="5" t="s">
        <v>6</v>
      </c>
      <c r="D118" s="199" t="s">
        <v>234</v>
      </c>
      <c r="E118" s="149">
        <v>45796</v>
      </c>
      <c r="F118" s="149">
        <f t="shared" si="17"/>
        <v>45797</v>
      </c>
      <c r="G118" s="149">
        <f t="shared" si="18"/>
        <v>45811</v>
      </c>
      <c r="H118" s="149">
        <f t="shared" si="19"/>
        <v>45825</v>
      </c>
      <c r="I118" s="149" t="str">
        <f t="shared" si="13"/>
        <v>May</v>
      </c>
      <c r="J118" s="216" t="str">
        <f t="shared" ca="1" si="10"/>
        <v/>
      </c>
      <c r="K118" s="149" t="s">
        <v>43</v>
      </c>
      <c r="L118" s="149"/>
      <c r="M118" s="11">
        <v>45804</v>
      </c>
      <c r="N118" s="152">
        <f t="shared" si="11"/>
        <v>5</v>
      </c>
      <c r="O118" s="12" t="str">
        <f t="shared" si="12"/>
        <v>Yes</v>
      </c>
      <c r="P118" s="158"/>
      <c r="Q118" s="157"/>
      <c r="R118" s="11" t="s">
        <v>39</v>
      </c>
      <c r="S118" s="158"/>
      <c r="T118" s="5" t="s">
        <v>62</v>
      </c>
      <c r="U118" s="10"/>
      <c r="V118" s="5"/>
      <c r="W118" s="5"/>
      <c r="X118" s="6"/>
      <c r="BB118" s="7" t="str">
        <v>Quarter 1</v>
      </c>
    </row>
    <row r="119" spans="1:54" ht="31.4" customHeight="1" x14ac:dyDescent="0.35">
      <c r="A119" s="210">
        <v>118</v>
      </c>
      <c r="B119" s="5" t="s">
        <v>6</v>
      </c>
      <c r="C119" s="5" t="s">
        <v>6</v>
      </c>
      <c r="D119" s="5" t="s">
        <v>235</v>
      </c>
      <c r="E119" s="149">
        <v>45796</v>
      </c>
      <c r="F119" s="149">
        <f t="shared" si="17"/>
        <v>45797</v>
      </c>
      <c r="G119" s="149">
        <f t="shared" si="18"/>
        <v>45811</v>
      </c>
      <c r="H119" s="149">
        <f t="shared" si="19"/>
        <v>45825</v>
      </c>
      <c r="I119" s="149" t="str">
        <f t="shared" si="13"/>
        <v>May</v>
      </c>
      <c r="J119" s="216" t="str">
        <f t="shared" ca="1" si="10"/>
        <v/>
      </c>
      <c r="K119" s="149" t="s">
        <v>43</v>
      </c>
      <c r="L119" s="149"/>
      <c r="M119" s="11">
        <v>45810</v>
      </c>
      <c r="N119" s="152">
        <f t="shared" si="11"/>
        <v>9</v>
      </c>
      <c r="O119" s="12" t="str">
        <f t="shared" si="12"/>
        <v>Yes</v>
      </c>
      <c r="P119" s="158"/>
      <c r="Q119" s="157"/>
      <c r="R119" s="11" t="s">
        <v>39</v>
      </c>
      <c r="S119" s="158"/>
      <c r="T119" s="5" t="s">
        <v>40</v>
      </c>
      <c r="U119" s="10"/>
      <c r="V119" s="5"/>
      <c r="W119" s="5" t="s">
        <v>46</v>
      </c>
      <c r="X119" s="6"/>
      <c r="BB119" s="7" t="str">
        <v>Quarter 1</v>
      </c>
    </row>
    <row r="120" spans="1:54" ht="31.4" customHeight="1" x14ac:dyDescent="0.35">
      <c r="A120" s="210">
        <v>119</v>
      </c>
      <c r="B120" s="5" t="s">
        <v>6</v>
      </c>
      <c r="C120" s="5" t="s">
        <v>6</v>
      </c>
      <c r="D120" s="5" t="s">
        <v>236</v>
      </c>
      <c r="E120" s="149">
        <v>45796</v>
      </c>
      <c r="F120" s="149">
        <f t="shared" si="17"/>
        <v>45797</v>
      </c>
      <c r="G120" s="149">
        <f t="shared" si="18"/>
        <v>45811</v>
      </c>
      <c r="H120" s="149">
        <f t="shared" si="19"/>
        <v>45825</v>
      </c>
      <c r="I120" s="149" t="str">
        <f t="shared" si="13"/>
        <v>May</v>
      </c>
      <c r="J120" s="216" t="str">
        <f t="shared" ca="1" si="10"/>
        <v/>
      </c>
      <c r="K120" s="149" t="s">
        <v>43</v>
      </c>
      <c r="L120" s="149"/>
      <c r="M120" s="11">
        <v>45804</v>
      </c>
      <c r="N120" s="152">
        <f t="shared" si="11"/>
        <v>5</v>
      </c>
      <c r="O120" s="12" t="str">
        <f t="shared" si="12"/>
        <v>Yes</v>
      </c>
      <c r="P120" s="158"/>
      <c r="Q120" s="157"/>
      <c r="R120" s="11" t="s">
        <v>39</v>
      </c>
      <c r="S120" s="158"/>
      <c r="T120" s="5" t="s">
        <v>40</v>
      </c>
      <c r="U120" s="10"/>
      <c r="V120" s="5"/>
      <c r="W120" s="5"/>
      <c r="X120" s="6"/>
      <c r="BB120" s="7" t="str">
        <v>Quarter 1</v>
      </c>
    </row>
    <row r="121" spans="1:54" ht="31.4" customHeight="1" x14ac:dyDescent="0.35">
      <c r="A121" s="210">
        <v>120</v>
      </c>
      <c r="B121" s="5" t="s">
        <v>237</v>
      </c>
      <c r="C121" s="5" t="s">
        <v>14</v>
      </c>
      <c r="D121" s="5" t="s">
        <v>238</v>
      </c>
      <c r="E121" s="149">
        <v>45796</v>
      </c>
      <c r="F121" s="149">
        <f t="shared" si="17"/>
        <v>45797</v>
      </c>
      <c r="G121" s="149">
        <f t="shared" si="18"/>
        <v>45811</v>
      </c>
      <c r="H121" s="149">
        <f t="shared" si="19"/>
        <v>45825</v>
      </c>
      <c r="I121" s="149" t="str">
        <f t="shared" si="13"/>
        <v>May</v>
      </c>
      <c r="J121" s="216" t="str">
        <f t="shared" ca="1" si="10"/>
        <v/>
      </c>
      <c r="K121" s="149" t="s">
        <v>4</v>
      </c>
      <c r="L121" s="149"/>
      <c r="M121" s="11">
        <v>45796</v>
      </c>
      <c r="N121" s="152">
        <f t="shared" si="11"/>
        <v>0</v>
      </c>
      <c r="O121" s="12" t="str">
        <f t="shared" si="12"/>
        <v>Yes</v>
      </c>
      <c r="P121" s="158"/>
      <c r="Q121" s="157"/>
      <c r="R121" s="11" t="s">
        <v>39</v>
      </c>
      <c r="S121" s="158"/>
      <c r="T121" s="5" t="s">
        <v>45</v>
      </c>
      <c r="U121" s="10"/>
      <c r="V121" s="5" t="s">
        <v>54</v>
      </c>
      <c r="W121" s="5"/>
      <c r="X121" s="6"/>
      <c r="BB121" s="7" t="str">
        <v>Quarter 1</v>
      </c>
    </row>
    <row r="122" spans="1:54" ht="31.4" customHeight="1" x14ac:dyDescent="0.35">
      <c r="A122" s="210">
        <v>121</v>
      </c>
      <c r="B122" s="12" t="s">
        <v>239</v>
      </c>
      <c r="C122" s="12" t="s">
        <v>11</v>
      </c>
      <c r="D122" s="199" t="s">
        <v>240</v>
      </c>
      <c r="E122" s="149">
        <v>45796</v>
      </c>
      <c r="F122" s="149">
        <f t="shared" si="17"/>
        <v>45797</v>
      </c>
      <c r="G122" s="149">
        <f t="shared" si="18"/>
        <v>45811</v>
      </c>
      <c r="H122" s="149">
        <f t="shared" si="19"/>
        <v>45825</v>
      </c>
      <c r="I122" s="149" t="str">
        <f t="shared" si="13"/>
        <v>May</v>
      </c>
      <c r="J122" s="216" t="str">
        <f t="shared" ca="1" si="10"/>
        <v/>
      </c>
      <c r="K122" s="149" t="s">
        <v>3</v>
      </c>
      <c r="L122" s="149"/>
      <c r="M122" s="11">
        <v>45804</v>
      </c>
      <c r="N122" s="152">
        <f t="shared" si="11"/>
        <v>5</v>
      </c>
      <c r="O122" s="12" t="str">
        <f t="shared" si="12"/>
        <v>Yes</v>
      </c>
      <c r="P122" s="158"/>
      <c r="Q122" s="157"/>
      <c r="R122" s="11" t="s">
        <v>39</v>
      </c>
      <c r="S122" s="158"/>
      <c r="T122" s="5" t="s">
        <v>40</v>
      </c>
      <c r="U122" s="10"/>
      <c r="V122" s="5" t="s">
        <v>54</v>
      </c>
      <c r="W122" s="5"/>
      <c r="X122" s="6"/>
      <c r="BB122" s="7" t="str">
        <v>Quarter 1</v>
      </c>
    </row>
    <row r="123" spans="1:54" ht="31.4" customHeight="1" x14ac:dyDescent="0.35">
      <c r="A123" s="210">
        <v>122</v>
      </c>
      <c r="B123" s="8" t="s">
        <v>55</v>
      </c>
      <c r="C123" s="8" t="s">
        <v>13</v>
      </c>
      <c r="D123" s="5" t="s">
        <v>241</v>
      </c>
      <c r="E123" s="149">
        <v>45796</v>
      </c>
      <c r="F123" s="149">
        <f t="shared" si="17"/>
        <v>45797</v>
      </c>
      <c r="G123" s="149">
        <f t="shared" si="18"/>
        <v>45811</v>
      </c>
      <c r="H123" s="149">
        <f t="shared" si="19"/>
        <v>45825</v>
      </c>
      <c r="I123" s="149" t="str">
        <f t="shared" si="13"/>
        <v>May</v>
      </c>
      <c r="J123" s="216" t="str">
        <f t="shared" ca="1" si="10"/>
        <v/>
      </c>
      <c r="K123" s="149" t="s">
        <v>3</v>
      </c>
      <c r="L123" s="149"/>
      <c r="M123" s="11">
        <v>45810</v>
      </c>
      <c r="N123" s="152">
        <f t="shared" si="11"/>
        <v>9</v>
      </c>
      <c r="O123" s="12" t="str">
        <f t="shared" si="12"/>
        <v>Yes</v>
      </c>
      <c r="P123" s="158"/>
      <c r="Q123" s="157"/>
      <c r="R123" s="11" t="s">
        <v>39</v>
      </c>
      <c r="S123" s="158"/>
      <c r="T123" s="5" t="s">
        <v>40</v>
      </c>
      <c r="U123" s="10"/>
      <c r="V123" s="5"/>
      <c r="W123" s="5"/>
      <c r="X123" s="6"/>
      <c r="BB123" s="7" t="str">
        <v>Quarter 1</v>
      </c>
    </row>
    <row r="124" spans="1:54" ht="31.4" customHeight="1" x14ac:dyDescent="0.35">
      <c r="A124" s="210">
        <v>123</v>
      </c>
      <c r="B124" s="5" t="s">
        <v>242</v>
      </c>
      <c r="C124" s="5" t="s">
        <v>9</v>
      </c>
      <c r="D124" s="5" t="s">
        <v>243</v>
      </c>
      <c r="E124" s="149">
        <v>45796</v>
      </c>
      <c r="F124" s="149">
        <f t="shared" si="17"/>
        <v>45797</v>
      </c>
      <c r="G124" s="149">
        <f t="shared" si="18"/>
        <v>45811</v>
      </c>
      <c r="H124" s="149">
        <f t="shared" si="19"/>
        <v>45825</v>
      </c>
      <c r="I124" s="149" t="str">
        <f t="shared" si="13"/>
        <v>May</v>
      </c>
      <c r="J124" s="216" t="str">
        <f t="shared" ca="1" si="10"/>
        <v/>
      </c>
      <c r="K124" s="149" t="s">
        <v>43</v>
      </c>
      <c r="L124" s="149"/>
      <c r="M124" s="11">
        <v>45797</v>
      </c>
      <c r="N124" s="152">
        <f t="shared" si="11"/>
        <v>1</v>
      </c>
      <c r="O124" s="12" t="str">
        <f t="shared" si="12"/>
        <v>Yes</v>
      </c>
      <c r="P124" s="158"/>
      <c r="Q124" s="157"/>
      <c r="R124" s="11" t="s">
        <v>39</v>
      </c>
      <c r="S124" s="158"/>
      <c r="T124" s="5" t="s">
        <v>62</v>
      </c>
      <c r="U124" s="10"/>
      <c r="V124" s="5"/>
      <c r="W124" s="5"/>
      <c r="X124" s="6"/>
      <c r="BB124" s="7" t="str">
        <v>Quarter 1</v>
      </c>
    </row>
    <row r="125" spans="1:54" ht="31.4" customHeight="1" x14ac:dyDescent="0.35">
      <c r="A125" s="210">
        <v>124</v>
      </c>
      <c r="B125" s="5" t="s">
        <v>244</v>
      </c>
      <c r="C125" s="5" t="s">
        <v>11</v>
      </c>
      <c r="D125" s="5" t="s">
        <v>245</v>
      </c>
      <c r="E125" s="149">
        <v>45797</v>
      </c>
      <c r="F125" s="149">
        <f t="shared" si="17"/>
        <v>45798</v>
      </c>
      <c r="G125" s="149">
        <f t="shared" si="18"/>
        <v>45812</v>
      </c>
      <c r="H125" s="149">
        <f t="shared" si="19"/>
        <v>45826</v>
      </c>
      <c r="I125" s="149" t="str">
        <f t="shared" si="13"/>
        <v>May</v>
      </c>
      <c r="J125" s="216" t="str">
        <f t="shared" ca="1" si="10"/>
        <v/>
      </c>
      <c r="K125" s="149" t="s">
        <v>3</v>
      </c>
      <c r="L125" s="149"/>
      <c r="M125" s="11">
        <v>45831</v>
      </c>
      <c r="N125" s="152">
        <f t="shared" si="11"/>
        <v>23</v>
      </c>
      <c r="O125" s="12" t="str">
        <f t="shared" si="12"/>
        <v>No</v>
      </c>
      <c r="P125" s="158"/>
      <c r="Q125" s="157"/>
      <c r="R125" s="11" t="s">
        <v>39</v>
      </c>
      <c r="S125" s="158"/>
      <c r="T125" s="5" t="s">
        <v>40</v>
      </c>
      <c r="U125" s="10"/>
      <c r="V125" s="5" t="s">
        <v>80</v>
      </c>
      <c r="W125" s="5"/>
      <c r="X125" s="6"/>
      <c r="BB125" s="7" t="str">
        <v>Quarter 1</v>
      </c>
    </row>
    <row r="126" spans="1:54" ht="31.4" customHeight="1" x14ac:dyDescent="0.35">
      <c r="A126" s="210">
        <v>125</v>
      </c>
      <c r="B126" s="5" t="s">
        <v>6</v>
      </c>
      <c r="C126" s="5" t="s">
        <v>6</v>
      </c>
      <c r="D126" s="5" t="s">
        <v>246</v>
      </c>
      <c r="E126" s="149">
        <v>45797</v>
      </c>
      <c r="F126" s="149">
        <f t="shared" si="17"/>
        <v>45798</v>
      </c>
      <c r="G126" s="149">
        <f t="shared" si="18"/>
        <v>45812</v>
      </c>
      <c r="H126" s="149">
        <f t="shared" si="19"/>
        <v>45826</v>
      </c>
      <c r="I126" s="149" t="str">
        <f t="shared" si="13"/>
        <v>May</v>
      </c>
      <c r="J126" s="216" t="str">
        <f t="shared" ca="1" si="10"/>
        <v/>
      </c>
      <c r="K126" s="149" t="s">
        <v>43</v>
      </c>
      <c r="L126" s="149"/>
      <c r="M126" s="11">
        <v>45799</v>
      </c>
      <c r="N126" s="152">
        <f t="shared" si="11"/>
        <v>2</v>
      </c>
      <c r="O126" s="12" t="str">
        <f t="shared" si="12"/>
        <v>Yes</v>
      </c>
      <c r="P126" s="158"/>
      <c r="Q126" s="157"/>
      <c r="R126" s="11" t="s">
        <v>39</v>
      </c>
      <c r="S126" s="158"/>
      <c r="T126" s="5" t="s">
        <v>40</v>
      </c>
      <c r="U126" s="10"/>
      <c r="V126" s="5"/>
      <c r="W126" s="5"/>
      <c r="X126" s="6"/>
      <c r="BB126" s="7" t="str">
        <v>Quarter 1</v>
      </c>
    </row>
    <row r="127" spans="1:54" ht="31.4" customHeight="1" x14ac:dyDescent="0.35">
      <c r="A127" s="210">
        <v>126</v>
      </c>
      <c r="B127" s="5" t="s">
        <v>6</v>
      </c>
      <c r="C127" s="5" t="s">
        <v>6</v>
      </c>
      <c r="D127" s="5" t="s">
        <v>247</v>
      </c>
      <c r="E127" s="149">
        <v>45797</v>
      </c>
      <c r="F127" s="149">
        <f t="shared" si="17"/>
        <v>45798</v>
      </c>
      <c r="G127" s="149">
        <f t="shared" si="18"/>
        <v>45812</v>
      </c>
      <c r="H127" s="149">
        <f t="shared" si="19"/>
        <v>45826</v>
      </c>
      <c r="I127" s="149" t="str">
        <f t="shared" si="13"/>
        <v>May</v>
      </c>
      <c r="J127" s="216" t="str">
        <f t="shared" ca="1" si="10"/>
        <v/>
      </c>
      <c r="K127" s="149" t="s">
        <v>4</v>
      </c>
      <c r="L127" s="149"/>
      <c r="M127" s="11">
        <v>45813</v>
      </c>
      <c r="N127" s="152">
        <f t="shared" si="11"/>
        <v>11</v>
      </c>
      <c r="O127" s="12" t="str">
        <f t="shared" si="12"/>
        <v>Yes</v>
      </c>
      <c r="P127" s="158"/>
      <c r="Q127" s="157"/>
      <c r="R127" s="11" t="s">
        <v>39</v>
      </c>
      <c r="S127" s="158"/>
      <c r="T127" s="5" t="s">
        <v>40</v>
      </c>
      <c r="U127" s="10"/>
      <c r="V127" s="5"/>
      <c r="W127" s="5"/>
      <c r="X127" s="6"/>
      <c r="BB127" s="7" t="str">
        <v>Quarter 1</v>
      </c>
    </row>
    <row r="128" spans="1:54" ht="31.4" customHeight="1" x14ac:dyDescent="0.35">
      <c r="A128" s="210">
        <v>127</v>
      </c>
      <c r="B128" s="8" t="s">
        <v>248</v>
      </c>
      <c r="C128" s="8" t="s">
        <v>9</v>
      </c>
      <c r="D128" s="8" t="s">
        <v>86</v>
      </c>
      <c r="E128" s="149">
        <v>45798</v>
      </c>
      <c r="F128" s="149">
        <f t="shared" si="17"/>
        <v>45799</v>
      </c>
      <c r="G128" s="149">
        <f t="shared" si="18"/>
        <v>45813</v>
      </c>
      <c r="H128" s="149">
        <f t="shared" si="19"/>
        <v>45827</v>
      </c>
      <c r="I128" s="149" t="str">
        <f t="shared" si="13"/>
        <v>May</v>
      </c>
      <c r="J128" s="216" t="str">
        <f t="shared" ca="1" si="10"/>
        <v/>
      </c>
      <c r="K128" s="149" t="s">
        <v>4</v>
      </c>
      <c r="L128" s="149"/>
      <c r="M128" s="11">
        <v>45799</v>
      </c>
      <c r="N128" s="152">
        <f t="shared" si="11"/>
        <v>1</v>
      </c>
      <c r="O128" s="12" t="str">
        <f t="shared" si="12"/>
        <v>Yes</v>
      </c>
      <c r="P128" s="158"/>
      <c r="Q128" s="157"/>
      <c r="R128" s="17" t="s">
        <v>39</v>
      </c>
      <c r="S128" s="159"/>
      <c r="T128" s="8" t="s">
        <v>45</v>
      </c>
      <c r="U128" s="160"/>
      <c r="V128" s="5" t="s">
        <v>53</v>
      </c>
      <c r="W128" s="8"/>
      <c r="X128" s="6"/>
      <c r="BB128" s="7" t="str">
        <v>Quarter 1</v>
      </c>
    </row>
    <row r="129" spans="1:54" ht="31.4" customHeight="1" x14ac:dyDescent="0.35">
      <c r="A129" s="210">
        <v>128</v>
      </c>
      <c r="B129" s="5" t="s">
        <v>55</v>
      </c>
      <c r="C129" s="5" t="s">
        <v>13</v>
      </c>
      <c r="D129" s="8" t="s">
        <v>249</v>
      </c>
      <c r="E129" s="149">
        <v>45798</v>
      </c>
      <c r="F129" s="149">
        <f t="shared" si="17"/>
        <v>45799</v>
      </c>
      <c r="G129" s="149">
        <f t="shared" si="18"/>
        <v>45813</v>
      </c>
      <c r="H129" s="149">
        <f t="shared" si="19"/>
        <v>45827</v>
      </c>
      <c r="I129" s="149" t="str">
        <f t="shared" si="13"/>
        <v>May</v>
      </c>
      <c r="J129" s="216" t="str">
        <f t="shared" ca="1" si="10"/>
        <v/>
      </c>
      <c r="K129" s="149" t="s">
        <v>3</v>
      </c>
      <c r="L129" s="149"/>
      <c r="M129" s="11">
        <v>45810</v>
      </c>
      <c r="N129" s="152">
        <f t="shared" si="11"/>
        <v>7</v>
      </c>
      <c r="O129" s="12" t="str">
        <f t="shared" si="12"/>
        <v>Yes</v>
      </c>
      <c r="P129" s="158"/>
      <c r="Q129" s="157"/>
      <c r="R129" s="17" t="s">
        <v>39</v>
      </c>
      <c r="S129" s="17"/>
      <c r="T129" s="8" t="s">
        <v>40</v>
      </c>
      <c r="U129" s="8"/>
      <c r="V129" s="5"/>
      <c r="W129" s="8"/>
      <c r="X129" s="6"/>
      <c r="BB129" s="7" t="str">
        <v>Quarter 1</v>
      </c>
    </row>
    <row r="130" spans="1:54" ht="31.4" customHeight="1" x14ac:dyDescent="0.35">
      <c r="A130" s="210">
        <v>129</v>
      </c>
      <c r="B130" s="5" t="s">
        <v>55</v>
      </c>
      <c r="C130" s="5" t="s">
        <v>13</v>
      </c>
      <c r="D130" s="5" t="s">
        <v>250</v>
      </c>
      <c r="E130" s="149">
        <v>45798</v>
      </c>
      <c r="F130" s="149">
        <f t="shared" si="17"/>
        <v>45799</v>
      </c>
      <c r="G130" s="149">
        <f t="shared" si="18"/>
        <v>45813</v>
      </c>
      <c r="H130" s="149">
        <f t="shared" si="19"/>
        <v>45827</v>
      </c>
      <c r="I130" s="149" t="str">
        <f t="shared" si="13"/>
        <v>May</v>
      </c>
      <c r="J130" s="216" t="str">
        <f t="shared" ref="J130:J193" ca="1" si="20">IF($E130="","",IF($M130="",$H130-TODAY(),""))</f>
        <v/>
      </c>
      <c r="K130" s="149" t="s">
        <v>43</v>
      </c>
      <c r="L130" s="149"/>
      <c r="M130" s="11">
        <v>45804</v>
      </c>
      <c r="N130" s="152">
        <f t="shared" ref="N130:N193" si="21">IF($M130="","",NETWORKDAYS($E130,$M130,$Z$33:$Z$47)-1)</f>
        <v>3</v>
      </c>
      <c r="O130" s="12" t="str">
        <f t="shared" si="12"/>
        <v>Yes</v>
      </c>
      <c r="P130" s="158"/>
      <c r="Q130" s="157"/>
      <c r="R130" s="11" t="s">
        <v>39</v>
      </c>
      <c r="S130" s="158"/>
      <c r="T130" s="5" t="s">
        <v>40</v>
      </c>
      <c r="U130" s="10"/>
      <c r="V130" s="5"/>
      <c r="W130" s="5"/>
      <c r="X130" s="6"/>
      <c r="BB130" s="7" t="str">
        <v>Quarter 1</v>
      </c>
    </row>
    <row r="131" spans="1:54" ht="31.4" customHeight="1" x14ac:dyDescent="0.35">
      <c r="A131" s="210">
        <v>130</v>
      </c>
      <c r="B131" s="5" t="s">
        <v>6</v>
      </c>
      <c r="C131" s="5" t="s">
        <v>6</v>
      </c>
      <c r="D131" s="5" t="s">
        <v>251</v>
      </c>
      <c r="E131" s="149">
        <v>45799</v>
      </c>
      <c r="F131" s="149">
        <f t="shared" si="17"/>
        <v>45800</v>
      </c>
      <c r="G131" s="149">
        <f t="shared" si="18"/>
        <v>45814</v>
      </c>
      <c r="H131" s="149">
        <f t="shared" si="19"/>
        <v>45828</v>
      </c>
      <c r="I131" s="149" t="str">
        <f t="shared" si="13"/>
        <v>May</v>
      </c>
      <c r="J131" s="216" t="str">
        <f t="shared" ca="1" si="20"/>
        <v/>
      </c>
      <c r="K131" s="149" t="s">
        <v>4</v>
      </c>
      <c r="L131" s="149"/>
      <c r="M131" s="11">
        <v>45815</v>
      </c>
      <c r="N131" s="152">
        <f t="shared" si="21"/>
        <v>10</v>
      </c>
      <c r="O131" s="12" t="str">
        <f t="shared" ref="O131:O194" si="22">IF(ISBLANK($M131),"",IF($N131&lt;21,"Yes","No"))</f>
        <v>Yes</v>
      </c>
      <c r="P131" s="158"/>
      <c r="Q131" s="157"/>
      <c r="R131" s="11" t="s">
        <v>39</v>
      </c>
      <c r="S131" s="158"/>
      <c r="T131" s="5" t="s">
        <v>40</v>
      </c>
      <c r="U131" s="10"/>
      <c r="V131" s="5"/>
      <c r="W131" s="5"/>
      <c r="X131" s="6"/>
      <c r="BB131" s="7" t="str">
        <v>Quarter 1</v>
      </c>
    </row>
    <row r="132" spans="1:54" ht="31.4" customHeight="1" x14ac:dyDescent="0.35">
      <c r="A132" s="210">
        <v>131</v>
      </c>
      <c r="B132" s="5" t="s">
        <v>252</v>
      </c>
      <c r="C132" s="5" t="s">
        <v>12</v>
      </c>
      <c r="D132" s="199" t="s">
        <v>253</v>
      </c>
      <c r="E132" s="149">
        <v>45799</v>
      </c>
      <c r="F132" s="149">
        <f t="shared" si="17"/>
        <v>45800</v>
      </c>
      <c r="G132" s="149">
        <f t="shared" si="18"/>
        <v>45814</v>
      </c>
      <c r="H132" s="149">
        <f t="shared" si="19"/>
        <v>45828</v>
      </c>
      <c r="I132" s="149" t="str">
        <f t="shared" si="13"/>
        <v>May</v>
      </c>
      <c r="J132" s="216" t="str">
        <f t="shared" ca="1" si="20"/>
        <v/>
      </c>
      <c r="K132" s="149" t="s">
        <v>7</v>
      </c>
      <c r="L132" s="149"/>
      <c r="M132" s="11">
        <v>45814</v>
      </c>
      <c r="N132" s="152">
        <f t="shared" si="21"/>
        <v>10</v>
      </c>
      <c r="O132" s="12" t="str">
        <f t="shared" si="22"/>
        <v>Yes</v>
      </c>
      <c r="P132" s="158"/>
      <c r="Q132" s="157"/>
      <c r="R132" s="11" t="s">
        <v>39</v>
      </c>
      <c r="S132" s="158"/>
      <c r="T132" s="5" t="s">
        <v>40</v>
      </c>
      <c r="U132" s="10"/>
      <c r="V132" s="5"/>
      <c r="W132" s="5" t="s">
        <v>46</v>
      </c>
      <c r="X132" s="6"/>
      <c r="BB132" s="7" t="str">
        <v>Quarter 1</v>
      </c>
    </row>
    <row r="133" spans="1:54" ht="31.4" customHeight="1" x14ac:dyDescent="0.35">
      <c r="A133" s="210">
        <v>132</v>
      </c>
      <c r="B133" s="5" t="s">
        <v>254</v>
      </c>
      <c r="C133" s="5" t="s">
        <v>12</v>
      </c>
      <c r="D133" s="5" t="s">
        <v>255</v>
      </c>
      <c r="E133" s="149">
        <v>45800</v>
      </c>
      <c r="F133" s="149">
        <f t="shared" si="17"/>
        <v>45804</v>
      </c>
      <c r="G133" s="149">
        <f t="shared" si="18"/>
        <v>45817</v>
      </c>
      <c r="H133" s="149">
        <f t="shared" si="19"/>
        <v>45831</v>
      </c>
      <c r="I133" s="149" t="str">
        <f t="shared" si="13"/>
        <v>May</v>
      </c>
      <c r="J133" s="216" t="str">
        <f t="shared" ca="1" si="20"/>
        <v/>
      </c>
      <c r="K133" s="149" t="s">
        <v>7</v>
      </c>
      <c r="L133" s="149"/>
      <c r="M133" s="11">
        <v>45804</v>
      </c>
      <c r="N133" s="152">
        <f t="shared" si="21"/>
        <v>1</v>
      </c>
      <c r="O133" s="12" t="str">
        <f t="shared" si="22"/>
        <v>Yes</v>
      </c>
      <c r="P133" s="158"/>
      <c r="Q133" s="157"/>
      <c r="R133" s="11" t="s">
        <v>39</v>
      </c>
      <c r="S133" s="158"/>
      <c r="T133" s="5" t="s">
        <v>40</v>
      </c>
      <c r="U133" s="10"/>
      <c r="V133" s="5"/>
      <c r="W133" s="5" t="s">
        <v>46</v>
      </c>
      <c r="X133" s="6"/>
      <c r="BB133" s="7" t="str">
        <v>Quarter 1</v>
      </c>
    </row>
    <row r="134" spans="1:54" ht="31.4" customHeight="1" x14ac:dyDescent="0.35">
      <c r="A134" s="210">
        <v>133</v>
      </c>
      <c r="B134" s="5" t="s">
        <v>256</v>
      </c>
      <c r="C134" s="5" t="s">
        <v>11</v>
      </c>
      <c r="D134" s="5" t="s">
        <v>257</v>
      </c>
      <c r="E134" s="149">
        <v>45800</v>
      </c>
      <c r="F134" s="149">
        <f t="shared" si="17"/>
        <v>45804</v>
      </c>
      <c r="G134" s="149">
        <f t="shared" si="18"/>
        <v>45817</v>
      </c>
      <c r="H134" s="149">
        <f t="shared" si="19"/>
        <v>45831</v>
      </c>
      <c r="I134" s="149" t="str">
        <f t="shared" si="13"/>
        <v>May</v>
      </c>
      <c r="J134" s="216" t="str">
        <f t="shared" ca="1" si="20"/>
        <v/>
      </c>
      <c r="K134" s="149" t="s">
        <v>4</v>
      </c>
      <c r="L134" s="149"/>
      <c r="M134" s="11">
        <v>45820</v>
      </c>
      <c r="N134" s="152">
        <f t="shared" si="21"/>
        <v>13</v>
      </c>
      <c r="O134" s="12" t="str">
        <f t="shared" si="22"/>
        <v>Yes</v>
      </c>
      <c r="P134" s="158"/>
      <c r="Q134" s="157"/>
      <c r="R134" s="11" t="s">
        <v>39</v>
      </c>
      <c r="S134" s="158"/>
      <c r="T134" s="5" t="s">
        <v>40</v>
      </c>
      <c r="U134" s="10"/>
      <c r="V134" s="5"/>
      <c r="W134" s="5"/>
      <c r="X134" s="6"/>
      <c r="BB134" s="7" t="str">
        <v>Quarter 1</v>
      </c>
    </row>
    <row r="135" spans="1:54" ht="31.4" customHeight="1" x14ac:dyDescent="0.35">
      <c r="A135" s="210">
        <v>134</v>
      </c>
      <c r="B135" s="5" t="s">
        <v>258</v>
      </c>
      <c r="C135" s="5" t="s">
        <v>9</v>
      </c>
      <c r="D135" s="5" t="s">
        <v>259</v>
      </c>
      <c r="E135" s="149">
        <v>45800</v>
      </c>
      <c r="F135" s="149">
        <f t="shared" ref="F135:F169" si="23">IF($E135="","",WORKDAY($E135,1,$Z$33:$Z$47))</f>
        <v>45804</v>
      </c>
      <c r="G135" s="149">
        <f t="shared" ref="G135:G169" si="24">IF($E135="","",WORKDAY($E135,10,$Z$33:$Z$47))</f>
        <v>45817</v>
      </c>
      <c r="H135" s="149">
        <f t="shared" ref="H135:H169" si="25">IF($E135="","",WORKDAY($E135,20,$Z$33:$Z$47))</f>
        <v>45831</v>
      </c>
      <c r="I135" s="149" t="str">
        <f t="shared" si="13"/>
        <v>May</v>
      </c>
      <c r="J135" s="216" t="str">
        <f t="shared" ca="1" si="20"/>
        <v/>
      </c>
      <c r="K135" s="149" t="s">
        <v>43</v>
      </c>
      <c r="L135" s="149"/>
      <c r="M135" s="11">
        <v>45804</v>
      </c>
      <c r="N135" s="152">
        <f t="shared" si="21"/>
        <v>1</v>
      </c>
      <c r="O135" s="12" t="str">
        <f t="shared" si="22"/>
        <v>Yes</v>
      </c>
      <c r="P135" s="158"/>
      <c r="Q135" s="157"/>
      <c r="R135" s="11" t="s">
        <v>39</v>
      </c>
      <c r="S135" s="158"/>
      <c r="T135" s="5" t="s">
        <v>40</v>
      </c>
      <c r="U135" s="10"/>
      <c r="V135" s="5"/>
      <c r="W135" s="5" t="s">
        <v>46</v>
      </c>
      <c r="X135" s="6"/>
      <c r="BB135" s="7" t="str">
        <v>Quarter 1</v>
      </c>
    </row>
    <row r="136" spans="1:54" ht="31.4" customHeight="1" x14ac:dyDescent="0.35">
      <c r="A136" s="210">
        <v>135</v>
      </c>
      <c r="B136" s="5" t="s">
        <v>254</v>
      </c>
      <c r="C136" s="5" t="s">
        <v>12</v>
      </c>
      <c r="D136" s="5" t="s">
        <v>260</v>
      </c>
      <c r="E136" s="149">
        <v>45800</v>
      </c>
      <c r="F136" s="149">
        <f t="shared" si="23"/>
        <v>45804</v>
      </c>
      <c r="G136" s="149">
        <f t="shared" si="24"/>
        <v>45817</v>
      </c>
      <c r="H136" s="149">
        <f t="shared" si="25"/>
        <v>45831</v>
      </c>
      <c r="I136" s="149" t="str">
        <f t="shared" si="13"/>
        <v>May</v>
      </c>
      <c r="J136" s="216" t="str">
        <f t="shared" ca="1" si="20"/>
        <v/>
      </c>
      <c r="K136" s="149" t="s">
        <v>3</v>
      </c>
      <c r="L136" s="149"/>
      <c r="M136" s="11">
        <v>45810</v>
      </c>
      <c r="N136" s="152">
        <f t="shared" si="21"/>
        <v>5</v>
      </c>
      <c r="O136" s="12" t="str">
        <f t="shared" si="22"/>
        <v>Yes</v>
      </c>
      <c r="P136" s="158"/>
      <c r="Q136" s="157"/>
      <c r="R136" s="11" t="s">
        <v>39</v>
      </c>
      <c r="S136" s="158"/>
      <c r="T136" s="5" t="s">
        <v>40</v>
      </c>
      <c r="U136" s="10"/>
      <c r="V136" s="5"/>
      <c r="W136" s="5"/>
      <c r="X136" s="6"/>
      <c r="BB136" s="7" t="str">
        <v>Quarter 1</v>
      </c>
    </row>
    <row r="137" spans="1:54" ht="31.4" customHeight="1" x14ac:dyDescent="0.35">
      <c r="A137" s="210">
        <v>136</v>
      </c>
      <c r="B137" s="5" t="s">
        <v>6</v>
      </c>
      <c r="C137" s="5" t="s">
        <v>6</v>
      </c>
      <c r="D137" s="5" t="s">
        <v>1878</v>
      </c>
      <c r="E137" s="149">
        <v>45800</v>
      </c>
      <c r="F137" s="149">
        <f t="shared" si="23"/>
        <v>45804</v>
      </c>
      <c r="G137" s="149">
        <f t="shared" si="24"/>
        <v>45817</v>
      </c>
      <c r="H137" s="149">
        <f t="shared" si="25"/>
        <v>45831</v>
      </c>
      <c r="I137" s="149" t="str">
        <f t="shared" si="13"/>
        <v>May</v>
      </c>
      <c r="J137" s="216" t="str">
        <f t="shared" ca="1" si="20"/>
        <v/>
      </c>
      <c r="K137" s="149" t="s">
        <v>7</v>
      </c>
      <c r="L137" s="149"/>
      <c r="M137" s="11">
        <v>45815</v>
      </c>
      <c r="N137" s="152">
        <f t="shared" si="21"/>
        <v>9</v>
      </c>
      <c r="O137" s="12" t="str">
        <f t="shared" si="22"/>
        <v>Yes</v>
      </c>
      <c r="P137" s="158"/>
      <c r="Q137" s="157"/>
      <c r="R137" s="11" t="s">
        <v>39</v>
      </c>
      <c r="S137" s="158"/>
      <c r="T137" s="5" t="s">
        <v>40</v>
      </c>
      <c r="U137" s="10"/>
      <c r="V137" s="5"/>
      <c r="W137" s="5" t="s">
        <v>46</v>
      </c>
      <c r="X137" s="6"/>
      <c r="BB137" s="7" t="str">
        <v>Quarter 1</v>
      </c>
    </row>
    <row r="138" spans="1:54" ht="31.4" customHeight="1" x14ac:dyDescent="0.35">
      <c r="A138" s="210">
        <v>137</v>
      </c>
      <c r="B138" s="5" t="s">
        <v>6</v>
      </c>
      <c r="C138" s="5" t="s">
        <v>6</v>
      </c>
      <c r="D138" s="5" t="s">
        <v>261</v>
      </c>
      <c r="E138" s="149">
        <v>45804</v>
      </c>
      <c r="F138" s="149">
        <f t="shared" si="23"/>
        <v>45805</v>
      </c>
      <c r="G138" s="149">
        <f t="shared" si="24"/>
        <v>45818</v>
      </c>
      <c r="H138" s="149">
        <f t="shared" si="25"/>
        <v>45832</v>
      </c>
      <c r="I138" s="149" t="str">
        <f t="shared" si="13"/>
        <v>May</v>
      </c>
      <c r="J138" s="216" t="str">
        <f t="shared" ca="1" si="20"/>
        <v/>
      </c>
      <c r="K138" s="149" t="s">
        <v>3</v>
      </c>
      <c r="L138" s="149"/>
      <c r="M138" s="11">
        <v>45819</v>
      </c>
      <c r="N138" s="152">
        <f t="shared" si="21"/>
        <v>11</v>
      </c>
      <c r="O138" s="12" t="str">
        <f t="shared" si="22"/>
        <v>Yes</v>
      </c>
      <c r="P138" s="158"/>
      <c r="Q138" s="157"/>
      <c r="R138" s="11" t="s">
        <v>39</v>
      </c>
      <c r="S138" s="158"/>
      <c r="T138" s="5" t="s">
        <v>40</v>
      </c>
      <c r="U138" s="10"/>
      <c r="V138" s="5"/>
      <c r="W138" s="5"/>
      <c r="X138" s="6"/>
      <c r="BB138" s="7" t="str">
        <v>Quarter 1</v>
      </c>
    </row>
    <row r="139" spans="1:54" ht="31.4" customHeight="1" x14ac:dyDescent="0.35">
      <c r="A139" s="210">
        <v>138</v>
      </c>
      <c r="B139" s="5" t="s">
        <v>6</v>
      </c>
      <c r="C139" s="5" t="s">
        <v>6</v>
      </c>
      <c r="D139" s="5" t="s">
        <v>262</v>
      </c>
      <c r="E139" s="149">
        <v>45804</v>
      </c>
      <c r="F139" s="149">
        <f t="shared" si="23"/>
        <v>45805</v>
      </c>
      <c r="G139" s="149">
        <f t="shared" si="24"/>
        <v>45818</v>
      </c>
      <c r="H139" s="149">
        <f t="shared" si="25"/>
        <v>45832</v>
      </c>
      <c r="I139" s="149" t="str">
        <f t="shared" si="13"/>
        <v>May</v>
      </c>
      <c r="J139" s="216" t="str">
        <f t="shared" ca="1" si="20"/>
        <v/>
      </c>
      <c r="K139" s="149" t="s">
        <v>4</v>
      </c>
      <c r="L139" s="149"/>
      <c r="M139" s="11">
        <v>45817</v>
      </c>
      <c r="N139" s="152">
        <f t="shared" si="21"/>
        <v>9</v>
      </c>
      <c r="O139" s="12" t="str">
        <f t="shared" si="22"/>
        <v>Yes</v>
      </c>
      <c r="P139" s="158"/>
      <c r="Q139" s="157"/>
      <c r="R139" s="11" t="s">
        <v>39</v>
      </c>
      <c r="S139" s="158"/>
      <c r="T139" s="5" t="s">
        <v>40</v>
      </c>
      <c r="U139" s="10"/>
      <c r="V139" s="5"/>
      <c r="W139" s="5"/>
      <c r="X139" s="6"/>
      <c r="BB139" s="7" t="str">
        <v>Quarter 1</v>
      </c>
    </row>
    <row r="140" spans="1:54" ht="31.4" customHeight="1" x14ac:dyDescent="0.35">
      <c r="A140" s="210">
        <v>139</v>
      </c>
      <c r="B140" s="5" t="s">
        <v>110</v>
      </c>
      <c r="C140" s="5" t="s">
        <v>9</v>
      </c>
      <c r="D140" s="12" t="s">
        <v>263</v>
      </c>
      <c r="E140" s="149">
        <v>45804</v>
      </c>
      <c r="F140" s="149">
        <f t="shared" si="23"/>
        <v>45805</v>
      </c>
      <c r="G140" s="149">
        <f t="shared" si="24"/>
        <v>45818</v>
      </c>
      <c r="H140" s="149">
        <f t="shared" si="25"/>
        <v>45832</v>
      </c>
      <c r="I140" s="149" t="str">
        <f t="shared" si="13"/>
        <v>May</v>
      </c>
      <c r="J140" s="216" t="str">
        <f t="shared" ca="1" si="20"/>
        <v/>
      </c>
      <c r="K140" s="149" t="s">
        <v>7</v>
      </c>
      <c r="L140" s="149"/>
      <c r="M140" s="11">
        <v>45804</v>
      </c>
      <c r="N140" s="152">
        <f t="shared" si="21"/>
        <v>0</v>
      </c>
      <c r="O140" s="12" t="str">
        <f t="shared" si="22"/>
        <v>Yes</v>
      </c>
      <c r="P140" s="158"/>
      <c r="Q140" s="157"/>
      <c r="R140" s="11" t="s">
        <v>39</v>
      </c>
      <c r="S140" s="158"/>
      <c r="T140" s="5" t="s">
        <v>40</v>
      </c>
      <c r="U140" s="10"/>
      <c r="V140" s="5"/>
      <c r="W140" s="5"/>
      <c r="X140" s="6"/>
      <c r="BB140" s="7" t="str">
        <v>Quarter 1</v>
      </c>
    </row>
    <row r="141" spans="1:54" ht="31.4" customHeight="1" x14ac:dyDescent="0.35">
      <c r="A141" s="210">
        <v>140</v>
      </c>
      <c r="B141" s="5" t="s">
        <v>264</v>
      </c>
      <c r="C141" s="5" t="s">
        <v>12</v>
      </c>
      <c r="D141" s="5" t="s">
        <v>265</v>
      </c>
      <c r="E141" s="149">
        <v>45804</v>
      </c>
      <c r="F141" s="149">
        <f t="shared" si="23"/>
        <v>45805</v>
      </c>
      <c r="G141" s="149">
        <f t="shared" si="24"/>
        <v>45818</v>
      </c>
      <c r="H141" s="149">
        <f t="shared" si="25"/>
        <v>45832</v>
      </c>
      <c r="I141" s="149" t="str">
        <f t="shared" si="13"/>
        <v>May</v>
      </c>
      <c r="J141" s="216" t="str">
        <f t="shared" ca="1" si="20"/>
        <v/>
      </c>
      <c r="K141" s="149" t="s">
        <v>4</v>
      </c>
      <c r="L141" s="149"/>
      <c r="M141" s="11">
        <v>45818</v>
      </c>
      <c r="N141" s="152">
        <f t="shared" si="21"/>
        <v>10</v>
      </c>
      <c r="O141" s="12" t="str">
        <f t="shared" si="22"/>
        <v>Yes</v>
      </c>
      <c r="P141" s="158"/>
      <c r="Q141" s="157"/>
      <c r="R141" s="11" t="s">
        <v>39</v>
      </c>
      <c r="S141" s="158"/>
      <c r="T141" s="5" t="s">
        <v>40</v>
      </c>
      <c r="U141" s="10"/>
      <c r="V141" s="5"/>
      <c r="W141" s="5" t="s">
        <v>46</v>
      </c>
      <c r="X141" s="6"/>
      <c r="BB141" s="7" t="str">
        <v>Quarter 1</v>
      </c>
    </row>
    <row r="142" spans="1:54" ht="31.4" customHeight="1" x14ac:dyDescent="0.35">
      <c r="A142" s="210">
        <v>141</v>
      </c>
      <c r="B142" s="5" t="s">
        <v>266</v>
      </c>
      <c r="C142" s="5" t="s">
        <v>9</v>
      </c>
      <c r="D142" s="5" t="s">
        <v>267</v>
      </c>
      <c r="E142" s="149">
        <v>45804</v>
      </c>
      <c r="F142" s="149">
        <f t="shared" si="23"/>
        <v>45805</v>
      </c>
      <c r="G142" s="149">
        <f t="shared" si="24"/>
        <v>45818</v>
      </c>
      <c r="H142" s="149">
        <f t="shared" si="25"/>
        <v>45832</v>
      </c>
      <c r="I142" s="149" t="str">
        <f t="shared" si="13"/>
        <v>May</v>
      </c>
      <c r="J142" s="216" t="str">
        <f t="shared" ca="1" si="20"/>
        <v/>
      </c>
      <c r="K142" s="149" t="s">
        <v>4</v>
      </c>
      <c r="L142" s="149"/>
      <c r="M142" s="11">
        <v>45806</v>
      </c>
      <c r="N142" s="152">
        <f t="shared" si="21"/>
        <v>2</v>
      </c>
      <c r="O142" s="12" t="str">
        <f t="shared" si="22"/>
        <v>Yes</v>
      </c>
      <c r="P142" s="158"/>
      <c r="Q142" s="157"/>
      <c r="R142" s="11" t="s">
        <v>39</v>
      </c>
      <c r="S142" s="158"/>
      <c r="T142" s="5" t="s">
        <v>40</v>
      </c>
      <c r="U142" s="10"/>
      <c r="V142" s="5"/>
      <c r="W142" s="5" t="s">
        <v>46</v>
      </c>
      <c r="X142" s="6"/>
      <c r="BB142" s="7" t="str">
        <v>Quarter 1</v>
      </c>
    </row>
    <row r="143" spans="1:54" ht="31.4" customHeight="1" x14ac:dyDescent="0.35">
      <c r="A143" s="210">
        <v>142</v>
      </c>
      <c r="B143" s="5" t="s">
        <v>6</v>
      </c>
      <c r="C143" s="5" t="s">
        <v>6</v>
      </c>
      <c r="D143" s="5" t="s">
        <v>268</v>
      </c>
      <c r="E143" s="149">
        <v>45805</v>
      </c>
      <c r="F143" s="149">
        <f t="shared" si="23"/>
        <v>45806</v>
      </c>
      <c r="G143" s="149">
        <f t="shared" si="24"/>
        <v>45819</v>
      </c>
      <c r="H143" s="149">
        <f t="shared" si="25"/>
        <v>45833</v>
      </c>
      <c r="I143" s="149" t="str">
        <f t="shared" si="13"/>
        <v>May</v>
      </c>
      <c r="J143" s="216" t="str">
        <f t="shared" ca="1" si="20"/>
        <v/>
      </c>
      <c r="K143" s="149" t="s">
        <v>3</v>
      </c>
      <c r="L143" s="149"/>
      <c r="M143" s="11">
        <v>45819</v>
      </c>
      <c r="N143" s="152">
        <f t="shared" si="21"/>
        <v>10</v>
      </c>
      <c r="O143" s="12" t="str">
        <f t="shared" si="22"/>
        <v>Yes</v>
      </c>
      <c r="P143" s="158"/>
      <c r="Q143" s="157"/>
      <c r="R143" s="11" t="s">
        <v>39</v>
      </c>
      <c r="S143" s="158"/>
      <c r="T143" s="5" t="s">
        <v>62</v>
      </c>
      <c r="U143" s="10"/>
      <c r="V143" s="5"/>
      <c r="W143" s="5"/>
      <c r="X143" s="6"/>
      <c r="BB143" s="7" t="str">
        <v>Quarter 1</v>
      </c>
    </row>
    <row r="144" spans="1:54" ht="31.4" customHeight="1" x14ac:dyDescent="0.35">
      <c r="A144" s="210">
        <v>143</v>
      </c>
      <c r="B144" s="5" t="s">
        <v>55</v>
      </c>
      <c r="C144" s="5" t="s">
        <v>13</v>
      </c>
      <c r="D144" s="5" t="s">
        <v>269</v>
      </c>
      <c r="E144" s="149">
        <v>45805</v>
      </c>
      <c r="F144" s="149">
        <f t="shared" si="23"/>
        <v>45806</v>
      </c>
      <c r="G144" s="149">
        <f t="shared" si="24"/>
        <v>45819</v>
      </c>
      <c r="H144" s="149">
        <f t="shared" si="25"/>
        <v>45833</v>
      </c>
      <c r="I144" s="149" t="str">
        <f t="shared" si="13"/>
        <v>May</v>
      </c>
      <c r="J144" s="216" t="str">
        <f t="shared" ca="1" si="20"/>
        <v/>
      </c>
      <c r="K144" s="149" t="s">
        <v>7</v>
      </c>
      <c r="L144" s="149"/>
      <c r="M144" s="11">
        <v>45820</v>
      </c>
      <c r="N144" s="152">
        <f t="shared" si="21"/>
        <v>11</v>
      </c>
      <c r="O144" s="12" t="str">
        <f t="shared" si="22"/>
        <v>Yes</v>
      </c>
      <c r="P144" s="158"/>
      <c r="Q144" s="157"/>
      <c r="R144" s="11" t="s">
        <v>39</v>
      </c>
      <c r="S144" s="158"/>
      <c r="T144" s="5" t="s">
        <v>45</v>
      </c>
      <c r="U144" s="10"/>
      <c r="V144" s="5" t="s">
        <v>87</v>
      </c>
      <c r="W144" s="5"/>
      <c r="X144" s="6"/>
      <c r="BB144" s="7" t="str">
        <v>Quarter 1</v>
      </c>
    </row>
    <row r="145" spans="1:54" ht="31.4" customHeight="1" x14ac:dyDescent="0.35">
      <c r="A145" s="210">
        <v>144</v>
      </c>
      <c r="B145" s="5" t="s">
        <v>112</v>
      </c>
      <c r="C145" s="5" t="s">
        <v>5</v>
      </c>
      <c r="D145" s="5" t="s">
        <v>270</v>
      </c>
      <c r="E145" s="149">
        <v>45805</v>
      </c>
      <c r="F145" s="149">
        <f t="shared" si="23"/>
        <v>45806</v>
      </c>
      <c r="G145" s="149">
        <f t="shared" si="24"/>
        <v>45819</v>
      </c>
      <c r="H145" s="149">
        <f t="shared" si="25"/>
        <v>45833</v>
      </c>
      <c r="I145" s="149" t="str">
        <f t="shared" si="13"/>
        <v>May</v>
      </c>
      <c r="J145" s="216" t="str">
        <f t="shared" ca="1" si="20"/>
        <v/>
      </c>
      <c r="K145" s="149" t="s">
        <v>3</v>
      </c>
      <c r="L145" s="149"/>
      <c r="M145" s="11">
        <v>45811</v>
      </c>
      <c r="N145" s="152">
        <f t="shared" si="21"/>
        <v>4</v>
      </c>
      <c r="O145" s="12" t="str">
        <f t="shared" si="22"/>
        <v>Yes</v>
      </c>
      <c r="P145" s="158"/>
      <c r="Q145" s="157"/>
      <c r="R145" s="11" t="s">
        <v>39</v>
      </c>
      <c r="S145" s="158"/>
      <c r="T145" s="5" t="s">
        <v>45</v>
      </c>
      <c r="U145" s="10"/>
      <c r="V145" s="5"/>
      <c r="W145" s="5" t="s">
        <v>46</v>
      </c>
      <c r="X145" s="6"/>
      <c r="BB145" s="7" t="str">
        <v>Quarter 1</v>
      </c>
    </row>
    <row r="146" spans="1:54" ht="31.4" customHeight="1" x14ac:dyDescent="0.35">
      <c r="A146" s="210">
        <v>145</v>
      </c>
      <c r="B146" s="8" t="s">
        <v>6</v>
      </c>
      <c r="C146" s="8" t="s">
        <v>6</v>
      </c>
      <c r="D146" s="8" t="s">
        <v>271</v>
      </c>
      <c r="E146" s="149">
        <v>45805</v>
      </c>
      <c r="F146" s="149">
        <f t="shared" si="23"/>
        <v>45806</v>
      </c>
      <c r="G146" s="149">
        <f t="shared" si="24"/>
        <v>45819</v>
      </c>
      <c r="H146" s="149">
        <f t="shared" si="25"/>
        <v>45833</v>
      </c>
      <c r="I146" s="149" t="str">
        <f t="shared" ref="I146:I156" si="26">IF(ISBLANK($E146),"",TEXT($E146,"mmm"))</f>
        <v>May</v>
      </c>
      <c r="J146" s="216" t="str">
        <f t="shared" ca="1" si="20"/>
        <v/>
      </c>
      <c r="K146" s="149" t="s">
        <v>3</v>
      </c>
      <c r="L146" s="149"/>
      <c r="M146" s="11">
        <v>45810</v>
      </c>
      <c r="N146" s="152">
        <f t="shared" si="21"/>
        <v>3</v>
      </c>
      <c r="O146" s="12" t="str">
        <f t="shared" si="22"/>
        <v>Yes</v>
      </c>
      <c r="P146" s="158"/>
      <c r="Q146" s="157"/>
      <c r="R146" s="17" t="s">
        <v>39</v>
      </c>
      <c r="S146" s="161"/>
      <c r="T146" s="8" t="s">
        <v>40</v>
      </c>
      <c r="U146" s="162"/>
      <c r="V146" s="5"/>
      <c r="W146" s="8"/>
      <c r="X146" s="6"/>
      <c r="BB146" s="7" t="str">
        <v>Quarter 1</v>
      </c>
    </row>
    <row r="147" spans="1:54" ht="31.4" customHeight="1" x14ac:dyDescent="0.35">
      <c r="A147" s="210">
        <v>146</v>
      </c>
      <c r="B147" s="8" t="s">
        <v>55</v>
      </c>
      <c r="C147" s="8" t="s">
        <v>13</v>
      </c>
      <c r="D147" s="8" t="s">
        <v>272</v>
      </c>
      <c r="E147" s="149">
        <v>45805</v>
      </c>
      <c r="F147" s="149">
        <f t="shared" si="23"/>
        <v>45806</v>
      </c>
      <c r="G147" s="149">
        <f t="shared" si="24"/>
        <v>45819</v>
      </c>
      <c r="H147" s="149">
        <f t="shared" si="25"/>
        <v>45833</v>
      </c>
      <c r="I147" s="149" t="str">
        <f t="shared" si="26"/>
        <v>May</v>
      </c>
      <c r="J147" s="216" t="str">
        <f t="shared" ca="1" si="20"/>
        <v/>
      </c>
      <c r="K147" s="149" t="s">
        <v>4</v>
      </c>
      <c r="L147" s="149"/>
      <c r="M147" s="11">
        <v>45810</v>
      </c>
      <c r="N147" s="152">
        <f t="shared" si="21"/>
        <v>3</v>
      </c>
      <c r="O147" s="12" t="str">
        <f t="shared" si="22"/>
        <v>Yes</v>
      </c>
      <c r="P147" s="158"/>
      <c r="Q147" s="157"/>
      <c r="R147" s="17" t="s">
        <v>39</v>
      </c>
      <c r="S147" s="161"/>
      <c r="T147" s="8" t="s">
        <v>40</v>
      </c>
      <c r="U147" s="162"/>
      <c r="V147" s="5"/>
      <c r="W147" s="8"/>
      <c r="X147" s="6"/>
      <c r="BB147" s="7" t="str">
        <v>Quarter 1</v>
      </c>
    </row>
    <row r="148" spans="1:54" ht="31.4" customHeight="1" x14ac:dyDescent="0.35">
      <c r="A148" s="210">
        <v>147</v>
      </c>
      <c r="B148" s="5" t="s">
        <v>55</v>
      </c>
      <c r="C148" s="5" t="s">
        <v>13</v>
      </c>
      <c r="D148" s="5" t="s">
        <v>273</v>
      </c>
      <c r="E148" s="149">
        <v>45806</v>
      </c>
      <c r="F148" s="149">
        <f t="shared" si="23"/>
        <v>45807</v>
      </c>
      <c r="G148" s="149">
        <f t="shared" si="24"/>
        <v>45820</v>
      </c>
      <c r="H148" s="149">
        <f t="shared" si="25"/>
        <v>45834</v>
      </c>
      <c r="I148" s="149" t="str">
        <f t="shared" si="26"/>
        <v>May</v>
      </c>
      <c r="J148" s="216" t="str">
        <f t="shared" ca="1" si="20"/>
        <v/>
      </c>
      <c r="K148" s="149" t="s">
        <v>4</v>
      </c>
      <c r="L148" s="149"/>
      <c r="M148" s="11">
        <v>45811</v>
      </c>
      <c r="N148" s="152">
        <f t="shared" si="21"/>
        <v>3</v>
      </c>
      <c r="O148" s="12" t="str">
        <f t="shared" si="22"/>
        <v>Yes</v>
      </c>
      <c r="P148" s="158"/>
      <c r="Q148" s="157"/>
      <c r="R148" s="11" t="s">
        <v>39</v>
      </c>
      <c r="S148" s="158"/>
      <c r="T148" s="5" t="s">
        <v>40</v>
      </c>
      <c r="U148" s="10"/>
      <c r="V148" s="5" t="s">
        <v>54</v>
      </c>
      <c r="W148" s="5"/>
      <c r="X148" s="6"/>
      <c r="BB148" s="7" t="str">
        <v>Quarter 1</v>
      </c>
    </row>
    <row r="149" spans="1:54" ht="31.4" customHeight="1" x14ac:dyDescent="0.35">
      <c r="A149" s="210">
        <v>148</v>
      </c>
      <c r="B149" s="8" t="s">
        <v>6</v>
      </c>
      <c r="C149" s="8" t="s">
        <v>6</v>
      </c>
      <c r="D149" s="8" t="s">
        <v>274</v>
      </c>
      <c r="E149" s="149">
        <v>45806</v>
      </c>
      <c r="F149" s="149">
        <f t="shared" si="23"/>
        <v>45807</v>
      </c>
      <c r="G149" s="149">
        <f t="shared" si="24"/>
        <v>45820</v>
      </c>
      <c r="H149" s="149">
        <f t="shared" si="25"/>
        <v>45834</v>
      </c>
      <c r="I149" s="149" t="str">
        <f t="shared" si="26"/>
        <v>May</v>
      </c>
      <c r="J149" s="216" t="str">
        <f t="shared" ca="1" si="20"/>
        <v/>
      </c>
      <c r="K149" s="149" t="s">
        <v>43</v>
      </c>
      <c r="L149" s="149"/>
      <c r="M149" s="11">
        <v>45818</v>
      </c>
      <c r="N149" s="152">
        <f t="shared" si="21"/>
        <v>8</v>
      </c>
      <c r="O149" s="12" t="str">
        <f t="shared" si="22"/>
        <v>Yes</v>
      </c>
      <c r="P149" s="158"/>
      <c r="Q149" s="157"/>
      <c r="R149" s="17" t="s">
        <v>39</v>
      </c>
      <c r="S149" s="158"/>
      <c r="T149" s="8" t="s">
        <v>40</v>
      </c>
      <c r="U149" s="10"/>
      <c r="V149" s="8"/>
      <c r="W149" s="8"/>
      <c r="X149" s="6"/>
      <c r="BB149" s="7" t="str">
        <v>Quarter 1</v>
      </c>
    </row>
    <row r="150" spans="1:54" ht="31.4" customHeight="1" x14ac:dyDescent="0.35">
      <c r="A150" s="210">
        <v>149</v>
      </c>
      <c r="B150" s="5" t="s">
        <v>6</v>
      </c>
      <c r="C150" s="5" t="s">
        <v>6</v>
      </c>
      <c r="D150" s="5" t="s">
        <v>275</v>
      </c>
      <c r="E150" s="149">
        <v>45806</v>
      </c>
      <c r="F150" s="149">
        <f t="shared" si="23"/>
        <v>45807</v>
      </c>
      <c r="G150" s="149">
        <f t="shared" si="24"/>
        <v>45820</v>
      </c>
      <c r="H150" s="149">
        <f t="shared" si="25"/>
        <v>45834</v>
      </c>
      <c r="I150" s="149" t="str">
        <f t="shared" si="26"/>
        <v>May</v>
      </c>
      <c r="J150" s="216" t="str">
        <f t="shared" ca="1" si="20"/>
        <v/>
      </c>
      <c r="K150" s="149" t="s">
        <v>4</v>
      </c>
      <c r="L150" s="149"/>
      <c r="M150" s="11">
        <v>45806</v>
      </c>
      <c r="N150" s="152">
        <f t="shared" si="21"/>
        <v>0</v>
      </c>
      <c r="O150" s="12" t="str">
        <f t="shared" si="22"/>
        <v>Yes</v>
      </c>
      <c r="P150" s="158"/>
      <c r="Q150" s="157"/>
      <c r="R150" s="11" t="s">
        <v>39</v>
      </c>
      <c r="S150" s="158"/>
      <c r="T150" s="5" t="s">
        <v>40</v>
      </c>
      <c r="U150" s="10"/>
      <c r="V150" s="5"/>
      <c r="W150" s="5"/>
      <c r="X150" s="6"/>
      <c r="BB150" s="7" t="str">
        <v>Quarter 1</v>
      </c>
    </row>
    <row r="151" spans="1:54" ht="31.4" customHeight="1" x14ac:dyDescent="0.35">
      <c r="A151" s="210">
        <v>150</v>
      </c>
      <c r="B151" s="5" t="s">
        <v>276</v>
      </c>
      <c r="C151" s="5" t="s">
        <v>9</v>
      </c>
      <c r="D151" s="5" t="s">
        <v>277</v>
      </c>
      <c r="E151" s="149">
        <v>45806</v>
      </c>
      <c r="F151" s="149">
        <f t="shared" si="23"/>
        <v>45807</v>
      </c>
      <c r="G151" s="149">
        <f t="shared" si="24"/>
        <v>45820</v>
      </c>
      <c r="H151" s="149">
        <f t="shared" si="25"/>
        <v>45834</v>
      </c>
      <c r="I151" s="149" t="str">
        <f t="shared" si="26"/>
        <v>May</v>
      </c>
      <c r="J151" s="216" t="str">
        <f t="shared" ca="1" si="20"/>
        <v/>
      </c>
      <c r="K151" s="149" t="s">
        <v>4</v>
      </c>
      <c r="L151" s="149"/>
      <c r="M151" s="11">
        <v>45806</v>
      </c>
      <c r="N151" s="152">
        <f t="shared" si="21"/>
        <v>0</v>
      </c>
      <c r="O151" s="12" t="str">
        <f t="shared" si="22"/>
        <v>Yes</v>
      </c>
      <c r="P151" s="158"/>
      <c r="Q151" s="157"/>
      <c r="R151" s="11" t="s">
        <v>39</v>
      </c>
      <c r="S151" s="158"/>
      <c r="T151" s="5" t="s">
        <v>62</v>
      </c>
      <c r="U151" s="10"/>
      <c r="V151" s="5"/>
      <c r="W151" s="5"/>
      <c r="X151" s="6"/>
      <c r="BB151" s="7" t="str">
        <v>Quarter 1</v>
      </c>
    </row>
    <row r="152" spans="1:54" ht="31.4" customHeight="1" x14ac:dyDescent="0.35">
      <c r="A152" s="210">
        <v>151</v>
      </c>
      <c r="B152" s="5" t="s">
        <v>55</v>
      </c>
      <c r="C152" s="5" t="s">
        <v>13</v>
      </c>
      <c r="D152" s="5" t="s">
        <v>278</v>
      </c>
      <c r="E152" s="149">
        <v>45807</v>
      </c>
      <c r="F152" s="149">
        <f t="shared" si="23"/>
        <v>45810</v>
      </c>
      <c r="G152" s="149">
        <f t="shared" si="24"/>
        <v>45821</v>
      </c>
      <c r="H152" s="149">
        <f t="shared" si="25"/>
        <v>45835</v>
      </c>
      <c r="I152" s="149" t="str">
        <f t="shared" si="26"/>
        <v>May</v>
      </c>
      <c r="J152" s="216" t="str">
        <f t="shared" ca="1" si="20"/>
        <v/>
      </c>
      <c r="K152" s="149" t="s">
        <v>43</v>
      </c>
      <c r="L152" s="149"/>
      <c r="M152" s="11">
        <v>45820</v>
      </c>
      <c r="N152" s="152">
        <f t="shared" si="21"/>
        <v>9</v>
      </c>
      <c r="O152" s="12" t="str">
        <f t="shared" si="22"/>
        <v>Yes</v>
      </c>
      <c r="P152" s="158"/>
      <c r="Q152" s="157"/>
      <c r="R152" s="11" t="s">
        <v>39</v>
      </c>
      <c r="S152" s="158"/>
      <c r="T152" s="5" t="s">
        <v>40</v>
      </c>
      <c r="U152" s="10"/>
      <c r="V152" s="5"/>
      <c r="W152" s="5" t="s">
        <v>46</v>
      </c>
      <c r="X152" s="6"/>
      <c r="BB152" s="7" t="str">
        <v>Quarter 1</v>
      </c>
    </row>
    <row r="153" spans="1:54" ht="31.4" customHeight="1" x14ac:dyDescent="0.35">
      <c r="A153" s="210">
        <v>152</v>
      </c>
      <c r="B153" s="8" t="s">
        <v>6</v>
      </c>
      <c r="C153" s="8" t="s">
        <v>6</v>
      </c>
      <c r="D153" s="5" t="s">
        <v>279</v>
      </c>
      <c r="E153" s="149">
        <v>45807</v>
      </c>
      <c r="F153" s="149">
        <f t="shared" si="23"/>
        <v>45810</v>
      </c>
      <c r="G153" s="149">
        <f t="shared" si="24"/>
        <v>45821</v>
      </c>
      <c r="H153" s="149">
        <f t="shared" si="25"/>
        <v>45835</v>
      </c>
      <c r="I153" s="149" t="str">
        <f t="shared" si="26"/>
        <v>May</v>
      </c>
      <c r="J153" s="216" t="str">
        <f t="shared" ca="1" si="20"/>
        <v/>
      </c>
      <c r="K153" s="149" t="s">
        <v>7</v>
      </c>
      <c r="L153" s="149"/>
      <c r="M153" s="11">
        <v>45818</v>
      </c>
      <c r="N153" s="152">
        <f t="shared" si="21"/>
        <v>7</v>
      </c>
      <c r="O153" s="12" t="str">
        <f t="shared" si="22"/>
        <v>Yes</v>
      </c>
      <c r="P153" s="158"/>
      <c r="Q153" s="157"/>
      <c r="R153" s="11" t="s">
        <v>39</v>
      </c>
      <c r="S153" s="158"/>
      <c r="T153" s="5" t="s">
        <v>40</v>
      </c>
      <c r="U153" s="10"/>
      <c r="V153" s="5"/>
      <c r="W153" s="5"/>
      <c r="X153" s="6"/>
      <c r="BB153" s="7" t="str">
        <v>Quarter 1</v>
      </c>
    </row>
    <row r="154" spans="1:54" ht="31.4" customHeight="1" x14ac:dyDescent="0.35">
      <c r="A154" s="210">
        <v>153</v>
      </c>
      <c r="B154" s="8" t="s">
        <v>280</v>
      </c>
      <c r="C154" s="8" t="s">
        <v>9</v>
      </c>
      <c r="D154" s="8" t="s">
        <v>281</v>
      </c>
      <c r="E154" s="22">
        <v>45807</v>
      </c>
      <c r="F154" s="149">
        <f t="shared" si="23"/>
        <v>45810</v>
      </c>
      <c r="G154" s="149">
        <f t="shared" si="24"/>
        <v>45821</v>
      </c>
      <c r="H154" s="149">
        <f t="shared" si="25"/>
        <v>45835</v>
      </c>
      <c r="I154" s="149" t="str">
        <f t="shared" si="26"/>
        <v>May</v>
      </c>
      <c r="J154" s="216" t="str">
        <f t="shared" ca="1" si="20"/>
        <v/>
      </c>
      <c r="K154" s="22" t="s">
        <v>3</v>
      </c>
      <c r="L154" s="149"/>
      <c r="M154" s="11">
        <v>45826</v>
      </c>
      <c r="N154" s="152">
        <f t="shared" si="21"/>
        <v>13</v>
      </c>
      <c r="O154" s="12" t="str">
        <f t="shared" si="22"/>
        <v>Yes</v>
      </c>
      <c r="P154" s="158"/>
      <c r="Q154" s="157"/>
      <c r="R154" s="11" t="s">
        <v>39</v>
      </c>
      <c r="S154" s="158"/>
      <c r="T154" s="5" t="s">
        <v>40</v>
      </c>
      <c r="U154" s="10"/>
      <c r="V154" s="5"/>
      <c r="W154" s="5" t="s">
        <v>46</v>
      </c>
      <c r="X154" s="6"/>
      <c r="BB154" s="7" t="str">
        <v>Quarter 1</v>
      </c>
    </row>
    <row r="155" spans="1:54" ht="31.4" customHeight="1" x14ac:dyDescent="0.35">
      <c r="A155" s="210">
        <v>154</v>
      </c>
      <c r="B155" s="5" t="s">
        <v>6</v>
      </c>
      <c r="C155" s="5" t="s">
        <v>6</v>
      </c>
      <c r="D155" s="5" t="s">
        <v>1879</v>
      </c>
      <c r="E155" s="149">
        <v>45810</v>
      </c>
      <c r="F155" s="149">
        <f t="shared" si="23"/>
        <v>45811</v>
      </c>
      <c r="G155" s="149">
        <f t="shared" si="24"/>
        <v>45824</v>
      </c>
      <c r="H155" s="149">
        <f t="shared" si="25"/>
        <v>45838</v>
      </c>
      <c r="I155" s="149" t="str">
        <f t="shared" si="26"/>
        <v>Jun</v>
      </c>
      <c r="J155" s="216" t="str">
        <f t="shared" ca="1" si="20"/>
        <v/>
      </c>
      <c r="K155" s="149" t="s">
        <v>7</v>
      </c>
      <c r="L155" s="149"/>
      <c r="M155" s="11">
        <v>45819</v>
      </c>
      <c r="N155" s="152">
        <f t="shared" si="21"/>
        <v>7</v>
      </c>
      <c r="O155" s="12" t="str">
        <f t="shared" si="22"/>
        <v>Yes</v>
      </c>
      <c r="P155" s="158"/>
      <c r="Q155" s="157"/>
      <c r="R155" s="11" t="s">
        <v>39</v>
      </c>
      <c r="S155" s="158"/>
      <c r="T155" s="5" t="s">
        <v>40</v>
      </c>
      <c r="U155" s="10"/>
      <c r="V155" s="5"/>
      <c r="W155" s="5"/>
      <c r="X155" s="6"/>
      <c r="BB155" s="7" t="str">
        <v>Quarter 1</v>
      </c>
    </row>
    <row r="156" spans="1:54" ht="31.4" customHeight="1" x14ac:dyDescent="0.35">
      <c r="A156" s="210">
        <v>155</v>
      </c>
      <c r="B156" s="5" t="s">
        <v>6</v>
      </c>
      <c r="C156" s="5" t="s">
        <v>6</v>
      </c>
      <c r="D156" s="5" t="s">
        <v>282</v>
      </c>
      <c r="E156" s="22">
        <v>45810</v>
      </c>
      <c r="F156" s="149">
        <f t="shared" si="23"/>
        <v>45811</v>
      </c>
      <c r="G156" s="149">
        <f t="shared" si="24"/>
        <v>45824</v>
      </c>
      <c r="H156" s="149">
        <f t="shared" si="25"/>
        <v>45838</v>
      </c>
      <c r="I156" s="149" t="str">
        <f t="shared" si="26"/>
        <v>Jun</v>
      </c>
      <c r="J156" s="216" t="str">
        <f t="shared" ca="1" si="20"/>
        <v/>
      </c>
      <c r="K156" s="149" t="s">
        <v>43</v>
      </c>
      <c r="L156" s="149"/>
      <c r="M156" s="11">
        <v>45811</v>
      </c>
      <c r="N156" s="152">
        <f t="shared" si="21"/>
        <v>1</v>
      </c>
      <c r="O156" s="12" t="str">
        <f t="shared" si="22"/>
        <v>Yes</v>
      </c>
      <c r="P156" s="158"/>
      <c r="Q156" s="157"/>
      <c r="R156" s="11" t="s">
        <v>39</v>
      </c>
      <c r="S156" s="158"/>
      <c r="T156" s="5" t="s">
        <v>40</v>
      </c>
      <c r="U156" s="10"/>
      <c r="V156" s="5"/>
      <c r="W156" s="5"/>
      <c r="X156" s="6"/>
      <c r="BB156" s="7" t="str">
        <v>Quarter 1</v>
      </c>
    </row>
    <row r="157" spans="1:54" ht="31.4" customHeight="1" x14ac:dyDescent="0.35">
      <c r="A157" s="210">
        <v>156</v>
      </c>
      <c r="B157" s="5" t="s">
        <v>55</v>
      </c>
      <c r="C157" s="5" t="s">
        <v>13</v>
      </c>
      <c r="D157" s="5" t="s">
        <v>283</v>
      </c>
      <c r="E157" s="149">
        <v>45810</v>
      </c>
      <c r="F157" s="149">
        <f t="shared" si="23"/>
        <v>45811</v>
      </c>
      <c r="G157" s="149">
        <f t="shared" si="24"/>
        <v>45824</v>
      </c>
      <c r="H157" s="149">
        <f t="shared" si="25"/>
        <v>45838</v>
      </c>
      <c r="I157" s="149" t="str">
        <f t="shared" ref="I157:I175" si="27">IF(ISBLANK($E157),"",TEXT($E157,"mmm"))</f>
        <v>Jun</v>
      </c>
      <c r="J157" s="216" t="str">
        <f t="shared" ca="1" si="20"/>
        <v/>
      </c>
      <c r="K157" s="149" t="s">
        <v>43</v>
      </c>
      <c r="L157" s="149"/>
      <c r="M157" s="11">
        <v>45825</v>
      </c>
      <c r="N157" s="152">
        <f t="shared" si="21"/>
        <v>11</v>
      </c>
      <c r="O157" s="12" t="str">
        <f t="shared" si="22"/>
        <v>Yes</v>
      </c>
      <c r="P157" s="158"/>
      <c r="Q157" s="157"/>
      <c r="R157" s="11" t="s">
        <v>39</v>
      </c>
      <c r="S157" s="158"/>
      <c r="T157" s="5" t="s">
        <v>40</v>
      </c>
      <c r="U157" s="10"/>
      <c r="V157" s="5"/>
      <c r="W157" s="5" t="s">
        <v>46</v>
      </c>
      <c r="X157" s="6"/>
      <c r="BB157" s="7" t="str">
        <v>Quarter 1</v>
      </c>
    </row>
    <row r="158" spans="1:54" ht="31.4" customHeight="1" x14ac:dyDescent="0.35">
      <c r="A158" s="210">
        <v>157</v>
      </c>
      <c r="B158" s="5" t="s">
        <v>6</v>
      </c>
      <c r="C158" s="5" t="s">
        <v>6</v>
      </c>
      <c r="D158" s="5" t="s">
        <v>284</v>
      </c>
      <c r="E158" s="149">
        <v>45811</v>
      </c>
      <c r="F158" s="149">
        <f t="shared" si="23"/>
        <v>45812</v>
      </c>
      <c r="G158" s="149">
        <f t="shared" si="24"/>
        <v>45825</v>
      </c>
      <c r="H158" s="149">
        <f t="shared" si="25"/>
        <v>45839</v>
      </c>
      <c r="I158" s="149" t="str">
        <f t="shared" si="27"/>
        <v>Jun</v>
      </c>
      <c r="J158" s="216" t="str">
        <f t="shared" ca="1" si="20"/>
        <v/>
      </c>
      <c r="K158" s="149" t="s">
        <v>3</v>
      </c>
      <c r="L158" s="149"/>
      <c r="M158" s="11">
        <v>45852</v>
      </c>
      <c r="N158" s="152">
        <f t="shared" si="21"/>
        <v>29</v>
      </c>
      <c r="O158" s="12" t="str">
        <f t="shared" si="22"/>
        <v>No</v>
      </c>
      <c r="P158" s="158"/>
      <c r="Q158" s="157"/>
      <c r="R158" s="11" t="s">
        <v>39</v>
      </c>
      <c r="S158" s="158"/>
      <c r="T158" s="5" t="s">
        <v>40</v>
      </c>
      <c r="U158" s="10"/>
      <c r="V158" s="5"/>
      <c r="W158" s="5"/>
      <c r="X158" s="6"/>
      <c r="BB158" s="7" t="str">
        <v>Quarter 1</v>
      </c>
    </row>
    <row r="159" spans="1:54" ht="31.4" customHeight="1" x14ac:dyDescent="0.35">
      <c r="A159" s="210">
        <v>158</v>
      </c>
      <c r="B159" s="5" t="s">
        <v>285</v>
      </c>
      <c r="C159" s="5" t="s">
        <v>9</v>
      </c>
      <c r="D159" s="5" t="s">
        <v>286</v>
      </c>
      <c r="E159" s="149">
        <v>45812</v>
      </c>
      <c r="F159" s="149">
        <f t="shared" si="23"/>
        <v>45813</v>
      </c>
      <c r="G159" s="149">
        <f t="shared" si="24"/>
        <v>45826</v>
      </c>
      <c r="H159" s="149">
        <f t="shared" si="25"/>
        <v>45840</v>
      </c>
      <c r="I159" s="149" t="str">
        <f t="shared" si="27"/>
        <v>Jun</v>
      </c>
      <c r="J159" s="216" t="str">
        <f t="shared" ca="1" si="20"/>
        <v/>
      </c>
      <c r="K159" s="149" t="s">
        <v>43</v>
      </c>
      <c r="L159" s="149"/>
      <c r="M159" s="11">
        <v>45812</v>
      </c>
      <c r="N159" s="152">
        <f t="shared" si="21"/>
        <v>0</v>
      </c>
      <c r="O159" s="12" t="str">
        <f t="shared" si="22"/>
        <v>Yes</v>
      </c>
      <c r="P159" s="158"/>
      <c r="Q159" s="157"/>
      <c r="R159" s="11" t="s">
        <v>39</v>
      </c>
      <c r="S159" s="158"/>
      <c r="T159" s="5" t="s">
        <v>40</v>
      </c>
      <c r="U159" s="10"/>
      <c r="V159" s="5"/>
      <c r="W159" s="5"/>
      <c r="X159" s="6"/>
      <c r="BB159" s="7" t="str">
        <v>Quarter 1</v>
      </c>
    </row>
    <row r="160" spans="1:54" ht="31.4" customHeight="1" x14ac:dyDescent="0.35">
      <c r="A160" s="210">
        <v>159</v>
      </c>
      <c r="B160" s="5" t="s">
        <v>6</v>
      </c>
      <c r="C160" s="5" t="s">
        <v>6</v>
      </c>
      <c r="D160" s="5" t="s">
        <v>287</v>
      </c>
      <c r="E160" s="149">
        <v>45812</v>
      </c>
      <c r="F160" s="149">
        <f t="shared" si="23"/>
        <v>45813</v>
      </c>
      <c r="G160" s="149">
        <f t="shared" si="24"/>
        <v>45826</v>
      </c>
      <c r="H160" s="149">
        <f t="shared" si="25"/>
        <v>45840</v>
      </c>
      <c r="I160" s="149" t="str">
        <f t="shared" si="27"/>
        <v>Jun</v>
      </c>
      <c r="J160" s="216" t="str">
        <f t="shared" ca="1" si="20"/>
        <v/>
      </c>
      <c r="K160" s="149" t="s">
        <v>4</v>
      </c>
      <c r="L160" s="149"/>
      <c r="M160" s="11">
        <v>45819</v>
      </c>
      <c r="N160" s="152">
        <f t="shared" si="21"/>
        <v>5</v>
      </c>
      <c r="O160" s="12" t="str">
        <f t="shared" si="22"/>
        <v>Yes</v>
      </c>
      <c r="P160" s="158"/>
      <c r="Q160" s="157"/>
      <c r="R160" s="11" t="s">
        <v>39</v>
      </c>
      <c r="S160" s="158"/>
      <c r="T160" s="5" t="s">
        <v>45</v>
      </c>
      <c r="U160" s="10"/>
      <c r="V160" s="5" t="s">
        <v>53</v>
      </c>
      <c r="W160" s="5"/>
      <c r="X160" s="6"/>
      <c r="BB160" s="7" t="str">
        <v>Quarter 1</v>
      </c>
    </row>
    <row r="161" spans="1:54" ht="31.4" customHeight="1" x14ac:dyDescent="0.35">
      <c r="A161" s="210">
        <v>160</v>
      </c>
      <c r="B161" s="5" t="s">
        <v>288</v>
      </c>
      <c r="C161" s="5" t="s">
        <v>9</v>
      </c>
      <c r="D161" s="5" t="s">
        <v>289</v>
      </c>
      <c r="E161" s="149">
        <v>45812</v>
      </c>
      <c r="F161" s="149">
        <f t="shared" si="23"/>
        <v>45813</v>
      </c>
      <c r="G161" s="149">
        <f t="shared" si="24"/>
        <v>45826</v>
      </c>
      <c r="H161" s="149">
        <f t="shared" si="25"/>
        <v>45840</v>
      </c>
      <c r="I161" s="149" t="str">
        <f t="shared" si="27"/>
        <v>Jun</v>
      </c>
      <c r="J161" s="216" t="str">
        <f t="shared" ca="1" si="20"/>
        <v/>
      </c>
      <c r="K161" s="149" t="s">
        <v>4</v>
      </c>
      <c r="L161" s="149"/>
      <c r="M161" s="11">
        <v>45812</v>
      </c>
      <c r="N161" s="152">
        <f t="shared" si="21"/>
        <v>0</v>
      </c>
      <c r="O161" s="12" t="str">
        <f t="shared" si="22"/>
        <v>Yes</v>
      </c>
      <c r="P161" s="158"/>
      <c r="Q161" s="157"/>
      <c r="R161" s="11" t="s">
        <v>39</v>
      </c>
      <c r="S161" s="158"/>
      <c r="T161" s="5" t="s">
        <v>40</v>
      </c>
      <c r="U161" s="10"/>
      <c r="V161" s="5"/>
      <c r="W161" s="5"/>
      <c r="X161" s="6"/>
      <c r="BB161" s="7" t="str">
        <v>Quarter 1</v>
      </c>
    </row>
    <row r="162" spans="1:54" ht="31.4" customHeight="1" x14ac:dyDescent="0.35">
      <c r="A162" s="210">
        <v>161</v>
      </c>
      <c r="B162" s="5" t="s">
        <v>162</v>
      </c>
      <c r="C162" s="5" t="s">
        <v>5</v>
      </c>
      <c r="D162" s="5" t="s">
        <v>290</v>
      </c>
      <c r="E162" s="149">
        <v>45812</v>
      </c>
      <c r="F162" s="149">
        <f t="shared" si="23"/>
        <v>45813</v>
      </c>
      <c r="G162" s="149">
        <f t="shared" si="24"/>
        <v>45826</v>
      </c>
      <c r="H162" s="149">
        <f t="shared" si="25"/>
        <v>45840</v>
      </c>
      <c r="I162" s="149" t="str">
        <f t="shared" si="27"/>
        <v>Jun</v>
      </c>
      <c r="J162" s="216" t="str">
        <f t="shared" ca="1" si="20"/>
        <v/>
      </c>
      <c r="K162" s="149" t="s">
        <v>4</v>
      </c>
      <c r="L162" s="149"/>
      <c r="M162" s="11">
        <v>45826</v>
      </c>
      <c r="N162" s="152">
        <f t="shared" si="21"/>
        <v>10</v>
      </c>
      <c r="O162" s="12" t="str">
        <f t="shared" si="22"/>
        <v>Yes</v>
      </c>
      <c r="P162" s="158"/>
      <c r="Q162" s="157"/>
      <c r="R162" s="11" t="s">
        <v>39</v>
      </c>
      <c r="S162" s="158"/>
      <c r="T162" s="5" t="s">
        <v>40</v>
      </c>
      <c r="U162" s="10"/>
      <c r="V162" s="5" t="s">
        <v>54</v>
      </c>
      <c r="W162" s="5"/>
      <c r="X162" s="6"/>
      <c r="BB162" s="7" t="str">
        <v>Quarter 1</v>
      </c>
    </row>
    <row r="163" spans="1:54" s="12" customFormat="1" ht="31.4" customHeight="1" x14ac:dyDescent="0.35">
      <c r="A163" s="210">
        <v>162</v>
      </c>
      <c r="B163" s="8" t="s">
        <v>6</v>
      </c>
      <c r="C163" s="8" t="s">
        <v>6</v>
      </c>
      <c r="D163" s="8" t="s">
        <v>291</v>
      </c>
      <c r="E163" s="22">
        <v>45813</v>
      </c>
      <c r="F163" s="149">
        <f t="shared" si="23"/>
        <v>45814</v>
      </c>
      <c r="G163" s="149">
        <f t="shared" si="24"/>
        <v>45827</v>
      </c>
      <c r="H163" s="149">
        <f t="shared" si="25"/>
        <v>45841</v>
      </c>
      <c r="I163" s="22" t="str">
        <f t="shared" si="27"/>
        <v>Jun</v>
      </c>
      <c r="J163" s="216" t="str">
        <f t="shared" ca="1" si="20"/>
        <v/>
      </c>
      <c r="K163" s="22" t="s">
        <v>43</v>
      </c>
      <c r="L163" s="22"/>
      <c r="M163" s="17">
        <v>45814</v>
      </c>
      <c r="N163" s="152">
        <f t="shared" si="21"/>
        <v>1</v>
      </c>
      <c r="O163" s="12" t="str">
        <f t="shared" si="22"/>
        <v>Yes</v>
      </c>
      <c r="P163" s="17"/>
      <c r="Q163" s="17"/>
      <c r="R163" s="17" t="s">
        <v>39</v>
      </c>
      <c r="S163" s="17"/>
      <c r="T163" s="8" t="s">
        <v>45</v>
      </c>
      <c r="U163" s="8"/>
      <c r="V163" s="8" t="s">
        <v>87</v>
      </c>
      <c r="W163" s="8"/>
      <c r="X163" s="8"/>
      <c r="BB163" s="12" t="str">
        <v>Quarter 1</v>
      </c>
    </row>
    <row r="164" spans="1:54" ht="31.4" customHeight="1" x14ac:dyDescent="0.35">
      <c r="A164" s="210">
        <v>163</v>
      </c>
      <c r="B164" s="5" t="s">
        <v>6</v>
      </c>
      <c r="C164" s="5" t="s">
        <v>6</v>
      </c>
      <c r="D164" s="5" t="s">
        <v>292</v>
      </c>
      <c r="E164" s="149">
        <v>45813</v>
      </c>
      <c r="F164" s="149">
        <f t="shared" si="23"/>
        <v>45814</v>
      </c>
      <c r="G164" s="149">
        <f t="shared" si="24"/>
        <v>45827</v>
      </c>
      <c r="H164" s="149">
        <f t="shared" si="25"/>
        <v>45841</v>
      </c>
      <c r="I164" s="149" t="str">
        <f t="shared" si="27"/>
        <v>Jun</v>
      </c>
      <c r="J164" s="216" t="str">
        <f t="shared" ca="1" si="20"/>
        <v/>
      </c>
      <c r="K164" s="149" t="s">
        <v>43</v>
      </c>
      <c r="L164" s="149"/>
      <c r="M164" s="11">
        <v>45827</v>
      </c>
      <c r="N164" s="152">
        <f t="shared" si="21"/>
        <v>10</v>
      </c>
      <c r="O164" s="12" t="str">
        <f t="shared" si="22"/>
        <v>Yes</v>
      </c>
      <c r="P164" s="158"/>
      <c r="Q164" s="157"/>
      <c r="R164" s="11" t="s">
        <v>39</v>
      </c>
      <c r="S164" s="158"/>
      <c r="T164" s="5" t="s">
        <v>62</v>
      </c>
      <c r="U164" s="10"/>
      <c r="V164" s="5"/>
      <c r="W164" s="5"/>
      <c r="X164" s="6"/>
      <c r="BB164" s="7" t="str">
        <v>Quarter 1</v>
      </c>
    </row>
    <row r="165" spans="1:54" ht="31.4" customHeight="1" x14ac:dyDescent="0.35">
      <c r="A165" s="210">
        <v>164</v>
      </c>
      <c r="B165" s="5" t="s">
        <v>293</v>
      </c>
      <c r="C165" s="5" t="s">
        <v>9</v>
      </c>
      <c r="D165" s="5" t="s">
        <v>294</v>
      </c>
      <c r="E165" s="149">
        <v>45813</v>
      </c>
      <c r="F165" s="149">
        <f t="shared" si="23"/>
        <v>45814</v>
      </c>
      <c r="G165" s="149">
        <f t="shared" si="24"/>
        <v>45827</v>
      </c>
      <c r="H165" s="149">
        <f t="shared" si="25"/>
        <v>45841</v>
      </c>
      <c r="I165" s="149" t="str">
        <f t="shared" si="27"/>
        <v>Jun</v>
      </c>
      <c r="J165" s="216" t="str">
        <f t="shared" ca="1" si="20"/>
        <v/>
      </c>
      <c r="K165" s="149" t="s">
        <v>4</v>
      </c>
      <c r="L165" s="149"/>
      <c r="M165" s="11">
        <v>45819</v>
      </c>
      <c r="N165" s="152">
        <f t="shared" si="21"/>
        <v>4</v>
      </c>
      <c r="O165" s="12" t="str">
        <f t="shared" si="22"/>
        <v>Yes</v>
      </c>
      <c r="P165" s="158"/>
      <c r="Q165" s="157"/>
      <c r="R165" s="11" t="s">
        <v>39</v>
      </c>
      <c r="S165" s="158"/>
      <c r="T165" s="5" t="s">
        <v>40</v>
      </c>
      <c r="U165" s="10"/>
      <c r="V165" s="5"/>
      <c r="W165" s="5"/>
      <c r="X165" s="6"/>
      <c r="BB165" s="7" t="str">
        <v>Quarter 1</v>
      </c>
    </row>
    <row r="166" spans="1:54" ht="31.4" customHeight="1" x14ac:dyDescent="0.35">
      <c r="A166" s="210">
        <v>165</v>
      </c>
      <c r="B166" s="5" t="s">
        <v>295</v>
      </c>
      <c r="C166" s="5" t="s">
        <v>9</v>
      </c>
      <c r="D166" s="5" t="s">
        <v>1737</v>
      </c>
      <c r="E166" s="149">
        <v>45813</v>
      </c>
      <c r="F166" s="149">
        <f t="shared" si="23"/>
        <v>45814</v>
      </c>
      <c r="G166" s="149">
        <f t="shared" si="24"/>
        <v>45827</v>
      </c>
      <c r="H166" s="149">
        <f t="shared" si="25"/>
        <v>45841</v>
      </c>
      <c r="I166" s="149" t="str">
        <f t="shared" si="27"/>
        <v>Jun</v>
      </c>
      <c r="J166" s="216" t="str">
        <f t="shared" ca="1" si="20"/>
        <v/>
      </c>
      <c r="K166" s="149" t="s">
        <v>3</v>
      </c>
      <c r="L166" s="149"/>
      <c r="M166" s="11">
        <v>45831</v>
      </c>
      <c r="N166" s="152">
        <f t="shared" si="21"/>
        <v>12</v>
      </c>
      <c r="O166" s="12" t="str">
        <f t="shared" si="22"/>
        <v>Yes</v>
      </c>
      <c r="P166" s="158"/>
      <c r="Q166" s="157"/>
      <c r="R166" s="11" t="s">
        <v>39</v>
      </c>
      <c r="S166" s="158"/>
      <c r="T166" s="5" t="s">
        <v>40</v>
      </c>
      <c r="U166" s="10"/>
      <c r="V166" s="5"/>
      <c r="W166" s="5" t="s">
        <v>46</v>
      </c>
      <c r="X166" s="6"/>
      <c r="BB166" s="7" t="str">
        <v>Quarter 1</v>
      </c>
    </row>
    <row r="167" spans="1:54" ht="31.4" customHeight="1" x14ac:dyDescent="0.35">
      <c r="A167" s="210">
        <v>166</v>
      </c>
      <c r="B167" s="5" t="s">
        <v>6</v>
      </c>
      <c r="C167" s="5" t="s">
        <v>6</v>
      </c>
      <c r="D167" s="5" t="s">
        <v>296</v>
      </c>
      <c r="E167" s="149">
        <v>45814</v>
      </c>
      <c r="F167" s="149">
        <f t="shared" si="23"/>
        <v>45817</v>
      </c>
      <c r="G167" s="149">
        <f t="shared" si="24"/>
        <v>45828</v>
      </c>
      <c r="H167" s="149">
        <f t="shared" si="25"/>
        <v>45842</v>
      </c>
      <c r="I167" s="149" t="str">
        <f t="shared" si="27"/>
        <v>Jun</v>
      </c>
      <c r="J167" s="216" t="str">
        <f t="shared" ca="1" si="20"/>
        <v/>
      </c>
      <c r="K167" s="149" t="s">
        <v>4</v>
      </c>
      <c r="L167" s="149"/>
      <c r="M167" s="11">
        <v>45815</v>
      </c>
      <c r="N167" s="152">
        <f t="shared" si="21"/>
        <v>0</v>
      </c>
      <c r="O167" s="12" t="str">
        <f t="shared" si="22"/>
        <v>Yes</v>
      </c>
      <c r="P167" s="158"/>
      <c r="Q167" s="157"/>
      <c r="R167" s="11" t="s">
        <v>39</v>
      </c>
      <c r="S167" s="158"/>
      <c r="T167" s="5" t="s">
        <v>40</v>
      </c>
      <c r="U167" s="10"/>
      <c r="V167" s="5"/>
      <c r="W167" s="5"/>
      <c r="X167" s="6"/>
      <c r="BB167" s="7" t="str">
        <v>Quarter 1</v>
      </c>
    </row>
    <row r="168" spans="1:54" ht="31.4" customHeight="1" x14ac:dyDescent="0.35">
      <c r="A168" s="210">
        <v>167</v>
      </c>
      <c r="B168" s="5" t="s">
        <v>297</v>
      </c>
      <c r="C168" s="5" t="s">
        <v>5</v>
      </c>
      <c r="D168" s="5" t="s">
        <v>1859</v>
      </c>
      <c r="E168" s="149">
        <v>45814</v>
      </c>
      <c r="F168" s="149">
        <f t="shared" si="23"/>
        <v>45817</v>
      </c>
      <c r="G168" s="149">
        <f t="shared" si="24"/>
        <v>45828</v>
      </c>
      <c r="H168" s="149">
        <f t="shared" si="25"/>
        <v>45842</v>
      </c>
      <c r="I168" s="149" t="str">
        <f t="shared" si="27"/>
        <v>Jun</v>
      </c>
      <c r="J168" s="216" t="str">
        <f t="shared" ca="1" si="20"/>
        <v/>
      </c>
      <c r="K168" s="149" t="s">
        <v>7</v>
      </c>
      <c r="L168" s="149"/>
      <c r="M168" s="11">
        <v>45828</v>
      </c>
      <c r="N168" s="152">
        <f t="shared" si="21"/>
        <v>10</v>
      </c>
      <c r="O168" s="12" t="str">
        <f t="shared" si="22"/>
        <v>Yes</v>
      </c>
      <c r="P168" s="158"/>
      <c r="Q168" s="157"/>
      <c r="R168" s="11" t="s">
        <v>39</v>
      </c>
      <c r="S168" s="158"/>
      <c r="T168" s="5" t="s">
        <v>40</v>
      </c>
      <c r="U168" s="10"/>
      <c r="V168" s="5"/>
      <c r="W168" s="5"/>
      <c r="X168" s="6"/>
      <c r="BB168" s="7" t="str">
        <v>Quarter 1</v>
      </c>
    </row>
    <row r="169" spans="1:54" ht="31.4" customHeight="1" x14ac:dyDescent="0.35">
      <c r="A169" s="210">
        <v>168</v>
      </c>
      <c r="B169" s="5" t="s">
        <v>298</v>
      </c>
      <c r="C169" s="5" t="s">
        <v>11</v>
      </c>
      <c r="D169" s="5" t="s">
        <v>122</v>
      </c>
      <c r="E169" s="149">
        <v>45814</v>
      </c>
      <c r="F169" s="149">
        <f t="shared" si="23"/>
        <v>45817</v>
      </c>
      <c r="G169" s="149">
        <f t="shared" si="24"/>
        <v>45828</v>
      </c>
      <c r="H169" s="149">
        <f t="shared" si="25"/>
        <v>45842</v>
      </c>
      <c r="I169" s="149" t="str">
        <f t="shared" si="27"/>
        <v>Jun</v>
      </c>
      <c r="J169" s="216" t="str">
        <f t="shared" ca="1" si="20"/>
        <v/>
      </c>
      <c r="K169" s="149" t="s">
        <v>7</v>
      </c>
      <c r="L169" s="149"/>
      <c r="M169" s="11">
        <v>45824</v>
      </c>
      <c r="N169" s="152">
        <f t="shared" si="21"/>
        <v>6</v>
      </c>
      <c r="O169" s="12" t="str">
        <f t="shared" si="22"/>
        <v>Yes</v>
      </c>
      <c r="P169" s="158"/>
      <c r="Q169" s="157"/>
      <c r="R169" s="11" t="s">
        <v>39</v>
      </c>
      <c r="S169" s="158"/>
      <c r="T169" s="5" t="s">
        <v>40</v>
      </c>
      <c r="U169" s="10"/>
      <c r="V169" s="5"/>
      <c r="W169" s="5"/>
      <c r="X169" s="6"/>
      <c r="BB169" s="7" t="str">
        <v>Quarter 1</v>
      </c>
    </row>
    <row r="170" spans="1:54" ht="31.4" customHeight="1" x14ac:dyDescent="0.35">
      <c r="A170" s="210">
        <v>169</v>
      </c>
      <c r="B170" s="5" t="s">
        <v>55</v>
      </c>
      <c r="C170" s="5" t="s">
        <v>13</v>
      </c>
      <c r="D170" s="5" t="s">
        <v>299</v>
      </c>
      <c r="E170" s="149"/>
      <c r="F170" s="149"/>
      <c r="G170" s="149"/>
      <c r="H170" s="149"/>
      <c r="I170" s="149" t="s">
        <v>300</v>
      </c>
      <c r="J170" s="216" t="str">
        <f t="shared" ca="1" si="20"/>
        <v/>
      </c>
      <c r="K170" s="149" t="s">
        <v>7</v>
      </c>
      <c r="L170" s="149"/>
      <c r="M170" s="11"/>
      <c r="N170" s="152" t="str">
        <f t="shared" si="21"/>
        <v/>
      </c>
      <c r="O170" s="12" t="str">
        <f t="shared" si="22"/>
        <v/>
      </c>
      <c r="P170" s="158"/>
      <c r="Q170" s="157"/>
      <c r="R170" s="11" t="s">
        <v>52</v>
      </c>
      <c r="S170" s="158"/>
      <c r="T170" s="5" t="s">
        <v>52</v>
      </c>
      <c r="U170" s="10"/>
      <c r="V170" s="5"/>
      <c r="W170" s="5"/>
      <c r="X170" s="6"/>
      <c r="BB170" s="7" t="str">
        <v>Quarter 1</v>
      </c>
    </row>
    <row r="171" spans="1:54" ht="31.4" customHeight="1" x14ac:dyDescent="0.35">
      <c r="A171" s="210">
        <v>170</v>
      </c>
      <c r="B171" s="8" t="s">
        <v>301</v>
      </c>
      <c r="C171" s="8" t="s">
        <v>9</v>
      </c>
      <c r="D171" s="8" t="s">
        <v>302</v>
      </c>
      <c r="E171" s="149">
        <v>45817</v>
      </c>
      <c r="F171" s="149">
        <f t="shared" ref="F171:F189" si="28">IF($E171="","",WORKDAY($E171,1,$Z$33:$Z$47))</f>
        <v>45818</v>
      </c>
      <c r="G171" s="149">
        <f t="shared" ref="G171:G189" si="29">IF($E171="","",WORKDAY($E171,10,$Z$33:$Z$47))</f>
        <v>45831</v>
      </c>
      <c r="H171" s="149">
        <f t="shared" ref="H171:H189" si="30">IF($E171="","",WORKDAY($E171,20,$Z$33:$Z$47))</f>
        <v>45845</v>
      </c>
      <c r="I171" s="149" t="str">
        <f t="shared" si="27"/>
        <v>Jun</v>
      </c>
      <c r="J171" s="216" t="str">
        <f t="shared" ca="1" si="20"/>
        <v/>
      </c>
      <c r="K171" s="149" t="s">
        <v>4</v>
      </c>
      <c r="L171" s="149"/>
      <c r="M171" s="11">
        <v>45824</v>
      </c>
      <c r="N171" s="152">
        <f t="shared" si="21"/>
        <v>5</v>
      </c>
      <c r="O171" s="12" t="str">
        <f t="shared" si="22"/>
        <v>Yes</v>
      </c>
      <c r="P171" s="158"/>
      <c r="Q171" s="157"/>
      <c r="R171" s="17" t="s">
        <v>39</v>
      </c>
      <c r="S171" s="17"/>
      <c r="T171" s="8" t="s">
        <v>51</v>
      </c>
      <c r="U171" s="8"/>
      <c r="V171" s="5" t="s">
        <v>53</v>
      </c>
      <c r="W171" s="8" t="s">
        <v>46</v>
      </c>
      <c r="X171" s="6"/>
      <c r="BB171" s="7" t="str">
        <v>Quarter 1</v>
      </c>
    </row>
    <row r="172" spans="1:54" ht="31.4" customHeight="1" x14ac:dyDescent="0.35">
      <c r="A172" s="210">
        <v>171</v>
      </c>
      <c r="B172" s="5" t="s">
        <v>6</v>
      </c>
      <c r="C172" s="5" t="s">
        <v>6</v>
      </c>
      <c r="D172" s="5" t="s">
        <v>303</v>
      </c>
      <c r="E172" s="149">
        <v>45817</v>
      </c>
      <c r="F172" s="149">
        <f t="shared" si="28"/>
        <v>45818</v>
      </c>
      <c r="G172" s="149">
        <f t="shared" si="29"/>
        <v>45831</v>
      </c>
      <c r="H172" s="149">
        <f t="shared" si="30"/>
        <v>45845</v>
      </c>
      <c r="I172" s="149" t="str">
        <f t="shared" si="27"/>
        <v>Jun</v>
      </c>
      <c r="J172" s="216" t="str">
        <f t="shared" ca="1" si="20"/>
        <v/>
      </c>
      <c r="K172" s="149" t="s">
        <v>7</v>
      </c>
      <c r="L172" s="149"/>
      <c r="M172" s="11">
        <v>45828</v>
      </c>
      <c r="N172" s="152">
        <f t="shared" si="21"/>
        <v>9</v>
      </c>
      <c r="O172" s="12" t="str">
        <f t="shared" si="22"/>
        <v>Yes</v>
      </c>
      <c r="P172" s="158"/>
      <c r="Q172" s="157"/>
      <c r="R172" s="11" t="s">
        <v>39</v>
      </c>
      <c r="S172" s="158"/>
      <c r="T172" s="5" t="s">
        <v>40</v>
      </c>
      <c r="U172" s="10"/>
      <c r="V172" s="5"/>
      <c r="W172" s="5"/>
      <c r="X172" s="6"/>
      <c r="BB172" s="7" t="str">
        <v>Quarter 1</v>
      </c>
    </row>
    <row r="173" spans="1:54" ht="31.4" customHeight="1" x14ac:dyDescent="0.35">
      <c r="A173" s="210">
        <v>172</v>
      </c>
      <c r="B173" s="5" t="s">
        <v>304</v>
      </c>
      <c r="C173" s="5" t="s">
        <v>9</v>
      </c>
      <c r="D173" s="5" t="s">
        <v>305</v>
      </c>
      <c r="E173" s="149">
        <v>45817</v>
      </c>
      <c r="F173" s="149">
        <f t="shared" si="28"/>
        <v>45818</v>
      </c>
      <c r="G173" s="149">
        <f t="shared" si="29"/>
        <v>45831</v>
      </c>
      <c r="H173" s="149">
        <f t="shared" si="30"/>
        <v>45845</v>
      </c>
      <c r="I173" s="149" t="str">
        <f t="shared" si="27"/>
        <v>Jun</v>
      </c>
      <c r="J173" s="216" t="str">
        <f t="shared" ca="1" si="20"/>
        <v/>
      </c>
      <c r="K173" s="149" t="s">
        <v>4</v>
      </c>
      <c r="L173" s="149"/>
      <c r="M173" s="11">
        <v>45817</v>
      </c>
      <c r="N173" s="152">
        <f t="shared" si="21"/>
        <v>0</v>
      </c>
      <c r="O173" s="12" t="str">
        <f t="shared" si="22"/>
        <v>Yes</v>
      </c>
      <c r="P173" s="158"/>
      <c r="Q173" s="157"/>
      <c r="R173" s="11" t="s">
        <v>39</v>
      </c>
      <c r="S173" s="158"/>
      <c r="T173" s="5" t="s">
        <v>40</v>
      </c>
      <c r="U173" s="10"/>
      <c r="V173" s="5"/>
      <c r="W173" s="5"/>
      <c r="X173" s="6"/>
      <c r="BB173" s="7" t="str">
        <v>Quarter 1</v>
      </c>
    </row>
    <row r="174" spans="1:54" ht="31.4" customHeight="1" x14ac:dyDescent="0.35">
      <c r="A174" s="210">
        <v>173</v>
      </c>
      <c r="B174" s="5" t="s">
        <v>68</v>
      </c>
      <c r="C174" s="5" t="s">
        <v>9</v>
      </c>
      <c r="D174" s="5" t="s">
        <v>306</v>
      </c>
      <c r="E174" s="149">
        <v>45817</v>
      </c>
      <c r="F174" s="149">
        <f t="shared" si="28"/>
        <v>45818</v>
      </c>
      <c r="G174" s="149">
        <f t="shared" si="29"/>
        <v>45831</v>
      </c>
      <c r="H174" s="149">
        <f t="shared" si="30"/>
        <v>45845</v>
      </c>
      <c r="I174" s="149" t="str">
        <f t="shared" si="27"/>
        <v>Jun</v>
      </c>
      <c r="J174" s="216" t="str">
        <f t="shared" ca="1" si="20"/>
        <v/>
      </c>
      <c r="K174" s="149" t="s">
        <v>43</v>
      </c>
      <c r="L174" s="149"/>
      <c r="M174" s="11">
        <v>45817</v>
      </c>
      <c r="N174" s="152">
        <f t="shared" si="21"/>
        <v>0</v>
      </c>
      <c r="O174" s="12" t="str">
        <f t="shared" si="22"/>
        <v>Yes</v>
      </c>
      <c r="P174" s="158"/>
      <c r="Q174" s="157"/>
      <c r="R174" s="11" t="s">
        <v>39</v>
      </c>
      <c r="S174" s="158"/>
      <c r="T174" s="5" t="s">
        <v>40</v>
      </c>
      <c r="U174" s="10"/>
      <c r="V174" s="5"/>
      <c r="W174" s="5"/>
      <c r="X174" s="6"/>
      <c r="BB174" s="7" t="str">
        <v>Quarter 1</v>
      </c>
    </row>
    <row r="175" spans="1:54" ht="31.4" customHeight="1" x14ac:dyDescent="0.35">
      <c r="A175" s="210">
        <v>174</v>
      </c>
      <c r="B175" s="5" t="s">
        <v>55</v>
      </c>
      <c r="C175" s="5" t="s">
        <v>13</v>
      </c>
      <c r="D175" s="5" t="s">
        <v>122</v>
      </c>
      <c r="E175" s="149">
        <v>45817</v>
      </c>
      <c r="F175" s="149">
        <f t="shared" si="28"/>
        <v>45818</v>
      </c>
      <c r="G175" s="149">
        <f t="shared" si="29"/>
        <v>45831</v>
      </c>
      <c r="H175" s="149">
        <f t="shared" si="30"/>
        <v>45845</v>
      </c>
      <c r="I175" s="149" t="str">
        <f t="shared" si="27"/>
        <v>Jun</v>
      </c>
      <c r="J175" s="216" t="str">
        <f t="shared" ca="1" si="20"/>
        <v/>
      </c>
      <c r="K175" s="149" t="s">
        <v>7</v>
      </c>
      <c r="L175" s="149"/>
      <c r="M175" s="11">
        <v>45832</v>
      </c>
      <c r="N175" s="152">
        <f t="shared" si="21"/>
        <v>11</v>
      </c>
      <c r="O175" s="12" t="str">
        <f t="shared" si="22"/>
        <v>Yes</v>
      </c>
      <c r="P175" s="158"/>
      <c r="Q175" s="157"/>
      <c r="R175" s="11" t="s">
        <v>39</v>
      </c>
      <c r="S175" s="158"/>
      <c r="T175" s="5" t="s">
        <v>40</v>
      </c>
      <c r="U175" s="10"/>
      <c r="V175" s="5"/>
      <c r="W175" s="5" t="s">
        <v>46</v>
      </c>
      <c r="X175" s="6"/>
      <c r="BB175" s="7" t="str">
        <v>Quarter 1</v>
      </c>
    </row>
    <row r="176" spans="1:54" ht="31.4" customHeight="1" x14ac:dyDescent="0.35">
      <c r="A176" s="210">
        <v>175</v>
      </c>
      <c r="B176" s="5" t="s">
        <v>6</v>
      </c>
      <c r="C176" s="5" t="s">
        <v>6</v>
      </c>
      <c r="D176" s="5" t="s">
        <v>307</v>
      </c>
      <c r="E176" s="149">
        <v>45818</v>
      </c>
      <c r="F176" s="149">
        <f t="shared" si="28"/>
        <v>45819</v>
      </c>
      <c r="G176" s="149">
        <f t="shared" si="29"/>
        <v>45832</v>
      </c>
      <c r="H176" s="149">
        <f t="shared" si="30"/>
        <v>45846</v>
      </c>
      <c r="I176" s="149" t="str">
        <f t="shared" ref="I176:I239" si="31">IF(ISBLANK($E176),"",TEXT($E176,"mmm"))</f>
        <v>Jun</v>
      </c>
      <c r="J176" s="216" t="str">
        <f t="shared" ca="1" si="20"/>
        <v/>
      </c>
      <c r="K176" s="149" t="s">
        <v>4</v>
      </c>
      <c r="L176" s="149"/>
      <c r="M176" s="11">
        <v>45820</v>
      </c>
      <c r="N176" s="152">
        <f t="shared" si="21"/>
        <v>2</v>
      </c>
      <c r="O176" s="12" t="str">
        <f t="shared" si="22"/>
        <v>Yes</v>
      </c>
      <c r="P176" s="158"/>
      <c r="Q176" s="157"/>
      <c r="R176" s="11" t="s">
        <v>39</v>
      </c>
      <c r="S176" s="158"/>
      <c r="T176" s="5" t="s">
        <v>40</v>
      </c>
      <c r="U176" s="10"/>
      <c r="V176" s="5" t="s">
        <v>54</v>
      </c>
      <c r="W176" s="5"/>
      <c r="X176" s="6"/>
      <c r="BB176" s="7" t="str">
        <v>Quarter 1</v>
      </c>
    </row>
    <row r="177" spans="1:54" ht="31.4" customHeight="1" x14ac:dyDescent="0.35">
      <c r="A177" s="210">
        <v>176</v>
      </c>
      <c r="B177" s="5" t="s">
        <v>308</v>
      </c>
      <c r="C177" s="5" t="s">
        <v>5</v>
      </c>
      <c r="D177" s="5" t="s">
        <v>309</v>
      </c>
      <c r="E177" s="149">
        <v>45818</v>
      </c>
      <c r="F177" s="149">
        <f t="shared" si="28"/>
        <v>45819</v>
      </c>
      <c r="G177" s="149">
        <f t="shared" si="29"/>
        <v>45832</v>
      </c>
      <c r="H177" s="149">
        <f t="shared" si="30"/>
        <v>45846</v>
      </c>
      <c r="I177" s="149" t="str">
        <f t="shared" si="31"/>
        <v>Jun</v>
      </c>
      <c r="J177" s="216" t="str">
        <f t="shared" ca="1" si="20"/>
        <v/>
      </c>
      <c r="K177" s="149" t="s">
        <v>4</v>
      </c>
      <c r="L177" s="149"/>
      <c r="M177" s="11">
        <v>45845</v>
      </c>
      <c r="N177" s="152">
        <f t="shared" si="21"/>
        <v>19</v>
      </c>
      <c r="O177" s="12" t="str">
        <f t="shared" si="22"/>
        <v>Yes</v>
      </c>
      <c r="P177" s="158"/>
      <c r="Q177" s="157"/>
      <c r="R177" s="11" t="s">
        <v>39</v>
      </c>
      <c r="S177" s="158"/>
      <c r="T177" s="5" t="s">
        <v>40</v>
      </c>
      <c r="U177" s="10"/>
      <c r="V177" s="5"/>
      <c r="W177" s="5"/>
      <c r="X177" s="6"/>
      <c r="BB177" s="7" t="str">
        <v>Quarter 1</v>
      </c>
    </row>
    <row r="178" spans="1:54" ht="31.4" customHeight="1" x14ac:dyDescent="0.35">
      <c r="A178" s="210">
        <v>177</v>
      </c>
      <c r="B178" s="5" t="s">
        <v>310</v>
      </c>
      <c r="C178" s="5" t="s">
        <v>9</v>
      </c>
      <c r="D178" s="5" t="s">
        <v>311</v>
      </c>
      <c r="E178" s="149">
        <v>45818</v>
      </c>
      <c r="F178" s="149">
        <f t="shared" si="28"/>
        <v>45819</v>
      </c>
      <c r="G178" s="149">
        <f t="shared" si="29"/>
        <v>45832</v>
      </c>
      <c r="H178" s="149">
        <f t="shared" si="30"/>
        <v>45846</v>
      </c>
      <c r="I178" s="149" t="str">
        <f t="shared" si="31"/>
        <v>Jun</v>
      </c>
      <c r="J178" s="216" t="str">
        <f t="shared" ca="1" si="20"/>
        <v/>
      </c>
      <c r="K178" s="149" t="s">
        <v>43</v>
      </c>
      <c r="L178" s="149"/>
      <c r="M178" s="11">
        <v>45820</v>
      </c>
      <c r="N178" s="152">
        <f t="shared" si="21"/>
        <v>2</v>
      </c>
      <c r="O178" s="12" t="str">
        <f t="shared" si="22"/>
        <v>Yes</v>
      </c>
      <c r="P178" s="158"/>
      <c r="Q178" s="157"/>
      <c r="R178" s="11" t="s">
        <v>39</v>
      </c>
      <c r="S178" s="158"/>
      <c r="T178" s="5" t="s">
        <v>40</v>
      </c>
      <c r="U178" s="10"/>
      <c r="V178" s="5"/>
      <c r="W178" s="5"/>
      <c r="X178" s="6"/>
      <c r="BB178" s="7" t="str">
        <v>Quarter 1</v>
      </c>
    </row>
    <row r="179" spans="1:54" ht="31.4" customHeight="1" x14ac:dyDescent="0.35">
      <c r="A179" s="210">
        <v>178</v>
      </c>
      <c r="B179" s="5" t="s">
        <v>312</v>
      </c>
      <c r="C179" s="5" t="s">
        <v>9</v>
      </c>
      <c r="D179" s="5" t="s">
        <v>313</v>
      </c>
      <c r="E179" s="149">
        <v>45818</v>
      </c>
      <c r="F179" s="149">
        <f t="shared" si="28"/>
        <v>45819</v>
      </c>
      <c r="G179" s="149">
        <f t="shared" si="29"/>
        <v>45832</v>
      </c>
      <c r="H179" s="149">
        <f t="shared" si="30"/>
        <v>45846</v>
      </c>
      <c r="I179" s="149" t="str">
        <f t="shared" si="31"/>
        <v>Jun</v>
      </c>
      <c r="J179" s="216" t="str">
        <f t="shared" ca="1" si="20"/>
        <v/>
      </c>
      <c r="K179" s="149" t="s">
        <v>4</v>
      </c>
      <c r="L179" s="149"/>
      <c r="M179" s="11">
        <v>45820</v>
      </c>
      <c r="N179" s="152">
        <f t="shared" si="21"/>
        <v>2</v>
      </c>
      <c r="O179" s="12" t="str">
        <f t="shared" si="22"/>
        <v>Yes</v>
      </c>
      <c r="P179" s="158"/>
      <c r="Q179" s="157"/>
      <c r="R179" s="11" t="s">
        <v>39</v>
      </c>
      <c r="S179" s="158"/>
      <c r="T179" s="5" t="s">
        <v>40</v>
      </c>
      <c r="U179" s="10"/>
      <c r="V179" s="5"/>
      <c r="W179" s="5"/>
      <c r="X179" s="6"/>
      <c r="BB179" s="7" t="str">
        <v>Quarter 1</v>
      </c>
    </row>
    <row r="180" spans="1:54" ht="31.4" customHeight="1" x14ac:dyDescent="0.35">
      <c r="A180" s="210">
        <v>179</v>
      </c>
      <c r="B180" s="5" t="s">
        <v>6</v>
      </c>
      <c r="C180" s="5" t="s">
        <v>6</v>
      </c>
      <c r="D180" s="5" t="s">
        <v>314</v>
      </c>
      <c r="E180" s="149">
        <v>45818</v>
      </c>
      <c r="F180" s="149">
        <f t="shared" si="28"/>
        <v>45819</v>
      </c>
      <c r="G180" s="149">
        <f t="shared" si="29"/>
        <v>45832</v>
      </c>
      <c r="H180" s="149">
        <f t="shared" si="30"/>
        <v>45846</v>
      </c>
      <c r="I180" s="149" t="str">
        <f t="shared" si="31"/>
        <v>Jun</v>
      </c>
      <c r="J180" s="216" t="str">
        <f t="shared" ca="1" si="20"/>
        <v/>
      </c>
      <c r="K180" s="149" t="s">
        <v>7</v>
      </c>
      <c r="L180" s="149"/>
      <c r="M180" s="11">
        <v>45827</v>
      </c>
      <c r="N180" s="152">
        <f t="shared" si="21"/>
        <v>7</v>
      </c>
      <c r="O180" s="12" t="str">
        <f t="shared" si="22"/>
        <v>Yes</v>
      </c>
      <c r="P180" s="158"/>
      <c r="Q180" s="157"/>
      <c r="R180" s="11" t="s">
        <v>39</v>
      </c>
      <c r="S180" s="158"/>
      <c r="T180" s="5" t="s">
        <v>40</v>
      </c>
      <c r="U180" s="10"/>
      <c r="V180" s="5"/>
      <c r="W180" s="5"/>
      <c r="X180" s="6"/>
      <c r="BB180" s="7" t="str">
        <v>Quarter 1</v>
      </c>
    </row>
    <row r="181" spans="1:54" ht="31.4" customHeight="1" x14ac:dyDescent="0.35">
      <c r="A181" s="210">
        <v>180</v>
      </c>
      <c r="B181" s="5" t="s">
        <v>6</v>
      </c>
      <c r="C181" s="5" t="s">
        <v>6</v>
      </c>
      <c r="D181" s="5" t="s">
        <v>315</v>
      </c>
      <c r="E181" s="149">
        <v>45819</v>
      </c>
      <c r="F181" s="149">
        <f t="shared" si="28"/>
        <v>45820</v>
      </c>
      <c r="G181" s="149">
        <f t="shared" si="29"/>
        <v>45833</v>
      </c>
      <c r="H181" s="149">
        <f t="shared" si="30"/>
        <v>45847</v>
      </c>
      <c r="I181" s="149" t="str">
        <f t="shared" si="31"/>
        <v>Jun</v>
      </c>
      <c r="J181" s="216" t="str">
        <f t="shared" ca="1" si="20"/>
        <v/>
      </c>
      <c r="K181" s="149" t="s">
        <v>4</v>
      </c>
      <c r="L181" s="149"/>
      <c r="M181" s="11">
        <v>45841</v>
      </c>
      <c r="N181" s="152">
        <f t="shared" si="21"/>
        <v>16</v>
      </c>
      <c r="O181" s="12" t="str">
        <f t="shared" si="22"/>
        <v>Yes</v>
      </c>
      <c r="P181" s="158"/>
      <c r="Q181" s="157"/>
      <c r="R181" s="11" t="s">
        <v>39</v>
      </c>
      <c r="S181" s="158"/>
      <c r="T181" s="5" t="s">
        <v>40</v>
      </c>
      <c r="U181" s="10"/>
      <c r="V181" s="5"/>
      <c r="W181" s="5"/>
      <c r="X181" s="6"/>
      <c r="BB181" s="7" t="str">
        <v>Quarter 1</v>
      </c>
    </row>
    <row r="182" spans="1:54" ht="31.4" customHeight="1" x14ac:dyDescent="0.35">
      <c r="A182" s="210">
        <v>181</v>
      </c>
      <c r="B182" s="5" t="s">
        <v>6</v>
      </c>
      <c r="C182" s="5" t="s">
        <v>6</v>
      </c>
      <c r="D182" s="5" t="s">
        <v>316</v>
      </c>
      <c r="E182" s="149">
        <v>45819</v>
      </c>
      <c r="F182" s="149">
        <f t="shared" si="28"/>
        <v>45820</v>
      </c>
      <c r="G182" s="149">
        <f t="shared" si="29"/>
        <v>45833</v>
      </c>
      <c r="H182" s="149">
        <f t="shared" si="30"/>
        <v>45847</v>
      </c>
      <c r="I182" s="149" t="str">
        <f t="shared" si="31"/>
        <v>Jun</v>
      </c>
      <c r="J182" s="216" t="str">
        <f t="shared" ca="1" si="20"/>
        <v/>
      </c>
      <c r="K182" s="149" t="s">
        <v>3</v>
      </c>
      <c r="L182" s="149"/>
      <c r="M182" s="11">
        <v>45833</v>
      </c>
      <c r="N182" s="152">
        <f t="shared" si="21"/>
        <v>10</v>
      </c>
      <c r="O182" s="12" t="str">
        <f t="shared" si="22"/>
        <v>Yes</v>
      </c>
      <c r="P182" s="158"/>
      <c r="Q182" s="157"/>
      <c r="R182" s="11" t="s">
        <v>39</v>
      </c>
      <c r="S182" s="158"/>
      <c r="T182" s="5" t="s">
        <v>40</v>
      </c>
      <c r="U182" s="10"/>
      <c r="V182" s="5"/>
      <c r="W182" s="5"/>
      <c r="X182" s="6"/>
      <c r="BB182" s="7" t="str">
        <v>Quarter 1</v>
      </c>
    </row>
    <row r="183" spans="1:54" ht="31.4" customHeight="1" x14ac:dyDescent="0.35">
      <c r="A183" s="210">
        <v>182</v>
      </c>
      <c r="B183" s="8" t="s">
        <v>55</v>
      </c>
      <c r="C183" s="8" t="s">
        <v>13</v>
      </c>
      <c r="D183" s="163" t="s">
        <v>317</v>
      </c>
      <c r="E183" s="149">
        <v>45819</v>
      </c>
      <c r="F183" s="149">
        <f t="shared" si="28"/>
        <v>45820</v>
      </c>
      <c r="G183" s="149">
        <f t="shared" si="29"/>
        <v>45833</v>
      </c>
      <c r="H183" s="149">
        <f t="shared" si="30"/>
        <v>45847</v>
      </c>
      <c r="I183" s="149" t="str">
        <f t="shared" si="31"/>
        <v>Jun</v>
      </c>
      <c r="J183" s="216" t="str">
        <f t="shared" ca="1" si="20"/>
        <v/>
      </c>
      <c r="K183" s="149" t="s">
        <v>4</v>
      </c>
      <c r="L183" s="149"/>
      <c r="M183" s="11">
        <v>45824</v>
      </c>
      <c r="N183" s="152">
        <f t="shared" si="21"/>
        <v>3</v>
      </c>
      <c r="O183" s="12" t="str">
        <f t="shared" si="22"/>
        <v>Yes</v>
      </c>
      <c r="P183" s="158"/>
      <c r="Q183" s="157"/>
      <c r="R183" s="17" t="s">
        <v>39</v>
      </c>
      <c r="S183" s="161"/>
      <c r="T183" s="8" t="s">
        <v>40</v>
      </c>
      <c r="U183" s="162"/>
      <c r="V183" s="5"/>
      <c r="W183" s="8"/>
      <c r="X183" s="6"/>
      <c r="BB183" s="7" t="str">
        <v>Quarter 1</v>
      </c>
    </row>
    <row r="184" spans="1:54" ht="31.4" customHeight="1" x14ac:dyDescent="0.35">
      <c r="A184" s="210">
        <v>183</v>
      </c>
      <c r="B184" s="5" t="s">
        <v>6</v>
      </c>
      <c r="C184" s="5" t="s">
        <v>6</v>
      </c>
      <c r="D184" s="5" t="s">
        <v>318</v>
      </c>
      <c r="E184" s="149">
        <v>45819</v>
      </c>
      <c r="F184" s="149">
        <f t="shared" si="28"/>
        <v>45820</v>
      </c>
      <c r="G184" s="149">
        <f t="shared" si="29"/>
        <v>45833</v>
      </c>
      <c r="H184" s="149">
        <f t="shared" si="30"/>
        <v>45847</v>
      </c>
      <c r="I184" s="149" t="str">
        <f t="shared" si="31"/>
        <v>Jun</v>
      </c>
      <c r="J184" s="216" t="str">
        <f t="shared" ca="1" si="20"/>
        <v/>
      </c>
      <c r="K184" s="149" t="s">
        <v>7</v>
      </c>
      <c r="L184" s="149"/>
      <c r="M184" s="11">
        <v>45831</v>
      </c>
      <c r="N184" s="152">
        <f t="shared" si="21"/>
        <v>8</v>
      </c>
      <c r="O184" s="12" t="str">
        <f t="shared" si="22"/>
        <v>Yes</v>
      </c>
      <c r="P184" s="158"/>
      <c r="Q184" s="157"/>
      <c r="R184" s="11" t="s">
        <v>39</v>
      </c>
      <c r="S184" s="158"/>
      <c r="T184" s="5" t="s">
        <v>40</v>
      </c>
      <c r="U184" s="10"/>
      <c r="V184" s="5" t="s">
        <v>54</v>
      </c>
      <c r="W184" s="5"/>
      <c r="X184" s="6"/>
      <c r="BB184" s="7" t="str">
        <v>Quarter 1</v>
      </c>
    </row>
    <row r="185" spans="1:54" ht="31.4" customHeight="1" x14ac:dyDescent="0.35">
      <c r="A185" s="210">
        <v>184</v>
      </c>
      <c r="B185" s="5" t="s">
        <v>319</v>
      </c>
      <c r="C185" s="5" t="s">
        <v>5</v>
      </c>
      <c r="D185" s="5" t="s">
        <v>320</v>
      </c>
      <c r="E185" s="149">
        <v>45819</v>
      </c>
      <c r="F185" s="149">
        <f t="shared" si="28"/>
        <v>45820</v>
      </c>
      <c r="G185" s="149">
        <f t="shared" si="29"/>
        <v>45833</v>
      </c>
      <c r="H185" s="149">
        <f t="shared" si="30"/>
        <v>45847</v>
      </c>
      <c r="I185" s="149" t="str">
        <f t="shared" si="31"/>
        <v>Jun</v>
      </c>
      <c r="J185" s="216" t="str">
        <f t="shared" ca="1" si="20"/>
        <v/>
      </c>
      <c r="K185" s="149" t="s">
        <v>7</v>
      </c>
      <c r="L185" s="149"/>
      <c r="M185" s="11">
        <v>45840</v>
      </c>
      <c r="N185" s="152">
        <f t="shared" si="21"/>
        <v>15</v>
      </c>
      <c r="O185" s="12" t="str">
        <f t="shared" si="22"/>
        <v>Yes</v>
      </c>
      <c r="P185" s="158"/>
      <c r="Q185" s="157"/>
      <c r="R185" s="11" t="s">
        <v>39</v>
      </c>
      <c r="S185" s="158"/>
      <c r="T185" s="5" t="s">
        <v>62</v>
      </c>
      <c r="U185" s="10"/>
      <c r="V185" s="5"/>
      <c r="W185" s="5"/>
      <c r="X185" s="6"/>
      <c r="BB185" s="7" t="str">
        <v>Quarter 1</v>
      </c>
    </row>
    <row r="186" spans="1:54" ht="31.4" customHeight="1" x14ac:dyDescent="0.35">
      <c r="A186" s="210">
        <v>185</v>
      </c>
      <c r="B186" s="5" t="s">
        <v>6</v>
      </c>
      <c r="C186" s="5" t="s">
        <v>6</v>
      </c>
      <c r="D186" s="5" t="s">
        <v>321</v>
      </c>
      <c r="E186" s="149">
        <v>45819</v>
      </c>
      <c r="F186" s="149">
        <f t="shared" si="28"/>
        <v>45820</v>
      </c>
      <c r="G186" s="149">
        <f t="shared" si="29"/>
        <v>45833</v>
      </c>
      <c r="H186" s="149">
        <f t="shared" si="30"/>
        <v>45847</v>
      </c>
      <c r="I186" s="149" t="str">
        <f t="shared" si="31"/>
        <v>Jun</v>
      </c>
      <c r="J186" s="216" t="str">
        <f t="shared" ca="1" si="20"/>
        <v/>
      </c>
      <c r="K186" s="149" t="s">
        <v>4</v>
      </c>
      <c r="L186" s="149"/>
      <c r="M186" s="11">
        <v>45819</v>
      </c>
      <c r="N186" s="152">
        <f t="shared" si="21"/>
        <v>0</v>
      </c>
      <c r="O186" s="12" t="str">
        <f t="shared" si="22"/>
        <v>Yes</v>
      </c>
      <c r="P186" s="158"/>
      <c r="Q186" s="157"/>
      <c r="R186" s="11" t="s">
        <v>39</v>
      </c>
      <c r="S186" s="158"/>
      <c r="T186" s="5" t="s">
        <v>40</v>
      </c>
      <c r="U186" s="10"/>
      <c r="V186" s="5" t="s">
        <v>54</v>
      </c>
      <c r="W186" s="5"/>
      <c r="X186" s="6"/>
      <c r="BB186" s="7" t="str">
        <v>Quarter 1</v>
      </c>
    </row>
    <row r="187" spans="1:54" ht="31.4" customHeight="1" x14ac:dyDescent="0.35">
      <c r="A187" s="210">
        <v>186</v>
      </c>
      <c r="B187" s="5" t="s">
        <v>322</v>
      </c>
      <c r="C187" s="5" t="s">
        <v>9</v>
      </c>
      <c r="D187" s="5" t="s">
        <v>64</v>
      </c>
      <c r="E187" s="149">
        <v>45819</v>
      </c>
      <c r="F187" s="149">
        <f t="shared" si="28"/>
        <v>45820</v>
      </c>
      <c r="G187" s="149">
        <f t="shared" si="29"/>
        <v>45833</v>
      </c>
      <c r="H187" s="149">
        <f t="shared" si="30"/>
        <v>45847</v>
      </c>
      <c r="I187" s="149" t="str">
        <f t="shared" si="31"/>
        <v>Jun</v>
      </c>
      <c r="J187" s="216" t="str">
        <f t="shared" ca="1" si="20"/>
        <v/>
      </c>
      <c r="K187" s="149" t="s">
        <v>43</v>
      </c>
      <c r="L187" s="149"/>
      <c r="M187" s="11">
        <v>45819</v>
      </c>
      <c r="N187" s="152">
        <f t="shared" si="21"/>
        <v>0</v>
      </c>
      <c r="O187" s="12" t="str">
        <f t="shared" si="22"/>
        <v>Yes</v>
      </c>
      <c r="P187" s="158"/>
      <c r="Q187" s="157"/>
      <c r="R187" s="11" t="s">
        <v>39</v>
      </c>
      <c r="S187" s="158"/>
      <c r="T187" s="5" t="s">
        <v>45</v>
      </c>
      <c r="U187" s="10"/>
      <c r="V187" s="5" t="s">
        <v>53</v>
      </c>
      <c r="W187" s="5"/>
      <c r="X187" s="6"/>
      <c r="BB187" s="7" t="str">
        <v>Quarter 1</v>
      </c>
    </row>
    <row r="188" spans="1:54" ht="31.4" customHeight="1" x14ac:dyDescent="0.35">
      <c r="A188" s="210">
        <v>187</v>
      </c>
      <c r="B188" s="5" t="s">
        <v>214</v>
      </c>
      <c r="C188" s="5" t="s">
        <v>5</v>
      </c>
      <c r="D188" s="5" t="s">
        <v>1860</v>
      </c>
      <c r="E188" s="149">
        <v>45820</v>
      </c>
      <c r="F188" s="149">
        <f t="shared" si="28"/>
        <v>45821</v>
      </c>
      <c r="G188" s="149">
        <f t="shared" si="29"/>
        <v>45834</v>
      </c>
      <c r="H188" s="149">
        <f t="shared" si="30"/>
        <v>45848</v>
      </c>
      <c r="I188" s="149" t="str">
        <f t="shared" si="31"/>
        <v>Jun</v>
      </c>
      <c r="J188" s="216" t="str">
        <f t="shared" ca="1" si="20"/>
        <v/>
      </c>
      <c r="K188" s="149" t="s">
        <v>7</v>
      </c>
      <c r="L188" s="149"/>
      <c r="M188" s="11">
        <v>45824</v>
      </c>
      <c r="N188" s="152">
        <f t="shared" si="21"/>
        <v>2</v>
      </c>
      <c r="O188" s="12" t="str">
        <f t="shared" si="22"/>
        <v>Yes</v>
      </c>
      <c r="P188" s="158"/>
      <c r="Q188" s="157"/>
      <c r="R188" s="11" t="s">
        <v>39</v>
      </c>
      <c r="S188" s="158"/>
      <c r="T188" s="5" t="s">
        <v>40</v>
      </c>
      <c r="U188" s="10"/>
      <c r="V188" s="5"/>
      <c r="W188" s="5"/>
      <c r="X188" s="6"/>
      <c r="BB188" s="7" t="str">
        <v>Quarter 1</v>
      </c>
    </row>
    <row r="189" spans="1:54" ht="31.4" customHeight="1" x14ac:dyDescent="0.35">
      <c r="A189" s="210">
        <v>188</v>
      </c>
      <c r="B189" s="5" t="s">
        <v>323</v>
      </c>
      <c r="C189" s="5" t="s">
        <v>11</v>
      </c>
      <c r="D189" s="5" t="s">
        <v>324</v>
      </c>
      <c r="E189" s="149">
        <v>45820</v>
      </c>
      <c r="F189" s="149">
        <f t="shared" si="28"/>
        <v>45821</v>
      </c>
      <c r="G189" s="149">
        <f t="shared" si="29"/>
        <v>45834</v>
      </c>
      <c r="H189" s="149">
        <f t="shared" si="30"/>
        <v>45848</v>
      </c>
      <c r="I189" s="149" t="str">
        <f t="shared" si="31"/>
        <v>Jun</v>
      </c>
      <c r="J189" s="216" t="str">
        <f t="shared" ca="1" si="20"/>
        <v/>
      </c>
      <c r="K189" s="149" t="s">
        <v>43</v>
      </c>
      <c r="L189" s="149"/>
      <c r="M189" s="11">
        <v>45824</v>
      </c>
      <c r="N189" s="152">
        <f t="shared" si="21"/>
        <v>2</v>
      </c>
      <c r="O189" s="12" t="str">
        <f t="shared" si="22"/>
        <v>Yes</v>
      </c>
      <c r="P189" s="158"/>
      <c r="Q189" s="157"/>
      <c r="R189" s="11" t="s">
        <v>39</v>
      </c>
      <c r="S189" s="158"/>
      <c r="T189" s="5" t="s">
        <v>40</v>
      </c>
      <c r="U189" s="10"/>
      <c r="V189" s="5"/>
      <c r="W189" s="5" t="s">
        <v>46</v>
      </c>
      <c r="X189" s="6"/>
      <c r="BB189" s="7" t="str">
        <v>Quarter 1</v>
      </c>
    </row>
    <row r="190" spans="1:54" ht="31.4" customHeight="1" x14ac:dyDescent="0.35">
      <c r="A190" s="210">
        <v>189</v>
      </c>
      <c r="B190" s="5" t="s">
        <v>325</v>
      </c>
      <c r="C190" s="5" t="s">
        <v>9</v>
      </c>
      <c r="D190" s="5" t="s">
        <v>326</v>
      </c>
      <c r="E190" s="149"/>
      <c r="F190" s="149"/>
      <c r="G190" s="149"/>
      <c r="H190" s="149"/>
      <c r="I190" s="149" t="s">
        <v>300</v>
      </c>
      <c r="J190" s="216" t="str">
        <f t="shared" ca="1" si="20"/>
        <v/>
      </c>
      <c r="K190" s="149" t="s">
        <v>43</v>
      </c>
      <c r="L190" s="149"/>
      <c r="M190" s="11"/>
      <c r="N190" s="152" t="str">
        <f t="shared" si="21"/>
        <v/>
      </c>
      <c r="O190" s="12" t="str">
        <f t="shared" si="22"/>
        <v/>
      </c>
      <c r="P190" s="158"/>
      <c r="Q190" s="157"/>
      <c r="R190" s="11" t="s">
        <v>52</v>
      </c>
      <c r="S190" s="158"/>
      <c r="T190" s="5" t="s">
        <v>52</v>
      </c>
      <c r="U190" s="10"/>
      <c r="V190" s="5"/>
      <c r="W190" s="5"/>
      <c r="X190" s="6"/>
      <c r="BB190" s="7" t="str">
        <v>Quarter 1</v>
      </c>
    </row>
    <row r="191" spans="1:54" ht="31.4" customHeight="1" x14ac:dyDescent="0.35">
      <c r="A191" s="210">
        <v>190</v>
      </c>
      <c r="B191" s="8" t="s">
        <v>327</v>
      </c>
      <c r="C191" s="8" t="s">
        <v>9</v>
      </c>
      <c r="D191" s="8" t="s">
        <v>328</v>
      </c>
      <c r="E191" s="22">
        <v>45821</v>
      </c>
      <c r="F191" s="149">
        <f t="shared" ref="F191:F217" si="32">IF($E191="","",WORKDAY($E191,1,$Z$33:$Z$47))</f>
        <v>45824</v>
      </c>
      <c r="G191" s="149">
        <f t="shared" ref="G191:G217" si="33">IF($E191="","",WORKDAY($E191,10,$Z$33:$Z$47))</f>
        <v>45835</v>
      </c>
      <c r="H191" s="149">
        <f t="shared" ref="H191:H217" si="34">IF($E191="","",WORKDAY($E191,20,$Z$33:$Z$47))</f>
        <v>45849</v>
      </c>
      <c r="I191" s="149" t="str">
        <f t="shared" si="31"/>
        <v>Jun</v>
      </c>
      <c r="J191" s="216" t="str">
        <f t="shared" ca="1" si="20"/>
        <v/>
      </c>
      <c r="K191" s="22" t="s">
        <v>4</v>
      </c>
      <c r="L191" s="22"/>
      <c r="M191" s="11">
        <v>45824</v>
      </c>
      <c r="N191" s="152">
        <f t="shared" si="21"/>
        <v>1</v>
      </c>
      <c r="O191" s="12" t="str">
        <f t="shared" si="22"/>
        <v>Yes</v>
      </c>
      <c r="P191" s="19"/>
      <c r="Q191" s="19"/>
      <c r="R191" s="17" t="s">
        <v>39</v>
      </c>
      <c r="S191" s="17"/>
      <c r="T191" s="8" t="s">
        <v>45</v>
      </c>
      <c r="U191" s="8"/>
      <c r="V191" s="8" t="s">
        <v>87</v>
      </c>
      <c r="W191" s="8"/>
      <c r="X191" s="9"/>
      <c r="BB191" s="7" t="str">
        <v>Quarter 1</v>
      </c>
    </row>
    <row r="192" spans="1:54" ht="31.4" customHeight="1" x14ac:dyDescent="0.35">
      <c r="A192" s="210">
        <v>191</v>
      </c>
      <c r="B192" s="5" t="s">
        <v>55</v>
      </c>
      <c r="C192" s="5" t="s">
        <v>13</v>
      </c>
      <c r="D192" s="5" t="s">
        <v>329</v>
      </c>
      <c r="E192" s="149">
        <v>45821</v>
      </c>
      <c r="F192" s="149">
        <f t="shared" si="32"/>
        <v>45824</v>
      </c>
      <c r="G192" s="149">
        <f t="shared" si="33"/>
        <v>45835</v>
      </c>
      <c r="H192" s="149">
        <f t="shared" si="34"/>
        <v>45849</v>
      </c>
      <c r="I192" s="149" t="str">
        <f t="shared" si="31"/>
        <v>Jun</v>
      </c>
      <c r="J192" s="216" t="str">
        <f t="shared" ca="1" si="20"/>
        <v/>
      </c>
      <c r="K192" s="149" t="s">
        <v>43</v>
      </c>
      <c r="L192" s="149"/>
      <c r="M192" s="11">
        <v>45826</v>
      </c>
      <c r="N192" s="152">
        <f t="shared" si="21"/>
        <v>3</v>
      </c>
      <c r="O192" s="12" t="str">
        <f t="shared" si="22"/>
        <v>Yes</v>
      </c>
      <c r="P192" s="158"/>
      <c r="Q192" s="157"/>
      <c r="R192" s="11" t="s">
        <v>39</v>
      </c>
      <c r="S192" s="158"/>
      <c r="T192" s="5" t="s">
        <v>40</v>
      </c>
      <c r="U192" s="10"/>
      <c r="V192" s="5"/>
      <c r="W192" s="5"/>
      <c r="X192" s="6"/>
      <c r="BB192" s="7" t="str">
        <v>Quarter 1</v>
      </c>
    </row>
    <row r="193" spans="1:54" ht="31.4" customHeight="1" x14ac:dyDescent="0.35">
      <c r="A193" s="210">
        <v>192</v>
      </c>
      <c r="B193" s="5" t="s">
        <v>330</v>
      </c>
      <c r="C193" s="5" t="s">
        <v>11</v>
      </c>
      <c r="D193" s="5" t="s">
        <v>331</v>
      </c>
      <c r="E193" s="149">
        <v>45824</v>
      </c>
      <c r="F193" s="149">
        <f t="shared" si="32"/>
        <v>45825</v>
      </c>
      <c r="G193" s="149">
        <f t="shared" si="33"/>
        <v>45838</v>
      </c>
      <c r="H193" s="149">
        <f t="shared" si="34"/>
        <v>45852</v>
      </c>
      <c r="I193" s="149" t="str">
        <f t="shared" si="31"/>
        <v>Jun</v>
      </c>
      <c r="J193" s="216" t="str">
        <f t="shared" ca="1" si="20"/>
        <v/>
      </c>
      <c r="K193" s="149" t="s">
        <v>7</v>
      </c>
      <c r="L193" s="149"/>
      <c r="M193" s="11">
        <v>45826</v>
      </c>
      <c r="N193" s="152">
        <f t="shared" si="21"/>
        <v>2</v>
      </c>
      <c r="O193" s="12" t="str">
        <f t="shared" si="22"/>
        <v>Yes</v>
      </c>
      <c r="P193" s="158"/>
      <c r="Q193" s="157"/>
      <c r="R193" s="11" t="s">
        <v>39</v>
      </c>
      <c r="S193" s="158"/>
      <c r="T193" s="5" t="s">
        <v>40</v>
      </c>
      <c r="U193" s="10"/>
      <c r="V193" s="5"/>
      <c r="W193" s="5"/>
      <c r="X193" s="6"/>
      <c r="BB193" s="7" t="str">
        <v>Quarter 1</v>
      </c>
    </row>
    <row r="194" spans="1:54" ht="31.4" customHeight="1" x14ac:dyDescent="0.35">
      <c r="A194" s="210">
        <v>193</v>
      </c>
      <c r="B194" s="5" t="s">
        <v>332</v>
      </c>
      <c r="C194" s="5" t="s">
        <v>9</v>
      </c>
      <c r="D194" s="5" t="s">
        <v>86</v>
      </c>
      <c r="E194" s="149">
        <v>45824</v>
      </c>
      <c r="F194" s="149">
        <f t="shared" si="32"/>
        <v>45825</v>
      </c>
      <c r="G194" s="149">
        <f t="shared" si="33"/>
        <v>45838</v>
      </c>
      <c r="H194" s="149">
        <f t="shared" si="34"/>
        <v>45852</v>
      </c>
      <c r="I194" s="149" t="str">
        <f t="shared" si="31"/>
        <v>Jun</v>
      </c>
      <c r="J194" s="216" t="str">
        <f t="shared" ref="J194:J257" ca="1" si="35">IF($E194="","",IF($M194="",$H194-TODAY(),""))</f>
        <v/>
      </c>
      <c r="K194" s="149" t="s">
        <v>4</v>
      </c>
      <c r="L194" s="149"/>
      <c r="M194" s="11">
        <v>45824</v>
      </c>
      <c r="N194" s="152">
        <f t="shared" ref="N194:N257" si="36">IF($M194="","",NETWORKDAYS($E194,$M194,$Z$33:$Z$47)-1)</f>
        <v>0</v>
      </c>
      <c r="O194" s="12" t="str">
        <f t="shared" si="22"/>
        <v>Yes</v>
      </c>
      <c r="P194" s="158"/>
      <c r="Q194" s="157"/>
      <c r="R194" s="11" t="s">
        <v>39</v>
      </c>
      <c r="S194" s="158"/>
      <c r="T194" s="5" t="s">
        <v>45</v>
      </c>
      <c r="U194" s="10"/>
      <c r="V194" s="5" t="s">
        <v>53</v>
      </c>
      <c r="W194" s="5" t="s">
        <v>333</v>
      </c>
      <c r="X194" s="6"/>
      <c r="BB194" s="7" t="str">
        <v>Quarter 1</v>
      </c>
    </row>
    <row r="195" spans="1:54" ht="31.4" customHeight="1" x14ac:dyDescent="0.35">
      <c r="A195" s="210">
        <v>194</v>
      </c>
      <c r="B195" s="5" t="s">
        <v>310</v>
      </c>
      <c r="C195" s="5" t="s">
        <v>9</v>
      </c>
      <c r="D195" s="5" t="s">
        <v>334</v>
      </c>
      <c r="E195" s="149">
        <v>45824</v>
      </c>
      <c r="F195" s="149">
        <f t="shared" si="32"/>
        <v>45825</v>
      </c>
      <c r="G195" s="149">
        <f t="shared" si="33"/>
        <v>45838</v>
      </c>
      <c r="H195" s="149">
        <f t="shared" si="34"/>
        <v>45852</v>
      </c>
      <c r="I195" s="149" t="str">
        <f t="shared" si="31"/>
        <v>Jun</v>
      </c>
      <c r="J195" s="216" t="str">
        <f t="shared" ca="1" si="35"/>
        <v/>
      </c>
      <c r="K195" s="149" t="s">
        <v>43</v>
      </c>
      <c r="L195" s="149"/>
      <c r="M195" s="11">
        <v>45838</v>
      </c>
      <c r="N195" s="152">
        <f t="shared" si="36"/>
        <v>10</v>
      </c>
      <c r="O195" s="12" t="str">
        <f t="shared" ref="O195:O258" si="37">IF(ISBLANK($M195),"",IF($N195&lt;21,"Yes","No"))</f>
        <v>Yes</v>
      </c>
      <c r="P195" s="158"/>
      <c r="Q195" s="157"/>
      <c r="R195" s="11" t="s">
        <v>39</v>
      </c>
      <c r="S195" s="158"/>
      <c r="T195" s="5" t="s">
        <v>40</v>
      </c>
      <c r="U195" s="10"/>
      <c r="V195" s="5"/>
      <c r="W195" s="5"/>
      <c r="X195" s="6"/>
      <c r="BB195" s="7" t="str">
        <v>Quarter 1</v>
      </c>
    </row>
    <row r="196" spans="1:54" ht="31.4" customHeight="1" x14ac:dyDescent="0.35">
      <c r="A196" s="210">
        <v>195</v>
      </c>
      <c r="B196" s="5" t="s">
        <v>162</v>
      </c>
      <c r="C196" s="5" t="s">
        <v>5</v>
      </c>
      <c r="D196" s="136" t="s">
        <v>335</v>
      </c>
      <c r="E196" s="149">
        <v>45825</v>
      </c>
      <c r="F196" s="149">
        <f t="shared" si="32"/>
        <v>45826</v>
      </c>
      <c r="G196" s="149">
        <f t="shared" si="33"/>
        <v>45839</v>
      </c>
      <c r="H196" s="149">
        <f t="shared" si="34"/>
        <v>45853</v>
      </c>
      <c r="I196" s="149" t="str">
        <f t="shared" si="31"/>
        <v>Jun</v>
      </c>
      <c r="J196" s="216" t="str">
        <f t="shared" ca="1" si="35"/>
        <v/>
      </c>
      <c r="K196" s="149" t="s">
        <v>43</v>
      </c>
      <c r="L196" s="149"/>
      <c r="M196" s="11">
        <v>45846</v>
      </c>
      <c r="N196" s="152">
        <f t="shared" si="36"/>
        <v>15</v>
      </c>
      <c r="O196" s="12" t="str">
        <f t="shared" si="37"/>
        <v>Yes</v>
      </c>
      <c r="P196" s="158"/>
      <c r="Q196" s="157"/>
      <c r="R196" s="11" t="s">
        <v>39</v>
      </c>
      <c r="S196" s="158"/>
      <c r="T196" s="5" t="s">
        <v>40</v>
      </c>
      <c r="U196" s="10"/>
      <c r="V196" s="5" t="s">
        <v>87</v>
      </c>
      <c r="W196" s="5"/>
      <c r="X196" s="6"/>
      <c r="BB196" s="7" t="str">
        <v>Quarter 1</v>
      </c>
    </row>
    <row r="197" spans="1:54" ht="31.4" customHeight="1" x14ac:dyDescent="0.35">
      <c r="A197" s="210">
        <v>196</v>
      </c>
      <c r="B197" s="5" t="s">
        <v>336</v>
      </c>
      <c r="C197" s="5" t="s">
        <v>9</v>
      </c>
      <c r="D197" s="5" t="s">
        <v>337</v>
      </c>
      <c r="E197" s="149">
        <v>45825</v>
      </c>
      <c r="F197" s="149">
        <f t="shared" si="32"/>
        <v>45826</v>
      </c>
      <c r="G197" s="149">
        <f t="shared" si="33"/>
        <v>45839</v>
      </c>
      <c r="H197" s="149">
        <f t="shared" si="34"/>
        <v>45853</v>
      </c>
      <c r="I197" s="149" t="str">
        <f t="shared" si="31"/>
        <v>Jun</v>
      </c>
      <c r="J197" s="216" t="str">
        <f t="shared" ca="1" si="35"/>
        <v/>
      </c>
      <c r="K197" s="149" t="s">
        <v>3</v>
      </c>
      <c r="L197" s="149"/>
      <c r="M197" s="11">
        <v>45839</v>
      </c>
      <c r="N197" s="152">
        <f t="shared" si="36"/>
        <v>10</v>
      </c>
      <c r="O197" s="12" t="str">
        <f t="shared" si="37"/>
        <v>Yes</v>
      </c>
      <c r="P197" s="158"/>
      <c r="Q197" s="157"/>
      <c r="R197" s="11" t="s">
        <v>39</v>
      </c>
      <c r="S197" s="158"/>
      <c r="T197" s="5" t="s">
        <v>45</v>
      </c>
      <c r="U197" s="10"/>
      <c r="V197" s="5" t="s">
        <v>87</v>
      </c>
      <c r="W197" s="5"/>
      <c r="X197" s="6"/>
      <c r="BB197" s="7" t="str">
        <v>Quarter 1</v>
      </c>
    </row>
    <row r="198" spans="1:54" ht="31.4" customHeight="1" x14ac:dyDescent="0.35">
      <c r="A198" s="210">
        <v>197</v>
      </c>
      <c r="B198" s="5" t="s">
        <v>338</v>
      </c>
      <c r="C198" s="5" t="s">
        <v>9</v>
      </c>
      <c r="D198" s="5" t="s">
        <v>339</v>
      </c>
      <c r="E198" s="149">
        <v>45825</v>
      </c>
      <c r="F198" s="149">
        <f t="shared" si="32"/>
        <v>45826</v>
      </c>
      <c r="G198" s="149">
        <f t="shared" si="33"/>
        <v>45839</v>
      </c>
      <c r="H198" s="149">
        <f t="shared" si="34"/>
        <v>45853</v>
      </c>
      <c r="I198" s="149" t="str">
        <f t="shared" si="31"/>
        <v>Jun</v>
      </c>
      <c r="J198" s="216" t="str">
        <f t="shared" ca="1" si="35"/>
        <v/>
      </c>
      <c r="K198" s="149" t="s">
        <v>4</v>
      </c>
      <c r="L198" s="149"/>
      <c r="M198" s="11">
        <v>45825</v>
      </c>
      <c r="N198" s="152">
        <f t="shared" si="36"/>
        <v>0</v>
      </c>
      <c r="O198" s="12" t="str">
        <f t="shared" si="37"/>
        <v>Yes</v>
      </c>
      <c r="P198" s="158"/>
      <c r="Q198" s="157"/>
      <c r="R198" s="11" t="s">
        <v>39</v>
      </c>
      <c r="S198" s="158"/>
      <c r="T198" s="5" t="s">
        <v>40</v>
      </c>
      <c r="U198" s="10"/>
      <c r="V198" s="5"/>
      <c r="W198" s="5"/>
      <c r="X198" s="6"/>
      <c r="BB198" s="7" t="str">
        <v>Quarter 1</v>
      </c>
    </row>
    <row r="199" spans="1:54" ht="31.4" customHeight="1" x14ac:dyDescent="0.35">
      <c r="A199" s="210">
        <v>198</v>
      </c>
      <c r="B199" s="5" t="s">
        <v>340</v>
      </c>
      <c r="C199" s="5" t="s">
        <v>9</v>
      </c>
      <c r="D199" s="5" t="s">
        <v>341</v>
      </c>
      <c r="E199" s="149">
        <v>45825</v>
      </c>
      <c r="F199" s="149">
        <f t="shared" si="32"/>
        <v>45826</v>
      </c>
      <c r="G199" s="149">
        <f t="shared" si="33"/>
        <v>45839</v>
      </c>
      <c r="H199" s="149">
        <f t="shared" si="34"/>
        <v>45853</v>
      </c>
      <c r="I199" s="149" t="str">
        <f t="shared" si="31"/>
        <v>Jun</v>
      </c>
      <c r="J199" s="216" t="str">
        <f t="shared" ca="1" si="35"/>
        <v/>
      </c>
      <c r="K199" s="149" t="s">
        <v>4</v>
      </c>
      <c r="L199" s="149"/>
      <c r="M199" s="11">
        <v>45831</v>
      </c>
      <c r="N199" s="152">
        <f t="shared" si="36"/>
        <v>4</v>
      </c>
      <c r="O199" s="12" t="str">
        <f t="shared" si="37"/>
        <v>Yes</v>
      </c>
      <c r="P199" s="158"/>
      <c r="Q199" s="157"/>
      <c r="R199" s="11" t="s">
        <v>39</v>
      </c>
      <c r="S199" s="158"/>
      <c r="T199" s="5" t="s">
        <v>40</v>
      </c>
      <c r="U199" s="10"/>
      <c r="V199" s="5" t="s">
        <v>54</v>
      </c>
      <c r="W199" s="5"/>
      <c r="X199" s="6"/>
      <c r="BB199" s="7" t="str">
        <v>Quarter 1</v>
      </c>
    </row>
    <row r="200" spans="1:54" ht="31.4" customHeight="1" x14ac:dyDescent="0.35">
      <c r="A200" s="210">
        <v>199</v>
      </c>
      <c r="B200" s="5" t="s">
        <v>342</v>
      </c>
      <c r="C200" s="5" t="s">
        <v>9</v>
      </c>
      <c r="D200" s="5" t="s">
        <v>343</v>
      </c>
      <c r="E200" s="149">
        <v>45825</v>
      </c>
      <c r="F200" s="149">
        <f t="shared" si="32"/>
        <v>45826</v>
      </c>
      <c r="G200" s="149">
        <f t="shared" si="33"/>
        <v>45839</v>
      </c>
      <c r="H200" s="149">
        <f t="shared" si="34"/>
        <v>45853</v>
      </c>
      <c r="I200" s="149" t="str">
        <f t="shared" si="31"/>
        <v>Jun</v>
      </c>
      <c r="J200" s="216" t="str">
        <f t="shared" ca="1" si="35"/>
        <v/>
      </c>
      <c r="K200" s="149" t="s">
        <v>43</v>
      </c>
      <c r="L200" s="149"/>
      <c r="M200" s="11">
        <v>45838</v>
      </c>
      <c r="N200" s="152">
        <f t="shared" si="36"/>
        <v>9</v>
      </c>
      <c r="O200" s="12" t="str">
        <f t="shared" si="37"/>
        <v>Yes</v>
      </c>
      <c r="P200" s="158"/>
      <c r="Q200" s="157"/>
      <c r="R200" s="11" t="s">
        <v>39</v>
      </c>
      <c r="S200" s="158"/>
      <c r="T200" s="5" t="s">
        <v>40</v>
      </c>
      <c r="U200" s="10"/>
      <c r="V200" s="5"/>
      <c r="W200" s="5"/>
      <c r="X200" s="6"/>
      <c r="BB200" s="7" t="str">
        <v>Quarter 1</v>
      </c>
    </row>
    <row r="201" spans="1:54" ht="31.4" customHeight="1" x14ac:dyDescent="0.35">
      <c r="A201" s="210">
        <v>200</v>
      </c>
      <c r="B201" s="5" t="s">
        <v>55</v>
      </c>
      <c r="C201" s="5" t="s">
        <v>13</v>
      </c>
      <c r="D201" s="5" t="s">
        <v>344</v>
      </c>
      <c r="E201" s="149">
        <v>45825</v>
      </c>
      <c r="F201" s="149">
        <f t="shared" si="32"/>
        <v>45826</v>
      </c>
      <c r="G201" s="149">
        <f t="shared" si="33"/>
        <v>45839</v>
      </c>
      <c r="H201" s="149">
        <f t="shared" si="34"/>
        <v>45853</v>
      </c>
      <c r="I201" s="149" t="str">
        <f t="shared" si="31"/>
        <v>Jun</v>
      </c>
      <c r="J201" s="216" t="str">
        <f t="shared" ca="1" si="35"/>
        <v/>
      </c>
      <c r="K201" s="149" t="s">
        <v>4</v>
      </c>
      <c r="L201" s="149"/>
      <c r="M201" s="11">
        <v>45826</v>
      </c>
      <c r="N201" s="152">
        <f t="shared" si="36"/>
        <v>1</v>
      </c>
      <c r="O201" s="12" t="str">
        <f t="shared" si="37"/>
        <v>Yes</v>
      </c>
      <c r="P201" s="158"/>
      <c r="Q201" s="157"/>
      <c r="R201" s="11" t="s">
        <v>39</v>
      </c>
      <c r="S201" s="158"/>
      <c r="T201" s="5" t="s">
        <v>40</v>
      </c>
      <c r="U201" s="10"/>
      <c r="V201" s="5"/>
      <c r="W201" s="5"/>
      <c r="X201" s="6"/>
      <c r="BB201" s="7" t="str">
        <v>Quarter 1</v>
      </c>
    </row>
    <row r="202" spans="1:54" ht="31.4" customHeight="1" x14ac:dyDescent="0.35">
      <c r="A202" s="210">
        <v>201</v>
      </c>
      <c r="B202" s="5" t="s">
        <v>214</v>
      </c>
      <c r="C202" s="5" t="s">
        <v>5</v>
      </c>
      <c r="D202" s="5" t="s">
        <v>345</v>
      </c>
      <c r="E202" s="149">
        <v>45825</v>
      </c>
      <c r="F202" s="149">
        <f t="shared" si="32"/>
        <v>45826</v>
      </c>
      <c r="G202" s="149">
        <f t="shared" si="33"/>
        <v>45839</v>
      </c>
      <c r="H202" s="149">
        <f t="shared" si="34"/>
        <v>45853</v>
      </c>
      <c r="I202" s="149" t="str">
        <f t="shared" si="31"/>
        <v>Jun</v>
      </c>
      <c r="J202" s="216" t="str">
        <f t="shared" ca="1" si="35"/>
        <v/>
      </c>
      <c r="K202" s="149" t="s">
        <v>4</v>
      </c>
      <c r="L202" s="149"/>
      <c r="M202" s="11">
        <v>45839</v>
      </c>
      <c r="N202" s="152">
        <f t="shared" si="36"/>
        <v>10</v>
      </c>
      <c r="O202" s="12" t="str">
        <f t="shared" si="37"/>
        <v>Yes</v>
      </c>
      <c r="P202" s="158"/>
      <c r="Q202" s="157"/>
      <c r="R202" s="11" t="s">
        <v>39</v>
      </c>
      <c r="S202" s="158"/>
      <c r="T202" s="5" t="s">
        <v>45</v>
      </c>
      <c r="U202" s="10"/>
      <c r="V202" s="5" t="s">
        <v>87</v>
      </c>
      <c r="W202" s="5"/>
      <c r="X202" s="6"/>
      <c r="BB202" s="7" t="str">
        <v>Quarter 1</v>
      </c>
    </row>
    <row r="203" spans="1:54" ht="31.4" customHeight="1" x14ac:dyDescent="0.35">
      <c r="A203" s="210">
        <v>202</v>
      </c>
      <c r="B203" s="5" t="s">
        <v>55</v>
      </c>
      <c r="C203" s="5" t="s">
        <v>13</v>
      </c>
      <c r="D203" s="5" t="s">
        <v>346</v>
      </c>
      <c r="E203" s="149">
        <v>45826</v>
      </c>
      <c r="F203" s="149">
        <f t="shared" si="32"/>
        <v>45827</v>
      </c>
      <c r="G203" s="149">
        <f t="shared" si="33"/>
        <v>45840</v>
      </c>
      <c r="H203" s="149">
        <f t="shared" si="34"/>
        <v>45854</v>
      </c>
      <c r="I203" s="149" t="str">
        <f t="shared" si="31"/>
        <v>Jun</v>
      </c>
      <c r="J203" s="216" t="str">
        <f t="shared" ca="1" si="35"/>
        <v/>
      </c>
      <c r="K203" s="149" t="s">
        <v>7</v>
      </c>
      <c r="L203" s="149"/>
      <c r="M203" s="11">
        <v>45845</v>
      </c>
      <c r="N203" s="152">
        <f t="shared" si="36"/>
        <v>13</v>
      </c>
      <c r="O203" s="12" t="str">
        <f t="shared" si="37"/>
        <v>Yes</v>
      </c>
      <c r="P203" s="158"/>
      <c r="Q203" s="157"/>
      <c r="R203" s="11" t="s">
        <v>39</v>
      </c>
      <c r="S203" s="158"/>
      <c r="T203" s="5" t="s">
        <v>45</v>
      </c>
      <c r="U203" s="10"/>
      <c r="V203" s="5" t="s">
        <v>87</v>
      </c>
      <c r="W203" s="5" t="s">
        <v>347</v>
      </c>
      <c r="X203" s="6"/>
      <c r="BB203" s="7" t="str">
        <v>Quarter 1</v>
      </c>
    </row>
    <row r="204" spans="1:54" ht="31.4" customHeight="1" x14ac:dyDescent="0.35">
      <c r="A204" s="210">
        <v>203</v>
      </c>
      <c r="B204" s="5" t="s">
        <v>55</v>
      </c>
      <c r="C204" s="5" t="s">
        <v>13</v>
      </c>
      <c r="D204" s="5" t="s">
        <v>348</v>
      </c>
      <c r="E204" s="149">
        <v>45826</v>
      </c>
      <c r="F204" s="149">
        <f t="shared" si="32"/>
        <v>45827</v>
      </c>
      <c r="G204" s="149">
        <f t="shared" si="33"/>
        <v>45840</v>
      </c>
      <c r="H204" s="149">
        <f t="shared" si="34"/>
        <v>45854</v>
      </c>
      <c r="I204" s="149" t="str">
        <f t="shared" si="31"/>
        <v>Jun</v>
      </c>
      <c r="J204" s="216" t="str">
        <f t="shared" ca="1" si="35"/>
        <v/>
      </c>
      <c r="K204" s="149" t="s">
        <v>4</v>
      </c>
      <c r="L204" s="149"/>
      <c r="M204" s="11">
        <v>45851</v>
      </c>
      <c r="N204" s="152">
        <f t="shared" si="36"/>
        <v>17</v>
      </c>
      <c r="O204" s="12" t="str">
        <f t="shared" si="37"/>
        <v>Yes</v>
      </c>
      <c r="P204" s="158"/>
      <c r="Q204" s="157"/>
      <c r="R204" s="11" t="s">
        <v>39</v>
      </c>
      <c r="S204" s="158"/>
      <c r="T204" s="5" t="s">
        <v>45</v>
      </c>
      <c r="U204" s="10"/>
      <c r="V204" s="5" t="s">
        <v>53</v>
      </c>
      <c r="W204" s="5" t="s">
        <v>347</v>
      </c>
      <c r="X204" s="6"/>
      <c r="BB204" s="7" t="str">
        <v>Quarter 1</v>
      </c>
    </row>
    <row r="205" spans="1:54" ht="31.4" customHeight="1" x14ac:dyDescent="0.35">
      <c r="A205" s="210">
        <v>204</v>
      </c>
      <c r="B205" s="5" t="s">
        <v>6</v>
      </c>
      <c r="C205" s="5" t="s">
        <v>6</v>
      </c>
      <c r="D205" s="5" t="s">
        <v>86</v>
      </c>
      <c r="E205" s="149">
        <v>45826</v>
      </c>
      <c r="F205" s="149">
        <f t="shared" si="32"/>
        <v>45827</v>
      </c>
      <c r="G205" s="149">
        <f t="shared" si="33"/>
        <v>45840</v>
      </c>
      <c r="H205" s="149">
        <f t="shared" si="34"/>
        <v>45854</v>
      </c>
      <c r="I205" s="149" t="str">
        <f t="shared" si="31"/>
        <v>Jun</v>
      </c>
      <c r="J205" s="216" t="str">
        <f t="shared" ca="1" si="35"/>
        <v/>
      </c>
      <c r="K205" s="149" t="s">
        <v>4</v>
      </c>
      <c r="L205" s="149"/>
      <c r="M205" s="11">
        <v>45826</v>
      </c>
      <c r="N205" s="152">
        <f t="shared" si="36"/>
        <v>0</v>
      </c>
      <c r="O205" s="12" t="str">
        <f t="shared" si="37"/>
        <v>Yes</v>
      </c>
      <c r="P205" s="158"/>
      <c r="Q205" s="157"/>
      <c r="R205" s="11" t="s">
        <v>39</v>
      </c>
      <c r="S205" s="158"/>
      <c r="T205" s="5" t="s">
        <v>40</v>
      </c>
      <c r="U205" s="10"/>
      <c r="V205" s="5" t="s">
        <v>54</v>
      </c>
      <c r="W205" s="5"/>
      <c r="X205" s="6"/>
      <c r="BB205" s="7" t="str">
        <v>Quarter 1</v>
      </c>
    </row>
    <row r="206" spans="1:54" ht="31.4" customHeight="1" x14ac:dyDescent="0.35">
      <c r="A206" s="210">
        <v>205</v>
      </c>
      <c r="B206" s="5" t="s">
        <v>349</v>
      </c>
      <c r="C206" s="5" t="s">
        <v>11</v>
      </c>
      <c r="D206" s="5" t="s">
        <v>350</v>
      </c>
      <c r="E206" s="149">
        <v>45826</v>
      </c>
      <c r="F206" s="149">
        <f t="shared" si="32"/>
        <v>45827</v>
      </c>
      <c r="G206" s="149">
        <f t="shared" si="33"/>
        <v>45840</v>
      </c>
      <c r="H206" s="149">
        <f t="shared" si="34"/>
        <v>45854</v>
      </c>
      <c r="I206" s="149" t="str">
        <f t="shared" si="31"/>
        <v>Jun</v>
      </c>
      <c r="J206" s="216" t="str">
        <f t="shared" ca="1" si="35"/>
        <v/>
      </c>
      <c r="K206" s="149" t="s">
        <v>3</v>
      </c>
      <c r="L206" s="149"/>
      <c r="M206" s="11">
        <v>45831</v>
      </c>
      <c r="N206" s="152">
        <f t="shared" si="36"/>
        <v>3</v>
      </c>
      <c r="O206" s="12" t="str">
        <f t="shared" si="37"/>
        <v>Yes</v>
      </c>
      <c r="P206" s="158"/>
      <c r="Q206" s="157"/>
      <c r="R206" s="11" t="s">
        <v>39</v>
      </c>
      <c r="S206" s="158"/>
      <c r="T206" s="5" t="s">
        <v>40</v>
      </c>
      <c r="U206" s="10"/>
      <c r="V206" s="5"/>
      <c r="W206" s="5" t="s">
        <v>46</v>
      </c>
      <c r="X206" s="6"/>
      <c r="BB206" s="7" t="str">
        <v>Quarter 1</v>
      </c>
    </row>
    <row r="207" spans="1:54" ht="31.4" customHeight="1" x14ac:dyDescent="0.35">
      <c r="A207" s="210">
        <v>206</v>
      </c>
      <c r="B207" s="5" t="s">
        <v>55</v>
      </c>
      <c r="C207" s="5" t="s">
        <v>13</v>
      </c>
      <c r="D207" s="5" t="s">
        <v>351</v>
      </c>
      <c r="E207" s="149">
        <v>45827</v>
      </c>
      <c r="F207" s="149">
        <f t="shared" si="32"/>
        <v>45828</v>
      </c>
      <c r="G207" s="149">
        <f t="shared" si="33"/>
        <v>45841</v>
      </c>
      <c r="H207" s="149">
        <f t="shared" si="34"/>
        <v>45855</v>
      </c>
      <c r="I207" s="149" t="str">
        <f t="shared" si="31"/>
        <v>Jun</v>
      </c>
      <c r="J207" s="216" t="str">
        <f t="shared" ca="1" si="35"/>
        <v/>
      </c>
      <c r="K207" s="149" t="s">
        <v>4</v>
      </c>
      <c r="L207" s="149"/>
      <c r="M207" s="11">
        <v>45828</v>
      </c>
      <c r="N207" s="152">
        <f t="shared" si="36"/>
        <v>1</v>
      </c>
      <c r="O207" s="12" t="str">
        <f t="shared" si="37"/>
        <v>Yes</v>
      </c>
      <c r="P207" s="158"/>
      <c r="Q207" s="157"/>
      <c r="R207" s="11" t="s">
        <v>39</v>
      </c>
      <c r="S207" s="158"/>
      <c r="T207" s="5" t="s">
        <v>40</v>
      </c>
      <c r="U207" s="10"/>
      <c r="V207" s="5"/>
      <c r="W207" s="5"/>
      <c r="X207" s="6"/>
      <c r="BB207" s="7" t="str">
        <v>Quarter 1</v>
      </c>
    </row>
    <row r="208" spans="1:54" ht="31.4" customHeight="1" x14ac:dyDescent="0.35">
      <c r="A208" s="210">
        <v>207</v>
      </c>
      <c r="B208" s="5" t="s">
        <v>214</v>
      </c>
      <c r="C208" s="5" t="s">
        <v>5</v>
      </c>
      <c r="D208" s="5" t="s">
        <v>345</v>
      </c>
      <c r="E208" s="149">
        <v>45827</v>
      </c>
      <c r="F208" s="149">
        <f t="shared" si="32"/>
        <v>45828</v>
      </c>
      <c r="G208" s="149">
        <f t="shared" si="33"/>
        <v>45841</v>
      </c>
      <c r="H208" s="149">
        <f t="shared" si="34"/>
        <v>45855</v>
      </c>
      <c r="I208" s="149" t="str">
        <f t="shared" si="31"/>
        <v>Jun</v>
      </c>
      <c r="J208" s="216" t="str">
        <f t="shared" ca="1" si="35"/>
        <v/>
      </c>
      <c r="K208" s="149" t="s">
        <v>4</v>
      </c>
      <c r="L208" s="149"/>
      <c r="M208" s="11">
        <v>45839</v>
      </c>
      <c r="N208" s="152">
        <f t="shared" si="36"/>
        <v>8</v>
      </c>
      <c r="O208" s="12" t="str">
        <f t="shared" si="37"/>
        <v>Yes</v>
      </c>
      <c r="P208" s="158"/>
      <c r="Q208" s="157"/>
      <c r="R208" s="11" t="s">
        <v>39</v>
      </c>
      <c r="S208" s="158"/>
      <c r="T208" s="5" t="s">
        <v>45</v>
      </c>
      <c r="U208" s="10"/>
      <c r="V208" s="5" t="s">
        <v>87</v>
      </c>
      <c r="W208" s="5"/>
      <c r="X208" s="6"/>
      <c r="BB208" s="7" t="str">
        <v>Quarter 1</v>
      </c>
    </row>
    <row r="209" spans="1:54" ht="31.4" customHeight="1" x14ac:dyDescent="0.35">
      <c r="A209" s="210">
        <v>208</v>
      </c>
      <c r="B209" s="5" t="s">
        <v>352</v>
      </c>
      <c r="C209" s="5" t="s">
        <v>11</v>
      </c>
      <c r="D209" s="5" t="s">
        <v>353</v>
      </c>
      <c r="E209" s="149">
        <v>45831</v>
      </c>
      <c r="F209" s="149">
        <f t="shared" si="32"/>
        <v>45832</v>
      </c>
      <c r="G209" s="149">
        <f t="shared" si="33"/>
        <v>45845</v>
      </c>
      <c r="H209" s="149">
        <f t="shared" si="34"/>
        <v>45859</v>
      </c>
      <c r="I209" s="149" t="str">
        <f t="shared" si="31"/>
        <v>Jun</v>
      </c>
      <c r="J209" s="216" t="str">
        <f t="shared" ca="1" si="35"/>
        <v/>
      </c>
      <c r="K209" s="149" t="s">
        <v>7</v>
      </c>
      <c r="L209" s="149"/>
      <c r="M209" s="11">
        <v>45853</v>
      </c>
      <c r="N209" s="152">
        <f t="shared" si="36"/>
        <v>16</v>
      </c>
      <c r="O209" s="12" t="str">
        <f t="shared" si="37"/>
        <v>Yes</v>
      </c>
      <c r="P209" s="158"/>
      <c r="Q209" s="157"/>
      <c r="R209" s="11" t="s">
        <v>39</v>
      </c>
      <c r="S209" s="158"/>
      <c r="T209" s="5" t="s">
        <v>40</v>
      </c>
      <c r="U209" s="10"/>
      <c r="V209" s="5"/>
      <c r="W209" s="5"/>
      <c r="X209" s="6"/>
      <c r="BB209" s="7" t="str">
        <v>Quarter 1</v>
      </c>
    </row>
    <row r="210" spans="1:54" ht="31.4" customHeight="1" x14ac:dyDescent="0.35">
      <c r="A210" s="210">
        <v>209</v>
      </c>
      <c r="B210" s="5" t="s">
        <v>6</v>
      </c>
      <c r="C210" s="5" t="s">
        <v>6</v>
      </c>
      <c r="D210" s="5" t="s">
        <v>354</v>
      </c>
      <c r="E210" s="149">
        <v>45831</v>
      </c>
      <c r="F210" s="149">
        <f t="shared" si="32"/>
        <v>45832</v>
      </c>
      <c r="G210" s="149">
        <f t="shared" si="33"/>
        <v>45845</v>
      </c>
      <c r="H210" s="149">
        <f t="shared" si="34"/>
        <v>45859</v>
      </c>
      <c r="I210" s="149" t="str">
        <f t="shared" si="31"/>
        <v>Jun</v>
      </c>
      <c r="J210" s="216" t="str">
        <f t="shared" ca="1" si="35"/>
        <v/>
      </c>
      <c r="K210" s="149" t="s">
        <v>4</v>
      </c>
      <c r="L210" s="149"/>
      <c r="M210" s="11">
        <v>45831</v>
      </c>
      <c r="N210" s="152">
        <f t="shared" si="36"/>
        <v>0</v>
      </c>
      <c r="O210" s="12" t="str">
        <f t="shared" si="37"/>
        <v>Yes</v>
      </c>
      <c r="P210" s="158"/>
      <c r="Q210" s="157"/>
      <c r="R210" s="11" t="s">
        <v>39</v>
      </c>
      <c r="S210" s="158"/>
      <c r="T210" s="5" t="s">
        <v>45</v>
      </c>
      <c r="U210" s="10"/>
      <c r="V210" s="5" t="s">
        <v>41</v>
      </c>
      <c r="W210" s="5"/>
      <c r="X210" s="6"/>
      <c r="BB210" s="7" t="str">
        <v>Quarter 1</v>
      </c>
    </row>
    <row r="211" spans="1:54" ht="31.4" customHeight="1" x14ac:dyDescent="0.35">
      <c r="A211" s="210">
        <v>210</v>
      </c>
      <c r="B211" s="5" t="s">
        <v>355</v>
      </c>
      <c r="C211" s="5" t="s">
        <v>12</v>
      </c>
      <c r="D211" s="5" t="s">
        <v>356</v>
      </c>
      <c r="E211" s="149">
        <v>45831</v>
      </c>
      <c r="F211" s="149">
        <f t="shared" si="32"/>
        <v>45832</v>
      </c>
      <c r="G211" s="149">
        <f t="shared" si="33"/>
        <v>45845</v>
      </c>
      <c r="H211" s="149">
        <f t="shared" si="34"/>
        <v>45859</v>
      </c>
      <c r="I211" s="149" t="str">
        <f t="shared" si="31"/>
        <v>Jun</v>
      </c>
      <c r="J211" s="216" t="str">
        <f t="shared" ca="1" si="35"/>
        <v/>
      </c>
      <c r="K211" s="149" t="s">
        <v>3</v>
      </c>
      <c r="L211" s="149"/>
      <c r="M211" s="11">
        <v>45846</v>
      </c>
      <c r="N211" s="152">
        <f t="shared" si="36"/>
        <v>11</v>
      </c>
      <c r="O211" s="12" t="str">
        <f t="shared" si="37"/>
        <v>Yes</v>
      </c>
      <c r="P211" s="158"/>
      <c r="Q211" s="157"/>
      <c r="R211" s="11" t="s">
        <v>39</v>
      </c>
      <c r="S211" s="158"/>
      <c r="T211" s="5" t="s">
        <v>40</v>
      </c>
      <c r="U211" s="10"/>
      <c r="V211" s="5"/>
      <c r="W211" s="5"/>
      <c r="X211" s="6"/>
      <c r="BB211" s="7" t="str">
        <v>Quarter 1</v>
      </c>
    </row>
    <row r="212" spans="1:54" ht="31.4" customHeight="1" x14ac:dyDescent="0.35">
      <c r="A212" s="210">
        <v>211</v>
      </c>
      <c r="B212" s="5" t="s">
        <v>112</v>
      </c>
      <c r="C212" s="5" t="s">
        <v>5</v>
      </c>
      <c r="D212" s="5" t="s">
        <v>357</v>
      </c>
      <c r="E212" s="149">
        <v>45832</v>
      </c>
      <c r="F212" s="149">
        <f t="shared" si="32"/>
        <v>45833</v>
      </c>
      <c r="G212" s="149">
        <f t="shared" si="33"/>
        <v>45846</v>
      </c>
      <c r="H212" s="149">
        <f t="shared" si="34"/>
        <v>45860</v>
      </c>
      <c r="I212" s="149" t="str">
        <f t="shared" si="31"/>
        <v>Jun</v>
      </c>
      <c r="J212" s="216" t="str">
        <f t="shared" ca="1" si="35"/>
        <v/>
      </c>
      <c r="K212" s="149" t="s">
        <v>4</v>
      </c>
      <c r="L212" s="149"/>
      <c r="M212" s="11">
        <v>45841</v>
      </c>
      <c r="N212" s="152">
        <f t="shared" si="36"/>
        <v>7</v>
      </c>
      <c r="O212" s="12" t="str">
        <f t="shared" si="37"/>
        <v>Yes</v>
      </c>
      <c r="P212" s="158"/>
      <c r="Q212" s="157"/>
      <c r="R212" s="11" t="s">
        <v>39</v>
      </c>
      <c r="S212" s="158"/>
      <c r="T212" s="5" t="s">
        <v>45</v>
      </c>
      <c r="U212" s="10"/>
      <c r="V212" s="5" t="s">
        <v>87</v>
      </c>
      <c r="W212" s="5"/>
      <c r="X212" s="6"/>
      <c r="BB212" s="7" t="str">
        <v>Quarter 1</v>
      </c>
    </row>
    <row r="213" spans="1:54" ht="31.4" customHeight="1" x14ac:dyDescent="0.35">
      <c r="A213" s="210">
        <v>212</v>
      </c>
      <c r="B213" s="5" t="s">
        <v>55</v>
      </c>
      <c r="C213" s="5" t="s">
        <v>13</v>
      </c>
      <c r="D213" s="5" t="s">
        <v>358</v>
      </c>
      <c r="E213" s="149">
        <v>45832</v>
      </c>
      <c r="F213" s="149">
        <f t="shared" si="32"/>
        <v>45833</v>
      </c>
      <c r="G213" s="149">
        <f t="shared" si="33"/>
        <v>45846</v>
      </c>
      <c r="H213" s="149">
        <f t="shared" si="34"/>
        <v>45860</v>
      </c>
      <c r="I213" s="149" t="str">
        <f t="shared" si="31"/>
        <v>Jun</v>
      </c>
      <c r="J213" s="216" t="str">
        <f t="shared" ca="1" si="35"/>
        <v/>
      </c>
      <c r="K213" s="149" t="s">
        <v>4</v>
      </c>
      <c r="L213" s="149"/>
      <c r="M213" s="11">
        <v>45832</v>
      </c>
      <c r="N213" s="152">
        <f t="shared" si="36"/>
        <v>0</v>
      </c>
      <c r="O213" s="12" t="str">
        <f t="shared" si="37"/>
        <v>Yes</v>
      </c>
      <c r="P213" s="158"/>
      <c r="Q213" s="157"/>
      <c r="R213" s="11" t="s">
        <v>39</v>
      </c>
      <c r="S213" s="158"/>
      <c r="T213" s="5" t="s">
        <v>45</v>
      </c>
      <c r="U213" s="10"/>
      <c r="V213" s="5" t="s">
        <v>87</v>
      </c>
      <c r="W213" s="5" t="s">
        <v>347</v>
      </c>
      <c r="X213" s="6"/>
      <c r="BB213" s="7" t="str">
        <v>Quarter 1</v>
      </c>
    </row>
    <row r="214" spans="1:54" ht="31.4" customHeight="1" x14ac:dyDescent="0.35">
      <c r="A214" s="210">
        <v>213</v>
      </c>
      <c r="B214" s="5" t="s">
        <v>352</v>
      </c>
      <c r="C214" s="5" t="s">
        <v>11</v>
      </c>
      <c r="D214" s="5" t="s">
        <v>359</v>
      </c>
      <c r="E214" s="149">
        <v>45832</v>
      </c>
      <c r="F214" s="149">
        <f t="shared" si="32"/>
        <v>45833</v>
      </c>
      <c r="G214" s="149">
        <f t="shared" si="33"/>
        <v>45846</v>
      </c>
      <c r="H214" s="149">
        <f t="shared" si="34"/>
        <v>45860</v>
      </c>
      <c r="I214" s="149" t="str">
        <f t="shared" si="31"/>
        <v>Jun</v>
      </c>
      <c r="J214" s="216" t="str">
        <f t="shared" ca="1" si="35"/>
        <v/>
      </c>
      <c r="K214" s="149" t="s">
        <v>7</v>
      </c>
      <c r="L214" s="149"/>
      <c r="M214" s="11">
        <v>45838</v>
      </c>
      <c r="N214" s="152">
        <f t="shared" si="36"/>
        <v>4</v>
      </c>
      <c r="O214" s="12" t="str">
        <f t="shared" si="37"/>
        <v>Yes</v>
      </c>
      <c r="P214" s="158"/>
      <c r="Q214" s="157"/>
      <c r="R214" s="11" t="s">
        <v>39</v>
      </c>
      <c r="S214" s="158"/>
      <c r="T214" s="5" t="s">
        <v>40</v>
      </c>
      <c r="U214" s="10"/>
      <c r="V214" s="5" t="s">
        <v>87</v>
      </c>
      <c r="W214" s="5"/>
      <c r="X214" s="6"/>
      <c r="BB214" s="7" t="str">
        <v>Quarter 1</v>
      </c>
    </row>
    <row r="215" spans="1:54" ht="31.4" customHeight="1" x14ac:dyDescent="0.35">
      <c r="A215" s="210">
        <v>214</v>
      </c>
      <c r="B215" s="5" t="s">
        <v>55</v>
      </c>
      <c r="C215" s="5" t="s">
        <v>13</v>
      </c>
      <c r="D215" s="5" t="s">
        <v>360</v>
      </c>
      <c r="E215" s="149">
        <v>45832</v>
      </c>
      <c r="F215" s="149">
        <f t="shared" si="32"/>
        <v>45833</v>
      </c>
      <c r="G215" s="149">
        <f t="shared" si="33"/>
        <v>45846</v>
      </c>
      <c r="H215" s="149">
        <f t="shared" si="34"/>
        <v>45860</v>
      </c>
      <c r="I215" s="149" t="str">
        <f t="shared" si="31"/>
        <v>Jun</v>
      </c>
      <c r="J215" s="216" t="str">
        <f t="shared" ca="1" si="35"/>
        <v/>
      </c>
      <c r="K215" s="149" t="s">
        <v>4</v>
      </c>
      <c r="L215" s="149"/>
      <c r="M215" s="11">
        <v>45832</v>
      </c>
      <c r="N215" s="152">
        <f t="shared" si="36"/>
        <v>0</v>
      </c>
      <c r="O215" s="12" t="str">
        <f t="shared" si="37"/>
        <v>Yes</v>
      </c>
      <c r="P215" s="158"/>
      <c r="Q215" s="157"/>
      <c r="R215" s="11" t="s">
        <v>39</v>
      </c>
      <c r="S215" s="158"/>
      <c r="T215" s="5" t="s">
        <v>40</v>
      </c>
      <c r="U215" s="10"/>
      <c r="V215" s="5" t="s">
        <v>54</v>
      </c>
      <c r="W215" s="5"/>
      <c r="X215" s="6"/>
      <c r="BB215" s="7" t="str">
        <v>Quarter 1</v>
      </c>
    </row>
    <row r="216" spans="1:54" ht="31.4" customHeight="1" x14ac:dyDescent="0.35">
      <c r="A216" s="210">
        <v>215</v>
      </c>
      <c r="B216" s="5" t="s">
        <v>6</v>
      </c>
      <c r="C216" s="5" t="s">
        <v>6</v>
      </c>
      <c r="D216" s="5" t="s">
        <v>361</v>
      </c>
      <c r="E216" s="149">
        <v>45832</v>
      </c>
      <c r="F216" s="149">
        <f t="shared" si="32"/>
        <v>45833</v>
      </c>
      <c r="G216" s="149">
        <f t="shared" si="33"/>
        <v>45846</v>
      </c>
      <c r="H216" s="149">
        <f t="shared" si="34"/>
        <v>45860</v>
      </c>
      <c r="I216" s="149" t="str">
        <f t="shared" si="31"/>
        <v>Jun</v>
      </c>
      <c r="J216" s="216" t="str">
        <f t="shared" ca="1" si="35"/>
        <v/>
      </c>
      <c r="K216" s="149" t="s">
        <v>43</v>
      </c>
      <c r="L216" s="149"/>
      <c r="M216" s="11">
        <v>45854</v>
      </c>
      <c r="N216" s="152">
        <f t="shared" si="36"/>
        <v>16</v>
      </c>
      <c r="O216" s="12" t="str">
        <f t="shared" si="37"/>
        <v>Yes</v>
      </c>
      <c r="P216" s="158"/>
      <c r="Q216" s="157"/>
      <c r="R216" s="11" t="s">
        <v>39</v>
      </c>
      <c r="S216" s="158"/>
      <c r="T216" s="5" t="s">
        <v>40</v>
      </c>
      <c r="U216" s="10"/>
      <c r="V216" s="5"/>
      <c r="W216" s="5"/>
      <c r="X216" s="6"/>
      <c r="BB216" s="7" t="str">
        <v>Quarter 1</v>
      </c>
    </row>
    <row r="217" spans="1:54" ht="31.4" customHeight="1" x14ac:dyDescent="0.35">
      <c r="A217" s="210">
        <v>216</v>
      </c>
      <c r="B217" s="8" t="s">
        <v>362</v>
      </c>
      <c r="C217" s="8" t="s">
        <v>5</v>
      </c>
      <c r="D217" s="8" t="s">
        <v>363</v>
      </c>
      <c r="E217" s="149">
        <v>45833</v>
      </c>
      <c r="F217" s="149">
        <f t="shared" si="32"/>
        <v>45834</v>
      </c>
      <c r="G217" s="149">
        <f t="shared" si="33"/>
        <v>45847</v>
      </c>
      <c r="H217" s="149">
        <f t="shared" si="34"/>
        <v>45861</v>
      </c>
      <c r="I217" s="149" t="str">
        <f t="shared" si="31"/>
        <v>Jun</v>
      </c>
      <c r="J217" s="216" t="str">
        <f t="shared" ca="1" si="35"/>
        <v/>
      </c>
      <c r="K217" s="149" t="s">
        <v>4</v>
      </c>
      <c r="L217" s="149"/>
      <c r="M217" s="11">
        <v>45880</v>
      </c>
      <c r="N217" s="152">
        <f t="shared" si="36"/>
        <v>33</v>
      </c>
      <c r="O217" s="12" t="str">
        <f t="shared" si="37"/>
        <v>No</v>
      </c>
      <c r="P217" s="158"/>
      <c r="Q217" s="157"/>
      <c r="R217" s="11" t="s">
        <v>39</v>
      </c>
      <c r="S217" s="158"/>
      <c r="T217" s="5" t="s">
        <v>40</v>
      </c>
      <c r="U217" s="10"/>
      <c r="V217" s="5"/>
      <c r="W217" s="5"/>
      <c r="X217" s="6"/>
      <c r="BB217" s="7" t="str">
        <v>Quarter 1</v>
      </c>
    </row>
    <row r="218" spans="1:54" ht="31.4" customHeight="1" x14ac:dyDescent="0.35">
      <c r="A218" s="210">
        <v>217</v>
      </c>
      <c r="B218" s="8" t="s">
        <v>55</v>
      </c>
      <c r="C218" s="8" t="s">
        <v>13</v>
      </c>
      <c r="D218" s="5" t="s">
        <v>364</v>
      </c>
      <c r="E218" s="149"/>
      <c r="F218" s="149"/>
      <c r="G218" s="149"/>
      <c r="H218" s="149"/>
      <c r="I218" s="149" t="s">
        <v>300</v>
      </c>
      <c r="J218" s="216" t="str">
        <f t="shared" ca="1" si="35"/>
        <v/>
      </c>
      <c r="K218" s="149" t="s">
        <v>4</v>
      </c>
      <c r="L218" s="149"/>
      <c r="M218" s="11"/>
      <c r="N218" s="152" t="str">
        <f t="shared" si="36"/>
        <v/>
      </c>
      <c r="O218" s="12" t="str">
        <f t="shared" si="37"/>
        <v/>
      </c>
      <c r="P218" s="158"/>
      <c r="Q218" s="157"/>
      <c r="R218" s="11" t="s">
        <v>52</v>
      </c>
      <c r="S218" s="158"/>
      <c r="T218" s="5" t="s">
        <v>52</v>
      </c>
      <c r="U218" s="10"/>
      <c r="V218" s="5"/>
      <c r="W218" s="5"/>
      <c r="X218" s="6"/>
      <c r="BB218" s="7" t="str">
        <v>Quarter 1</v>
      </c>
    </row>
    <row r="219" spans="1:54" ht="31.4" customHeight="1" x14ac:dyDescent="0.35">
      <c r="A219" s="210">
        <v>218</v>
      </c>
      <c r="B219" s="5" t="s">
        <v>6</v>
      </c>
      <c r="C219" s="5" t="s">
        <v>6</v>
      </c>
      <c r="D219" s="5" t="s">
        <v>365</v>
      </c>
      <c r="E219" s="149">
        <v>45834</v>
      </c>
      <c r="F219" s="149">
        <f t="shared" ref="F219:F250" si="38">IF($E219="","",WORKDAY($E219,1,$Z$33:$Z$47))</f>
        <v>45835</v>
      </c>
      <c r="G219" s="149">
        <f t="shared" ref="G219:G250" si="39">IF($E219="","",WORKDAY($E219,10,$Z$33:$Z$47))</f>
        <v>45848</v>
      </c>
      <c r="H219" s="149">
        <f t="shared" ref="H219:H250" si="40">IF($E219="","",WORKDAY($E219,20,$Z$33:$Z$47))</f>
        <v>45862</v>
      </c>
      <c r="I219" s="149" t="str">
        <f t="shared" si="31"/>
        <v>Jun</v>
      </c>
      <c r="J219" s="216" t="str">
        <f t="shared" ca="1" si="35"/>
        <v/>
      </c>
      <c r="K219" s="149" t="s">
        <v>43</v>
      </c>
      <c r="L219" s="149"/>
      <c r="M219" s="11">
        <v>45834</v>
      </c>
      <c r="N219" s="152">
        <f t="shared" si="36"/>
        <v>0</v>
      </c>
      <c r="O219" s="12" t="str">
        <f t="shared" si="37"/>
        <v>Yes</v>
      </c>
      <c r="P219" s="158"/>
      <c r="Q219" s="157"/>
      <c r="R219" s="11" t="s">
        <v>39</v>
      </c>
      <c r="S219" s="158"/>
      <c r="T219" s="5" t="s">
        <v>40</v>
      </c>
      <c r="U219" s="10"/>
      <c r="V219" s="5" t="s">
        <v>87</v>
      </c>
      <c r="W219" s="5"/>
      <c r="X219" s="6"/>
      <c r="BB219" s="7" t="str">
        <v>Quarter 1</v>
      </c>
    </row>
    <row r="220" spans="1:54" ht="31.4" customHeight="1" x14ac:dyDescent="0.35">
      <c r="A220" s="210">
        <v>219</v>
      </c>
      <c r="B220" s="8" t="s">
        <v>6</v>
      </c>
      <c r="C220" s="8" t="s">
        <v>6</v>
      </c>
      <c r="D220" s="5" t="s">
        <v>365</v>
      </c>
      <c r="E220" s="149">
        <v>45834</v>
      </c>
      <c r="F220" s="149">
        <f t="shared" si="38"/>
        <v>45835</v>
      </c>
      <c r="G220" s="149">
        <f t="shared" si="39"/>
        <v>45848</v>
      </c>
      <c r="H220" s="149">
        <f t="shared" si="40"/>
        <v>45862</v>
      </c>
      <c r="I220" s="149" t="str">
        <f t="shared" si="31"/>
        <v>Jun</v>
      </c>
      <c r="J220" s="216" t="str">
        <f t="shared" ca="1" si="35"/>
        <v/>
      </c>
      <c r="K220" s="149" t="s">
        <v>43</v>
      </c>
      <c r="L220" s="149"/>
      <c r="M220" s="11">
        <v>45838</v>
      </c>
      <c r="N220" s="152">
        <f t="shared" si="36"/>
        <v>2</v>
      </c>
      <c r="O220" s="12" t="str">
        <f t="shared" si="37"/>
        <v>Yes</v>
      </c>
      <c r="P220" s="158"/>
      <c r="Q220" s="157"/>
      <c r="R220" s="11" t="s">
        <v>39</v>
      </c>
      <c r="S220" s="158"/>
      <c r="T220" s="5" t="s">
        <v>40</v>
      </c>
      <c r="U220" s="10"/>
      <c r="V220" s="5"/>
      <c r="W220" s="5" t="s">
        <v>46</v>
      </c>
      <c r="X220" s="6"/>
      <c r="BB220" s="7" t="str">
        <v>Quarter 1</v>
      </c>
    </row>
    <row r="221" spans="1:54" ht="31.4" customHeight="1" x14ac:dyDescent="0.35">
      <c r="A221" s="210">
        <v>220</v>
      </c>
      <c r="B221" s="8" t="s">
        <v>366</v>
      </c>
      <c r="C221" s="8" t="s">
        <v>11</v>
      </c>
      <c r="D221" s="8" t="s">
        <v>261</v>
      </c>
      <c r="E221" s="149">
        <v>45834</v>
      </c>
      <c r="F221" s="149">
        <f t="shared" si="38"/>
        <v>45835</v>
      </c>
      <c r="G221" s="149">
        <f t="shared" si="39"/>
        <v>45848</v>
      </c>
      <c r="H221" s="149">
        <f t="shared" si="40"/>
        <v>45862</v>
      </c>
      <c r="I221" s="149" t="str">
        <f t="shared" si="31"/>
        <v>Jun</v>
      </c>
      <c r="J221" s="216" t="str">
        <f t="shared" ca="1" si="35"/>
        <v/>
      </c>
      <c r="K221" s="22" t="s">
        <v>3</v>
      </c>
      <c r="L221" s="22"/>
      <c r="M221" s="11">
        <v>45838</v>
      </c>
      <c r="N221" s="152">
        <f t="shared" si="36"/>
        <v>2</v>
      </c>
      <c r="O221" s="12" t="str">
        <f t="shared" si="37"/>
        <v>Yes</v>
      </c>
      <c r="P221" s="19"/>
      <c r="Q221" s="19"/>
      <c r="R221" s="11" t="s">
        <v>39</v>
      </c>
      <c r="S221" s="17"/>
      <c r="T221" s="8" t="s">
        <v>40</v>
      </c>
      <c r="U221" s="8"/>
      <c r="V221" s="8"/>
      <c r="W221" s="8"/>
      <c r="X221" s="9"/>
      <c r="BB221" s="7" t="str">
        <v>Quarter 1</v>
      </c>
    </row>
    <row r="222" spans="1:54" ht="31.4" customHeight="1" x14ac:dyDescent="0.35">
      <c r="A222" s="210">
        <v>221</v>
      </c>
      <c r="B222" s="5" t="s">
        <v>367</v>
      </c>
      <c r="C222" s="5" t="s">
        <v>9</v>
      </c>
      <c r="D222" s="5" t="s">
        <v>368</v>
      </c>
      <c r="E222" s="149">
        <v>45835</v>
      </c>
      <c r="F222" s="149">
        <f t="shared" si="38"/>
        <v>45838</v>
      </c>
      <c r="G222" s="149">
        <f t="shared" si="39"/>
        <v>45849</v>
      </c>
      <c r="H222" s="149">
        <f t="shared" si="40"/>
        <v>45863</v>
      </c>
      <c r="I222" s="149" t="str">
        <f t="shared" si="31"/>
        <v>Jun</v>
      </c>
      <c r="J222" s="216" t="str">
        <f t="shared" ca="1" si="35"/>
        <v/>
      </c>
      <c r="K222" s="149" t="s">
        <v>4</v>
      </c>
      <c r="L222" s="149"/>
      <c r="M222" s="11">
        <v>45839</v>
      </c>
      <c r="N222" s="152">
        <f t="shared" si="36"/>
        <v>2</v>
      </c>
      <c r="O222" s="12" t="str">
        <f t="shared" si="37"/>
        <v>Yes</v>
      </c>
      <c r="P222" s="158"/>
      <c r="Q222" s="157"/>
      <c r="R222" s="11" t="s">
        <v>39</v>
      </c>
      <c r="S222" s="158"/>
      <c r="T222" s="5" t="s">
        <v>40</v>
      </c>
      <c r="U222" s="10"/>
      <c r="V222" s="5"/>
      <c r="W222" s="5"/>
      <c r="X222" s="6"/>
      <c r="BB222" s="7" t="str">
        <v>Quarter 1</v>
      </c>
    </row>
    <row r="223" spans="1:54" ht="31.4" customHeight="1" x14ac:dyDescent="0.35">
      <c r="A223" s="210">
        <v>222</v>
      </c>
      <c r="B223" s="5" t="s">
        <v>55</v>
      </c>
      <c r="C223" s="5" t="s">
        <v>13</v>
      </c>
      <c r="D223" s="5" t="s">
        <v>369</v>
      </c>
      <c r="E223" s="149">
        <v>45835</v>
      </c>
      <c r="F223" s="149">
        <f t="shared" si="38"/>
        <v>45838</v>
      </c>
      <c r="G223" s="149">
        <f t="shared" si="39"/>
        <v>45849</v>
      </c>
      <c r="H223" s="149">
        <f t="shared" si="40"/>
        <v>45863</v>
      </c>
      <c r="I223" s="149" t="str">
        <f t="shared" si="31"/>
        <v>Jun</v>
      </c>
      <c r="J223" s="216" t="str">
        <f t="shared" ca="1" si="35"/>
        <v/>
      </c>
      <c r="K223" s="149" t="s">
        <v>43</v>
      </c>
      <c r="L223" s="149"/>
      <c r="M223" s="11">
        <v>45838</v>
      </c>
      <c r="N223" s="152">
        <f t="shared" si="36"/>
        <v>1</v>
      </c>
      <c r="O223" s="12" t="str">
        <f t="shared" si="37"/>
        <v>Yes</v>
      </c>
      <c r="P223" s="158"/>
      <c r="Q223" s="157"/>
      <c r="R223" s="11" t="s">
        <v>39</v>
      </c>
      <c r="S223" s="158"/>
      <c r="T223" s="5" t="s">
        <v>40</v>
      </c>
      <c r="U223" s="10"/>
      <c r="V223" s="5" t="s">
        <v>54</v>
      </c>
      <c r="W223" s="5"/>
      <c r="X223" s="6"/>
      <c r="BB223" s="7" t="str">
        <v>Quarter 1</v>
      </c>
    </row>
    <row r="224" spans="1:54" ht="31.4" customHeight="1" x14ac:dyDescent="0.35">
      <c r="A224" s="210">
        <v>223</v>
      </c>
      <c r="B224" s="5" t="s">
        <v>6</v>
      </c>
      <c r="C224" s="5" t="s">
        <v>6</v>
      </c>
      <c r="D224" s="5" t="s">
        <v>370</v>
      </c>
      <c r="E224" s="149">
        <v>45838</v>
      </c>
      <c r="F224" s="149">
        <f t="shared" si="38"/>
        <v>45839</v>
      </c>
      <c r="G224" s="149">
        <f t="shared" si="39"/>
        <v>45852</v>
      </c>
      <c r="H224" s="149">
        <f t="shared" si="40"/>
        <v>45866</v>
      </c>
      <c r="I224" s="149" t="str">
        <f t="shared" si="31"/>
        <v>Jun</v>
      </c>
      <c r="J224" s="216" t="str">
        <f t="shared" ca="1" si="35"/>
        <v/>
      </c>
      <c r="K224" s="149" t="s">
        <v>4</v>
      </c>
      <c r="L224" s="149"/>
      <c r="M224" s="11">
        <v>45838</v>
      </c>
      <c r="N224" s="152">
        <f t="shared" si="36"/>
        <v>0</v>
      </c>
      <c r="O224" s="12" t="str">
        <f t="shared" si="37"/>
        <v>Yes</v>
      </c>
      <c r="P224" s="158"/>
      <c r="Q224" s="157"/>
      <c r="R224" s="11" t="s">
        <v>39</v>
      </c>
      <c r="S224" s="158"/>
      <c r="T224" s="5" t="s">
        <v>40</v>
      </c>
      <c r="U224" s="10"/>
      <c r="V224" s="5"/>
      <c r="W224" s="5"/>
      <c r="X224" s="6"/>
      <c r="BB224" s="7" t="str">
        <v>Quarter 1</v>
      </c>
    </row>
    <row r="225" spans="1:54" ht="31.4" customHeight="1" x14ac:dyDescent="0.35">
      <c r="A225" s="210">
        <v>224</v>
      </c>
      <c r="B225" s="5" t="s">
        <v>371</v>
      </c>
      <c r="C225" s="5" t="s">
        <v>9</v>
      </c>
      <c r="D225" s="5" t="s">
        <v>372</v>
      </c>
      <c r="E225" s="149">
        <v>45838</v>
      </c>
      <c r="F225" s="149">
        <f t="shared" si="38"/>
        <v>45839</v>
      </c>
      <c r="G225" s="149">
        <f t="shared" si="39"/>
        <v>45852</v>
      </c>
      <c r="H225" s="149">
        <f t="shared" si="40"/>
        <v>45866</v>
      </c>
      <c r="I225" s="149" t="str">
        <f t="shared" si="31"/>
        <v>Jun</v>
      </c>
      <c r="J225" s="216" t="str">
        <f t="shared" ca="1" si="35"/>
        <v/>
      </c>
      <c r="K225" s="149" t="s">
        <v>43</v>
      </c>
      <c r="L225" s="149"/>
      <c r="M225" s="11">
        <v>45841</v>
      </c>
      <c r="N225" s="152">
        <f t="shared" si="36"/>
        <v>3</v>
      </c>
      <c r="O225" s="12" t="str">
        <f t="shared" si="37"/>
        <v>Yes</v>
      </c>
      <c r="P225" s="158"/>
      <c r="Q225" s="157"/>
      <c r="R225" s="11" t="s">
        <v>39</v>
      </c>
      <c r="S225" s="158"/>
      <c r="T225" s="5" t="s">
        <v>45</v>
      </c>
      <c r="U225" s="10"/>
      <c r="V225" s="5" t="s">
        <v>87</v>
      </c>
      <c r="W225" s="5"/>
      <c r="X225" s="6"/>
      <c r="BB225" s="7" t="str">
        <v>Quarter 1</v>
      </c>
    </row>
    <row r="226" spans="1:54" ht="31.4" customHeight="1" x14ac:dyDescent="0.35">
      <c r="A226" s="210">
        <v>225</v>
      </c>
      <c r="B226" s="5" t="s">
        <v>6</v>
      </c>
      <c r="C226" s="5" t="s">
        <v>6</v>
      </c>
      <c r="D226" s="5" t="s">
        <v>373</v>
      </c>
      <c r="E226" s="149">
        <v>45838</v>
      </c>
      <c r="F226" s="149">
        <f t="shared" si="38"/>
        <v>45839</v>
      </c>
      <c r="G226" s="149">
        <f t="shared" si="39"/>
        <v>45852</v>
      </c>
      <c r="H226" s="149">
        <f t="shared" si="40"/>
        <v>45866</v>
      </c>
      <c r="I226" s="149" t="str">
        <f t="shared" si="31"/>
        <v>Jun</v>
      </c>
      <c r="J226" s="216" t="str">
        <f t="shared" ca="1" si="35"/>
        <v/>
      </c>
      <c r="K226" s="149" t="s">
        <v>43</v>
      </c>
      <c r="L226" s="149"/>
      <c r="M226" s="11">
        <v>45838</v>
      </c>
      <c r="N226" s="152">
        <f t="shared" si="36"/>
        <v>0</v>
      </c>
      <c r="O226" s="12" t="str">
        <f t="shared" si="37"/>
        <v>Yes</v>
      </c>
      <c r="P226" s="158"/>
      <c r="Q226" s="157"/>
      <c r="R226" s="11" t="s">
        <v>39</v>
      </c>
      <c r="S226" s="158"/>
      <c r="T226" s="5" t="s">
        <v>40</v>
      </c>
      <c r="U226" s="10"/>
      <c r="V226" s="5"/>
      <c r="W226" s="5"/>
      <c r="X226" s="6"/>
      <c r="BB226" s="7" t="str">
        <v>Quarter 1</v>
      </c>
    </row>
    <row r="227" spans="1:54" ht="31.4" customHeight="1" x14ac:dyDescent="0.35">
      <c r="A227" s="210">
        <v>226</v>
      </c>
      <c r="B227" s="5" t="s">
        <v>48</v>
      </c>
      <c r="C227" s="5" t="s">
        <v>9</v>
      </c>
      <c r="D227" s="5" t="s">
        <v>49</v>
      </c>
      <c r="E227" s="149">
        <v>45839</v>
      </c>
      <c r="F227" s="149">
        <f t="shared" si="38"/>
        <v>45840</v>
      </c>
      <c r="G227" s="149">
        <f t="shared" si="39"/>
        <v>45853</v>
      </c>
      <c r="H227" s="149">
        <f t="shared" si="40"/>
        <v>45867</v>
      </c>
      <c r="I227" s="149" t="str">
        <f t="shared" si="31"/>
        <v>Jul</v>
      </c>
      <c r="J227" s="216" t="str">
        <f t="shared" ca="1" si="35"/>
        <v/>
      </c>
      <c r="K227" s="149" t="s">
        <v>4</v>
      </c>
      <c r="L227" s="149"/>
      <c r="M227" s="11">
        <v>45839</v>
      </c>
      <c r="N227" s="152">
        <f t="shared" si="36"/>
        <v>0</v>
      </c>
      <c r="O227" s="12" t="str">
        <f t="shared" si="37"/>
        <v>Yes</v>
      </c>
      <c r="P227" s="158"/>
      <c r="Q227" s="157"/>
      <c r="R227" s="11" t="s">
        <v>39</v>
      </c>
      <c r="S227" s="158"/>
      <c r="T227" s="5" t="s">
        <v>51</v>
      </c>
      <c r="U227" s="10"/>
      <c r="V227" s="5" t="s">
        <v>53</v>
      </c>
      <c r="W227" s="5"/>
      <c r="X227" s="6"/>
      <c r="BB227" s="7" t="str">
        <v>Quarter 2</v>
      </c>
    </row>
    <row r="228" spans="1:54" ht="31.4" customHeight="1" x14ac:dyDescent="0.35">
      <c r="A228" s="210">
        <v>227</v>
      </c>
      <c r="B228" s="5" t="s">
        <v>374</v>
      </c>
      <c r="C228" s="5" t="s">
        <v>9</v>
      </c>
      <c r="D228" s="5" t="s">
        <v>375</v>
      </c>
      <c r="E228" s="149">
        <v>45839</v>
      </c>
      <c r="F228" s="149">
        <f t="shared" si="38"/>
        <v>45840</v>
      </c>
      <c r="G228" s="149">
        <f t="shared" si="39"/>
        <v>45853</v>
      </c>
      <c r="H228" s="149">
        <f t="shared" si="40"/>
        <v>45867</v>
      </c>
      <c r="I228" s="149" t="str">
        <f t="shared" si="31"/>
        <v>Jul</v>
      </c>
      <c r="J228" s="216" t="str">
        <f t="shared" ca="1" si="35"/>
        <v/>
      </c>
      <c r="K228" s="149" t="s">
        <v>43</v>
      </c>
      <c r="L228" s="149"/>
      <c r="M228" s="11">
        <v>45853</v>
      </c>
      <c r="N228" s="152">
        <f t="shared" si="36"/>
        <v>10</v>
      </c>
      <c r="O228" s="12" t="str">
        <f t="shared" si="37"/>
        <v>Yes</v>
      </c>
      <c r="P228" s="158"/>
      <c r="Q228" s="157"/>
      <c r="R228" s="11" t="s">
        <v>39</v>
      </c>
      <c r="S228" s="158"/>
      <c r="T228" s="5" t="s">
        <v>40</v>
      </c>
      <c r="U228" s="10"/>
      <c r="V228" s="5"/>
      <c r="W228" s="5"/>
      <c r="X228" s="6"/>
      <c r="BB228" s="7" t="str">
        <v>Quarter 2</v>
      </c>
    </row>
    <row r="229" spans="1:54" ht="31.4" customHeight="1" x14ac:dyDescent="0.35">
      <c r="A229" s="210">
        <v>228</v>
      </c>
      <c r="B229" s="5" t="s">
        <v>6</v>
      </c>
      <c r="C229" s="5" t="s">
        <v>6</v>
      </c>
      <c r="D229" s="5" t="s">
        <v>376</v>
      </c>
      <c r="E229" s="149">
        <v>45839</v>
      </c>
      <c r="F229" s="149">
        <f t="shared" si="38"/>
        <v>45840</v>
      </c>
      <c r="G229" s="149">
        <f t="shared" si="39"/>
        <v>45853</v>
      </c>
      <c r="H229" s="149">
        <f t="shared" si="40"/>
        <v>45867</v>
      </c>
      <c r="I229" s="149" t="str">
        <f t="shared" si="31"/>
        <v>Jul</v>
      </c>
      <c r="J229" s="216" t="str">
        <f t="shared" ca="1" si="35"/>
        <v/>
      </c>
      <c r="K229" s="149" t="s">
        <v>4</v>
      </c>
      <c r="L229" s="149"/>
      <c r="M229" s="11">
        <v>45839</v>
      </c>
      <c r="N229" s="152">
        <f t="shared" si="36"/>
        <v>0</v>
      </c>
      <c r="O229" s="12" t="str">
        <f t="shared" si="37"/>
        <v>Yes</v>
      </c>
      <c r="P229" s="158"/>
      <c r="Q229" s="157"/>
      <c r="R229" s="11" t="s">
        <v>39</v>
      </c>
      <c r="S229" s="158"/>
      <c r="T229" s="5" t="s">
        <v>40</v>
      </c>
      <c r="U229" s="10"/>
      <c r="V229" s="5"/>
      <c r="W229" s="5"/>
      <c r="X229" s="6"/>
      <c r="BB229" s="7" t="str">
        <v>Quarter 2</v>
      </c>
    </row>
    <row r="230" spans="1:54" ht="31.4" customHeight="1" x14ac:dyDescent="0.35">
      <c r="A230" s="210">
        <v>229</v>
      </c>
      <c r="B230" s="5" t="s">
        <v>6</v>
      </c>
      <c r="C230" s="5" t="s">
        <v>6</v>
      </c>
      <c r="D230" s="5" t="s">
        <v>377</v>
      </c>
      <c r="E230" s="149">
        <v>45840</v>
      </c>
      <c r="F230" s="149">
        <f t="shared" si="38"/>
        <v>45841</v>
      </c>
      <c r="G230" s="149">
        <f t="shared" si="39"/>
        <v>45854</v>
      </c>
      <c r="H230" s="149">
        <f t="shared" si="40"/>
        <v>45868</v>
      </c>
      <c r="I230" s="149" t="str">
        <f t="shared" si="31"/>
        <v>Jul</v>
      </c>
      <c r="J230" s="216" t="str">
        <f t="shared" ca="1" si="35"/>
        <v/>
      </c>
      <c r="K230" s="149" t="s">
        <v>7</v>
      </c>
      <c r="L230" s="149"/>
      <c r="M230" s="11">
        <v>45851</v>
      </c>
      <c r="N230" s="152">
        <f t="shared" si="36"/>
        <v>7</v>
      </c>
      <c r="O230" s="12" t="str">
        <f t="shared" si="37"/>
        <v>Yes</v>
      </c>
      <c r="P230" s="158"/>
      <c r="Q230" s="157"/>
      <c r="R230" s="11" t="s">
        <v>39</v>
      </c>
      <c r="S230" s="158"/>
      <c r="T230" s="5" t="s">
        <v>40</v>
      </c>
      <c r="U230" s="10"/>
      <c r="V230" s="5" t="s">
        <v>54</v>
      </c>
      <c r="W230" s="5"/>
      <c r="X230" s="6"/>
      <c r="BB230" s="7" t="str">
        <v>Quarter 2</v>
      </c>
    </row>
    <row r="231" spans="1:54" ht="31.4" customHeight="1" x14ac:dyDescent="0.35">
      <c r="A231" s="210">
        <v>230</v>
      </c>
      <c r="B231" s="5" t="s">
        <v>55</v>
      </c>
      <c r="C231" s="5" t="s">
        <v>13</v>
      </c>
      <c r="D231" s="5" t="s">
        <v>1850</v>
      </c>
      <c r="E231" s="149">
        <v>45840</v>
      </c>
      <c r="F231" s="149">
        <f t="shared" si="38"/>
        <v>45841</v>
      </c>
      <c r="G231" s="149">
        <f t="shared" si="39"/>
        <v>45854</v>
      </c>
      <c r="H231" s="149">
        <f t="shared" si="40"/>
        <v>45868</v>
      </c>
      <c r="I231" s="149" t="str">
        <f t="shared" si="31"/>
        <v>Jul</v>
      </c>
      <c r="J231" s="216" t="str">
        <f t="shared" ca="1" si="35"/>
        <v/>
      </c>
      <c r="K231" s="149" t="s">
        <v>43</v>
      </c>
      <c r="L231" s="149"/>
      <c r="M231" s="11">
        <v>45853</v>
      </c>
      <c r="N231" s="152">
        <f t="shared" si="36"/>
        <v>9</v>
      </c>
      <c r="O231" s="12" t="str">
        <f t="shared" si="37"/>
        <v>Yes</v>
      </c>
      <c r="P231" s="158"/>
      <c r="Q231" s="157"/>
      <c r="R231" s="11" t="s">
        <v>39</v>
      </c>
      <c r="S231" s="158"/>
      <c r="T231" s="5" t="s">
        <v>40</v>
      </c>
      <c r="U231" s="10"/>
      <c r="V231" s="5"/>
      <c r="W231" s="5" t="s">
        <v>46</v>
      </c>
      <c r="X231" s="6"/>
      <c r="BB231" s="7" t="str">
        <v>Quarter 2</v>
      </c>
    </row>
    <row r="232" spans="1:54" ht="31.4" customHeight="1" x14ac:dyDescent="0.35">
      <c r="A232" s="210">
        <v>231</v>
      </c>
      <c r="B232" s="5" t="s">
        <v>55</v>
      </c>
      <c r="C232" s="5" t="s">
        <v>13</v>
      </c>
      <c r="D232" s="5" t="s">
        <v>378</v>
      </c>
      <c r="E232" s="149">
        <v>45840</v>
      </c>
      <c r="F232" s="149">
        <f t="shared" si="38"/>
        <v>45841</v>
      </c>
      <c r="G232" s="149">
        <f t="shared" si="39"/>
        <v>45854</v>
      </c>
      <c r="H232" s="149">
        <f t="shared" si="40"/>
        <v>45868</v>
      </c>
      <c r="I232" s="149" t="str">
        <f t="shared" si="31"/>
        <v>Jul</v>
      </c>
      <c r="J232" s="216" t="str">
        <f t="shared" ca="1" si="35"/>
        <v/>
      </c>
      <c r="K232" s="149" t="s">
        <v>4</v>
      </c>
      <c r="L232" s="149"/>
      <c r="M232" s="11">
        <v>45855</v>
      </c>
      <c r="N232" s="152">
        <f t="shared" si="36"/>
        <v>11</v>
      </c>
      <c r="O232" s="12" t="str">
        <f t="shared" si="37"/>
        <v>Yes</v>
      </c>
      <c r="P232" s="158"/>
      <c r="Q232" s="157"/>
      <c r="R232" s="11" t="s">
        <v>39</v>
      </c>
      <c r="S232" s="158"/>
      <c r="T232" s="5"/>
      <c r="U232" s="10"/>
      <c r="V232" s="5"/>
      <c r="W232" s="5"/>
      <c r="X232" s="6"/>
      <c r="BB232" s="7" t="str">
        <v>Quarter 2</v>
      </c>
    </row>
    <row r="233" spans="1:54" ht="31.4" customHeight="1" x14ac:dyDescent="0.35">
      <c r="A233" s="210">
        <v>232</v>
      </c>
      <c r="B233" s="5" t="s">
        <v>379</v>
      </c>
      <c r="C233" s="5" t="s">
        <v>5</v>
      </c>
      <c r="D233" s="5" t="s">
        <v>380</v>
      </c>
      <c r="E233" s="149">
        <v>45840</v>
      </c>
      <c r="F233" s="149">
        <f t="shared" si="38"/>
        <v>45841</v>
      </c>
      <c r="G233" s="149">
        <f t="shared" si="39"/>
        <v>45854</v>
      </c>
      <c r="H233" s="149">
        <f t="shared" si="40"/>
        <v>45868</v>
      </c>
      <c r="I233" s="149" t="str">
        <f t="shared" si="31"/>
        <v>Jul</v>
      </c>
      <c r="J233" s="216" t="str">
        <f t="shared" ca="1" si="35"/>
        <v/>
      </c>
      <c r="K233" s="149" t="s">
        <v>43</v>
      </c>
      <c r="L233" s="149"/>
      <c r="M233" s="11">
        <v>45845</v>
      </c>
      <c r="N233" s="152">
        <f t="shared" si="36"/>
        <v>3</v>
      </c>
      <c r="O233" s="12" t="str">
        <f t="shared" si="37"/>
        <v>Yes</v>
      </c>
      <c r="P233" s="158"/>
      <c r="Q233" s="157"/>
      <c r="R233" s="11" t="s">
        <v>39</v>
      </c>
      <c r="S233" s="158"/>
      <c r="T233" s="5" t="s">
        <v>40</v>
      </c>
      <c r="U233" s="10"/>
      <c r="V233" s="5"/>
      <c r="W233" s="5"/>
      <c r="X233" s="6"/>
      <c r="BB233" s="7" t="str">
        <v>Quarter 2</v>
      </c>
    </row>
    <row r="234" spans="1:54" ht="31.4" customHeight="1" x14ac:dyDescent="0.35">
      <c r="A234" s="210">
        <v>233</v>
      </c>
      <c r="B234" s="8" t="s">
        <v>381</v>
      </c>
      <c r="C234" s="8" t="s">
        <v>11</v>
      </c>
      <c r="D234" s="5" t="s">
        <v>382</v>
      </c>
      <c r="E234" s="149">
        <v>45840</v>
      </c>
      <c r="F234" s="149">
        <f t="shared" si="38"/>
        <v>45841</v>
      </c>
      <c r="G234" s="149">
        <f t="shared" si="39"/>
        <v>45854</v>
      </c>
      <c r="H234" s="149">
        <f t="shared" si="40"/>
        <v>45868</v>
      </c>
      <c r="I234" s="149" t="str">
        <f t="shared" si="31"/>
        <v>Jul</v>
      </c>
      <c r="J234" s="216" t="str">
        <f t="shared" ca="1" si="35"/>
        <v/>
      </c>
      <c r="K234" s="149" t="s">
        <v>7</v>
      </c>
      <c r="L234" s="149"/>
      <c r="M234" s="11">
        <v>45859</v>
      </c>
      <c r="N234" s="152">
        <f t="shared" si="36"/>
        <v>13</v>
      </c>
      <c r="O234" s="12" t="str">
        <f t="shared" si="37"/>
        <v>Yes</v>
      </c>
      <c r="P234" s="158"/>
      <c r="Q234" s="157"/>
      <c r="R234" s="11" t="s">
        <v>39</v>
      </c>
      <c r="S234" s="158"/>
      <c r="T234" s="5" t="s">
        <v>40</v>
      </c>
      <c r="U234" s="10"/>
      <c r="V234" s="5"/>
      <c r="W234" s="5"/>
      <c r="X234" s="6"/>
      <c r="BB234" s="7" t="str">
        <v>Quarter 2</v>
      </c>
    </row>
    <row r="235" spans="1:54" ht="31.4" customHeight="1" x14ac:dyDescent="0.35">
      <c r="A235" s="210">
        <v>234</v>
      </c>
      <c r="B235" s="8" t="s">
        <v>6</v>
      </c>
      <c r="C235" s="8" t="s">
        <v>6</v>
      </c>
      <c r="D235" s="8" t="s">
        <v>383</v>
      </c>
      <c r="E235" s="22">
        <v>45841</v>
      </c>
      <c r="F235" s="149">
        <f t="shared" si="38"/>
        <v>45842</v>
      </c>
      <c r="G235" s="149">
        <f t="shared" si="39"/>
        <v>45855</v>
      </c>
      <c r="H235" s="149">
        <f t="shared" si="40"/>
        <v>45869</v>
      </c>
      <c r="I235" s="149" t="str">
        <f t="shared" si="31"/>
        <v>Jul</v>
      </c>
      <c r="J235" s="216" t="str">
        <f t="shared" ca="1" si="35"/>
        <v/>
      </c>
      <c r="K235" s="22" t="s">
        <v>3</v>
      </c>
      <c r="L235" s="22"/>
      <c r="M235" s="11">
        <v>45854</v>
      </c>
      <c r="N235" s="152">
        <f t="shared" si="36"/>
        <v>9</v>
      </c>
      <c r="O235" s="12" t="str">
        <f t="shared" si="37"/>
        <v>Yes</v>
      </c>
      <c r="P235" s="17"/>
      <c r="Q235" s="17"/>
      <c r="R235" s="11" t="s">
        <v>39</v>
      </c>
      <c r="S235" s="17"/>
      <c r="T235" s="5" t="s">
        <v>40</v>
      </c>
      <c r="U235" s="8"/>
      <c r="V235" s="8"/>
      <c r="W235" s="8"/>
      <c r="X235" s="8"/>
      <c r="BB235" s="7" t="str">
        <v>Quarter 2</v>
      </c>
    </row>
    <row r="236" spans="1:54" ht="31.4" customHeight="1" x14ac:dyDescent="0.35">
      <c r="A236" s="210">
        <v>235</v>
      </c>
      <c r="B236" s="5" t="s">
        <v>384</v>
      </c>
      <c r="C236" s="5" t="s">
        <v>9</v>
      </c>
      <c r="D236" s="5" t="s">
        <v>385</v>
      </c>
      <c r="E236" s="149">
        <v>45842</v>
      </c>
      <c r="F236" s="149">
        <f t="shared" si="38"/>
        <v>45845</v>
      </c>
      <c r="G236" s="149">
        <f t="shared" si="39"/>
        <v>45856</v>
      </c>
      <c r="H236" s="149">
        <f t="shared" si="40"/>
        <v>45870</v>
      </c>
      <c r="I236" s="149" t="str">
        <f t="shared" si="31"/>
        <v>Jul</v>
      </c>
      <c r="J236" s="216" t="str">
        <f t="shared" ca="1" si="35"/>
        <v/>
      </c>
      <c r="K236" s="149" t="s">
        <v>7</v>
      </c>
      <c r="L236" s="149"/>
      <c r="M236" s="11">
        <v>45845</v>
      </c>
      <c r="N236" s="152">
        <f t="shared" si="36"/>
        <v>1</v>
      </c>
      <c r="O236" s="12" t="str">
        <f t="shared" si="37"/>
        <v>Yes</v>
      </c>
      <c r="P236" s="158"/>
      <c r="Q236" s="157"/>
      <c r="R236" s="11" t="s">
        <v>39</v>
      </c>
      <c r="S236" s="158"/>
      <c r="T236" s="5" t="s">
        <v>40</v>
      </c>
      <c r="U236" s="10"/>
      <c r="V236" s="5" t="s">
        <v>54</v>
      </c>
      <c r="W236" s="5"/>
      <c r="X236" s="6"/>
      <c r="BB236" s="7" t="str">
        <v>Quarter 2</v>
      </c>
    </row>
    <row r="237" spans="1:54" ht="31.4" customHeight="1" x14ac:dyDescent="0.35">
      <c r="A237" s="210">
        <v>236</v>
      </c>
      <c r="B237" s="5" t="s">
        <v>55</v>
      </c>
      <c r="C237" s="5" t="s">
        <v>13</v>
      </c>
      <c r="D237" s="5" t="s">
        <v>386</v>
      </c>
      <c r="E237" s="149">
        <v>45845</v>
      </c>
      <c r="F237" s="149">
        <f t="shared" si="38"/>
        <v>45846</v>
      </c>
      <c r="G237" s="149">
        <f t="shared" si="39"/>
        <v>45859</v>
      </c>
      <c r="H237" s="149">
        <f t="shared" si="40"/>
        <v>45873</v>
      </c>
      <c r="I237" s="149" t="str">
        <f t="shared" si="31"/>
        <v>Jul</v>
      </c>
      <c r="J237" s="216" t="str">
        <f t="shared" ca="1" si="35"/>
        <v/>
      </c>
      <c r="K237" s="149" t="s">
        <v>43</v>
      </c>
      <c r="L237" s="149"/>
      <c r="M237" s="11">
        <v>45847</v>
      </c>
      <c r="N237" s="152">
        <f t="shared" si="36"/>
        <v>2</v>
      </c>
      <c r="O237" s="12" t="str">
        <f t="shared" si="37"/>
        <v>Yes</v>
      </c>
      <c r="P237" s="158"/>
      <c r="Q237" s="157"/>
      <c r="R237" s="11" t="s">
        <v>39</v>
      </c>
      <c r="S237" s="158"/>
      <c r="T237" s="5" t="s">
        <v>40</v>
      </c>
      <c r="U237" s="10"/>
      <c r="V237" s="5" t="s">
        <v>54</v>
      </c>
      <c r="W237" s="5"/>
      <c r="X237" s="6"/>
      <c r="BB237" s="7" t="str">
        <v>Quarter 2</v>
      </c>
    </row>
    <row r="238" spans="1:54" ht="31.4" customHeight="1" x14ac:dyDescent="0.35">
      <c r="A238" s="210">
        <v>237</v>
      </c>
      <c r="B238" s="5" t="s">
        <v>387</v>
      </c>
      <c r="C238" s="5" t="s">
        <v>5</v>
      </c>
      <c r="D238" s="5" t="s">
        <v>388</v>
      </c>
      <c r="E238" s="149">
        <v>45845</v>
      </c>
      <c r="F238" s="149">
        <f t="shared" si="38"/>
        <v>45846</v>
      </c>
      <c r="G238" s="149">
        <f t="shared" si="39"/>
        <v>45859</v>
      </c>
      <c r="H238" s="149">
        <f t="shared" si="40"/>
        <v>45873</v>
      </c>
      <c r="I238" s="149" t="str">
        <f t="shared" si="31"/>
        <v>Jul</v>
      </c>
      <c r="J238" s="216" t="str">
        <f t="shared" ca="1" si="35"/>
        <v/>
      </c>
      <c r="K238" s="149" t="s">
        <v>7</v>
      </c>
      <c r="L238" s="149"/>
      <c r="M238" s="11">
        <v>45859</v>
      </c>
      <c r="N238" s="152">
        <f t="shared" si="36"/>
        <v>10</v>
      </c>
      <c r="O238" s="12" t="str">
        <f t="shared" si="37"/>
        <v>Yes</v>
      </c>
      <c r="P238" s="158"/>
      <c r="Q238" s="157"/>
      <c r="R238" s="11" t="s">
        <v>39</v>
      </c>
      <c r="S238" s="158"/>
      <c r="T238" s="5" t="s">
        <v>40</v>
      </c>
      <c r="U238" s="10"/>
      <c r="V238" s="5"/>
      <c r="W238" s="5"/>
      <c r="X238" s="6"/>
      <c r="BB238" s="7" t="str">
        <v>Quarter 2</v>
      </c>
    </row>
    <row r="239" spans="1:54" ht="31.4" customHeight="1" x14ac:dyDescent="0.35">
      <c r="A239" s="210">
        <v>238</v>
      </c>
      <c r="B239" s="8" t="s">
        <v>6</v>
      </c>
      <c r="C239" s="8" t="s">
        <v>6</v>
      </c>
      <c r="D239" s="8" t="s">
        <v>389</v>
      </c>
      <c r="E239" s="149">
        <v>45845</v>
      </c>
      <c r="F239" s="149">
        <f t="shared" si="38"/>
        <v>45846</v>
      </c>
      <c r="G239" s="149">
        <f t="shared" si="39"/>
        <v>45859</v>
      </c>
      <c r="H239" s="149">
        <f t="shared" si="40"/>
        <v>45873</v>
      </c>
      <c r="I239" s="149" t="str">
        <f t="shared" si="31"/>
        <v>Jul</v>
      </c>
      <c r="J239" s="216" t="str">
        <f t="shared" ca="1" si="35"/>
        <v/>
      </c>
      <c r="K239" s="149" t="s">
        <v>4</v>
      </c>
      <c r="L239" s="149"/>
      <c r="M239" s="11">
        <v>45848</v>
      </c>
      <c r="N239" s="152">
        <f t="shared" si="36"/>
        <v>3</v>
      </c>
      <c r="O239" s="12" t="str">
        <f t="shared" si="37"/>
        <v>Yes</v>
      </c>
      <c r="P239" s="158"/>
      <c r="Q239" s="157"/>
      <c r="R239" s="11" t="s">
        <v>39</v>
      </c>
      <c r="S239" s="17"/>
      <c r="T239" s="5" t="s">
        <v>45</v>
      </c>
      <c r="U239" s="8"/>
      <c r="V239" s="5" t="s">
        <v>87</v>
      </c>
      <c r="W239" s="8" t="s">
        <v>347</v>
      </c>
      <c r="X239" s="6"/>
      <c r="BB239" s="7" t="str">
        <v>Quarter 2</v>
      </c>
    </row>
    <row r="240" spans="1:54" ht="31.4" customHeight="1" x14ac:dyDescent="0.35">
      <c r="A240" s="210">
        <v>239</v>
      </c>
      <c r="B240" s="5" t="s">
        <v>6</v>
      </c>
      <c r="C240" s="5" t="s">
        <v>6</v>
      </c>
      <c r="D240" s="5" t="s">
        <v>166</v>
      </c>
      <c r="E240" s="149">
        <v>45842</v>
      </c>
      <c r="F240" s="149">
        <f t="shared" si="38"/>
        <v>45845</v>
      </c>
      <c r="G240" s="149">
        <f t="shared" si="39"/>
        <v>45856</v>
      </c>
      <c r="H240" s="149">
        <f t="shared" si="40"/>
        <v>45870</v>
      </c>
      <c r="I240" s="149" t="str">
        <f t="shared" ref="I240:I303" si="41">IF(ISBLANK($E240),"",TEXT($E240,"mmm"))</f>
        <v>Jul</v>
      </c>
      <c r="J240" s="216" t="str">
        <f t="shared" ca="1" si="35"/>
        <v/>
      </c>
      <c r="K240" s="149" t="s">
        <v>43</v>
      </c>
      <c r="L240" s="149"/>
      <c r="M240" s="11">
        <v>45845</v>
      </c>
      <c r="N240" s="152">
        <f t="shared" si="36"/>
        <v>1</v>
      </c>
      <c r="O240" s="12" t="str">
        <f t="shared" si="37"/>
        <v>Yes</v>
      </c>
      <c r="P240" s="158"/>
      <c r="Q240" s="157"/>
      <c r="R240" s="11" t="s">
        <v>39</v>
      </c>
      <c r="S240" s="158"/>
      <c r="T240" s="5" t="s">
        <v>40</v>
      </c>
      <c r="U240" s="10"/>
      <c r="V240" s="5" t="s">
        <v>54</v>
      </c>
      <c r="W240" s="5"/>
      <c r="X240" s="6"/>
      <c r="BB240" s="7" t="str">
        <v>Quarter 2</v>
      </c>
    </row>
    <row r="241" spans="1:54" ht="31.4" customHeight="1" x14ac:dyDescent="0.35">
      <c r="A241" s="210">
        <v>240</v>
      </c>
      <c r="B241" s="5" t="s">
        <v>68</v>
      </c>
      <c r="C241" s="5" t="s">
        <v>9</v>
      </c>
      <c r="D241" s="5" t="s">
        <v>390</v>
      </c>
      <c r="E241" s="149">
        <v>45845</v>
      </c>
      <c r="F241" s="149">
        <f t="shared" si="38"/>
        <v>45846</v>
      </c>
      <c r="G241" s="149">
        <f t="shared" si="39"/>
        <v>45859</v>
      </c>
      <c r="H241" s="149">
        <f t="shared" si="40"/>
        <v>45873</v>
      </c>
      <c r="I241" s="149" t="str">
        <f t="shared" si="41"/>
        <v>Jul</v>
      </c>
      <c r="J241" s="216" t="str">
        <f t="shared" ca="1" si="35"/>
        <v/>
      </c>
      <c r="K241" s="149" t="s">
        <v>4</v>
      </c>
      <c r="L241" s="149"/>
      <c r="M241" s="11">
        <v>45845</v>
      </c>
      <c r="N241" s="152">
        <f t="shared" si="36"/>
        <v>0</v>
      </c>
      <c r="O241" s="12" t="str">
        <f t="shared" si="37"/>
        <v>Yes</v>
      </c>
      <c r="P241" s="158"/>
      <c r="Q241" s="157"/>
      <c r="R241" s="11" t="s">
        <v>39</v>
      </c>
      <c r="S241" s="158"/>
      <c r="T241" s="5" t="s">
        <v>40</v>
      </c>
      <c r="U241" s="10"/>
      <c r="V241" s="5"/>
      <c r="W241" s="5"/>
      <c r="X241" s="6"/>
      <c r="BB241" s="7" t="str">
        <v>Quarter 2</v>
      </c>
    </row>
    <row r="242" spans="1:54" ht="31.4" customHeight="1" x14ac:dyDescent="0.35">
      <c r="A242" s="210">
        <v>241</v>
      </c>
      <c r="B242" s="5" t="s">
        <v>55</v>
      </c>
      <c r="C242" s="5" t="s">
        <v>13</v>
      </c>
      <c r="D242" s="5" t="s">
        <v>86</v>
      </c>
      <c r="E242" s="149">
        <v>45846</v>
      </c>
      <c r="F242" s="149">
        <f t="shared" si="38"/>
        <v>45847</v>
      </c>
      <c r="G242" s="149">
        <f t="shared" si="39"/>
        <v>45860</v>
      </c>
      <c r="H242" s="149">
        <f t="shared" si="40"/>
        <v>45874</v>
      </c>
      <c r="I242" s="149" t="str">
        <f t="shared" si="41"/>
        <v>Jul</v>
      </c>
      <c r="J242" s="216" t="str">
        <f t="shared" ca="1" si="35"/>
        <v/>
      </c>
      <c r="K242" s="149" t="s">
        <v>4</v>
      </c>
      <c r="L242" s="149"/>
      <c r="M242" s="11">
        <v>45846</v>
      </c>
      <c r="N242" s="152">
        <f t="shared" si="36"/>
        <v>0</v>
      </c>
      <c r="O242" s="12" t="str">
        <f t="shared" si="37"/>
        <v>Yes</v>
      </c>
      <c r="P242" s="158"/>
      <c r="Q242" s="157"/>
      <c r="R242" s="11" t="s">
        <v>39</v>
      </c>
      <c r="S242" s="158"/>
      <c r="T242" s="5" t="s">
        <v>40</v>
      </c>
      <c r="U242" s="10"/>
      <c r="V242" s="5"/>
      <c r="W242" s="5"/>
      <c r="X242" s="6"/>
      <c r="BB242" s="7" t="str">
        <v>Quarter 2</v>
      </c>
    </row>
    <row r="243" spans="1:54" ht="31.4" customHeight="1" x14ac:dyDescent="0.35">
      <c r="A243" s="210">
        <v>242</v>
      </c>
      <c r="B243" s="5" t="s">
        <v>387</v>
      </c>
      <c r="C243" s="5" t="s">
        <v>5</v>
      </c>
      <c r="D243" s="5" t="s">
        <v>391</v>
      </c>
      <c r="E243" s="149">
        <v>45846</v>
      </c>
      <c r="F243" s="149">
        <f t="shared" si="38"/>
        <v>45847</v>
      </c>
      <c r="G243" s="149">
        <f t="shared" si="39"/>
        <v>45860</v>
      </c>
      <c r="H243" s="149">
        <f t="shared" si="40"/>
        <v>45874</v>
      </c>
      <c r="I243" s="149" t="str">
        <f t="shared" si="41"/>
        <v>Jul</v>
      </c>
      <c r="J243" s="216" t="str">
        <f t="shared" ca="1" si="35"/>
        <v/>
      </c>
      <c r="K243" s="149" t="s">
        <v>7</v>
      </c>
      <c r="L243" s="149"/>
      <c r="M243" s="11">
        <v>45853</v>
      </c>
      <c r="N243" s="152">
        <f t="shared" si="36"/>
        <v>5</v>
      </c>
      <c r="O243" s="12" t="str">
        <f t="shared" si="37"/>
        <v>Yes</v>
      </c>
      <c r="P243" s="158"/>
      <c r="Q243" s="157"/>
      <c r="R243" s="11" t="s">
        <v>39</v>
      </c>
      <c r="S243" s="158"/>
      <c r="T243" s="5" t="s">
        <v>40</v>
      </c>
      <c r="U243" s="10"/>
      <c r="V243" s="5"/>
      <c r="W243" s="5"/>
      <c r="X243" s="6"/>
      <c r="BB243" s="7" t="str">
        <v>Quarter 2</v>
      </c>
    </row>
    <row r="244" spans="1:54" ht="31.4" customHeight="1" x14ac:dyDescent="0.35">
      <c r="A244" s="210">
        <v>243</v>
      </c>
      <c r="B244" s="5" t="s">
        <v>392</v>
      </c>
      <c r="C244" s="5" t="s">
        <v>5</v>
      </c>
      <c r="D244" s="5" t="s">
        <v>393</v>
      </c>
      <c r="E244" s="149">
        <v>45847</v>
      </c>
      <c r="F244" s="149">
        <f t="shared" si="38"/>
        <v>45848</v>
      </c>
      <c r="G244" s="149">
        <f t="shared" si="39"/>
        <v>45861</v>
      </c>
      <c r="H244" s="149">
        <f t="shared" si="40"/>
        <v>45875</v>
      </c>
      <c r="I244" s="149" t="str">
        <f t="shared" si="41"/>
        <v>Jul</v>
      </c>
      <c r="J244" s="216" t="str">
        <f t="shared" ca="1" si="35"/>
        <v/>
      </c>
      <c r="K244" s="149" t="s">
        <v>4</v>
      </c>
      <c r="L244" s="149"/>
      <c r="M244" s="11">
        <v>45861</v>
      </c>
      <c r="N244" s="152">
        <f t="shared" si="36"/>
        <v>10</v>
      </c>
      <c r="O244" s="12" t="str">
        <f t="shared" si="37"/>
        <v>Yes</v>
      </c>
      <c r="P244" s="158"/>
      <c r="Q244" s="157"/>
      <c r="R244" s="11" t="s">
        <v>39</v>
      </c>
      <c r="S244" s="158"/>
      <c r="T244" s="5" t="s">
        <v>40</v>
      </c>
      <c r="U244" s="10"/>
      <c r="V244" s="5"/>
      <c r="W244" s="5"/>
      <c r="X244" s="6"/>
      <c r="BB244" s="7" t="str">
        <v>Quarter 2</v>
      </c>
    </row>
    <row r="245" spans="1:54" ht="31.4" customHeight="1" x14ac:dyDescent="0.35">
      <c r="A245" s="210">
        <v>244</v>
      </c>
      <c r="B245" s="5" t="s">
        <v>6</v>
      </c>
      <c r="C245" s="5" t="s">
        <v>6</v>
      </c>
      <c r="D245" s="5" t="s">
        <v>1878</v>
      </c>
      <c r="E245" s="149">
        <v>45847</v>
      </c>
      <c r="F245" s="149">
        <f t="shared" si="38"/>
        <v>45848</v>
      </c>
      <c r="G245" s="149">
        <f t="shared" si="39"/>
        <v>45861</v>
      </c>
      <c r="H245" s="149">
        <f t="shared" si="40"/>
        <v>45875</v>
      </c>
      <c r="I245" s="149" t="str">
        <f t="shared" si="41"/>
        <v>Jul</v>
      </c>
      <c r="J245" s="216" t="str">
        <f t="shared" ca="1" si="35"/>
        <v/>
      </c>
      <c r="K245" s="149" t="s">
        <v>7</v>
      </c>
      <c r="L245" s="149"/>
      <c r="M245" s="11">
        <v>45848</v>
      </c>
      <c r="N245" s="152">
        <f t="shared" si="36"/>
        <v>1</v>
      </c>
      <c r="O245" s="12" t="str">
        <f t="shared" si="37"/>
        <v>Yes</v>
      </c>
      <c r="P245" s="158"/>
      <c r="Q245" s="157"/>
      <c r="R245" s="11" t="s">
        <v>39</v>
      </c>
      <c r="S245" s="158"/>
      <c r="T245" s="5" t="s">
        <v>40</v>
      </c>
      <c r="U245" s="10"/>
      <c r="V245" s="5"/>
      <c r="W245" s="5"/>
      <c r="X245" s="6"/>
      <c r="BB245" s="7" t="str">
        <v>Quarter 2</v>
      </c>
    </row>
    <row r="246" spans="1:54" ht="31.4" customHeight="1" x14ac:dyDescent="0.35">
      <c r="A246" s="210">
        <v>245</v>
      </c>
      <c r="B246" s="5" t="s">
        <v>394</v>
      </c>
      <c r="C246" s="5" t="s">
        <v>9</v>
      </c>
      <c r="D246" s="5" t="s">
        <v>1</v>
      </c>
      <c r="E246" s="149">
        <v>45847</v>
      </c>
      <c r="F246" s="149">
        <f t="shared" si="38"/>
        <v>45848</v>
      </c>
      <c r="G246" s="149">
        <f t="shared" si="39"/>
        <v>45861</v>
      </c>
      <c r="H246" s="149">
        <f t="shared" si="40"/>
        <v>45875</v>
      </c>
      <c r="I246" s="149" t="str">
        <f t="shared" si="41"/>
        <v>Jul</v>
      </c>
      <c r="J246" s="216" t="str">
        <f t="shared" ca="1" si="35"/>
        <v/>
      </c>
      <c r="K246" s="149" t="s">
        <v>3</v>
      </c>
      <c r="L246" s="149"/>
      <c r="M246" s="11">
        <v>45854</v>
      </c>
      <c r="N246" s="152">
        <f t="shared" si="36"/>
        <v>5</v>
      </c>
      <c r="O246" s="12" t="str">
        <f t="shared" si="37"/>
        <v>Yes</v>
      </c>
      <c r="P246" s="158"/>
      <c r="Q246" s="157"/>
      <c r="R246" s="11" t="s">
        <v>39</v>
      </c>
      <c r="S246" s="158"/>
      <c r="T246" s="5" t="s">
        <v>40</v>
      </c>
      <c r="U246" s="10"/>
      <c r="V246" s="5" t="s">
        <v>54</v>
      </c>
      <c r="W246" s="5" t="s">
        <v>395</v>
      </c>
      <c r="X246" s="6"/>
      <c r="BB246" s="7" t="str">
        <v>Quarter 2</v>
      </c>
    </row>
    <row r="247" spans="1:54" ht="31.4" customHeight="1" x14ac:dyDescent="0.35">
      <c r="A247" s="210">
        <v>246</v>
      </c>
      <c r="B247" s="5" t="s">
        <v>214</v>
      </c>
      <c r="C247" s="5" t="s">
        <v>5</v>
      </c>
      <c r="D247" s="5" t="s">
        <v>396</v>
      </c>
      <c r="E247" s="149">
        <v>45847</v>
      </c>
      <c r="F247" s="149">
        <f t="shared" si="38"/>
        <v>45848</v>
      </c>
      <c r="G247" s="149">
        <f t="shared" si="39"/>
        <v>45861</v>
      </c>
      <c r="H247" s="149">
        <f t="shared" si="40"/>
        <v>45875</v>
      </c>
      <c r="I247" s="149" t="str">
        <f t="shared" si="41"/>
        <v>Jul</v>
      </c>
      <c r="J247" s="216" t="str">
        <f t="shared" ca="1" si="35"/>
        <v/>
      </c>
      <c r="K247" s="149" t="s">
        <v>4</v>
      </c>
      <c r="L247" s="149"/>
      <c r="M247" s="11">
        <v>45851</v>
      </c>
      <c r="N247" s="152">
        <f t="shared" si="36"/>
        <v>2</v>
      </c>
      <c r="O247" s="12" t="str">
        <f t="shared" si="37"/>
        <v>Yes</v>
      </c>
      <c r="P247" s="158"/>
      <c r="Q247" s="157"/>
      <c r="R247" s="11" t="s">
        <v>39</v>
      </c>
      <c r="S247" s="158"/>
      <c r="T247" s="5" t="s">
        <v>40</v>
      </c>
      <c r="U247" s="10"/>
      <c r="V247" s="5"/>
      <c r="W247" s="5"/>
      <c r="X247" s="6"/>
      <c r="BB247" s="7" t="str">
        <v>Quarter 2</v>
      </c>
    </row>
    <row r="248" spans="1:54" ht="31.4" customHeight="1" x14ac:dyDescent="0.35">
      <c r="A248" s="210">
        <v>247</v>
      </c>
      <c r="B248" s="5" t="s">
        <v>397</v>
      </c>
      <c r="C248" s="5" t="s">
        <v>9</v>
      </c>
      <c r="D248" s="5" t="s">
        <v>398</v>
      </c>
      <c r="E248" s="149">
        <v>45847</v>
      </c>
      <c r="F248" s="149">
        <f t="shared" si="38"/>
        <v>45848</v>
      </c>
      <c r="G248" s="149">
        <f t="shared" si="39"/>
        <v>45861</v>
      </c>
      <c r="H248" s="149">
        <f t="shared" si="40"/>
        <v>45875</v>
      </c>
      <c r="I248" s="149" t="str">
        <f t="shared" si="41"/>
        <v>Jul</v>
      </c>
      <c r="J248" s="216" t="str">
        <f t="shared" ca="1" si="35"/>
        <v/>
      </c>
      <c r="K248" s="149" t="s">
        <v>4</v>
      </c>
      <c r="L248" s="149"/>
      <c r="M248" s="11">
        <v>45848</v>
      </c>
      <c r="N248" s="152">
        <f t="shared" si="36"/>
        <v>1</v>
      </c>
      <c r="O248" s="12" t="str">
        <f t="shared" si="37"/>
        <v>Yes</v>
      </c>
      <c r="P248" s="158"/>
      <c r="Q248" s="157"/>
      <c r="R248" s="11" t="s">
        <v>39</v>
      </c>
      <c r="S248" s="158"/>
      <c r="T248" s="5" t="s">
        <v>62</v>
      </c>
      <c r="U248" s="10"/>
      <c r="V248" s="5"/>
      <c r="W248" s="5"/>
      <c r="X248" s="6"/>
      <c r="BB248" s="7" t="str">
        <v>Quarter 2</v>
      </c>
    </row>
    <row r="249" spans="1:54" ht="31.4" customHeight="1" x14ac:dyDescent="0.35">
      <c r="A249" s="210">
        <v>248</v>
      </c>
      <c r="B249" s="5" t="s">
        <v>399</v>
      </c>
      <c r="C249" s="5" t="s">
        <v>11</v>
      </c>
      <c r="D249" s="5" t="s">
        <v>400</v>
      </c>
      <c r="E249" s="149">
        <v>45847</v>
      </c>
      <c r="F249" s="149">
        <f t="shared" si="38"/>
        <v>45848</v>
      </c>
      <c r="G249" s="149">
        <f t="shared" si="39"/>
        <v>45861</v>
      </c>
      <c r="H249" s="149">
        <f t="shared" si="40"/>
        <v>45875</v>
      </c>
      <c r="I249" s="149" t="str">
        <f t="shared" si="41"/>
        <v>Jul</v>
      </c>
      <c r="J249" s="216" t="str">
        <f t="shared" ca="1" si="35"/>
        <v/>
      </c>
      <c r="K249" s="149" t="s">
        <v>43</v>
      </c>
      <c r="L249" s="149"/>
      <c r="M249" s="11">
        <v>45852</v>
      </c>
      <c r="N249" s="152">
        <f t="shared" si="36"/>
        <v>3</v>
      </c>
      <c r="O249" s="12" t="str">
        <f t="shared" si="37"/>
        <v>Yes</v>
      </c>
      <c r="P249" s="158"/>
      <c r="Q249" s="157"/>
      <c r="R249" s="11" t="s">
        <v>39</v>
      </c>
      <c r="S249" s="158"/>
      <c r="T249" s="5" t="s">
        <v>40</v>
      </c>
      <c r="U249" s="10"/>
      <c r="V249" s="5"/>
      <c r="W249" s="5"/>
      <c r="X249" s="6"/>
      <c r="BB249" s="7" t="str">
        <v>Quarter 2</v>
      </c>
    </row>
    <row r="250" spans="1:54" ht="31.4" customHeight="1" x14ac:dyDescent="0.35">
      <c r="A250" s="210">
        <v>249</v>
      </c>
      <c r="B250" s="8" t="s">
        <v>55</v>
      </c>
      <c r="C250" s="8" t="s">
        <v>13</v>
      </c>
      <c r="D250" s="5" t="s">
        <v>401</v>
      </c>
      <c r="E250" s="149">
        <v>45847</v>
      </c>
      <c r="F250" s="149">
        <f t="shared" si="38"/>
        <v>45848</v>
      </c>
      <c r="G250" s="149">
        <f t="shared" si="39"/>
        <v>45861</v>
      </c>
      <c r="H250" s="149">
        <f t="shared" si="40"/>
        <v>45875</v>
      </c>
      <c r="I250" s="149" t="str">
        <f t="shared" si="41"/>
        <v>Jul</v>
      </c>
      <c r="J250" s="216" t="str">
        <f t="shared" ca="1" si="35"/>
        <v/>
      </c>
      <c r="K250" s="149" t="s">
        <v>43</v>
      </c>
      <c r="L250" s="149"/>
      <c r="M250" s="11">
        <v>45859</v>
      </c>
      <c r="N250" s="152">
        <f t="shared" si="36"/>
        <v>8</v>
      </c>
      <c r="O250" s="12" t="str">
        <f t="shared" si="37"/>
        <v>Yes</v>
      </c>
      <c r="P250" s="158"/>
      <c r="Q250" s="157"/>
      <c r="R250" s="11" t="s">
        <v>39</v>
      </c>
      <c r="S250" s="158"/>
      <c r="T250" s="5" t="s">
        <v>40</v>
      </c>
      <c r="U250" s="10"/>
      <c r="V250" s="5"/>
      <c r="W250" s="5"/>
      <c r="X250" s="6"/>
      <c r="BB250" s="7" t="str">
        <v>Quarter 2</v>
      </c>
    </row>
    <row r="251" spans="1:54" ht="31.4" customHeight="1" x14ac:dyDescent="0.35">
      <c r="A251" s="210">
        <v>250</v>
      </c>
      <c r="B251" s="8" t="s">
        <v>55</v>
      </c>
      <c r="C251" s="8" t="s">
        <v>13</v>
      </c>
      <c r="D251" s="8" t="s">
        <v>402</v>
      </c>
      <c r="E251" s="149">
        <v>45848</v>
      </c>
      <c r="F251" s="149">
        <f t="shared" ref="F251:F282" si="42">IF($E251="","",WORKDAY($E251,1,$Z$33:$Z$47))</f>
        <v>45849</v>
      </c>
      <c r="G251" s="149">
        <f t="shared" ref="G251:G282" si="43">IF($E251="","",WORKDAY($E251,10,$Z$33:$Z$47))</f>
        <v>45862</v>
      </c>
      <c r="H251" s="149">
        <f t="shared" ref="H251:H282" si="44">IF($E251="","",WORKDAY($E251,20,$Z$33:$Z$47))</f>
        <v>45876</v>
      </c>
      <c r="I251" s="149" t="str">
        <f t="shared" si="41"/>
        <v>Jul</v>
      </c>
      <c r="J251" s="216" t="str">
        <f t="shared" ca="1" si="35"/>
        <v/>
      </c>
      <c r="K251" s="149" t="s">
        <v>7</v>
      </c>
      <c r="L251" s="149"/>
      <c r="M251" s="11">
        <v>45859</v>
      </c>
      <c r="N251" s="152">
        <f t="shared" si="36"/>
        <v>7</v>
      </c>
      <c r="O251" s="12" t="str">
        <f t="shared" si="37"/>
        <v>Yes</v>
      </c>
      <c r="P251" s="158"/>
      <c r="Q251" s="157"/>
      <c r="R251" s="11" t="s">
        <v>39</v>
      </c>
      <c r="S251" s="158"/>
      <c r="T251" s="5" t="s">
        <v>40</v>
      </c>
      <c r="U251" s="10"/>
      <c r="V251" s="5"/>
      <c r="W251" s="5"/>
      <c r="X251" s="6"/>
      <c r="BB251" s="7" t="str">
        <v>Quarter 2</v>
      </c>
    </row>
    <row r="252" spans="1:54" ht="31.4" customHeight="1" x14ac:dyDescent="0.35">
      <c r="A252" s="210">
        <v>251</v>
      </c>
      <c r="B252" s="8" t="s">
        <v>403</v>
      </c>
      <c r="C252" s="8" t="s">
        <v>11</v>
      </c>
      <c r="D252" s="8" t="s">
        <v>404</v>
      </c>
      <c r="E252" s="149">
        <v>45848</v>
      </c>
      <c r="F252" s="149">
        <f t="shared" si="42"/>
        <v>45849</v>
      </c>
      <c r="G252" s="149">
        <f t="shared" si="43"/>
        <v>45862</v>
      </c>
      <c r="H252" s="149">
        <f t="shared" si="44"/>
        <v>45876</v>
      </c>
      <c r="I252" s="149" t="str">
        <f t="shared" si="41"/>
        <v>Jul</v>
      </c>
      <c r="J252" s="216" t="str">
        <f t="shared" ca="1" si="35"/>
        <v/>
      </c>
      <c r="K252" s="149" t="s">
        <v>3</v>
      </c>
      <c r="L252" s="149"/>
      <c r="M252" s="11">
        <v>45986</v>
      </c>
      <c r="N252" s="152">
        <f t="shared" si="36"/>
        <v>97</v>
      </c>
      <c r="O252" s="12" t="str">
        <f t="shared" si="37"/>
        <v>No</v>
      </c>
      <c r="P252" s="158"/>
      <c r="Q252" s="157"/>
      <c r="R252" s="11" t="s">
        <v>39</v>
      </c>
      <c r="S252" s="158"/>
      <c r="T252" s="5" t="s">
        <v>51</v>
      </c>
      <c r="U252" s="10"/>
      <c r="V252" s="5" t="s">
        <v>41</v>
      </c>
      <c r="W252" s="5"/>
      <c r="X252" s="6"/>
      <c r="BB252" s="7" t="str">
        <v>Quarter 2</v>
      </c>
    </row>
    <row r="253" spans="1:54" ht="31.4" customHeight="1" x14ac:dyDescent="0.35">
      <c r="A253" s="210">
        <v>252</v>
      </c>
      <c r="B253" s="5" t="s">
        <v>6</v>
      </c>
      <c r="C253" s="5" t="s">
        <v>6</v>
      </c>
      <c r="D253" s="5" t="s">
        <v>405</v>
      </c>
      <c r="E253" s="149">
        <v>45848</v>
      </c>
      <c r="F253" s="149">
        <f t="shared" si="42"/>
        <v>45849</v>
      </c>
      <c r="G253" s="149">
        <f t="shared" si="43"/>
        <v>45862</v>
      </c>
      <c r="H253" s="149">
        <f t="shared" si="44"/>
        <v>45876</v>
      </c>
      <c r="I253" s="149" t="str">
        <f t="shared" si="41"/>
        <v>Jul</v>
      </c>
      <c r="J253" s="216" t="str">
        <f t="shared" ca="1" si="35"/>
        <v/>
      </c>
      <c r="K253" s="149" t="s">
        <v>43</v>
      </c>
      <c r="L253" s="149"/>
      <c r="M253" s="11">
        <v>45861</v>
      </c>
      <c r="N253" s="152">
        <f t="shared" si="36"/>
        <v>9</v>
      </c>
      <c r="O253" s="12" t="str">
        <f t="shared" si="37"/>
        <v>Yes</v>
      </c>
      <c r="P253" s="158"/>
      <c r="Q253" s="157"/>
      <c r="R253" s="11" t="s">
        <v>39</v>
      </c>
      <c r="S253" s="158"/>
      <c r="T253" s="5" t="s">
        <v>51</v>
      </c>
      <c r="U253" s="10"/>
      <c r="V253" s="5" t="s">
        <v>41</v>
      </c>
      <c r="W253" s="8"/>
      <c r="X253" s="6"/>
      <c r="BB253" s="7" t="str">
        <v>Quarter 2</v>
      </c>
    </row>
    <row r="254" spans="1:54" ht="31.4" customHeight="1" x14ac:dyDescent="0.35">
      <c r="A254" s="210">
        <v>253</v>
      </c>
      <c r="B254" s="5" t="s">
        <v>6</v>
      </c>
      <c r="C254" s="5" t="s">
        <v>6</v>
      </c>
      <c r="D254" s="5" t="s">
        <v>406</v>
      </c>
      <c r="E254" s="149">
        <v>45848</v>
      </c>
      <c r="F254" s="149">
        <f t="shared" si="42"/>
        <v>45849</v>
      </c>
      <c r="G254" s="149">
        <f t="shared" si="43"/>
        <v>45862</v>
      </c>
      <c r="H254" s="149">
        <f t="shared" si="44"/>
        <v>45876</v>
      </c>
      <c r="I254" s="149" t="str">
        <f t="shared" si="41"/>
        <v>Jul</v>
      </c>
      <c r="J254" s="216" t="str">
        <f t="shared" ca="1" si="35"/>
        <v/>
      </c>
      <c r="K254" s="149" t="s">
        <v>4</v>
      </c>
      <c r="L254" s="149"/>
      <c r="M254" s="11">
        <v>45848</v>
      </c>
      <c r="N254" s="152">
        <f t="shared" si="36"/>
        <v>0</v>
      </c>
      <c r="O254" s="12" t="str">
        <f t="shared" si="37"/>
        <v>Yes</v>
      </c>
      <c r="P254" s="158"/>
      <c r="Q254" s="157"/>
      <c r="R254" s="11" t="s">
        <v>39</v>
      </c>
      <c r="S254" s="158"/>
      <c r="T254" s="5" t="s">
        <v>45</v>
      </c>
      <c r="U254" s="10"/>
      <c r="V254" s="5" t="s">
        <v>53</v>
      </c>
      <c r="W254" s="8" t="s">
        <v>193</v>
      </c>
      <c r="X254" s="6"/>
      <c r="BB254" s="7" t="str">
        <v>Quarter 2</v>
      </c>
    </row>
    <row r="255" spans="1:54" ht="31.4" customHeight="1" x14ac:dyDescent="0.35">
      <c r="A255" s="210">
        <v>254</v>
      </c>
      <c r="B255" s="8" t="s">
        <v>407</v>
      </c>
      <c r="C255" s="8" t="s">
        <v>9</v>
      </c>
      <c r="D255" s="8" t="s">
        <v>380</v>
      </c>
      <c r="E255" s="149">
        <v>45848</v>
      </c>
      <c r="F255" s="149">
        <f t="shared" si="42"/>
        <v>45849</v>
      </c>
      <c r="G255" s="149">
        <f t="shared" si="43"/>
        <v>45862</v>
      </c>
      <c r="H255" s="149">
        <f t="shared" si="44"/>
        <v>45876</v>
      </c>
      <c r="I255" s="149" t="str">
        <f t="shared" si="41"/>
        <v>Jul</v>
      </c>
      <c r="J255" s="216" t="str">
        <f t="shared" ca="1" si="35"/>
        <v/>
      </c>
      <c r="K255" s="149" t="s">
        <v>4</v>
      </c>
      <c r="L255" s="149"/>
      <c r="M255" s="11">
        <v>45849</v>
      </c>
      <c r="N255" s="152">
        <f t="shared" si="36"/>
        <v>1</v>
      </c>
      <c r="O255" s="12" t="str">
        <f t="shared" si="37"/>
        <v>Yes</v>
      </c>
      <c r="P255" s="158"/>
      <c r="Q255" s="157"/>
      <c r="R255" s="11" t="s">
        <v>39</v>
      </c>
      <c r="S255" s="158"/>
      <c r="T255" s="5" t="s">
        <v>40</v>
      </c>
      <c r="U255" s="10"/>
      <c r="V255" s="5"/>
      <c r="W255" s="8"/>
      <c r="X255" s="6"/>
      <c r="BB255" s="7" t="str">
        <v>Quarter 2</v>
      </c>
    </row>
    <row r="256" spans="1:54" ht="31.4" customHeight="1" x14ac:dyDescent="0.35">
      <c r="A256" s="210">
        <v>255</v>
      </c>
      <c r="B256" s="8" t="s">
        <v>6</v>
      </c>
      <c r="C256" s="8" t="s">
        <v>6</v>
      </c>
      <c r="D256" s="208" t="s">
        <v>1878</v>
      </c>
      <c r="E256" s="149">
        <v>45848</v>
      </c>
      <c r="F256" s="149">
        <f t="shared" si="42"/>
        <v>45849</v>
      </c>
      <c r="G256" s="149">
        <f t="shared" si="43"/>
        <v>45862</v>
      </c>
      <c r="H256" s="149">
        <f t="shared" si="44"/>
        <v>45876</v>
      </c>
      <c r="I256" s="149" t="str">
        <f t="shared" si="41"/>
        <v>Jul</v>
      </c>
      <c r="J256" s="216" t="str">
        <f t="shared" ca="1" si="35"/>
        <v/>
      </c>
      <c r="K256" s="149" t="s">
        <v>7</v>
      </c>
      <c r="L256" s="149"/>
      <c r="M256" s="11">
        <v>45866</v>
      </c>
      <c r="N256" s="152">
        <f t="shared" si="36"/>
        <v>12</v>
      </c>
      <c r="O256" s="12" t="str">
        <f t="shared" si="37"/>
        <v>Yes</v>
      </c>
      <c r="P256" s="158"/>
      <c r="Q256" s="157"/>
      <c r="R256" s="11" t="s">
        <v>39</v>
      </c>
      <c r="S256" s="158"/>
      <c r="T256" s="5" t="s">
        <v>40</v>
      </c>
      <c r="U256" s="10"/>
      <c r="V256" s="5"/>
      <c r="W256" s="5"/>
      <c r="X256" s="6"/>
      <c r="BB256" s="7" t="str">
        <v>Quarter 2</v>
      </c>
    </row>
    <row r="257" spans="1:54" ht="31.4" customHeight="1" x14ac:dyDescent="0.35">
      <c r="A257" s="210">
        <v>256</v>
      </c>
      <c r="B257" s="5" t="s">
        <v>55</v>
      </c>
      <c r="C257" s="5" t="s">
        <v>13</v>
      </c>
      <c r="D257" s="5" t="s">
        <v>408</v>
      </c>
      <c r="E257" s="149">
        <v>45852</v>
      </c>
      <c r="F257" s="149">
        <f t="shared" si="42"/>
        <v>45853</v>
      </c>
      <c r="G257" s="149">
        <f t="shared" si="43"/>
        <v>45866</v>
      </c>
      <c r="H257" s="149">
        <f t="shared" si="44"/>
        <v>45880</v>
      </c>
      <c r="I257" s="149" t="str">
        <f t="shared" si="41"/>
        <v>Jul</v>
      </c>
      <c r="J257" s="216" t="str">
        <f t="shared" ca="1" si="35"/>
        <v/>
      </c>
      <c r="K257" s="149" t="s">
        <v>43</v>
      </c>
      <c r="L257" s="149"/>
      <c r="M257" s="11">
        <v>45852</v>
      </c>
      <c r="N257" s="152">
        <f t="shared" si="36"/>
        <v>0</v>
      </c>
      <c r="O257" s="12" t="str">
        <f t="shared" si="37"/>
        <v>Yes</v>
      </c>
      <c r="P257" s="158"/>
      <c r="Q257" s="157"/>
      <c r="R257" s="11" t="s">
        <v>39</v>
      </c>
      <c r="S257" s="158"/>
      <c r="T257" s="5" t="s">
        <v>40</v>
      </c>
      <c r="U257" s="10"/>
      <c r="V257" s="5"/>
      <c r="W257" s="5" t="s">
        <v>46</v>
      </c>
      <c r="X257" s="6"/>
      <c r="BB257" s="7" t="str">
        <v>Quarter 2</v>
      </c>
    </row>
    <row r="258" spans="1:54" ht="31.4" customHeight="1" x14ac:dyDescent="0.35">
      <c r="A258" s="210">
        <v>257</v>
      </c>
      <c r="B258" s="5" t="s">
        <v>55</v>
      </c>
      <c r="C258" s="5" t="s">
        <v>13</v>
      </c>
      <c r="D258" s="5" t="s">
        <v>409</v>
      </c>
      <c r="E258" s="149">
        <v>45852</v>
      </c>
      <c r="F258" s="149">
        <f t="shared" si="42"/>
        <v>45853</v>
      </c>
      <c r="G258" s="149">
        <f t="shared" si="43"/>
        <v>45866</v>
      </c>
      <c r="H258" s="149">
        <f t="shared" si="44"/>
        <v>45880</v>
      </c>
      <c r="I258" s="149" t="str">
        <f t="shared" si="41"/>
        <v>Jul</v>
      </c>
      <c r="J258" s="216" t="str">
        <f t="shared" ref="J258:J321" ca="1" si="45">IF($E258="","",IF($M258="",$H258-TODAY(),""))</f>
        <v/>
      </c>
      <c r="K258" s="149" t="s">
        <v>4</v>
      </c>
      <c r="L258" s="149"/>
      <c r="M258" s="11">
        <v>45859</v>
      </c>
      <c r="N258" s="152">
        <f t="shared" ref="N258:N321" si="46">IF($M258="","",NETWORKDAYS($E258,$M258,$Z$33:$Z$47)-1)</f>
        <v>5</v>
      </c>
      <c r="O258" s="12" t="str">
        <f t="shared" si="37"/>
        <v>Yes</v>
      </c>
      <c r="P258" s="158"/>
      <c r="Q258" s="157"/>
      <c r="R258" s="11" t="s">
        <v>39</v>
      </c>
      <c r="S258" s="158"/>
      <c r="T258" s="5" t="s">
        <v>45</v>
      </c>
      <c r="U258" s="10"/>
      <c r="V258" s="5" t="s">
        <v>87</v>
      </c>
      <c r="W258" s="5"/>
      <c r="X258" s="6"/>
      <c r="BB258" s="7" t="str">
        <v>Quarter 2</v>
      </c>
    </row>
    <row r="259" spans="1:54" ht="31.4" customHeight="1" x14ac:dyDescent="0.35">
      <c r="A259" s="210">
        <v>258</v>
      </c>
      <c r="B259" s="5" t="s">
        <v>410</v>
      </c>
      <c r="C259" s="5" t="s">
        <v>9</v>
      </c>
      <c r="D259" s="5" t="s">
        <v>411</v>
      </c>
      <c r="E259" s="149">
        <v>45852</v>
      </c>
      <c r="F259" s="149">
        <f t="shared" si="42"/>
        <v>45853</v>
      </c>
      <c r="G259" s="149">
        <f t="shared" si="43"/>
        <v>45866</v>
      </c>
      <c r="H259" s="149">
        <f t="shared" si="44"/>
        <v>45880</v>
      </c>
      <c r="I259" s="149" t="str">
        <f t="shared" si="41"/>
        <v>Jul</v>
      </c>
      <c r="J259" s="216" t="str">
        <f t="shared" ca="1" si="45"/>
        <v/>
      </c>
      <c r="K259" s="149" t="s">
        <v>3</v>
      </c>
      <c r="L259" s="149"/>
      <c r="M259" s="11">
        <v>45856</v>
      </c>
      <c r="N259" s="152">
        <f t="shared" si="46"/>
        <v>4</v>
      </c>
      <c r="O259" s="12" t="str">
        <f t="shared" ref="O259:O322" si="47">IF(ISBLANK($M259),"",IF($N259&lt;21,"Yes","No"))</f>
        <v>Yes</v>
      </c>
      <c r="P259" s="158"/>
      <c r="Q259" s="157"/>
      <c r="R259" s="11" t="s">
        <v>39</v>
      </c>
      <c r="S259" s="158"/>
      <c r="T259" s="5" t="s">
        <v>40</v>
      </c>
      <c r="U259" s="10"/>
      <c r="V259" s="5"/>
      <c r="W259" s="5"/>
      <c r="X259" s="6"/>
      <c r="BB259" s="7" t="str">
        <v>Quarter 2</v>
      </c>
    </row>
    <row r="260" spans="1:54" ht="31.4" customHeight="1" x14ac:dyDescent="0.35">
      <c r="A260" s="210">
        <v>259</v>
      </c>
      <c r="B260" s="5" t="s">
        <v>6</v>
      </c>
      <c r="C260" s="5" t="s">
        <v>6</v>
      </c>
      <c r="D260" s="5" t="s">
        <v>412</v>
      </c>
      <c r="E260" s="149">
        <v>45852</v>
      </c>
      <c r="F260" s="149">
        <f t="shared" si="42"/>
        <v>45853</v>
      </c>
      <c r="G260" s="149">
        <f t="shared" si="43"/>
        <v>45866</v>
      </c>
      <c r="H260" s="149">
        <f t="shared" si="44"/>
        <v>45880</v>
      </c>
      <c r="I260" s="149" t="str">
        <f t="shared" si="41"/>
        <v>Jul</v>
      </c>
      <c r="J260" s="216" t="str">
        <f t="shared" ca="1" si="45"/>
        <v/>
      </c>
      <c r="K260" s="149" t="s">
        <v>7</v>
      </c>
      <c r="L260" s="149"/>
      <c r="M260" s="11">
        <v>45862</v>
      </c>
      <c r="N260" s="152">
        <f t="shared" si="46"/>
        <v>8</v>
      </c>
      <c r="O260" s="12" t="str">
        <f t="shared" si="47"/>
        <v>Yes</v>
      </c>
      <c r="P260" s="158"/>
      <c r="Q260" s="157"/>
      <c r="R260" s="11" t="s">
        <v>39</v>
      </c>
      <c r="S260" s="158"/>
      <c r="T260" s="5" t="s">
        <v>40</v>
      </c>
      <c r="U260" s="10"/>
      <c r="V260" s="5"/>
      <c r="W260" s="5"/>
      <c r="X260" s="6"/>
      <c r="BB260" s="7" t="str">
        <v>Quarter 2</v>
      </c>
    </row>
    <row r="261" spans="1:54" ht="31.4" customHeight="1" x14ac:dyDescent="0.35">
      <c r="A261" s="210">
        <v>260</v>
      </c>
      <c r="B261" s="5" t="s">
        <v>55</v>
      </c>
      <c r="C261" s="5" t="s">
        <v>13</v>
      </c>
      <c r="D261" s="5" t="s">
        <v>413</v>
      </c>
      <c r="E261" s="149">
        <v>45852</v>
      </c>
      <c r="F261" s="149">
        <f t="shared" si="42"/>
        <v>45853</v>
      </c>
      <c r="G261" s="149">
        <f t="shared" si="43"/>
        <v>45866</v>
      </c>
      <c r="H261" s="149">
        <f t="shared" si="44"/>
        <v>45880</v>
      </c>
      <c r="I261" s="149" t="str">
        <f t="shared" si="41"/>
        <v>Jul</v>
      </c>
      <c r="J261" s="216" t="str">
        <f t="shared" ca="1" si="45"/>
        <v/>
      </c>
      <c r="K261" s="149" t="s">
        <v>43</v>
      </c>
      <c r="L261" s="149"/>
      <c r="M261" s="11">
        <v>45930</v>
      </c>
      <c r="N261" s="152">
        <f t="shared" si="46"/>
        <v>55</v>
      </c>
      <c r="O261" s="12" t="str">
        <f t="shared" si="47"/>
        <v>No</v>
      </c>
      <c r="P261" s="158"/>
      <c r="Q261" s="157"/>
      <c r="R261" s="11" t="s">
        <v>39</v>
      </c>
      <c r="S261" s="158"/>
      <c r="T261" s="5" t="s">
        <v>62</v>
      </c>
      <c r="U261" s="10"/>
      <c r="V261" s="5"/>
      <c r="W261" s="5"/>
      <c r="X261" s="6"/>
      <c r="BB261" s="7" t="str">
        <v>Quarter 2</v>
      </c>
    </row>
    <row r="262" spans="1:54" ht="31.4" customHeight="1" x14ac:dyDescent="0.35">
      <c r="A262" s="210">
        <v>261</v>
      </c>
      <c r="B262" s="5" t="s">
        <v>414</v>
      </c>
      <c r="C262" s="5" t="s">
        <v>9</v>
      </c>
      <c r="D262" s="5" t="s">
        <v>1861</v>
      </c>
      <c r="E262" s="149">
        <v>45852</v>
      </c>
      <c r="F262" s="149">
        <f t="shared" si="42"/>
        <v>45853</v>
      </c>
      <c r="G262" s="149">
        <f t="shared" si="43"/>
        <v>45866</v>
      </c>
      <c r="H262" s="149">
        <f t="shared" si="44"/>
        <v>45880</v>
      </c>
      <c r="I262" s="149" t="str">
        <f t="shared" si="41"/>
        <v>Jul</v>
      </c>
      <c r="J262" s="216" t="str">
        <f t="shared" ca="1" si="45"/>
        <v/>
      </c>
      <c r="K262" s="149" t="s">
        <v>7</v>
      </c>
      <c r="L262" s="149"/>
      <c r="M262" s="11">
        <v>45874</v>
      </c>
      <c r="N262" s="152">
        <f t="shared" si="46"/>
        <v>16</v>
      </c>
      <c r="O262" s="12" t="str">
        <f t="shared" si="47"/>
        <v>Yes</v>
      </c>
      <c r="P262" s="158"/>
      <c r="Q262" s="157"/>
      <c r="R262" s="11" t="s">
        <v>39</v>
      </c>
      <c r="S262" s="158"/>
      <c r="T262" s="5" t="s">
        <v>40</v>
      </c>
      <c r="U262" s="10"/>
      <c r="V262" s="5"/>
      <c r="W262" s="5"/>
      <c r="X262" s="6"/>
      <c r="BB262" s="7" t="str">
        <v>Quarter 2</v>
      </c>
    </row>
    <row r="263" spans="1:54" ht="31.4" customHeight="1" x14ac:dyDescent="0.35">
      <c r="A263" s="210">
        <v>262</v>
      </c>
      <c r="B263" s="5" t="s">
        <v>55</v>
      </c>
      <c r="C263" s="5" t="s">
        <v>13</v>
      </c>
      <c r="D263" s="5" t="s">
        <v>1862</v>
      </c>
      <c r="E263" s="149">
        <v>45852</v>
      </c>
      <c r="F263" s="149">
        <f t="shared" si="42"/>
        <v>45853</v>
      </c>
      <c r="G263" s="149">
        <f t="shared" si="43"/>
        <v>45866</v>
      </c>
      <c r="H263" s="149">
        <f t="shared" si="44"/>
        <v>45880</v>
      </c>
      <c r="I263" s="149" t="str">
        <f t="shared" si="41"/>
        <v>Jul</v>
      </c>
      <c r="J263" s="216" t="str">
        <f t="shared" ca="1" si="45"/>
        <v/>
      </c>
      <c r="K263" s="149" t="s">
        <v>7</v>
      </c>
      <c r="L263" s="149"/>
      <c r="M263" s="11">
        <v>45867</v>
      </c>
      <c r="N263" s="152">
        <f t="shared" si="46"/>
        <v>11</v>
      </c>
      <c r="O263" s="12" t="str">
        <f t="shared" si="47"/>
        <v>Yes</v>
      </c>
      <c r="P263" s="158"/>
      <c r="Q263" s="157"/>
      <c r="R263" s="11" t="s">
        <v>39</v>
      </c>
      <c r="S263" s="158"/>
      <c r="T263" s="5" t="s">
        <v>40</v>
      </c>
      <c r="U263" s="10"/>
      <c r="V263" s="5" t="s">
        <v>54</v>
      </c>
      <c r="W263" s="5" t="s">
        <v>46</v>
      </c>
      <c r="X263" s="6"/>
      <c r="BB263" s="7" t="str">
        <v>Quarter 2</v>
      </c>
    </row>
    <row r="264" spans="1:54" ht="31.4" customHeight="1" x14ac:dyDescent="0.35">
      <c r="A264" s="210">
        <v>263</v>
      </c>
      <c r="B264" s="5" t="s">
        <v>415</v>
      </c>
      <c r="C264" s="5" t="s">
        <v>11</v>
      </c>
      <c r="D264" s="5" t="s">
        <v>416</v>
      </c>
      <c r="E264" s="149">
        <v>45852</v>
      </c>
      <c r="F264" s="149">
        <f t="shared" si="42"/>
        <v>45853</v>
      </c>
      <c r="G264" s="149">
        <f t="shared" si="43"/>
        <v>45866</v>
      </c>
      <c r="H264" s="149">
        <f t="shared" si="44"/>
        <v>45880</v>
      </c>
      <c r="I264" s="149" t="str">
        <f t="shared" si="41"/>
        <v>Jul</v>
      </c>
      <c r="J264" s="216" t="str">
        <f t="shared" ca="1" si="45"/>
        <v/>
      </c>
      <c r="K264" s="149" t="s">
        <v>7</v>
      </c>
      <c r="L264" s="149"/>
      <c r="M264" s="11">
        <v>45853</v>
      </c>
      <c r="N264" s="152">
        <f t="shared" si="46"/>
        <v>1</v>
      </c>
      <c r="O264" s="12" t="str">
        <f t="shared" si="47"/>
        <v>Yes</v>
      </c>
      <c r="P264" s="158"/>
      <c r="Q264" s="157"/>
      <c r="R264" s="11" t="s">
        <v>39</v>
      </c>
      <c r="S264" s="158"/>
      <c r="T264" s="5" t="s">
        <v>40</v>
      </c>
      <c r="U264" s="10"/>
      <c r="V264" s="5"/>
      <c r="W264" s="5"/>
      <c r="X264" s="6"/>
      <c r="BB264" s="7" t="str">
        <v>Quarter 2</v>
      </c>
    </row>
    <row r="265" spans="1:54" ht="31.4" customHeight="1" x14ac:dyDescent="0.35">
      <c r="A265" s="210">
        <v>264</v>
      </c>
      <c r="B265" s="5" t="s">
        <v>55</v>
      </c>
      <c r="C265" s="5" t="s">
        <v>13</v>
      </c>
      <c r="D265" s="5" t="s">
        <v>417</v>
      </c>
      <c r="E265" s="149">
        <v>45853</v>
      </c>
      <c r="F265" s="149">
        <f t="shared" si="42"/>
        <v>45854</v>
      </c>
      <c r="G265" s="149">
        <f t="shared" si="43"/>
        <v>45867</v>
      </c>
      <c r="H265" s="149">
        <f t="shared" si="44"/>
        <v>45881</v>
      </c>
      <c r="I265" s="149" t="str">
        <f t="shared" si="41"/>
        <v>Jul</v>
      </c>
      <c r="J265" s="216" t="str">
        <f t="shared" ca="1" si="45"/>
        <v/>
      </c>
      <c r="K265" s="149" t="s">
        <v>3</v>
      </c>
      <c r="L265" s="149"/>
      <c r="M265" s="11">
        <v>45862</v>
      </c>
      <c r="N265" s="152">
        <f t="shared" si="46"/>
        <v>7</v>
      </c>
      <c r="O265" s="12" t="str">
        <f t="shared" si="47"/>
        <v>Yes</v>
      </c>
      <c r="P265" s="158"/>
      <c r="Q265" s="157"/>
      <c r="R265" s="11" t="s">
        <v>39</v>
      </c>
      <c r="S265" s="158"/>
      <c r="T265" s="5" t="s">
        <v>40</v>
      </c>
      <c r="U265" s="10"/>
      <c r="V265" s="5"/>
      <c r="W265" s="5"/>
      <c r="X265" s="6"/>
      <c r="BB265" s="7" t="str">
        <v>Quarter 2</v>
      </c>
    </row>
    <row r="266" spans="1:54" ht="31.4" customHeight="1" x14ac:dyDescent="0.35">
      <c r="A266" s="210">
        <v>265</v>
      </c>
      <c r="B266" s="5" t="s">
        <v>418</v>
      </c>
      <c r="C266" s="5" t="s">
        <v>9</v>
      </c>
      <c r="D266" s="5" t="s">
        <v>419</v>
      </c>
      <c r="E266" s="149">
        <v>45853</v>
      </c>
      <c r="F266" s="149">
        <f t="shared" si="42"/>
        <v>45854</v>
      </c>
      <c r="G266" s="149">
        <f t="shared" si="43"/>
        <v>45867</v>
      </c>
      <c r="H266" s="149">
        <f t="shared" si="44"/>
        <v>45881</v>
      </c>
      <c r="I266" s="149" t="str">
        <f t="shared" si="41"/>
        <v>Jul</v>
      </c>
      <c r="J266" s="216" t="str">
        <f t="shared" ca="1" si="45"/>
        <v/>
      </c>
      <c r="K266" s="149" t="s">
        <v>3</v>
      </c>
      <c r="L266" s="149"/>
      <c r="M266" s="11">
        <v>45861</v>
      </c>
      <c r="N266" s="152">
        <f t="shared" si="46"/>
        <v>6</v>
      </c>
      <c r="O266" s="12" t="str">
        <f t="shared" si="47"/>
        <v>Yes</v>
      </c>
      <c r="P266" s="158"/>
      <c r="Q266" s="157"/>
      <c r="R266" s="11" t="s">
        <v>39</v>
      </c>
      <c r="S266" s="158"/>
      <c r="T266" s="5" t="s">
        <v>62</v>
      </c>
      <c r="U266" s="10"/>
      <c r="V266" s="5"/>
      <c r="W266" s="5"/>
      <c r="X266" s="6"/>
      <c r="BB266" s="7" t="str">
        <v>Quarter 2</v>
      </c>
    </row>
    <row r="267" spans="1:54" ht="31.4" customHeight="1" x14ac:dyDescent="0.35">
      <c r="A267" s="210">
        <v>266</v>
      </c>
      <c r="B267" s="5" t="s">
        <v>420</v>
      </c>
      <c r="C267" s="5" t="s">
        <v>16</v>
      </c>
      <c r="D267" s="5" t="s">
        <v>421</v>
      </c>
      <c r="E267" s="149">
        <v>45853</v>
      </c>
      <c r="F267" s="149">
        <f t="shared" si="42"/>
        <v>45854</v>
      </c>
      <c r="G267" s="149">
        <f t="shared" si="43"/>
        <v>45867</v>
      </c>
      <c r="H267" s="149">
        <f t="shared" si="44"/>
        <v>45881</v>
      </c>
      <c r="I267" s="149" t="str">
        <f t="shared" si="41"/>
        <v>Jul</v>
      </c>
      <c r="J267" s="216" t="str">
        <f t="shared" ca="1" si="45"/>
        <v/>
      </c>
      <c r="K267" s="149" t="s">
        <v>4</v>
      </c>
      <c r="L267" s="149"/>
      <c r="M267" s="11">
        <v>45870</v>
      </c>
      <c r="N267" s="152">
        <f t="shared" si="46"/>
        <v>13</v>
      </c>
      <c r="O267" s="12" t="str">
        <f t="shared" si="47"/>
        <v>Yes</v>
      </c>
      <c r="P267" s="158"/>
      <c r="Q267" s="157"/>
      <c r="R267" s="11" t="s">
        <v>39</v>
      </c>
      <c r="S267" s="158"/>
      <c r="T267" s="5" t="s">
        <v>40</v>
      </c>
      <c r="U267" s="10"/>
      <c r="V267" s="5"/>
      <c r="W267" s="5"/>
      <c r="X267" s="6"/>
      <c r="BB267" s="7" t="str">
        <v>Quarter 2</v>
      </c>
    </row>
    <row r="268" spans="1:54" ht="31.4" customHeight="1" x14ac:dyDescent="0.35">
      <c r="A268" s="210">
        <v>267</v>
      </c>
      <c r="B268" s="5" t="s">
        <v>6</v>
      </c>
      <c r="C268" s="5" t="s">
        <v>6</v>
      </c>
      <c r="D268" s="5" t="s">
        <v>422</v>
      </c>
      <c r="E268" s="149">
        <v>45854</v>
      </c>
      <c r="F268" s="149">
        <f t="shared" si="42"/>
        <v>45855</v>
      </c>
      <c r="G268" s="149">
        <f t="shared" si="43"/>
        <v>45868</v>
      </c>
      <c r="H268" s="149">
        <f t="shared" si="44"/>
        <v>45882</v>
      </c>
      <c r="I268" s="149" t="str">
        <f t="shared" si="41"/>
        <v>Jul</v>
      </c>
      <c r="J268" s="216" t="str">
        <f t="shared" ca="1" si="45"/>
        <v/>
      </c>
      <c r="K268" s="149" t="s">
        <v>4</v>
      </c>
      <c r="L268" s="149"/>
      <c r="M268" s="11">
        <v>45882</v>
      </c>
      <c r="N268" s="152">
        <f t="shared" si="46"/>
        <v>20</v>
      </c>
      <c r="O268" s="12" t="str">
        <f t="shared" si="47"/>
        <v>Yes</v>
      </c>
      <c r="P268" s="158"/>
      <c r="Q268" s="157"/>
      <c r="R268" s="11" t="s">
        <v>39</v>
      </c>
      <c r="S268" s="158"/>
      <c r="T268" s="5" t="s">
        <v>51</v>
      </c>
      <c r="U268" s="10"/>
      <c r="V268" s="5" t="s">
        <v>87</v>
      </c>
      <c r="W268" s="5"/>
      <c r="X268" s="6"/>
      <c r="BB268" s="7" t="str">
        <v>Quarter 2</v>
      </c>
    </row>
    <row r="269" spans="1:54" ht="31.4" customHeight="1" x14ac:dyDescent="0.35">
      <c r="A269" s="210">
        <v>268</v>
      </c>
      <c r="B269" s="5" t="s">
        <v>6</v>
      </c>
      <c r="C269" s="5" t="s">
        <v>6</v>
      </c>
      <c r="D269" s="5" t="s">
        <v>422</v>
      </c>
      <c r="E269" s="149">
        <v>45854</v>
      </c>
      <c r="F269" s="149">
        <f t="shared" si="42"/>
        <v>45855</v>
      </c>
      <c r="G269" s="149">
        <f t="shared" si="43"/>
        <v>45868</v>
      </c>
      <c r="H269" s="149">
        <f t="shared" si="44"/>
        <v>45882</v>
      </c>
      <c r="I269" s="149" t="str">
        <f t="shared" si="41"/>
        <v>Jul</v>
      </c>
      <c r="J269" s="216" t="str">
        <f t="shared" ca="1" si="45"/>
        <v/>
      </c>
      <c r="K269" s="149" t="s">
        <v>4</v>
      </c>
      <c r="L269" s="149"/>
      <c r="M269" s="11">
        <v>45882</v>
      </c>
      <c r="N269" s="152">
        <f t="shared" si="46"/>
        <v>20</v>
      </c>
      <c r="O269" s="12" t="str">
        <f t="shared" si="47"/>
        <v>Yes</v>
      </c>
      <c r="P269" s="158"/>
      <c r="Q269" s="157"/>
      <c r="R269" s="11" t="s">
        <v>39</v>
      </c>
      <c r="S269" s="158"/>
      <c r="T269" s="5" t="s">
        <v>51</v>
      </c>
      <c r="U269" s="10"/>
      <c r="V269" s="5" t="s">
        <v>87</v>
      </c>
      <c r="W269" s="5"/>
      <c r="X269" s="6"/>
      <c r="BB269" s="7" t="str">
        <v>Quarter 2</v>
      </c>
    </row>
    <row r="270" spans="1:54" ht="31.4" customHeight="1" x14ac:dyDescent="0.35">
      <c r="A270" s="210">
        <v>269</v>
      </c>
      <c r="B270" s="5" t="s">
        <v>6</v>
      </c>
      <c r="C270" s="5" t="s">
        <v>6</v>
      </c>
      <c r="D270" s="5" t="s">
        <v>422</v>
      </c>
      <c r="E270" s="149">
        <v>45854</v>
      </c>
      <c r="F270" s="149">
        <f t="shared" si="42"/>
        <v>45855</v>
      </c>
      <c r="G270" s="149">
        <f t="shared" si="43"/>
        <v>45868</v>
      </c>
      <c r="H270" s="149">
        <f t="shared" si="44"/>
        <v>45882</v>
      </c>
      <c r="I270" s="149" t="str">
        <f t="shared" si="41"/>
        <v>Jul</v>
      </c>
      <c r="J270" s="216" t="str">
        <f t="shared" ca="1" si="45"/>
        <v/>
      </c>
      <c r="K270" s="149" t="s">
        <v>4</v>
      </c>
      <c r="L270" s="149"/>
      <c r="M270" s="11">
        <v>45882</v>
      </c>
      <c r="N270" s="152">
        <f t="shared" si="46"/>
        <v>20</v>
      </c>
      <c r="O270" s="12" t="str">
        <f t="shared" si="47"/>
        <v>Yes</v>
      </c>
      <c r="P270" s="158"/>
      <c r="Q270" s="157"/>
      <c r="R270" s="11" t="s">
        <v>39</v>
      </c>
      <c r="S270" s="158"/>
      <c r="T270" s="5" t="s">
        <v>51</v>
      </c>
      <c r="U270" s="10"/>
      <c r="V270" s="5" t="s">
        <v>87</v>
      </c>
      <c r="W270" s="5"/>
      <c r="X270" s="6"/>
      <c r="BB270" s="7" t="str">
        <v>Quarter 2</v>
      </c>
    </row>
    <row r="271" spans="1:54" ht="31.4" customHeight="1" x14ac:dyDescent="0.35">
      <c r="A271" s="210">
        <v>270</v>
      </c>
      <c r="B271" s="5" t="s">
        <v>6</v>
      </c>
      <c r="C271" s="5" t="s">
        <v>6</v>
      </c>
      <c r="D271" s="5" t="s">
        <v>422</v>
      </c>
      <c r="E271" s="149">
        <v>45854</v>
      </c>
      <c r="F271" s="149">
        <f t="shared" si="42"/>
        <v>45855</v>
      </c>
      <c r="G271" s="149">
        <f t="shared" si="43"/>
        <v>45868</v>
      </c>
      <c r="H271" s="149">
        <f t="shared" si="44"/>
        <v>45882</v>
      </c>
      <c r="I271" s="149" t="str">
        <f t="shared" si="41"/>
        <v>Jul</v>
      </c>
      <c r="J271" s="216" t="str">
        <f t="shared" ca="1" si="45"/>
        <v/>
      </c>
      <c r="K271" s="149" t="s">
        <v>4</v>
      </c>
      <c r="L271" s="149"/>
      <c r="M271" s="11">
        <v>45882</v>
      </c>
      <c r="N271" s="152">
        <f t="shared" si="46"/>
        <v>20</v>
      </c>
      <c r="O271" s="12" t="str">
        <f t="shared" si="47"/>
        <v>Yes</v>
      </c>
      <c r="P271" s="158"/>
      <c r="Q271" s="157"/>
      <c r="R271" s="11" t="s">
        <v>39</v>
      </c>
      <c r="S271" s="158"/>
      <c r="T271" s="5" t="s">
        <v>51</v>
      </c>
      <c r="U271" s="10"/>
      <c r="V271" s="5" t="s">
        <v>87</v>
      </c>
      <c r="W271" s="5"/>
      <c r="X271" s="6"/>
      <c r="BB271" s="7" t="str">
        <v>Quarter 2</v>
      </c>
    </row>
    <row r="272" spans="1:54" ht="31.4" customHeight="1" x14ac:dyDescent="0.35">
      <c r="A272" s="210">
        <v>271</v>
      </c>
      <c r="B272" s="5" t="s">
        <v>6</v>
      </c>
      <c r="C272" s="5" t="s">
        <v>6</v>
      </c>
      <c r="D272" s="5" t="s">
        <v>422</v>
      </c>
      <c r="E272" s="149">
        <v>45854</v>
      </c>
      <c r="F272" s="149">
        <f t="shared" si="42"/>
        <v>45855</v>
      </c>
      <c r="G272" s="149">
        <f t="shared" si="43"/>
        <v>45868</v>
      </c>
      <c r="H272" s="149">
        <f t="shared" si="44"/>
        <v>45882</v>
      </c>
      <c r="I272" s="149" t="str">
        <f t="shared" si="41"/>
        <v>Jul</v>
      </c>
      <c r="J272" s="216" t="str">
        <f t="shared" ca="1" si="45"/>
        <v/>
      </c>
      <c r="K272" s="149" t="s">
        <v>4</v>
      </c>
      <c r="L272" s="149"/>
      <c r="M272" s="11">
        <v>45882</v>
      </c>
      <c r="N272" s="152">
        <f t="shared" si="46"/>
        <v>20</v>
      </c>
      <c r="O272" s="12" t="str">
        <f t="shared" si="47"/>
        <v>Yes</v>
      </c>
      <c r="P272" s="158"/>
      <c r="Q272" s="157"/>
      <c r="R272" s="11" t="s">
        <v>39</v>
      </c>
      <c r="S272" s="158"/>
      <c r="T272" s="5" t="s">
        <v>51</v>
      </c>
      <c r="U272" s="10"/>
      <c r="V272" s="5" t="s">
        <v>87</v>
      </c>
      <c r="W272" s="5"/>
      <c r="X272" s="6"/>
      <c r="BB272" s="7" t="str">
        <v>Quarter 2</v>
      </c>
    </row>
    <row r="273" spans="1:54" ht="31.4" customHeight="1" x14ac:dyDescent="0.35">
      <c r="A273" s="210">
        <v>272</v>
      </c>
      <c r="B273" s="5" t="s">
        <v>6</v>
      </c>
      <c r="C273" s="5" t="s">
        <v>6</v>
      </c>
      <c r="D273" s="5" t="s">
        <v>422</v>
      </c>
      <c r="E273" s="149">
        <v>45854</v>
      </c>
      <c r="F273" s="149">
        <f t="shared" si="42"/>
        <v>45855</v>
      </c>
      <c r="G273" s="149">
        <f t="shared" si="43"/>
        <v>45868</v>
      </c>
      <c r="H273" s="149">
        <f t="shared" si="44"/>
        <v>45882</v>
      </c>
      <c r="I273" s="149" t="str">
        <f t="shared" si="41"/>
        <v>Jul</v>
      </c>
      <c r="J273" s="216" t="str">
        <f t="shared" ca="1" si="45"/>
        <v/>
      </c>
      <c r="K273" s="149" t="s">
        <v>4</v>
      </c>
      <c r="L273" s="149"/>
      <c r="M273" s="11">
        <v>45882</v>
      </c>
      <c r="N273" s="152">
        <f t="shared" si="46"/>
        <v>20</v>
      </c>
      <c r="O273" s="12" t="str">
        <f t="shared" si="47"/>
        <v>Yes</v>
      </c>
      <c r="P273" s="158"/>
      <c r="Q273" s="157"/>
      <c r="R273" s="11" t="s">
        <v>39</v>
      </c>
      <c r="S273" s="158"/>
      <c r="T273" s="5" t="s">
        <v>51</v>
      </c>
      <c r="U273" s="10"/>
      <c r="V273" s="5" t="s">
        <v>87</v>
      </c>
      <c r="W273" s="5"/>
      <c r="X273" s="6"/>
      <c r="BB273" s="7" t="str">
        <v>Quarter 2</v>
      </c>
    </row>
    <row r="274" spans="1:54" ht="31.4" customHeight="1" x14ac:dyDescent="0.35">
      <c r="A274" s="210">
        <v>273</v>
      </c>
      <c r="B274" s="5" t="s">
        <v>6</v>
      </c>
      <c r="C274" s="5" t="s">
        <v>6</v>
      </c>
      <c r="D274" s="5" t="s">
        <v>422</v>
      </c>
      <c r="E274" s="149">
        <v>45854</v>
      </c>
      <c r="F274" s="149">
        <f t="shared" si="42"/>
        <v>45855</v>
      </c>
      <c r="G274" s="149">
        <f t="shared" si="43"/>
        <v>45868</v>
      </c>
      <c r="H274" s="149">
        <f t="shared" si="44"/>
        <v>45882</v>
      </c>
      <c r="I274" s="149" t="str">
        <f t="shared" si="41"/>
        <v>Jul</v>
      </c>
      <c r="J274" s="216" t="str">
        <f t="shared" ca="1" si="45"/>
        <v/>
      </c>
      <c r="K274" s="149" t="s">
        <v>4</v>
      </c>
      <c r="L274" s="149"/>
      <c r="M274" s="11">
        <v>45882</v>
      </c>
      <c r="N274" s="152">
        <f t="shared" si="46"/>
        <v>20</v>
      </c>
      <c r="O274" s="12" t="str">
        <f t="shared" si="47"/>
        <v>Yes</v>
      </c>
      <c r="P274" s="158"/>
      <c r="Q274" s="157"/>
      <c r="R274" s="11" t="s">
        <v>39</v>
      </c>
      <c r="S274" s="158"/>
      <c r="T274" s="5" t="s">
        <v>51</v>
      </c>
      <c r="U274" s="10"/>
      <c r="V274" s="5" t="s">
        <v>87</v>
      </c>
      <c r="W274" s="5"/>
      <c r="X274" s="6"/>
      <c r="BB274" s="7" t="str">
        <v>Quarter 2</v>
      </c>
    </row>
    <row r="275" spans="1:54" ht="31.4" customHeight="1" x14ac:dyDescent="0.35">
      <c r="A275" s="210">
        <v>274</v>
      </c>
      <c r="B275" s="5" t="s">
        <v>6</v>
      </c>
      <c r="C275" s="5" t="s">
        <v>6</v>
      </c>
      <c r="D275" s="5" t="s">
        <v>422</v>
      </c>
      <c r="E275" s="149">
        <v>45854</v>
      </c>
      <c r="F275" s="149">
        <f t="shared" si="42"/>
        <v>45855</v>
      </c>
      <c r="G275" s="149">
        <f t="shared" si="43"/>
        <v>45868</v>
      </c>
      <c r="H275" s="149">
        <f t="shared" si="44"/>
        <v>45882</v>
      </c>
      <c r="I275" s="149" t="str">
        <f t="shared" si="41"/>
        <v>Jul</v>
      </c>
      <c r="J275" s="216" t="str">
        <f t="shared" ca="1" si="45"/>
        <v/>
      </c>
      <c r="K275" s="149" t="s">
        <v>4</v>
      </c>
      <c r="L275" s="149"/>
      <c r="M275" s="11">
        <v>45882</v>
      </c>
      <c r="N275" s="152">
        <f t="shared" si="46"/>
        <v>20</v>
      </c>
      <c r="O275" s="12" t="str">
        <f t="shared" si="47"/>
        <v>Yes</v>
      </c>
      <c r="P275" s="158"/>
      <c r="Q275" s="157"/>
      <c r="R275" s="11" t="s">
        <v>39</v>
      </c>
      <c r="S275" s="158"/>
      <c r="T275" s="5" t="s">
        <v>51</v>
      </c>
      <c r="U275" s="10"/>
      <c r="V275" s="5" t="s">
        <v>87</v>
      </c>
      <c r="W275" s="5"/>
      <c r="X275" s="6"/>
      <c r="BB275" s="7" t="str">
        <v>Quarter 2</v>
      </c>
    </row>
    <row r="276" spans="1:54" ht="31.4" customHeight="1" x14ac:dyDescent="0.35">
      <c r="A276" s="210">
        <v>275</v>
      </c>
      <c r="B276" s="5" t="s">
        <v>6</v>
      </c>
      <c r="C276" s="5" t="s">
        <v>6</v>
      </c>
      <c r="D276" s="5" t="s">
        <v>422</v>
      </c>
      <c r="E276" s="149">
        <v>45854</v>
      </c>
      <c r="F276" s="149">
        <f t="shared" si="42"/>
        <v>45855</v>
      </c>
      <c r="G276" s="149">
        <f t="shared" si="43"/>
        <v>45868</v>
      </c>
      <c r="H276" s="149">
        <f t="shared" si="44"/>
        <v>45882</v>
      </c>
      <c r="I276" s="149" t="str">
        <f>IF(ISBLANK($E276),"",TEXT($E276,"mmm"))</f>
        <v>Jul</v>
      </c>
      <c r="J276" s="216" t="str">
        <f t="shared" ca="1" si="45"/>
        <v/>
      </c>
      <c r="K276" s="149" t="s">
        <v>4</v>
      </c>
      <c r="L276" s="149"/>
      <c r="M276" s="11">
        <v>45882</v>
      </c>
      <c r="N276" s="152">
        <f t="shared" si="46"/>
        <v>20</v>
      </c>
      <c r="O276" s="12" t="str">
        <f t="shared" si="47"/>
        <v>Yes</v>
      </c>
      <c r="P276" s="158"/>
      <c r="Q276" s="157"/>
      <c r="R276" s="11" t="s">
        <v>39</v>
      </c>
      <c r="S276" s="158"/>
      <c r="T276" s="5" t="s">
        <v>51</v>
      </c>
      <c r="U276" s="10"/>
      <c r="V276" s="5" t="s">
        <v>87</v>
      </c>
      <c r="W276" s="5"/>
      <c r="X276" s="6"/>
      <c r="BB276" s="7" t="str">
        <v>Quarter 2</v>
      </c>
    </row>
    <row r="277" spans="1:54" ht="30.65" customHeight="1" x14ac:dyDescent="0.35">
      <c r="A277" s="210">
        <v>276</v>
      </c>
      <c r="B277" s="5" t="s">
        <v>6</v>
      </c>
      <c r="C277" s="5" t="s">
        <v>6</v>
      </c>
      <c r="D277" s="5" t="s">
        <v>423</v>
      </c>
      <c r="E277" s="149">
        <v>45854</v>
      </c>
      <c r="F277" s="149">
        <f t="shared" si="42"/>
        <v>45855</v>
      </c>
      <c r="G277" s="149">
        <f t="shared" si="43"/>
        <v>45868</v>
      </c>
      <c r="H277" s="149">
        <f t="shared" si="44"/>
        <v>45882</v>
      </c>
      <c r="I277" s="149" t="str">
        <f t="shared" si="41"/>
        <v>Jul</v>
      </c>
      <c r="J277" s="216" t="str">
        <f t="shared" ca="1" si="45"/>
        <v/>
      </c>
      <c r="K277" s="149" t="s">
        <v>4</v>
      </c>
      <c r="L277" s="149"/>
      <c r="M277" s="11">
        <v>45882</v>
      </c>
      <c r="N277" s="152">
        <f t="shared" si="46"/>
        <v>20</v>
      </c>
      <c r="O277" s="12" t="str">
        <f t="shared" si="47"/>
        <v>Yes</v>
      </c>
      <c r="P277" s="158"/>
      <c r="Q277" s="157"/>
      <c r="R277" s="11" t="s">
        <v>39</v>
      </c>
      <c r="S277" s="158"/>
      <c r="T277" s="5" t="s">
        <v>45</v>
      </c>
      <c r="U277" s="10"/>
      <c r="V277" s="5" t="s">
        <v>87</v>
      </c>
      <c r="W277" s="5" t="s">
        <v>424</v>
      </c>
      <c r="X277" s="6"/>
      <c r="BB277" s="7" t="str">
        <v>Quarter 2</v>
      </c>
    </row>
    <row r="278" spans="1:54" ht="31.4" customHeight="1" x14ac:dyDescent="0.35">
      <c r="A278" s="210">
        <v>277</v>
      </c>
      <c r="B278" s="5" t="s">
        <v>6</v>
      </c>
      <c r="C278" s="5" t="s">
        <v>6</v>
      </c>
      <c r="D278" s="5" t="s">
        <v>1738</v>
      </c>
      <c r="E278" s="149">
        <v>45854</v>
      </c>
      <c r="F278" s="149">
        <f t="shared" si="42"/>
        <v>45855</v>
      </c>
      <c r="G278" s="149">
        <f t="shared" si="43"/>
        <v>45868</v>
      </c>
      <c r="H278" s="149">
        <f t="shared" si="44"/>
        <v>45882</v>
      </c>
      <c r="I278" s="149" t="str">
        <f t="shared" si="41"/>
        <v>Jul</v>
      </c>
      <c r="J278" s="216" t="str">
        <f t="shared" ca="1" si="45"/>
        <v/>
      </c>
      <c r="K278" s="149" t="s">
        <v>4</v>
      </c>
      <c r="L278" s="149"/>
      <c r="M278" s="11">
        <v>45882</v>
      </c>
      <c r="N278" s="152">
        <f t="shared" si="46"/>
        <v>20</v>
      </c>
      <c r="O278" s="12" t="str">
        <f t="shared" si="47"/>
        <v>Yes</v>
      </c>
      <c r="P278" s="158"/>
      <c r="Q278" s="157"/>
      <c r="R278" s="11" t="s">
        <v>39</v>
      </c>
      <c r="S278" s="158"/>
      <c r="T278" s="5" t="s">
        <v>45</v>
      </c>
      <c r="U278" s="10"/>
      <c r="V278" s="5" t="s">
        <v>87</v>
      </c>
      <c r="W278" s="5"/>
      <c r="X278" s="6"/>
      <c r="BB278" s="7" t="str">
        <v>Quarter 2</v>
      </c>
    </row>
    <row r="279" spans="1:54" ht="31.4" customHeight="1" x14ac:dyDescent="0.35">
      <c r="A279" s="210">
        <v>278</v>
      </c>
      <c r="B279" s="5" t="s">
        <v>6</v>
      </c>
      <c r="C279" s="5" t="s">
        <v>6</v>
      </c>
      <c r="D279" s="5" t="s">
        <v>422</v>
      </c>
      <c r="E279" s="149">
        <v>45854</v>
      </c>
      <c r="F279" s="149">
        <f t="shared" si="42"/>
        <v>45855</v>
      </c>
      <c r="G279" s="149">
        <f t="shared" si="43"/>
        <v>45868</v>
      </c>
      <c r="H279" s="149">
        <f t="shared" si="44"/>
        <v>45882</v>
      </c>
      <c r="I279" s="149" t="str">
        <f t="shared" si="41"/>
        <v>Jul</v>
      </c>
      <c r="J279" s="216" t="str">
        <f t="shared" ca="1" si="45"/>
        <v/>
      </c>
      <c r="K279" s="149" t="s">
        <v>4</v>
      </c>
      <c r="L279" s="149"/>
      <c r="M279" s="11">
        <v>45882</v>
      </c>
      <c r="N279" s="152">
        <f t="shared" si="46"/>
        <v>20</v>
      </c>
      <c r="O279" s="12" t="str">
        <f t="shared" si="47"/>
        <v>Yes</v>
      </c>
      <c r="P279" s="158"/>
      <c r="Q279" s="157"/>
      <c r="R279" s="11" t="s">
        <v>39</v>
      </c>
      <c r="S279" s="158"/>
      <c r="T279" s="5" t="s">
        <v>51</v>
      </c>
      <c r="U279" s="10"/>
      <c r="V279" s="5" t="s">
        <v>87</v>
      </c>
      <c r="W279" s="5"/>
      <c r="X279" s="6"/>
      <c r="BB279" s="7" t="str">
        <v>Quarter 2</v>
      </c>
    </row>
    <row r="280" spans="1:54" ht="31" customHeight="1" x14ac:dyDescent="0.35">
      <c r="A280" s="210">
        <v>279</v>
      </c>
      <c r="B280" s="5" t="s">
        <v>6</v>
      </c>
      <c r="C280" s="5" t="s">
        <v>6</v>
      </c>
      <c r="D280" s="5" t="s">
        <v>423</v>
      </c>
      <c r="E280" s="149">
        <v>45854</v>
      </c>
      <c r="F280" s="149">
        <f t="shared" si="42"/>
        <v>45855</v>
      </c>
      <c r="G280" s="149">
        <f t="shared" si="43"/>
        <v>45868</v>
      </c>
      <c r="H280" s="149">
        <f t="shared" si="44"/>
        <v>45882</v>
      </c>
      <c r="I280" s="149" t="str">
        <f t="shared" si="41"/>
        <v>Jul</v>
      </c>
      <c r="J280" s="216" t="str">
        <f t="shared" ca="1" si="45"/>
        <v/>
      </c>
      <c r="K280" s="149" t="s">
        <v>4</v>
      </c>
      <c r="L280" s="149"/>
      <c r="M280" s="11">
        <v>45882</v>
      </c>
      <c r="N280" s="152">
        <f t="shared" si="46"/>
        <v>20</v>
      </c>
      <c r="O280" s="12" t="str">
        <f t="shared" si="47"/>
        <v>Yes</v>
      </c>
      <c r="P280" s="158"/>
      <c r="Q280" s="157"/>
      <c r="R280" s="11" t="s">
        <v>39</v>
      </c>
      <c r="S280" s="158"/>
      <c r="T280" s="5" t="s">
        <v>45</v>
      </c>
      <c r="U280" s="10"/>
      <c r="V280" s="5" t="s">
        <v>87</v>
      </c>
      <c r="W280" s="5"/>
      <c r="X280" s="6"/>
      <c r="BB280" s="7" t="str">
        <v>Quarter 2</v>
      </c>
    </row>
    <row r="281" spans="1:54" ht="31.4" customHeight="1" x14ac:dyDescent="0.35">
      <c r="A281" s="210">
        <v>280</v>
      </c>
      <c r="B281" s="5" t="s">
        <v>6</v>
      </c>
      <c r="C281" s="5" t="s">
        <v>6</v>
      </c>
      <c r="D281" s="5" t="s">
        <v>425</v>
      </c>
      <c r="E281" s="149">
        <v>45854</v>
      </c>
      <c r="F281" s="149">
        <f t="shared" si="42"/>
        <v>45855</v>
      </c>
      <c r="G281" s="149">
        <f t="shared" si="43"/>
        <v>45868</v>
      </c>
      <c r="H281" s="149">
        <f t="shared" si="44"/>
        <v>45882</v>
      </c>
      <c r="I281" s="149" t="str">
        <f t="shared" si="41"/>
        <v>Jul</v>
      </c>
      <c r="J281" s="216" t="str">
        <f t="shared" ca="1" si="45"/>
        <v/>
      </c>
      <c r="K281" s="149" t="s">
        <v>4</v>
      </c>
      <c r="L281" s="149"/>
      <c r="M281" s="11">
        <v>45882</v>
      </c>
      <c r="N281" s="152">
        <f t="shared" si="46"/>
        <v>20</v>
      </c>
      <c r="O281" s="12" t="str">
        <f t="shared" si="47"/>
        <v>Yes</v>
      </c>
      <c r="P281" s="158"/>
      <c r="Q281" s="157"/>
      <c r="R281" s="11" t="s">
        <v>39</v>
      </c>
      <c r="S281" s="158"/>
      <c r="T281" s="5" t="s">
        <v>51</v>
      </c>
      <c r="U281" s="10"/>
      <c r="V281" s="5" t="s">
        <v>87</v>
      </c>
      <c r="W281" s="5"/>
      <c r="X281" s="6"/>
      <c r="BB281" s="7" t="str">
        <v>Quarter 2</v>
      </c>
    </row>
    <row r="282" spans="1:54" ht="31.4" customHeight="1" x14ac:dyDescent="0.35">
      <c r="A282" s="210">
        <v>281</v>
      </c>
      <c r="B282" s="5" t="s">
        <v>6</v>
      </c>
      <c r="C282" s="5" t="s">
        <v>6</v>
      </c>
      <c r="D282" s="5" t="s">
        <v>425</v>
      </c>
      <c r="E282" s="149">
        <v>45855</v>
      </c>
      <c r="F282" s="149">
        <f t="shared" si="42"/>
        <v>45856</v>
      </c>
      <c r="G282" s="149">
        <f t="shared" si="43"/>
        <v>45869</v>
      </c>
      <c r="H282" s="149">
        <f t="shared" si="44"/>
        <v>45883</v>
      </c>
      <c r="I282" s="149" t="str">
        <f t="shared" si="41"/>
        <v>Jul</v>
      </c>
      <c r="J282" s="216" t="str">
        <f t="shared" ca="1" si="45"/>
        <v/>
      </c>
      <c r="K282" s="149" t="s">
        <v>4</v>
      </c>
      <c r="L282" s="149"/>
      <c r="M282" s="11">
        <v>45882</v>
      </c>
      <c r="N282" s="152">
        <f t="shared" si="46"/>
        <v>19</v>
      </c>
      <c r="O282" s="12" t="str">
        <f t="shared" si="47"/>
        <v>Yes</v>
      </c>
      <c r="P282" s="158"/>
      <c r="Q282" s="157"/>
      <c r="R282" s="11" t="s">
        <v>39</v>
      </c>
      <c r="S282" s="158"/>
      <c r="T282" s="5" t="s">
        <v>51</v>
      </c>
      <c r="U282" s="10"/>
      <c r="V282" s="5" t="s">
        <v>87</v>
      </c>
      <c r="W282" s="5"/>
      <c r="X282" s="6"/>
      <c r="BB282" s="7" t="str">
        <v>Quarter 2</v>
      </c>
    </row>
    <row r="283" spans="1:54" ht="31.4" customHeight="1" x14ac:dyDescent="0.35">
      <c r="A283" s="210">
        <v>282</v>
      </c>
      <c r="B283" s="5" t="s">
        <v>6</v>
      </c>
      <c r="C283" s="5" t="s">
        <v>6</v>
      </c>
      <c r="D283" s="5" t="s">
        <v>425</v>
      </c>
      <c r="E283" s="149">
        <v>45855</v>
      </c>
      <c r="F283" s="149">
        <f t="shared" ref="F283:F314" si="48">IF($E283="","",WORKDAY($E283,1,$Z$33:$Z$47))</f>
        <v>45856</v>
      </c>
      <c r="G283" s="149">
        <f t="shared" ref="G283:G314" si="49">IF($E283="","",WORKDAY($E283,10,$Z$33:$Z$47))</f>
        <v>45869</v>
      </c>
      <c r="H283" s="149">
        <f t="shared" ref="H283:H314" si="50">IF($E283="","",WORKDAY($E283,20,$Z$33:$Z$47))</f>
        <v>45883</v>
      </c>
      <c r="I283" s="149" t="str">
        <f t="shared" si="41"/>
        <v>Jul</v>
      </c>
      <c r="J283" s="216" t="str">
        <f t="shared" ca="1" si="45"/>
        <v/>
      </c>
      <c r="K283" s="149" t="s">
        <v>4</v>
      </c>
      <c r="L283" s="149"/>
      <c r="M283" s="11">
        <v>45882</v>
      </c>
      <c r="N283" s="152">
        <f t="shared" si="46"/>
        <v>19</v>
      </c>
      <c r="O283" s="12" t="str">
        <f t="shared" si="47"/>
        <v>Yes</v>
      </c>
      <c r="P283" s="158"/>
      <c r="Q283" s="157"/>
      <c r="R283" s="11" t="s">
        <v>39</v>
      </c>
      <c r="S283" s="158"/>
      <c r="T283" s="5" t="s">
        <v>51</v>
      </c>
      <c r="U283" s="10"/>
      <c r="V283" s="5" t="s">
        <v>87</v>
      </c>
      <c r="W283" s="5"/>
      <c r="X283" s="6"/>
      <c r="BB283" s="7" t="str">
        <v>Quarter 2</v>
      </c>
    </row>
    <row r="284" spans="1:54" ht="31.4" customHeight="1" x14ac:dyDescent="0.35">
      <c r="A284" s="210">
        <v>283</v>
      </c>
      <c r="B284" s="5" t="s">
        <v>55</v>
      </c>
      <c r="C284" s="5" t="s">
        <v>6</v>
      </c>
      <c r="D284" s="5" t="s">
        <v>425</v>
      </c>
      <c r="E284" s="149">
        <v>45855</v>
      </c>
      <c r="F284" s="149">
        <f t="shared" si="48"/>
        <v>45856</v>
      </c>
      <c r="G284" s="149">
        <f t="shared" si="49"/>
        <v>45869</v>
      </c>
      <c r="H284" s="149">
        <f t="shared" si="50"/>
        <v>45883</v>
      </c>
      <c r="I284" s="149" t="str">
        <f t="shared" si="41"/>
        <v>Jul</v>
      </c>
      <c r="J284" s="216" t="str">
        <f t="shared" ca="1" si="45"/>
        <v/>
      </c>
      <c r="K284" s="149" t="s">
        <v>4</v>
      </c>
      <c r="L284" s="149"/>
      <c r="M284" s="11">
        <v>45882</v>
      </c>
      <c r="N284" s="152">
        <f t="shared" si="46"/>
        <v>19</v>
      </c>
      <c r="O284" s="12" t="str">
        <f t="shared" si="47"/>
        <v>Yes</v>
      </c>
      <c r="P284" s="158"/>
      <c r="Q284" s="157"/>
      <c r="R284" s="11" t="s">
        <v>39</v>
      </c>
      <c r="S284" s="158"/>
      <c r="T284" s="5" t="s">
        <v>51</v>
      </c>
      <c r="U284" s="10"/>
      <c r="V284" s="5" t="s">
        <v>87</v>
      </c>
      <c r="W284" s="5"/>
      <c r="X284" s="6"/>
      <c r="BB284" s="7" t="str">
        <v>Quarter 2</v>
      </c>
    </row>
    <row r="285" spans="1:54" ht="31.4" customHeight="1" x14ac:dyDescent="0.35">
      <c r="A285" s="210">
        <v>284</v>
      </c>
      <c r="B285" s="5" t="s">
        <v>426</v>
      </c>
      <c r="C285" s="5" t="s">
        <v>5</v>
      </c>
      <c r="D285" s="5" t="s">
        <v>427</v>
      </c>
      <c r="E285" s="149">
        <v>45854</v>
      </c>
      <c r="F285" s="149">
        <f t="shared" si="48"/>
        <v>45855</v>
      </c>
      <c r="G285" s="149">
        <f t="shared" si="49"/>
        <v>45868</v>
      </c>
      <c r="H285" s="149">
        <f t="shared" si="50"/>
        <v>45882</v>
      </c>
      <c r="I285" s="149" t="str">
        <f t="shared" si="41"/>
        <v>Jul</v>
      </c>
      <c r="J285" s="216" t="str">
        <f t="shared" ca="1" si="45"/>
        <v/>
      </c>
      <c r="K285" s="149" t="s">
        <v>7</v>
      </c>
      <c r="L285" s="149"/>
      <c r="M285" s="11">
        <v>45855</v>
      </c>
      <c r="N285" s="152">
        <f t="shared" si="46"/>
        <v>1</v>
      </c>
      <c r="O285" s="12" t="str">
        <f t="shared" si="47"/>
        <v>Yes</v>
      </c>
      <c r="P285" s="158"/>
      <c r="Q285" s="157"/>
      <c r="R285" s="11" t="s">
        <v>39</v>
      </c>
      <c r="S285" s="158"/>
      <c r="T285" s="5" t="s">
        <v>62</v>
      </c>
      <c r="U285" s="10"/>
      <c r="V285" s="5"/>
      <c r="W285" s="5"/>
      <c r="X285" s="6"/>
      <c r="BB285" s="7" t="str">
        <v>Quarter 2</v>
      </c>
    </row>
    <row r="286" spans="1:54" ht="31.4" customHeight="1" x14ac:dyDescent="0.35">
      <c r="A286" s="210">
        <v>285</v>
      </c>
      <c r="B286" s="5" t="s">
        <v>428</v>
      </c>
      <c r="C286" s="5" t="s">
        <v>9</v>
      </c>
      <c r="D286" s="5" t="s">
        <v>429</v>
      </c>
      <c r="E286" s="149">
        <v>45855</v>
      </c>
      <c r="F286" s="149">
        <f t="shared" si="48"/>
        <v>45856</v>
      </c>
      <c r="G286" s="149">
        <f t="shared" si="49"/>
        <v>45869</v>
      </c>
      <c r="H286" s="149">
        <f t="shared" si="50"/>
        <v>45883</v>
      </c>
      <c r="I286" s="149" t="str">
        <f t="shared" si="41"/>
        <v>Jul</v>
      </c>
      <c r="J286" s="216" t="str">
        <f t="shared" ca="1" si="45"/>
        <v/>
      </c>
      <c r="K286" s="149" t="s">
        <v>43</v>
      </c>
      <c r="L286" s="149"/>
      <c r="M286" s="11">
        <v>45860</v>
      </c>
      <c r="N286" s="152">
        <f t="shared" si="46"/>
        <v>3</v>
      </c>
      <c r="O286" s="12" t="str">
        <f t="shared" si="47"/>
        <v>Yes</v>
      </c>
      <c r="P286" s="158"/>
      <c r="Q286" s="157"/>
      <c r="R286" s="11" t="s">
        <v>39</v>
      </c>
      <c r="S286" s="158"/>
      <c r="T286" s="5" t="s">
        <v>40</v>
      </c>
      <c r="U286" s="10"/>
      <c r="V286" s="5"/>
      <c r="W286" s="5" t="s">
        <v>430</v>
      </c>
      <c r="X286" s="6"/>
      <c r="BB286" s="7" t="str">
        <v>Quarter 2</v>
      </c>
    </row>
    <row r="287" spans="1:54" ht="31.4" customHeight="1" x14ac:dyDescent="0.35">
      <c r="A287" s="210">
        <v>286</v>
      </c>
      <c r="B287" s="5" t="s">
        <v>6</v>
      </c>
      <c r="C287" s="5" t="s">
        <v>6</v>
      </c>
      <c r="D287" s="5" t="s">
        <v>425</v>
      </c>
      <c r="E287" s="149">
        <v>45856</v>
      </c>
      <c r="F287" s="149">
        <f t="shared" si="48"/>
        <v>45859</v>
      </c>
      <c r="G287" s="149">
        <f t="shared" si="49"/>
        <v>45870</v>
      </c>
      <c r="H287" s="149">
        <f t="shared" si="50"/>
        <v>45884</v>
      </c>
      <c r="I287" s="149" t="str">
        <f t="shared" si="41"/>
        <v>Jul</v>
      </c>
      <c r="J287" s="216" t="str">
        <f t="shared" ca="1" si="45"/>
        <v/>
      </c>
      <c r="K287" s="149" t="s">
        <v>4</v>
      </c>
      <c r="L287" s="149"/>
      <c r="M287" s="11">
        <v>45882</v>
      </c>
      <c r="N287" s="152">
        <f t="shared" si="46"/>
        <v>18</v>
      </c>
      <c r="O287" s="12" t="str">
        <f t="shared" si="47"/>
        <v>Yes</v>
      </c>
      <c r="P287" s="158"/>
      <c r="Q287" s="157"/>
      <c r="R287" s="11" t="s">
        <v>39</v>
      </c>
      <c r="S287" s="158"/>
      <c r="T287" s="5" t="s">
        <v>51</v>
      </c>
      <c r="U287" s="10"/>
      <c r="V287" s="5" t="s">
        <v>87</v>
      </c>
      <c r="W287" s="5"/>
      <c r="X287" s="6"/>
      <c r="BB287" s="7" t="str">
        <v>Quarter 2</v>
      </c>
    </row>
    <row r="288" spans="1:54" ht="31.4" customHeight="1" x14ac:dyDescent="0.35">
      <c r="A288" s="210">
        <v>287</v>
      </c>
      <c r="B288" s="5" t="s">
        <v>6</v>
      </c>
      <c r="C288" s="5" t="s">
        <v>6</v>
      </c>
      <c r="D288" s="5" t="s">
        <v>425</v>
      </c>
      <c r="E288" s="149">
        <v>45855</v>
      </c>
      <c r="F288" s="149">
        <f t="shared" si="48"/>
        <v>45856</v>
      </c>
      <c r="G288" s="149">
        <f t="shared" si="49"/>
        <v>45869</v>
      </c>
      <c r="H288" s="149">
        <f t="shared" si="50"/>
        <v>45883</v>
      </c>
      <c r="I288" s="149" t="str">
        <f t="shared" si="41"/>
        <v>Jul</v>
      </c>
      <c r="J288" s="216" t="str">
        <f t="shared" ca="1" si="45"/>
        <v/>
      </c>
      <c r="K288" s="149" t="s">
        <v>4</v>
      </c>
      <c r="L288" s="149"/>
      <c r="M288" s="11">
        <v>45882</v>
      </c>
      <c r="N288" s="152">
        <f t="shared" si="46"/>
        <v>19</v>
      </c>
      <c r="O288" s="12" t="str">
        <f t="shared" si="47"/>
        <v>Yes</v>
      </c>
      <c r="P288" s="158"/>
      <c r="Q288" s="157"/>
      <c r="R288" s="11" t="s">
        <v>39</v>
      </c>
      <c r="S288" s="158"/>
      <c r="T288" s="5" t="s">
        <v>51</v>
      </c>
      <c r="U288" s="10"/>
      <c r="V288" s="5" t="s">
        <v>87</v>
      </c>
      <c r="W288" s="5"/>
      <c r="X288" s="6"/>
      <c r="BB288" s="7" t="str">
        <v>Quarter 2</v>
      </c>
    </row>
    <row r="289" spans="1:54" ht="31.4" customHeight="1" x14ac:dyDescent="0.35">
      <c r="A289" s="210">
        <v>288</v>
      </c>
      <c r="B289" s="5" t="s">
        <v>431</v>
      </c>
      <c r="C289" s="5" t="s">
        <v>9</v>
      </c>
      <c r="D289" s="5" t="s">
        <v>432</v>
      </c>
      <c r="E289" s="149">
        <v>45856</v>
      </c>
      <c r="F289" s="149">
        <f t="shared" si="48"/>
        <v>45859</v>
      </c>
      <c r="G289" s="149">
        <f t="shared" si="49"/>
        <v>45870</v>
      </c>
      <c r="H289" s="149">
        <f t="shared" si="50"/>
        <v>45884</v>
      </c>
      <c r="I289" s="149" t="str">
        <f t="shared" si="41"/>
        <v>Jul</v>
      </c>
      <c r="J289" s="216" t="str">
        <f t="shared" ca="1" si="45"/>
        <v/>
      </c>
      <c r="K289" s="149" t="s">
        <v>43</v>
      </c>
      <c r="L289" s="149"/>
      <c r="M289" s="11">
        <v>45859</v>
      </c>
      <c r="N289" s="152">
        <f t="shared" si="46"/>
        <v>1</v>
      </c>
      <c r="O289" s="12" t="str">
        <f t="shared" si="47"/>
        <v>Yes</v>
      </c>
      <c r="P289" s="158"/>
      <c r="Q289" s="157"/>
      <c r="R289" s="11" t="s">
        <v>39</v>
      </c>
      <c r="S289" s="158"/>
      <c r="T289" s="5" t="s">
        <v>45</v>
      </c>
      <c r="U289" s="10"/>
      <c r="V289" s="5" t="s">
        <v>53</v>
      </c>
      <c r="W289" s="5"/>
      <c r="X289" s="6"/>
      <c r="BB289" s="7" t="str">
        <v>Quarter 2</v>
      </c>
    </row>
    <row r="290" spans="1:54" ht="31.4" customHeight="1" x14ac:dyDescent="0.35">
      <c r="A290" s="210">
        <v>289</v>
      </c>
      <c r="B290" s="5" t="s">
        <v>6</v>
      </c>
      <c r="C290" s="5" t="s">
        <v>6</v>
      </c>
      <c r="D290" s="5" t="s">
        <v>433</v>
      </c>
      <c r="E290" s="149">
        <v>45853</v>
      </c>
      <c r="F290" s="149">
        <f t="shared" si="48"/>
        <v>45854</v>
      </c>
      <c r="G290" s="149">
        <f t="shared" si="49"/>
        <v>45867</v>
      </c>
      <c r="H290" s="149">
        <f t="shared" si="50"/>
        <v>45881</v>
      </c>
      <c r="I290" s="149" t="str">
        <f t="shared" si="41"/>
        <v>Jul</v>
      </c>
      <c r="J290" s="216" t="str">
        <f t="shared" ca="1" si="45"/>
        <v/>
      </c>
      <c r="K290" s="149" t="s">
        <v>3</v>
      </c>
      <c r="L290" s="149"/>
      <c r="M290" s="11">
        <v>45870</v>
      </c>
      <c r="N290" s="152">
        <f t="shared" si="46"/>
        <v>13</v>
      </c>
      <c r="O290" s="12" t="str">
        <f t="shared" si="47"/>
        <v>Yes</v>
      </c>
      <c r="P290" s="158"/>
      <c r="Q290" s="157"/>
      <c r="R290" s="11" t="s">
        <v>39</v>
      </c>
      <c r="S290" s="158"/>
      <c r="T290" s="5" t="s">
        <v>51</v>
      </c>
      <c r="U290" s="10"/>
      <c r="V290" s="5" t="s">
        <v>102</v>
      </c>
      <c r="W290" s="5"/>
      <c r="X290" s="6"/>
      <c r="BB290" s="7" t="str">
        <v>Quarter 2</v>
      </c>
    </row>
    <row r="291" spans="1:54" ht="31.4" customHeight="1" x14ac:dyDescent="0.35">
      <c r="A291" s="210">
        <v>290</v>
      </c>
      <c r="B291" s="5" t="s">
        <v>434</v>
      </c>
      <c r="C291" s="5" t="s">
        <v>12</v>
      </c>
      <c r="D291" s="5" t="s">
        <v>435</v>
      </c>
      <c r="E291" s="149">
        <v>45856</v>
      </c>
      <c r="F291" s="149">
        <f t="shared" si="48"/>
        <v>45859</v>
      </c>
      <c r="G291" s="149">
        <f t="shared" si="49"/>
        <v>45870</v>
      </c>
      <c r="H291" s="149">
        <f t="shared" si="50"/>
        <v>45884</v>
      </c>
      <c r="I291" s="149" t="str">
        <f t="shared" si="41"/>
        <v>Jul</v>
      </c>
      <c r="J291" s="216" t="str">
        <f t="shared" ca="1" si="45"/>
        <v/>
      </c>
      <c r="K291" s="149" t="s">
        <v>7</v>
      </c>
      <c r="L291" s="149"/>
      <c r="M291" s="11">
        <v>45867</v>
      </c>
      <c r="N291" s="152">
        <f t="shared" si="46"/>
        <v>7</v>
      </c>
      <c r="O291" s="12" t="str">
        <f t="shared" si="47"/>
        <v>Yes</v>
      </c>
      <c r="P291" s="158"/>
      <c r="Q291" s="157"/>
      <c r="R291" s="11" t="s">
        <v>39</v>
      </c>
      <c r="S291" s="158"/>
      <c r="T291" s="5" t="s">
        <v>40</v>
      </c>
      <c r="U291" s="10"/>
      <c r="V291" s="5"/>
      <c r="W291" s="5" t="s">
        <v>46</v>
      </c>
      <c r="X291" s="6"/>
      <c r="BB291" s="7" t="str">
        <v>Quarter 2</v>
      </c>
    </row>
    <row r="292" spans="1:54" ht="31.4" customHeight="1" x14ac:dyDescent="0.35">
      <c r="A292" s="210">
        <v>291</v>
      </c>
      <c r="B292" s="5" t="s">
        <v>436</v>
      </c>
      <c r="C292" s="5" t="s">
        <v>9</v>
      </c>
      <c r="D292" s="5" t="s">
        <v>437</v>
      </c>
      <c r="E292" s="149">
        <v>45856</v>
      </c>
      <c r="F292" s="149">
        <f t="shared" si="48"/>
        <v>45859</v>
      </c>
      <c r="G292" s="149">
        <f t="shared" si="49"/>
        <v>45870</v>
      </c>
      <c r="H292" s="149">
        <f t="shared" si="50"/>
        <v>45884</v>
      </c>
      <c r="I292" s="149" t="str">
        <f t="shared" si="41"/>
        <v>Jul</v>
      </c>
      <c r="J292" s="216" t="str">
        <f t="shared" ca="1" si="45"/>
        <v/>
      </c>
      <c r="K292" s="149" t="s">
        <v>4</v>
      </c>
      <c r="L292" s="149"/>
      <c r="M292" s="11">
        <v>45859</v>
      </c>
      <c r="N292" s="152">
        <f t="shared" si="46"/>
        <v>1</v>
      </c>
      <c r="O292" s="12" t="str">
        <f t="shared" si="47"/>
        <v>Yes</v>
      </c>
      <c r="P292" s="158"/>
      <c r="Q292" s="157"/>
      <c r="R292" s="11" t="s">
        <v>39</v>
      </c>
      <c r="S292" s="158"/>
      <c r="T292" s="5" t="s">
        <v>40</v>
      </c>
      <c r="U292" s="10"/>
      <c r="V292" s="5" t="s">
        <v>54</v>
      </c>
      <c r="W292" s="5"/>
      <c r="X292" s="6"/>
      <c r="BB292" s="7" t="str">
        <v>Quarter 2</v>
      </c>
    </row>
    <row r="293" spans="1:54" ht="31.4" customHeight="1" x14ac:dyDescent="0.35">
      <c r="A293" s="210">
        <v>292</v>
      </c>
      <c r="B293" s="5" t="s">
        <v>438</v>
      </c>
      <c r="C293" s="5" t="s">
        <v>9</v>
      </c>
      <c r="D293" s="5" t="s">
        <v>439</v>
      </c>
      <c r="E293" s="149">
        <v>45859</v>
      </c>
      <c r="F293" s="149">
        <f t="shared" si="48"/>
        <v>45860</v>
      </c>
      <c r="G293" s="149">
        <f t="shared" si="49"/>
        <v>45873</v>
      </c>
      <c r="H293" s="149">
        <f t="shared" si="50"/>
        <v>45887</v>
      </c>
      <c r="I293" s="149" t="str">
        <f t="shared" si="41"/>
        <v>Jul</v>
      </c>
      <c r="J293" s="216" t="str">
        <f t="shared" ca="1" si="45"/>
        <v/>
      </c>
      <c r="K293" s="149" t="s">
        <v>43</v>
      </c>
      <c r="L293" s="149"/>
      <c r="M293" s="11">
        <v>45859</v>
      </c>
      <c r="N293" s="152">
        <f t="shared" si="46"/>
        <v>0</v>
      </c>
      <c r="O293" s="12" t="str">
        <f t="shared" si="47"/>
        <v>Yes</v>
      </c>
      <c r="P293" s="158"/>
      <c r="Q293" s="157"/>
      <c r="R293" s="11" t="s">
        <v>39</v>
      </c>
      <c r="S293" s="158"/>
      <c r="T293" s="5" t="s">
        <v>40</v>
      </c>
      <c r="U293" s="10"/>
      <c r="V293" s="5"/>
      <c r="W293" s="5"/>
      <c r="X293" s="6"/>
      <c r="BB293" s="7" t="str">
        <v>Quarter 2</v>
      </c>
    </row>
    <row r="294" spans="1:54" ht="31.4" customHeight="1" x14ac:dyDescent="0.35">
      <c r="A294" s="210">
        <v>293</v>
      </c>
      <c r="B294" s="5" t="s">
        <v>440</v>
      </c>
      <c r="C294" s="5" t="s">
        <v>9</v>
      </c>
      <c r="D294" s="5" t="s">
        <v>441</v>
      </c>
      <c r="E294" s="149">
        <v>45859</v>
      </c>
      <c r="F294" s="149">
        <f t="shared" si="48"/>
        <v>45860</v>
      </c>
      <c r="G294" s="149">
        <f t="shared" si="49"/>
        <v>45873</v>
      </c>
      <c r="H294" s="149">
        <f t="shared" si="50"/>
        <v>45887</v>
      </c>
      <c r="I294" s="149" t="str">
        <f t="shared" si="41"/>
        <v>Jul</v>
      </c>
      <c r="J294" s="216" t="str">
        <f t="shared" ca="1" si="45"/>
        <v/>
      </c>
      <c r="K294" s="149" t="s">
        <v>43</v>
      </c>
      <c r="L294" s="149"/>
      <c r="M294" s="11">
        <v>45860</v>
      </c>
      <c r="N294" s="152">
        <f t="shared" si="46"/>
        <v>1</v>
      </c>
      <c r="O294" s="12" t="str">
        <f t="shared" si="47"/>
        <v>Yes</v>
      </c>
      <c r="P294" s="158"/>
      <c r="Q294" s="157"/>
      <c r="R294" s="11" t="s">
        <v>39</v>
      </c>
      <c r="S294" s="158"/>
      <c r="T294" s="5" t="s">
        <v>40</v>
      </c>
      <c r="U294" s="10"/>
      <c r="V294" s="5"/>
      <c r="W294" s="5"/>
      <c r="X294" s="6"/>
      <c r="BB294" s="7" t="str">
        <v>Quarter 2</v>
      </c>
    </row>
    <row r="295" spans="1:54" ht="31.4" customHeight="1" x14ac:dyDescent="0.35">
      <c r="A295" s="210">
        <v>294</v>
      </c>
      <c r="B295" s="5" t="s">
        <v>6</v>
      </c>
      <c r="C295" s="5" t="s">
        <v>6</v>
      </c>
      <c r="D295" s="5" t="s">
        <v>442</v>
      </c>
      <c r="E295" s="149">
        <v>45859</v>
      </c>
      <c r="F295" s="149">
        <f t="shared" si="48"/>
        <v>45860</v>
      </c>
      <c r="G295" s="149">
        <f t="shared" si="49"/>
        <v>45873</v>
      </c>
      <c r="H295" s="149">
        <f t="shared" si="50"/>
        <v>45887</v>
      </c>
      <c r="I295" s="149" t="str">
        <f t="shared" si="41"/>
        <v>Jul</v>
      </c>
      <c r="J295" s="216" t="str">
        <f t="shared" ca="1" si="45"/>
        <v/>
      </c>
      <c r="K295" s="149" t="s">
        <v>4</v>
      </c>
      <c r="L295" s="149"/>
      <c r="M295" s="11">
        <v>45861</v>
      </c>
      <c r="N295" s="152">
        <f t="shared" si="46"/>
        <v>2</v>
      </c>
      <c r="O295" s="12" t="str">
        <f t="shared" si="47"/>
        <v>Yes</v>
      </c>
      <c r="P295" s="158"/>
      <c r="Q295" s="157"/>
      <c r="R295" s="11" t="s">
        <v>39</v>
      </c>
      <c r="S295" s="158"/>
      <c r="T295" s="5" t="s">
        <v>45</v>
      </c>
      <c r="U295" s="10"/>
      <c r="V295" s="5" t="s">
        <v>87</v>
      </c>
      <c r="W295" s="5" t="s">
        <v>443</v>
      </c>
      <c r="X295" s="6"/>
      <c r="BB295" s="7" t="str">
        <v>Quarter 2</v>
      </c>
    </row>
    <row r="296" spans="1:54" ht="31.4" customHeight="1" x14ac:dyDescent="0.35">
      <c r="A296" s="210">
        <v>295</v>
      </c>
      <c r="B296" s="8" t="s">
        <v>214</v>
      </c>
      <c r="C296" s="8" t="s">
        <v>5</v>
      </c>
      <c r="D296" s="8" t="s">
        <v>1880</v>
      </c>
      <c r="E296" s="149">
        <v>45859</v>
      </c>
      <c r="F296" s="149">
        <f t="shared" si="48"/>
        <v>45860</v>
      </c>
      <c r="G296" s="149">
        <f t="shared" si="49"/>
        <v>45873</v>
      </c>
      <c r="H296" s="149">
        <f t="shared" si="50"/>
        <v>45887</v>
      </c>
      <c r="I296" s="149" t="str">
        <f t="shared" si="41"/>
        <v>Jul</v>
      </c>
      <c r="J296" s="216" t="str">
        <f t="shared" ca="1" si="45"/>
        <v/>
      </c>
      <c r="K296" s="149" t="s">
        <v>7</v>
      </c>
      <c r="L296" s="149"/>
      <c r="M296" s="11">
        <v>45860</v>
      </c>
      <c r="N296" s="152">
        <f t="shared" si="46"/>
        <v>1</v>
      </c>
      <c r="O296" s="12" t="str">
        <f t="shared" si="47"/>
        <v>Yes</v>
      </c>
      <c r="P296" s="158"/>
      <c r="Q296" s="157"/>
      <c r="R296" s="11" t="s">
        <v>39</v>
      </c>
      <c r="S296" s="17"/>
      <c r="T296" s="5" t="s">
        <v>62</v>
      </c>
      <c r="U296" s="8"/>
      <c r="V296" s="5"/>
      <c r="W296" s="8"/>
      <c r="X296" s="6"/>
      <c r="BB296" s="7" t="str">
        <v>Quarter 2</v>
      </c>
    </row>
    <row r="297" spans="1:54" ht="31.4" customHeight="1" x14ac:dyDescent="0.35">
      <c r="A297" s="210">
        <v>296</v>
      </c>
      <c r="B297" s="5" t="s">
        <v>444</v>
      </c>
      <c r="C297" s="5" t="s">
        <v>9</v>
      </c>
      <c r="D297" s="5" t="s">
        <v>445</v>
      </c>
      <c r="E297" s="149">
        <v>45860</v>
      </c>
      <c r="F297" s="149">
        <f t="shared" si="48"/>
        <v>45861</v>
      </c>
      <c r="G297" s="149">
        <f t="shared" si="49"/>
        <v>45874</v>
      </c>
      <c r="H297" s="149">
        <f t="shared" si="50"/>
        <v>45888</v>
      </c>
      <c r="I297" s="149" t="str">
        <f t="shared" si="41"/>
        <v>Jul</v>
      </c>
      <c r="J297" s="216" t="str">
        <f t="shared" ca="1" si="45"/>
        <v/>
      </c>
      <c r="K297" s="149" t="s">
        <v>4</v>
      </c>
      <c r="L297" s="149"/>
      <c r="M297" s="11">
        <v>45860</v>
      </c>
      <c r="N297" s="152">
        <f t="shared" si="46"/>
        <v>0</v>
      </c>
      <c r="O297" s="12" t="str">
        <f t="shared" si="47"/>
        <v>Yes</v>
      </c>
      <c r="P297" s="158"/>
      <c r="Q297" s="157"/>
      <c r="R297" s="11" t="s">
        <v>39</v>
      </c>
      <c r="S297" s="158"/>
      <c r="T297" s="5" t="s">
        <v>62</v>
      </c>
      <c r="U297" s="10"/>
      <c r="V297" s="5"/>
      <c r="W297" s="5"/>
      <c r="X297" s="6"/>
      <c r="BB297" s="7" t="str">
        <v>Quarter 2</v>
      </c>
    </row>
    <row r="298" spans="1:54" ht="31.4" customHeight="1" x14ac:dyDescent="0.35">
      <c r="A298" s="210">
        <v>297</v>
      </c>
      <c r="B298" s="5" t="s">
        <v>446</v>
      </c>
      <c r="C298" s="5" t="s">
        <v>9</v>
      </c>
      <c r="D298" s="5" t="s">
        <v>447</v>
      </c>
      <c r="E298" s="149">
        <v>45860</v>
      </c>
      <c r="F298" s="149">
        <f t="shared" si="48"/>
        <v>45861</v>
      </c>
      <c r="G298" s="149">
        <f t="shared" si="49"/>
        <v>45874</v>
      </c>
      <c r="H298" s="149">
        <f t="shared" si="50"/>
        <v>45888</v>
      </c>
      <c r="I298" s="149" t="str">
        <f t="shared" si="41"/>
        <v>Jul</v>
      </c>
      <c r="J298" s="216" t="str">
        <f t="shared" ca="1" si="45"/>
        <v/>
      </c>
      <c r="K298" s="149" t="s">
        <v>4</v>
      </c>
      <c r="L298" s="149"/>
      <c r="M298" s="11">
        <v>45860</v>
      </c>
      <c r="N298" s="152">
        <f t="shared" si="46"/>
        <v>0</v>
      </c>
      <c r="O298" s="12" t="str">
        <f t="shared" si="47"/>
        <v>Yes</v>
      </c>
      <c r="P298" s="158"/>
      <c r="Q298" s="157"/>
      <c r="R298" s="11" t="s">
        <v>39</v>
      </c>
      <c r="S298" s="158"/>
      <c r="T298" s="5" t="s">
        <v>40</v>
      </c>
      <c r="U298" s="10"/>
      <c r="V298" s="5"/>
      <c r="W298" s="5"/>
      <c r="X298" s="6"/>
      <c r="BB298" s="7" t="str">
        <v>Quarter 2</v>
      </c>
    </row>
    <row r="299" spans="1:54" ht="31.4" customHeight="1" x14ac:dyDescent="0.35">
      <c r="A299" s="210">
        <v>298</v>
      </c>
      <c r="B299" s="5" t="s">
        <v>162</v>
      </c>
      <c r="C299" s="5" t="s">
        <v>5</v>
      </c>
      <c r="D299" s="5" t="s">
        <v>1862</v>
      </c>
      <c r="E299" s="149">
        <v>45860</v>
      </c>
      <c r="F299" s="149">
        <f t="shared" si="48"/>
        <v>45861</v>
      </c>
      <c r="G299" s="149">
        <f t="shared" si="49"/>
        <v>45874</v>
      </c>
      <c r="H299" s="149">
        <f t="shared" si="50"/>
        <v>45888</v>
      </c>
      <c r="I299" s="149" t="str">
        <f t="shared" si="41"/>
        <v>Jul</v>
      </c>
      <c r="J299" s="216" t="str">
        <f t="shared" ca="1" si="45"/>
        <v/>
      </c>
      <c r="K299" s="149" t="s">
        <v>7</v>
      </c>
      <c r="L299" s="149"/>
      <c r="M299" s="11">
        <v>45873</v>
      </c>
      <c r="N299" s="152">
        <f t="shared" si="46"/>
        <v>9</v>
      </c>
      <c r="O299" s="12" t="str">
        <f t="shared" si="47"/>
        <v>Yes</v>
      </c>
      <c r="P299" s="158"/>
      <c r="Q299" s="157"/>
      <c r="R299" s="11" t="s">
        <v>39</v>
      </c>
      <c r="S299" s="158"/>
      <c r="T299" s="5" t="s">
        <v>45</v>
      </c>
      <c r="U299" s="10"/>
      <c r="V299" s="5" t="s">
        <v>87</v>
      </c>
      <c r="W299" s="5" t="s">
        <v>46</v>
      </c>
      <c r="X299" s="6"/>
      <c r="BB299" s="7" t="str">
        <v>Quarter 2</v>
      </c>
    </row>
    <row r="300" spans="1:54" ht="31.4" customHeight="1" x14ac:dyDescent="0.35">
      <c r="A300" s="210">
        <v>299</v>
      </c>
      <c r="B300" s="5" t="s">
        <v>6</v>
      </c>
      <c r="C300" s="5" t="s">
        <v>6</v>
      </c>
      <c r="D300" s="5" t="s">
        <v>448</v>
      </c>
      <c r="E300" s="149">
        <v>45860</v>
      </c>
      <c r="F300" s="149">
        <f t="shared" si="48"/>
        <v>45861</v>
      </c>
      <c r="G300" s="149">
        <f t="shared" si="49"/>
        <v>45874</v>
      </c>
      <c r="H300" s="149">
        <f t="shared" si="50"/>
        <v>45888</v>
      </c>
      <c r="I300" s="149" t="str">
        <f t="shared" si="41"/>
        <v>Jul</v>
      </c>
      <c r="J300" s="216" t="str">
        <f t="shared" ca="1" si="45"/>
        <v/>
      </c>
      <c r="K300" s="149" t="s">
        <v>7</v>
      </c>
      <c r="L300" s="149"/>
      <c r="M300" s="11">
        <v>45877</v>
      </c>
      <c r="N300" s="152">
        <f t="shared" si="46"/>
        <v>13</v>
      </c>
      <c r="O300" s="12" t="str">
        <f t="shared" si="47"/>
        <v>Yes</v>
      </c>
      <c r="P300" s="158"/>
      <c r="Q300" s="157"/>
      <c r="R300" s="11" t="s">
        <v>39</v>
      </c>
      <c r="S300" s="158"/>
      <c r="T300" s="5" t="s">
        <v>40</v>
      </c>
      <c r="U300" s="10"/>
      <c r="V300" s="5"/>
      <c r="W300" s="5" t="s">
        <v>46</v>
      </c>
      <c r="X300" s="6"/>
      <c r="BB300" s="7" t="str">
        <v>Quarter 2</v>
      </c>
    </row>
    <row r="301" spans="1:54" ht="31.4" customHeight="1" x14ac:dyDescent="0.35">
      <c r="A301" s="210">
        <v>300</v>
      </c>
      <c r="B301" s="5" t="s">
        <v>449</v>
      </c>
      <c r="C301" s="5" t="s">
        <v>9</v>
      </c>
      <c r="D301" s="5" t="s">
        <v>450</v>
      </c>
      <c r="E301" s="149">
        <v>45861</v>
      </c>
      <c r="F301" s="149">
        <f t="shared" si="48"/>
        <v>45862</v>
      </c>
      <c r="G301" s="149">
        <f t="shared" si="49"/>
        <v>45875</v>
      </c>
      <c r="H301" s="149">
        <f t="shared" si="50"/>
        <v>45889</v>
      </c>
      <c r="I301" s="149" t="str">
        <f t="shared" si="41"/>
        <v>Jul</v>
      </c>
      <c r="J301" s="216" t="str">
        <f t="shared" ca="1" si="45"/>
        <v/>
      </c>
      <c r="K301" s="149" t="s">
        <v>4</v>
      </c>
      <c r="L301" s="149"/>
      <c r="M301" s="11">
        <v>45861</v>
      </c>
      <c r="N301" s="152">
        <f t="shared" si="46"/>
        <v>0</v>
      </c>
      <c r="O301" s="12" t="str">
        <f t="shared" si="47"/>
        <v>Yes</v>
      </c>
      <c r="P301" s="158"/>
      <c r="Q301" s="157"/>
      <c r="R301" s="11" t="s">
        <v>39</v>
      </c>
      <c r="S301" s="158"/>
      <c r="T301" s="5" t="s">
        <v>40</v>
      </c>
      <c r="U301" s="10"/>
      <c r="V301" s="5" t="s">
        <v>54</v>
      </c>
      <c r="W301" s="5"/>
      <c r="X301" s="6"/>
      <c r="BB301" s="7" t="str">
        <v>Quarter 2</v>
      </c>
    </row>
    <row r="302" spans="1:54" ht="31.4" customHeight="1" x14ac:dyDescent="0.35">
      <c r="A302" s="210">
        <v>301</v>
      </c>
      <c r="B302" s="5" t="s">
        <v>172</v>
      </c>
      <c r="C302" s="5" t="s">
        <v>11</v>
      </c>
      <c r="D302" s="5" t="s">
        <v>451</v>
      </c>
      <c r="E302" s="149">
        <v>45861</v>
      </c>
      <c r="F302" s="149">
        <f t="shared" si="48"/>
        <v>45862</v>
      </c>
      <c r="G302" s="149">
        <f t="shared" si="49"/>
        <v>45875</v>
      </c>
      <c r="H302" s="149">
        <f t="shared" si="50"/>
        <v>45889</v>
      </c>
      <c r="I302" s="149" t="str">
        <f t="shared" si="41"/>
        <v>Jul</v>
      </c>
      <c r="J302" s="216" t="str">
        <f t="shared" ca="1" si="45"/>
        <v/>
      </c>
      <c r="K302" s="149" t="s">
        <v>7</v>
      </c>
      <c r="L302" s="149"/>
      <c r="M302" s="11">
        <v>45875</v>
      </c>
      <c r="N302" s="152">
        <f t="shared" si="46"/>
        <v>10</v>
      </c>
      <c r="O302" s="12" t="str">
        <f t="shared" si="47"/>
        <v>Yes</v>
      </c>
      <c r="P302" s="158"/>
      <c r="Q302" s="157"/>
      <c r="R302" s="11" t="s">
        <v>39</v>
      </c>
      <c r="S302" s="158"/>
      <c r="T302" s="5" t="s">
        <v>40</v>
      </c>
      <c r="U302" s="10"/>
      <c r="V302" s="5"/>
      <c r="W302" s="5"/>
      <c r="X302" s="6"/>
      <c r="BB302" s="7" t="str">
        <v>Quarter 2</v>
      </c>
    </row>
    <row r="303" spans="1:54" ht="31.4" customHeight="1" x14ac:dyDescent="0.35">
      <c r="A303" s="210">
        <v>302</v>
      </c>
      <c r="B303" s="5" t="s">
        <v>6</v>
      </c>
      <c r="C303" s="5" t="s">
        <v>6</v>
      </c>
      <c r="D303" s="5" t="s">
        <v>452</v>
      </c>
      <c r="E303" s="149">
        <v>45861</v>
      </c>
      <c r="F303" s="149">
        <f t="shared" si="48"/>
        <v>45862</v>
      </c>
      <c r="G303" s="149">
        <f t="shared" si="49"/>
        <v>45875</v>
      </c>
      <c r="H303" s="149">
        <f t="shared" si="50"/>
        <v>45889</v>
      </c>
      <c r="I303" s="149" t="str">
        <f t="shared" si="41"/>
        <v>Jul</v>
      </c>
      <c r="J303" s="216" t="str">
        <f t="shared" ca="1" si="45"/>
        <v/>
      </c>
      <c r="K303" s="149" t="s">
        <v>4</v>
      </c>
      <c r="L303" s="149"/>
      <c r="M303" s="11">
        <v>45861</v>
      </c>
      <c r="N303" s="152">
        <f t="shared" si="46"/>
        <v>0</v>
      </c>
      <c r="O303" s="12" t="str">
        <f t="shared" si="47"/>
        <v>Yes</v>
      </c>
      <c r="P303" s="158"/>
      <c r="Q303" s="157"/>
      <c r="R303" s="11" t="s">
        <v>39</v>
      </c>
      <c r="S303" s="158"/>
      <c r="T303" s="5" t="s">
        <v>45</v>
      </c>
      <c r="U303" s="10"/>
      <c r="V303" s="5" t="s">
        <v>87</v>
      </c>
      <c r="W303" s="5"/>
      <c r="X303" s="6"/>
      <c r="BB303" s="7" t="str">
        <v>Quarter 2</v>
      </c>
    </row>
    <row r="304" spans="1:54" ht="31.4" customHeight="1" x14ac:dyDescent="0.35">
      <c r="A304" s="210">
        <v>303</v>
      </c>
      <c r="B304" s="5" t="s">
        <v>6</v>
      </c>
      <c r="C304" s="5" t="s">
        <v>6</v>
      </c>
      <c r="D304" s="5" t="s">
        <v>453</v>
      </c>
      <c r="E304" s="149">
        <v>45861</v>
      </c>
      <c r="F304" s="149">
        <f t="shared" si="48"/>
        <v>45862</v>
      </c>
      <c r="G304" s="149">
        <f t="shared" si="49"/>
        <v>45875</v>
      </c>
      <c r="H304" s="149">
        <f t="shared" si="50"/>
        <v>45889</v>
      </c>
      <c r="I304" s="149" t="str">
        <f t="shared" ref="I304:I367" si="51">IF(ISBLANK($E304),"",TEXT($E304,"mmm"))</f>
        <v>Jul</v>
      </c>
      <c r="J304" s="216" t="str">
        <f t="shared" ca="1" si="45"/>
        <v/>
      </c>
      <c r="K304" s="149" t="s">
        <v>43</v>
      </c>
      <c r="L304" s="149"/>
      <c r="M304" s="11">
        <v>45874</v>
      </c>
      <c r="N304" s="152">
        <f t="shared" si="46"/>
        <v>9</v>
      </c>
      <c r="O304" s="12" t="str">
        <f t="shared" si="47"/>
        <v>Yes</v>
      </c>
      <c r="P304" s="158"/>
      <c r="Q304" s="157"/>
      <c r="R304" s="11" t="s">
        <v>39</v>
      </c>
      <c r="S304" s="158"/>
      <c r="T304" s="5" t="s">
        <v>40</v>
      </c>
      <c r="U304" s="10"/>
      <c r="V304" s="5"/>
      <c r="W304" s="5"/>
      <c r="X304" s="6"/>
      <c r="BB304" s="7" t="str">
        <v>Quarter 2</v>
      </c>
    </row>
    <row r="305" spans="1:54" ht="31.4" customHeight="1" x14ac:dyDescent="0.35">
      <c r="A305" s="210">
        <v>304</v>
      </c>
      <c r="B305" s="5" t="s">
        <v>6</v>
      </c>
      <c r="C305" s="5" t="s">
        <v>6</v>
      </c>
      <c r="D305" s="5" t="s">
        <v>454</v>
      </c>
      <c r="E305" s="149">
        <v>45860</v>
      </c>
      <c r="F305" s="149">
        <f t="shared" si="48"/>
        <v>45861</v>
      </c>
      <c r="G305" s="149">
        <f t="shared" si="49"/>
        <v>45874</v>
      </c>
      <c r="H305" s="149">
        <f t="shared" si="50"/>
        <v>45888</v>
      </c>
      <c r="I305" s="149" t="str">
        <f t="shared" si="51"/>
        <v>Jul</v>
      </c>
      <c r="J305" s="216" t="str">
        <f t="shared" ca="1" si="45"/>
        <v/>
      </c>
      <c r="K305" s="149" t="s">
        <v>43</v>
      </c>
      <c r="L305" s="149"/>
      <c r="M305" s="11">
        <v>45862</v>
      </c>
      <c r="N305" s="152">
        <f t="shared" si="46"/>
        <v>2</v>
      </c>
      <c r="O305" s="12" t="str">
        <f t="shared" si="47"/>
        <v>Yes</v>
      </c>
      <c r="P305" s="158"/>
      <c r="Q305" s="157"/>
      <c r="R305" s="11" t="s">
        <v>39</v>
      </c>
      <c r="S305" s="158"/>
      <c r="T305" s="5" t="s">
        <v>40</v>
      </c>
      <c r="U305" s="10"/>
      <c r="V305" s="5"/>
      <c r="W305" s="5"/>
      <c r="X305" s="6"/>
      <c r="BB305" s="7" t="str">
        <v>Quarter 2</v>
      </c>
    </row>
    <row r="306" spans="1:54" ht="31.4" customHeight="1" x14ac:dyDescent="0.35">
      <c r="A306" s="210">
        <v>305</v>
      </c>
      <c r="B306" s="5" t="s">
        <v>6</v>
      </c>
      <c r="C306" s="5" t="s">
        <v>6</v>
      </c>
      <c r="D306" s="5" t="s">
        <v>455</v>
      </c>
      <c r="E306" s="149">
        <v>45862</v>
      </c>
      <c r="F306" s="149">
        <f t="shared" si="48"/>
        <v>45863</v>
      </c>
      <c r="G306" s="149">
        <f t="shared" si="49"/>
        <v>45876</v>
      </c>
      <c r="H306" s="149">
        <f t="shared" si="50"/>
        <v>45890</v>
      </c>
      <c r="I306" s="149" t="str">
        <f t="shared" si="51"/>
        <v>Jul</v>
      </c>
      <c r="J306" s="216" t="str">
        <f t="shared" ca="1" si="45"/>
        <v/>
      </c>
      <c r="K306" s="149" t="s">
        <v>3</v>
      </c>
      <c r="L306" s="149"/>
      <c r="M306" s="11">
        <v>45985</v>
      </c>
      <c r="N306" s="152">
        <f t="shared" si="46"/>
        <v>86</v>
      </c>
      <c r="O306" s="12" t="str">
        <f t="shared" si="47"/>
        <v>No</v>
      </c>
      <c r="P306" s="158"/>
      <c r="Q306" s="157"/>
      <c r="R306" s="11" t="s">
        <v>39</v>
      </c>
      <c r="S306" s="158"/>
      <c r="T306" s="5" t="s">
        <v>62</v>
      </c>
      <c r="U306" s="10"/>
      <c r="V306" s="5"/>
      <c r="W306" s="5"/>
      <c r="X306" s="6"/>
      <c r="BB306" s="7" t="str">
        <v>Quarter 2</v>
      </c>
    </row>
    <row r="307" spans="1:54" ht="31.4" customHeight="1" x14ac:dyDescent="0.35">
      <c r="A307" s="210">
        <v>306</v>
      </c>
      <c r="B307" s="8" t="s">
        <v>55</v>
      </c>
      <c r="C307" s="8" t="s">
        <v>13</v>
      </c>
      <c r="D307" s="5" t="s">
        <v>456</v>
      </c>
      <c r="E307" s="149">
        <v>45862</v>
      </c>
      <c r="F307" s="149">
        <f t="shared" si="48"/>
        <v>45863</v>
      </c>
      <c r="G307" s="149">
        <f t="shared" si="49"/>
        <v>45876</v>
      </c>
      <c r="H307" s="149">
        <f t="shared" si="50"/>
        <v>45890</v>
      </c>
      <c r="I307" s="149" t="str">
        <f t="shared" si="51"/>
        <v>Jul</v>
      </c>
      <c r="J307" s="216" t="str">
        <f t="shared" ca="1" si="45"/>
        <v/>
      </c>
      <c r="K307" s="149" t="s">
        <v>4</v>
      </c>
      <c r="L307" s="22"/>
      <c r="M307" s="11">
        <v>45874</v>
      </c>
      <c r="N307" s="152">
        <f t="shared" si="46"/>
        <v>8</v>
      </c>
      <c r="O307" s="12" t="str">
        <f t="shared" si="47"/>
        <v>Yes</v>
      </c>
      <c r="P307" s="17"/>
      <c r="Q307" s="17"/>
      <c r="R307" s="11" t="s">
        <v>39</v>
      </c>
      <c r="S307" s="17"/>
      <c r="T307" s="5" t="s">
        <v>45</v>
      </c>
      <c r="U307" s="8"/>
      <c r="V307" s="5" t="s">
        <v>87</v>
      </c>
      <c r="W307" s="8"/>
      <c r="X307" s="6"/>
      <c r="BB307" s="7" t="str">
        <v>Quarter 2</v>
      </c>
    </row>
    <row r="308" spans="1:54" ht="31.4" customHeight="1" x14ac:dyDescent="0.35">
      <c r="A308" s="210">
        <v>307</v>
      </c>
      <c r="B308" s="8" t="s">
        <v>457</v>
      </c>
      <c r="C308" s="8" t="s">
        <v>9</v>
      </c>
      <c r="D308" s="5" t="s">
        <v>458</v>
      </c>
      <c r="E308" s="149">
        <v>45863</v>
      </c>
      <c r="F308" s="149">
        <f t="shared" si="48"/>
        <v>45866</v>
      </c>
      <c r="G308" s="149">
        <f t="shared" si="49"/>
        <v>45877</v>
      </c>
      <c r="H308" s="149">
        <f t="shared" si="50"/>
        <v>45891</v>
      </c>
      <c r="I308" s="149" t="str">
        <f t="shared" si="51"/>
        <v>Jul</v>
      </c>
      <c r="J308" s="216" t="str">
        <f t="shared" ca="1" si="45"/>
        <v/>
      </c>
      <c r="K308" s="149" t="s">
        <v>43</v>
      </c>
      <c r="L308" s="22"/>
      <c r="M308" s="11">
        <v>45866</v>
      </c>
      <c r="N308" s="152">
        <f t="shared" si="46"/>
        <v>1</v>
      </c>
      <c r="O308" s="12" t="str">
        <f t="shared" si="47"/>
        <v>Yes</v>
      </c>
      <c r="P308" s="17"/>
      <c r="Q308" s="17"/>
      <c r="R308" s="11" t="s">
        <v>39</v>
      </c>
      <c r="S308" s="17"/>
      <c r="T308" s="5" t="s">
        <v>40</v>
      </c>
      <c r="U308" s="8"/>
      <c r="V308" s="5" t="s">
        <v>54</v>
      </c>
      <c r="W308" s="8"/>
      <c r="X308" s="6"/>
      <c r="BB308" s="7" t="str">
        <v>Quarter 2</v>
      </c>
    </row>
    <row r="309" spans="1:54" ht="31.4" customHeight="1" x14ac:dyDescent="0.35">
      <c r="A309" s="210">
        <v>308</v>
      </c>
      <c r="B309" s="5" t="s">
        <v>459</v>
      </c>
      <c r="C309" s="5" t="s">
        <v>9</v>
      </c>
      <c r="D309" s="5" t="s">
        <v>460</v>
      </c>
      <c r="E309" s="149">
        <v>45863</v>
      </c>
      <c r="F309" s="149">
        <f t="shared" si="48"/>
        <v>45866</v>
      </c>
      <c r="G309" s="149">
        <f t="shared" si="49"/>
        <v>45877</v>
      </c>
      <c r="H309" s="149">
        <f t="shared" si="50"/>
        <v>45891</v>
      </c>
      <c r="I309" s="149" t="str">
        <f t="shared" si="51"/>
        <v>Jul</v>
      </c>
      <c r="J309" s="216" t="str">
        <f t="shared" ca="1" si="45"/>
        <v/>
      </c>
      <c r="K309" s="149" t="s">
        <v>4</v>
      </c>
      <c r="L309" s="149"/>
      <c r="M309" s="11">
        <v>45873</v>
      </c>
      <c r="N309" s="152">
        <f t="shared" si="46"/>
        <v>6</v>
      </c>
      <c r="O309" s="12" t="str">
        <f t="shared" si="47"/>
        <v>Yes</v>
      </c>
      <c r="P309" s="158"/>
      <c r="Q309" s="157"/>
      <c r="R309" s="11" t="s">
        <v>39</v>
      </c>
      <c r="S309" s="158"/>
      <c r="T309" s="5" t="s">
        <v>40</v>
      </c>
      <c r="U309" s="10"/>
      <c r="V309" s="5"/>
      <c r="W309" s="5"/>
      <c r="X309" s="6"/>
      <c r="BB309" s="7" t="str">
        <v>Quarter 2</v>
      </c>
    </row>
    <row r="310" spans="1:54" ht="31.4" customHeight="1" x14ac:dyDescent="0.35">
      <c r="A310" s="210">
        <v>309</v>
      </c>
      <c r="B310" s="5" t="s">
        <v>461</v>
      </c>
      <c r="C310" s="5" t="s">
        <v>9</v>
      </c>
      <c r="D310" s="5" t="s">
        <v>337</v>
      </c>
      <c r="E310" s="149">
        <v>45866</v>
      </c>
      <c r="F310" s="149">
        <f t="shared" si="48"/>
        <v>45867</v>
      </c>
      <c r="G310" s="149">
        <f t="shared" si="49"/>
        <v>45880</v>
      </c>
      <c r="H310" s="149">
        <f t="shared" si="50"/>
        <v>45895</v>
      </c>
      <c r="I310" s="149" t="str">
        <f t="shared" si="51"/>
        <v>Jul</v>
      </c>
      <c r="J310" s="216" t="str">
        <f t="shared" ca="1" si="45"/>
        <v/>
      </c>
      <c r="K310" s="149" t="s">
        <v>3</v>
      </c>
      <c r="L310" s="149"/>
      <c r="M310" s="11">
        <v>45866</v>
      </c>
      <c r="N310" s="152">
        <f t="shared" si="46"/>
        <v>0</v>
      </c>
      <c r="O310" s="12" t="str">
        <f t="shared" si="47"/>
        <v>Yes</v>
      </c>
      <c r="P310" s="158"/>
      <c r="Q310" s="157"/>
      <c r="R310" s="11" t="s">
        <v>39</v>
      </c>
      <c r="S310" s="158"/>
      <c r="T310" s="5" t="s">
        <v>40</v>
      </c>
      <c r="U310" s="10"/>
      <c r="V310" s="5"/>
      <c r="W310" s="5"/>
      <c r="X310" s="6"/>
      <c r="BB310" s="7" t="str">
        <v>Quarter 2</v>
      </c>
    </row>
    <row r="311" spans="1:54" ht="31.4" customHeight="1" x14ac:dyDescent="0.35">
      <c r="A311" s="210">
        <v>310</v>
      </c>
      <c r="B311" s="5" t="s">
        <v>6</v>
      </c>
      <c r="C311" s="5" t="s">
        <v>6</v>
      </c>
      <c r="D311" s="5" t="s">
        <v>462</v>
      </c>
      <c r="E311" s="149">
        <v>45866</v>
      </c>
      <c r="F311" s="149">
        <f t="shared" si="48"/>
        <v>45867</v>
      </c>
      <c r="G311" s="149">
        <f t="shared" si="49"/>
        <v>45880</v>
      </c>
      <c r="H311" s="149">
        <f t="shared" si="50"/>
        <v>45895</v>
      </c>
      <c r="I311" s="149" t="str">
        <f t="shared" si="51"/>
        <v>Jul</v>
      </c>
      <c r="J311" s="216" t="str">
        <f t="shared" ca="1" si="45"/>
        <v/>
      </c>
      <c r="K311" s="149" t="s">
        <v>43</v>
      </c>
      <c r="L311" s="149"/>
      <c r="M311" s="11">
        <v>45930</v>
      </c>
      <c r="N311" s="152">
        <f t="shared" si="46"/>
        <v>45</v>
      </c>
      <c r="O311" s="12" t="str">
        <f t="shared" si="47"/>
        <v>No</v>
      </c>
      <c r="P311" s="158"/>
      <c r="Q311" s="157"/>
      <c r="R311" s="11" t="s">
        <v>39</v>
      </c>
      <c r="S311" s="158"/>
      <c r="T311" s="5" t="s">
        <v>40</v>
      </c>
      <c r="U311" s="10"/>
      <c r="V311" s="5"/>
      <c r="W311" s="5"/>
      <c r="X311" s="6"/>
      <c r="BB311" s="7" t="str">
        <v>Quarter 2</v>
      </c>
    </row>
    <row r="312" spans="1:54" ht="31.4" customHeight="1" x14ac:dyDescent="0.35">
      <c r="A312" s="210">
        <v>311</v>
      </c>
      <c r="B312" s="5" t="s">
        <v>463</v>
      </c>
      <c r="C312" s="5" t="s">
        <v>9</v>
      </c>
      <c r="D312" s="5" t="s">
        <v>464</v>
      </c>
      <c r="E312" s="149">
        <v>45866</v>
      </c>
      <c r="F312" s="149">
        <f t="shared" si="48"/>
        <v>45867</v>
      </c>
      <c r="G312" s="149">
        <f t="shared" si="49"/>
        <v>45880</v>
      </c>
      <c r="H312" s="149">
        <f t="shared" si="50"/>
        <v>45895</v>
      </c>
      <c r="I312" s="149" t="str">
        <f t="shared" si="51"/>
        <v>Jul</v>
      </c>
      <c r="J312" s="216" t="str">
        <f t="shared" ca="1" si="45"/>
        <v/>
      </c>
      <c r="K312" s="149" t="s">
        <v>7</v>
      </c>
      <c r="L312" s="149"/>
      <c r="M312" s="11">
        <v>45882</v>
      </c>
      <c r="N312" s="152">
        <f t="shared" si="46"/>
        <v>12</v>
      </c>
      <c r="O312" s="12" t="str">
        <f t="shared" si="47"/>
        <v>Yes</v>
      </c>
      <c r="P312" s="158"/>
      <c r="Q312" s="157"/>
      <c r="R312" s="11" t="s">
        <v>39</v>
      </c>
      <c r="S312" s="158"/>
      <c r="T312" s="5" t="s">
        <v>40</v>
      </c>
      <c r="U312" s="10"/>
      <c r="V312" s="5" t="s">
        <v>54</v>
      </c>
      <c r="W312" s="5" t="s">
        <v>46</v>
      </c>
      <c r="X312" s="6"/>
      <c r="BB312" s="7" t="str">
        <v>Quarter 2</v>
      </c>
    </row>
    <row r="313" spans="1:54" ht="31.4" customHeight="1" x14ac:dyDescent="0.35">
      <c r="A313" s="210">
        <v>312</v>
      </c>
      <c r="B313" s="5" t="s">
        <v>6</v>
      </c>
      <c r="C313" s="5" t="s">
        <v>6</v>
      </c>
      <c r="D313" s="5" t="s">
        <v>465</v>
      </c>
      <c r="E313" s="149">
        <v>45866</v>
      </c>
      <c r="F313" s="149">
        <f t="shared" si="48"/>
        <v>45867</v>
      </c>
      <c r="G313" s="149">
        <f t="shared" si="49"/>
        <v>45880</v>
      </c>
      <c r="H313" s="149">
        <f t="shared" si="50"/>
        <v>45895</v>
      </c>
      <c r="I313" s="149" t="str">
        <f t="shared" si="51"/>
        <v>Jul</v>
      </c>
      <c r="J313" s="216" t="str">
        <f t="shared" ca="1" si="45"/>
        <v/>
      </c>
      <c r="K313" s="149" t="s">
        <v>7</v>
      </c>
      <c r="L313" s="149"/>
      <c r="M313" s="11">
        <v>45866</v>
      </c>
      <c r="N313" s="152">
        <f t="shared" si="46"/>
        <v>0</v>
      </c>
      <c r="O313" s="12" t="str">
        <f t="shared" si="47"/>
        <v>Yes</v>
      </c>
      <c r="P313" s="158"/>
      <c r="Q313" s="157"/>
      <c r="R313" s="11" t="s">
        <v>39</v>
      </c>
      <c r="S313" s="158"/>
      <c r="T313" s="5" t="s">
        <v>40</v>
      </c>
      <c r="U313" s="10"/>
      <c r="V313" s="5"/>
      <c r="W313" s="5"/>
      <c r="X313" s="6"/>
      <c r="BB313" s="7" t="str">
        <v>Quarter 2</v>
      </c>
    </row>
    <row r="314" spans="1:54" ht="31.4" customHeight="1" x14ac:dyDescent="0.35">
      <c r="A314" s="210">
        <v>313</v>
      </c>
      <c r="B314" s="5" t="s">
        <v>466</v>
      </c>
      <c r="C314" s="5" t="s">
        <v>5</v>
      </c>
      <c r="D314" s="5" t="s">
        <v>467</v>
      </c>
      <c r="E314" s="149">
        <v>45866</v>
      </c>
      <c r="F314" s="149">
        <f t="shared" si="48"/>
        <v>45867</v>
      </c>
      <c r="G314" s="149">
        <f t="shared" si="49"/>
        <v>45880</v>
      </c>
      <c r="H314" s="149">
        <f t="shared" si="50"/>
        <v>45895</v>
      </c>
      <c r="I314" s="149" t="str">
        <f t="shared" si="51"/>
        <v>Jul</v>
      </c>
      <c r="J314" s="216" t="str">
        <f t="shared" ca="1" si="45"/>
        <v/>
      </c>
      <c r="K314" s="149" t="s">
        <v>43</v>
      </c>
      <c r="L314" s="149"/>
      <c r="M314" s="11">
        <v>45876</v>
      </c>
      <c r="N314" s="152">
        <f t="shared" si="46"/>
        <v>8</v>
      </c>
      <c r="O314" s="12" t="str">
        <f t="shared" si="47"/>
        <v>Yes</v>
      </c>
      <c r="P314" s="158"/>
      <c r="Q314" s="157"/>
      <c r="R314" s="11" t="s">
        <v>39</v>
      </c>
      <c r="S314" s="158"/>
      <c r="T314" s="5" t="s">
        <v>40</v>
      </c>
      <c r="U314" s="10"/>
      <c r="V314" s="5"/>
      <c r="W314" s="5"/>
      <c r="X314" s="6"/>
      <c r="BB314" s="7" t="str">
        <v>Quarter 2</v>
      </c>
    </row>
    <row r="315" spans="1:54" ht="31.4" customHeight="1" x14ac:dyDescent="0.35">
      <c r="A315" s="210">
        <v>314</v>
      </c>
      <c r="B315" s="5" t="s">
        <v>55</v>
      </c>
      <c r="C315" s="5" t="s">
        <v>13</v>
      </c>
      <c r="D315" s="5" t="s">
        <v>468</v>
      </c>
      <c r="E315" s="149">
        <v>45866</v>
      </c>
      <c r="F315" s="149">
        <f t="shared" ref="F315:F346" si="52">IF($E315="","",WORKDAY($E315,1,$Z$33:$Z$47))</f>
        <v>45867</v>
      </c>
      <c r="G315" s="149">
        <f t="shared" ref="G315:G346" si="53">IF($E315="","",WORKDAY($E315,10,$Z$33:$Z$47))</f>
        <v>45880</v>
      </c>
      <c r="H315" s="149">
        <f t="shared" ref="H315:H346" si="54">IF($E315="","",WORKDAY($E315,20,$Z$33:$Z$47))</f>
        <v>45895</v>
      </c>
      <c r="I315" s="149" t="str">
        <f t="shared" si="51"/>
        <v>Jul</v>
      </c>
      <c r="J315" s="216" t="str">
        <f t="shared" ca="1" si="45"/>
        <v/>
      </c>
      <c r="K315" s="149" t="s">
        <v>43</v>
      </c>
      <c r="L315" s="149"/>
      <c r="M315" s="11">
        <v>45876</v>
      </c>
      <c r="N315" s="152">
        <f t="shared" si="46"/>
        <v>8</v>
      </c>
      <c r="O315" s="12" t="str">
        <f t="shared" si="47"/>
        <v>Yes</v>
      </c>
      <c r="P315" s="158"/>
      <c r="Q315" s="157"/>
      <c r="R315" s="11" t="s">
        <v>39</v>
      </c>
      <c r="S315" s="158"/>
      <c r="T315" s="5" t="s">
        <v>40</v>
      </c>
      <c r="U315" s="10"/>
      <c r="V315" s="5"/>
      <c r="W315" s="5" t="s">
        <v>46</v>
      </c>
      <c r="X315" s="6"/>
      <c r="BB315" s="7" t="str">
        <v>Quarter 2</v>
      </c>
    </row>
    <row r="316" spans="1:54" ht="31.4" customHeight="1" x14ac:dyDescent="0.35">
      <c r="A316" s="210">
        <v>315</v>
      </c>
      <c r="B316" s="5" t="s">
        <v>469</v>
      </c>
      <c r="C316" s="5" t="s">
        <v>9</v>
      </c>
      <c r="D316" s="5" t="s">
        <v>470</v>
      </c>
      <c r="E316" s="149">
        <v>45866</v>
      </c>
      <c r="F316" s="149">
        <f t="shared" si="52"/>
        <v>45867</v>
      </c>
      <c r="G316" s="149">
        <f t="shared" si="53"/>
        <v>45880</v>
      </c>
      <c r="H316" s="149">
        <f t="shared" si="54"/>
        <v>45895</v>
      </c>
      <c r="I316" s="149" t="str">
        <f t="shared" si="51"/>
        <v>Jul</v>
      </c>
      <c r="J316" s="216" t="str">
        <f t="shared" ca="1" si="45"/>
        <v/>
      </c>
      <c r="K316" s="149" t="s">
        <v>4</v>
      </c>
      <c r="L316" s="149"/>
      <c r="M316" s="11">
        <v>45866</v>
      </c>
      <c r="N316" s="152">
        <f t="shared" si="46"/>
        <v>0</v>
      </c>
      <c r="O316" s="12" t="str">
        <f t="shared" si="47"/>
        <v>Yes</v>
      </c>
      <c r="P316" s="158"/>
      <c r="Q316" s="157"/>
      <c r="R316" s="11" t="s">
        <v>39</v>
      </c>
      <c r="S316" s="158"/>
      <c r="T316" s="5" t="s">
        <v>40</v>
      </c>
      <c r="U316" s="10"/>
      <c r="V316" s="5"/>
      <c r="W316" s="5"/>
      <c r="X316" s="6"/>
      <c r="BB316" s="7" t="str">
        <v>Quarter 2</v>
      </c>
    </row>
    <row r="317" spans="1:54" ht="31.4" customHeight="1" x14ac:dyDescent="0.35">
      <c r="A317" s="210">
        <v>316</v>
      </c>
      <c r="B317" s="8" t="s">
        <v>68</v>
      </c>
      <c r="C317" s="8" t="s">
        <v>9</v>
      </c>
      <c r="D317" s="8" t="s">
        <v>471</v>
      </c>
      <c r="E317" s="22">
        <v>45866</v>
      </c>
      <c r="F317" s="149">
        <f t="shared" si="52"/>
        <v>45867</v>
      </c>
      <c r="G317" s="149">
        <f t="shared" si="53"/>
        <v>45880</v>
      </c>
      <c r="H317" s="149">
        <f t="shared" si="54"/>
        <v>45895</v>
      </c>
      <c r="I317" s="149" t="str">
        <f t="shared" si="51"/>
        <v>Jul</v>
      </c>
      <c r="J317" s="216" t="str">
        <f t="shared" ca="1" si="45"/>
        <v/>
      </c>
      <c r="K317" s="22" t="s">
        <v>43</v>
      </c>
      <c r="L317" s="149"/>
      <c r="M317" s="11">
        <v>45883</v>
      </c>
      <c r="N317" s="152">
        <f t="shared" si="46"/>
        <v>13</v>
      </c>
      <c r="O317" s="12" t="str">
        <f t="shared" si="47"/>
        <v>Yes</v>
      </c>
      <c r="P317" s="158"/>
      <c r="Q317" s="157"/>
      <c r="R317" s="11" t="s">
        <v>39</v>
      </c>
      <c r="S317" s="158"/>
      <c r="T317" s="5" t="s">
        <v>40</v>
      </c>
      <c r="U317" s="6"/>
      <c r="V317" s="5"/>
      <c r="W317" s="5"/>
      <c r="X317" s="6"/>
      <c r="BB317" s="7" t="str">
        <v>Quarter 2</v>
      </c>
    </row>
    <row r="318" spans="1:54" ht="31.4" customHeight="1" x14ac:dyDescent="0.35">
      <c r="A318" s="210">
        <v>317</v>
      </c>
      <c r="B318" s="5" t="s">
        <v>55</v>
      </c>
      <c r="C318" s="5" t="s">
        <v>13</v>
      </c>
      <c r="D318" s="5" t="s">
        <v>472</v>
      </c>
      <c r="E318" s="149">
        <v>45867</v>
      </c>
      <c r="F318" s="149">
        <f t="shared" si="52"/>
        <v>45868</v>
      </c>
      <c r="G318" s="149">
        <f t="shared" si="53"/>
        <v>45881</v>
      </c>
      <c r="H318" s="149">
        <f t="shared" si="54"/>
        <v>45896</v>
      </c>
      <c r="I318" s="149" t="str">
        <f t="shared" si="51"/>
        <v>Jul</v>
      </c>
      <c r="J318" s="216" t="str">
        <f t="shared" ca="1" si="45"/>
        <v/>
      </c>
      <c r="K318" s="149" t="s">
        <v>4</v>
      </c>
      <c r="L318" s="149"/>
      <c r="M318" s="11">
        <v>45867</v>
      </c>
      <c r="N318" s="152">
        <f t="shared" si="46"/>
        <v>0</v>
      </c>
      <c r="O318" s="12" t="str">
        <f t="shared" si="47"/>
        <v>Yes</v>
      </c>
      <c r="P318" s="158"/>
      <c r="Q318" s="157"/>
      <c r="R318" s="11" t="s">
        <v>39</v>
      </c>
      <c r="S318" s="158"/>
      <c r="T318" s="5" t="s">
        <v>40</v>
      </c>
      <c r="U318" s="10"/>
      <c r="V318" s="5"/>
      <c r="W318" s="5" t="s">
        <v>46</v>
      </c>
      <c r="X318" s="6"/>
      <c r="BB318" s="7" t="str">
        <v>Quarter 2</v>
      </c>
    </row>
    <row r="319" spans="1:54" ht="31.4" customHeight="1" x14ac:dyDescent="0.35">
      <c r="A319" s="210">
        <v>318</v>
      </c>
      <c r="B319" s="5" t="s">
        <v>55</v>
      </c>
      <c r="C319" s="5" t="s">
        <v>13</v>
      </c>
      <c r="D319" s="5" t="s">
        <v>160</v>
      </c>
      <c r="E319" s="149">
        <v>45867</v>
      </c>
      <c r="F319" s="149">
        <f t="shared" si="52"/>
        <v>45868</v>
      </c>
      <c r="G319" s="149">
        <f t="shared" si="53"/>
        <v>45881</v>
      </c>
      <c r="H319" s="149">
        <f t="shared" si="54"/>
        <v>45896</v>
      </c>
      <c r="I319" s="149" t="str">
        <f t="shared" si="51"/>
        <v>Jul</v>
      </c>
      <c r="J319" s="216" t="str">
        <f t="shared" ca="1" si="45"/>
        <v/>
      </c>
      <c r="K319" s="149" t="s">
        <v>43</v>
      </c>
      <c r="L319" s="149"/>
      <c r="M319" s="11">
        <v>45867</v>
      </c>
      <c r="N319" s="152">
        <f t="shared" si="46"/>
        <v>0</v>
      </c>
      <c r="O319" s="12" t="str">
        <f t="shared" si="47"/>
        <v>Yes</v>
      </c>
      <c r="P319" s="158"/>
      <c r="Q319" s="157"/>
      <c r="R319" s="11" t="s">
        <v>39</v>
      </c>
      <c r="S319" s="158"/>
      <c r="T319" s="5" t="s">
        <v>45</v>
      </c>
      <c r="U319" s="10"/>
      <c r="V319" s="5" t="s">
        <v>87</v>
      </c>
      <c r="W319" s="5"/>
      <c r="X319" s="6"/>
      <c r="BB319" s="7" t="str">
        <v>Quarter 2</v>
      </c>
    </row>
    <row r="320" spans="1:54" ht="31.4" customHeight="1" x14ac:dyDescent="0.35">
      <c r="A320" s="210">
        <v>319</v>
      </c>
      <c r="B320" s="5" t="s">
        <v>473</v>
      </c>
      <c r="C320" s="5" t="s">
        <v>9</v>
      </c>
      <c r="D320" s="5" t="s">
        <v>474</v>
      </c>
      <c r="E320" s="149">
        <v>45867</v>
      </c>
      <c r="F320" s="149">
        <f t="shared" si="52"/>
        <v>45868</v>
      </c>
      <c r="G320" s="149">
        <f t="shared" si="53"/>
        <v>45881</v>
      </c>
      <c r="H320" s="149">
        <f t="shared" si="54"/>
        <v>45896</v>
      </c>
      <c r="I320" s="149" t="str">
        <f t="shared" si="51"/>
        <v>Jul</v>
      </c>
      <c r="J320" s="216" t="str">
        <f t="shared" ca="1" si="45"/>
        <v/>
      </c>
      <c r="K320" s="149" t="s">
        <v>43</v>
      </c>
      <c r="L320" s="149"/>
      <c r="M320" s="11">
        <v>45887</v>
      </c>
      <c r="N320" s="152">
        <f t="shared" si="46"/>
        <v>14</v>
      </c>
      <c r="O320" s="12" t="str">
        <f t="shared" si="47"/>
        <v>Yes</v>
      </c>
      <c r="P320" s="158"/>
      <c r="Q320" s="157"/>
      <c r="R320" s="11" t="s">
        <v>39</v>
      </c>
      <c r="S320" s="158"/>
      <c r="T320" s="5" t="s">
        <v>40</v>
      </c>
      <c r="U320" s="10"/>
      <c r="V320" s="5" t="s">
        <v>54</v>
      </c>
      <c r="W320" s="5"/>
      <c r="X320" s="6"/>
      <c r="BB320" s="7" t="str">
        <v>Quarter 2</v>
      </c>
    </row>
    <row r="321" spans="1:54" ht="31.4" customHeight="1" x14ac:dyDescent="0.35">
      <c r="A321" s="210">
        <v>320</v>
      </c>
      <c r="B321" s="5" t="s">
        <v>475</v>
      </c>
      <c r="C321" s="5" t="s">
        <v>5</v>
      </c>
      <c r="D321" s="5" t="s">
        <v>476</v>
      </c>
      <c r="E321" s="149">
        <v>45867</v>
      </c>
      <c r="F321" s="149">
        <f t="shared" si="52"/>
        <v>45868</v>
      </c>
      <c r="G321" s="149">
        <f t="shared" si="53"/>
        <v>45881</v>
      </c>
      <c r="H321" s="149">
        <f t="shared" si="54"/>
        <v>45896</v>
      </c>
      <c r="I321" s="149" t="str">
        <f t="shared" si="51"/>
        <v>Jul</v>
      </c>
      <c r="J321" s="216" t="str">
        <f t="shared" ca="1" si="45"/>
        <v/>
      </c>
      <c r="K321" s="149" t="s">
        <v>7</v>
      </c>
      <c r="L321" s="149"/>
      <c r="M321" s="11">
        <v>45888</v>
      </c>
      <c r="N321" s="152">
        <f t="shared" si="46"/>
        <v>15</v>
      </c>
      <c r="O321" s="12" t="str">
        <f t="shared" si="47"/>
        <v>Yes</v>
      </c>
      <c r="P321" s="158"/>
      <c r="Q321" s="157"/>
      <c r="R321" s="11" t="s">
        <v>39</v>
      </c>
      <c r="S321" s="158"/>
      <c r="T321" s="5" t="s">
        <v>40</v>
      </c>
      <c r="U321" s="6"/>
      <c r="V321" s="5"/>
      <c r="W321" s="5"/>
      <c r="X321" s="6"/>
      <c r="BB321" s="7" t="str">
        <v>Quarter 2</v>
      </c>
    </row>
    <row r="322" spans="1:54" ht="31.4" customHeight="1" x14ac:dyDescent="0.35">
      <c r="A322" s="210">
        <v>321</v>
      </c>
      <c r="B322" s="5" t="s">
        <v>55</v>
      </c>
      <c r="C322" s="5" t="s">
        <v>13</v>
      </c>
      <c r="D322" s="5" t="s">
        <v>477</v>
      </c>
      <c r="E322" s="149">
        <v>45868</v>
      </c>
      <c r="F322" s="149">
        <f t="shared" si="52"/>
        <v>45869</v>
      </c>
      <c r="G322" s="149">
        <f t="shared" si="53"/>
        <v>45882</v>
      </c>
      <c r="H322" s="149">
        <f t="shared" si="54"/>
        <v>45897</v>
      </c>
      <c r="I322" s="149" t="str">
        <f t="shared" si="51"/>
        <v>Jul</v>
      </c>
      <c r="J322" s="216" t="str">
        <f t="shared" ref="J322:J385" ca="1" si="55">IF($E322="","",IF($M322="",$H322-TODAY(),""))</f>
        <v/>
      </c>
      <c r="K322" s="149" t="s">
        <v>4</v>
      </c>
      <c r="L322" s="149"/>
      <c r="M322" s="11">
        <v>45875</v>
      </c>
      <c r="N322" s="152">
        <f t="shared" ref="N322:N385" si="56">IF($M322="","",NETWORKDAYS($E322,$M322,$Z$33:$Z$47)-1)</f>
        <v>5</v>
      </c>
      <c r="O322" s="12" t="str">
        <f t="shared" si="47"/>
        <v>Yes</v>
      </c>
      <c r="P322" s="158"/>
      <c r="Q322" s="157"/>
      <c r="R322" s="11" t="s">
        <v>39</v>
      </c>
      <c r="S322" s="158"/>
      <c r="T322" s="5" t="s">
        <v>40</v>
      </c>
      <c r="U322" s="6"/>
      <c r="V322" s="5" t="s">
        <v>54</v>
      </c>
      <c r="W322" s="5"/>
      <c r="X322" s="6"/>
      <c r="BB322" s="7" t="str">
        <v>Quarter 2</v>
      </c>
    </row>
    <row r="323" spans="1:54" ht="31.4" customHeight="1" x14ac:dyDescent="0.35">
      <c r="A323" s="210">
        <v>322</v>
      </c>
      <c r="B323" s="5" t="s">
        <v>6</v>
      </c>
      <c r="C323" s="5" t="s">
        <v>6</v>
      </c>
      <c r="D323" s="5" t="s">
        <v>478</v>
      </c>
      <c r="E323" s="149">
        <v>45868</v>
      </c>
      <c r="F323" s="149">
        <f t="shared" si="52"/>
        <v>45869</v>
      </c>
      <c r="G323" s="149">
        <f t="shared" si="53"/>
        <v>45882</v>
      </c>
      <c r="H323" s="149">
        <f t="shared" si="54"/>
        <v>45897</v>
      </c>
      <c r="I323" s="149" t="str">
        <f t="shared" si="51"/>
        <v>Jul</v>
      </c>
      <c r="J323" s="216" t="str">
        <f t="shared" ca="1" si="55"/>
        <v/>
      </c>
      <c r="K323" s="149" t="s">
        <v>43</v>
      </c>
      <c r="L323" s="149"/>
      <c r="M323" s="11">
        <v>45873</v>
      </c>
      <c r="N323" s="152">
        <f t="shared" si="56"/>
        <v>3</v>
      </c>
      <c r="O323" s="12" t="str">
        <f t="shared" ref="O323:O386" si="57">IF(ISBLANK($M323),"",IF($N323&lt;21,"Yes","No"))</f>
        <v>Yes</v>
      </c>
      <c r="P323" s="158"/>
      <c r="Q323" s="157"/>
      <c r="R323" s="11" t="s">
        <v>39</v>
      </c>
      <c r="S323" s="158"/>
      <c r="T323" s="5" t="s">
        <v>40</v>
      </c>
      <c r="U323" s="6"/>
      <c r="V323" s="5"/>
      <c r="W323" s="5" t="s">
        <v>46</v>
      </c>
      <c r="X323" s="6"/>
      <c r="BB323" s="7" t="str">
        <v>Quarter 2</v>
      </c>
    </row>
    <row r="324" spans="1:54" ht="31.4" customHeight="1" x14ac:dyDescent="0.35">
      <c r="A324" s="210">
        <v>323</v>
      </c>
      <c r="B324" s="5" t="s">
        <v>6</v>
      </c>
      <c r="C324" s="5" t="s">
        <v>6</v>
      </c>
      <c r="D324" s="5" t="s">
        <v>462</v>
      </c>
      <c r="E324" s="149">
        <v>45868</v>
      </c>
      <c r="F324" s="149">
        <f t="shared" si="52"/>
        <v>45869</v>
      </c>
      <c r="G324" s="149">
        <f t="shared" si="53"/>
        <v>45882</v>
      </c>
      <c r="H324" s="149">
        <f t="shared" si="54"/>
        <v>45897</v>
      </c>
      <c r="I324" s="149" t="str">
        <f t="shared" si="51"/>
        <v>Jul</v>
      </c>
      <c r="J324" s="216" t="str">
        <f t="shared" ca="1" si="55"/>
        <v/>
      </c>
      <c r="K324" s="149" t="s">
        <v>43</v>
      </c>
      <c r="L324" s="149"/>
      <c r="M324" s="11">
        <v>45929</v>
      </c>
      <c r="N324" s="152">
        <f t="shared" si="56"/>
        <v>42</v>
      </c>
      <c r="O324" s="12" t="str">
        <f t="shared" si="57"/>
        <v>No</v>
      </c>
      <c r="P324" s="158"/>
      <c r="Q324" s="157"/>
      <c r="R324" s="11" t="s">
        <v>39</v>
      </c>
      <c r="S324" s="158"/>
      <c r="T324" s="5" t="s">
        <v>40</v>
      </c>
      <c r="U324" s="6"/>
      <c r="V324" s="5"/>
      <c r="W324" s="5"/>
      <c r="X324" s="6"/>
      <c r="BB324" s="7" t="str">
        <v>Quarter 2</v>
      </c>
    </row>
    <row r="325" spans="1:54" ht="31.4" customHeight="1" x14ac:dyDescent="0.35">
      <c r="A325" s="210">
        <v>324</v>
      </c>
      <c r="B325" s="5" t="s">
        <v>55</v>
      </c>
      <c r="C325" s="5" t="s">
        <v>13</v>
      </c>
      <c r="D325" s="5" t="s">
        <v>479</v>
      </c>
      <c r="E325" s="149">
        <v>45868</v>
      </c>
      <c r="F325" s="149">
        <f t="shared" si="52"/>
        <v>45869</v>
      </c>
      <c r="G325" s="149">
        <f t="shared" si="53"/>
        <v>45882</v>
      </c>
      <c r="H325" s="149">
        <f t="shared" si="54"/>
        <v>45897</v>
      </c>
      <c r="I325" s="149" t="str">
        <f t="shared" si="51"/>
        <v>Jul</v>
      </c>
      <c r="J325" s="216" t="str">
        <f t="shared" ca="1" si="55"/>
        <v/>
      </c>
      <c r="K325" s="149" t="s">
        <v>4</v>
      </c>
      <c r="L325" s="149"/>
      <c r="M325" s="11">
        <v>45869</v>
      </c>
      <c r="N325" s="152">
        <f t="shared" si="56"/>
        <v>1</v>
      </c>
      <c r="O325" s="12" t="str">
        <f t="shared" si="57"/>
        <v>Yes</v>
      </c>
      <c r="P325" s="158"/>
      <c r="Q325" s="157"/>
      <c r="R325" s="11" t="s">
        <v>39</v>
      </c>
      <c r="S325" s="158"/>
      <c r="T325" s="5" t="s">
        <v>51</v>
      </c>
      <c r="U325" s="6"/>
      <c r="V325" s="5" t="s">
        <v>87</v>
      </c>
      <c r="W325" s="5"/>
      <c r="X325" s="6"/>
      <c r="BB325" s="7" t="str">
        <v>Quarter 2</v>
      </c>
    </row>
    <row r="326" spans="1:54" ht="31.4" customHeight="1" x14ac:dyDescent="0.35">
      <c r="A326" s="210">
        <v>325</v>
      </c>
      <c r="B326" s="5" t="s">
        <v>480</v>
      </c>
      <c r="C326" s="5" t="s">
        <v>9</v>
      </c>
      <c r="D326" s="5" t="s">
        <v>481</v>
      </c>
      <c r="E326" s="149">
        <v>45869</v>
      </c>
      <c r="F326" s="149">
        <f t="shared" si="52"/>
        <v>45870</v>
      </c>
      <c r="G326" s="149">
        <f t="shared" si="53"/>
        <v>45883</v>
      </c>
      <c r="H326" s="149">
        <f t="shared" si="54"/>
        <v>45898</v>
      </c>
      <c r="I326" s="149" t="str">
        <f t="shared" si="51"/>
        <v>Jul</v>
      </c>
      <c r="J326" s="216" t="str">
        <f t="shared" ca="1" si="55"/>
        <v/>
      </c>
      <c r="K326" s="149" t="s">
        <v>4</v>
      </c>
      <c r="L326" s="149"/>
      <c r="M326" s="11">
        <v>45926</v>
      </c>
      <c r="N326" s="152">
        <f t="shared" si="56"/>
        <v>40</v>
      </c>
      <c r="O326" s="12" t="str">
        <f t="shared" si="57"/>
        <v>No</v>
      </c>
      <c r="P326" s="158"/>
      <c r="Q326" s="157"/>
      <c r="R326" s="11" t="s">
        <v>39</v>
      </c>
      <c r="S326" s="158"/>
      <c r="T326" s="5" t="s">
        <v>40</v>
      </c>
      <c r="U326" s="6"/>
      <c r="V326" s="5"/>
      <c r="W326" s="5"/>
      <c r="X326" s="6"/>
      <c r="BB326" s="7" t="str">
        <v>Quarter 2</v>
      </c>
    </row>
    <row r="327" spans="1:54" ht="31.4" customHeight="1" x14ac:dyDescent="0.35">
      <c r="A327" s="210">
        <v>326</v>
      </c>
      <c r="B327" s="5" t="s">
        <v>482</v>
      </c>
      <c r="C327" s="5" t="s">
        <v>11</v>
      </c>
      <c r="D327" s="12" t="s">
        <v>483</v>
      </c>
      <c r="E327" s="149">
        <v>45869</v>
      </c>
      <c r="F327" s="149">
        <f t="shared" si="52"/>
        <v>45870</v>
      </c>
      <c r="G327" s="149">
        <f t="shared" si="53"/>
        <v>45883</v>
      </c>
      <c r="H327" s="149">
        <f t="shared" si="54"/>
        <v>45898</v>
      </c>
      <c r="I327" s="149" t="str">
        <f t="shared" si="51"/>
        <v>Jul</v>
      </c>
      <c r="J327" s="216" t="str">
        <f t="shared" ca="1" si="55"/>
        <v/>
      </c>
      <c r="K327" s="149" t="s">
        <v>7</v>
      </c>
      <c r="L327" s="149"/>
      <c r="M327" s="11">
        <v>45883</v>
      </c>
      <c r="N327" s="152">
        <f t="shared" si="56"/>
        <v>10</v>
      </c>
      <c r="O327" s="12" t="str">
        <f t="shared" si="57"/>
        <v>Yes</v>
      </c>
      <c r="P327" s="158"/>
      <c r="Q327" s="157"/>
      <c r="R327" s="11" t="s">
        <v>39</v>
      </c>
      <c r="S327" s="158"/>
      <c r="T327" s="5" t="s">
        <v>40</v>
      </c>
      <c r="U327" s="6"/>
      <c r="V327" s="5"/>
      <c r="W327" s="5"/>
      <c r="X327" s="6"/>
      <c r="BB327" s="7" t="str">
        <v>Quarter 2</v>
      </c>
    </row>
    <row r="328" spans="1:54" ht="31.4" customHeight="1" x14ac:dyDescent="0.35">
      <c r="A328" s="210">
        <v>327</v>
      </c>
      <c r="B328" s="5" t="s">
        <v>6</v>
      </c>
      <c r="C328" s="5" t="s">
        <v>6</v>
      </c>
      <c r="D328" s="5" t="s">
        <v>433</v>
      </c>
      <c r="E328" s="149">
        <v>45929</v>
      </c>
      <c r="F328" s="149">
        <f t="shared" si="52"/>
        <v>45930</v>
      </c>
      <c r="G328" s="149">
        <f t="shared" si="53"/>
        <v>45943</v>
      </c>
      <c r="H328" s="149">
        <f t="shared" si="54"/>
        <v>45957</v>
      </c>
      <c r="I328" s="149" t="s">
        <v>484</v>
      </c>
      <c r="J328" s="216" t="str">
        <f t="shared" ca="1" si="55"/>
        <v/>
      </c>
      <c r="K328" s="149" t="s">
        <v>3</v>
      </c>
      <c r="L328" s="149"/>
      <c r="M328" s="11">
        <v>45931</v>
      </c>
      <c r="N328" s="152">
        <f t="shared" si="56"/>
        <v>2</v>
      </c>
      <c r="O328" s="12" t="str">
        <f t="shared" si="57"/>
        <v>Yes</v>
      </c>
      <c r="P328" s="158"/>
      <c r="Q328" s="157"/>
      <c r="R328" s="11" t="s">
        <v>39</v>
      </c>
      <c r="S328" s="158"/>
      <c r="T328" s="5" t="s">
        <v>51</v>
      </c>
      <c r="U328" s="6"/>
      <c r="V328" s="5" t="s">
        <v>102</v>
      </c>
      <c r="W328" s="5"/>
      <c r="X328" s="6"/>
      <c r="BB328" s="7" t="str">
        <v>Quarter 2</v>
      </c>
    </row>
    <row r="329" spans="1:54" ht="31.4" customHeight="1" x14ac:dyDescent="0.35">
      <c r="A329" s="210">
        <v>328</v>
      </c>
      <c r="B329" s="5" t="s">
        <v>485</v>
      </c>
      <c r="C329" s="5" t="s">
        <v>9</v>
      </c>
      <c r="D329" s="5" t="s">
        <v>486</v>
      </c>
      <c r="E329" s="149">
        <v>45870</v>
      </c>
      <c r="F329" s="149">
        <f t="shared" si="52"/>
        <v>45873</v>
      </c>
      <c r="G329" s="149">
        <f t="shared" si="53"/>
        <v>45884</v>
      </c>
      <c r="H329" s="149">
        <f t="shared" si="54"/>
        <v>45901</v>
      </c>
      <c r="I329" s="149" t="str">
        <f t="shared" si="51"/>
        <v>Aug</v>
      </c>
      <c r="J329" s="216" t="str">
        <f t="shared" ca="1" si="55"/>
        <v/>
      </c>
      <c r="K329" s="149" t="s">
        <v>3</v>
      </c>
      <c r="L329" s="149"/>
      <c r="M329" s="11">
        <v>45884</v>
      </c>
      <c r="N329" s="152">
        <f t="shared" si="56"/>
        <v>10</v>
      </c>
      <c r="O329" s="12" t="str">
        <f t="shared" si="57"/>
        <v>Yes</v>
      </c>
      <c r="P329" s="158"/>
      <c r="Q329" s="157"/>
      <c r="R329" s="11" t="s">
        <v>39</v>
      </c>
      <c r="S329" s="158"/>
      <c r="T329" s="5" t="s">
        <v>40</v>
      </c>
      <c r="U329" s="6"/>
      <c r="V329" s="5" t="s">
        <v>54</v>
      </c>
      <c r="W329" s="5"/>
      <c r="X329" s="6"/>
      <c r="BB329" s="7" t="str">
        <v>Quarter 2</v>
      </c>
    </row>
    <row r="330" spans="1:54" ht="31.4" customHeight="1" x14ac:dyDescent="0.35">
      <c r="A330" s="210">
        <v>329</v>
      </c>
      <c r="B330" s="5" t="s">
        <v>6</v>
      </c>
      <c r="C330" s="5" t="s">
        <v>6</v>
      </c>
      <c r="D330" s="5" t="s">
        <v>487</v>
      </c>
      <c r="E330" s="149">
        <v>45870</v>
      </c>
      <c r="F330" s="149">
        <f t="shared" si="52"/>
        <v>45873</v>
      </c>
      <c r="G330" s="149">
        <f t="shared" si="53"/>
        <v>45884</v>
      </c>
      <c r="H330" s="149">
        <f t="shared" si="54"/>
        <v>45901</v>
      </c>
      <c r="I330" s="149" t="str">
        <f t="shared" si="51"/>
        <v>Aug</v>
      </c>
      <c r="J330" s="216" t="str">
        <f t="shared" ca="1" si="55"/>
        <v/>
      </c>
      <c r="K330" s="149" t="s">
        <v>43</v>
      </c>
      <c r="L330" s="149"/>
      <c r="M330" s="11">
        <v>45884</v>
      </c>
      <c r="N330" s="152">
        <f t="shared" si="56"/>
        <v>10</v>
      </c>
      <c r="O330" s="12" t="str">
        <f t="shared" si="57"/>
        <v>Yes</v>
      </c>
      <c r="P330" s="158"/>
      <c r="Q330" s="157"/>
      <c r="R330" s="11" t="s">
        <v>39</v>
      </c>
      <c r="S330" s="158"/>
      <c r="T330" s="5" t="s">
        <v>40</v>
      </c>
      <c r="U330" s="6"/>
      <c r="V330" s="5"/>
      <c r="W330" s="5" t="s">
        <v>46</v>
      </c>
      <c r="X330" s="6"/>
      <c r="BB330" s="7" t="str">
        <v>Quarter 2</v>
      </c>
    </row>
    <row r="331" spans="1:54" ht="31.4" customHeight="1" x14ac:dyDescent="0.35">
      <c r="A331" s="210">
        <v>330</v>
      </c>
      <c r="B331" s="8" t="s">
        <v>6</v>
      </c>
      <c r="C331" s="8" t="s">
        <v>6</v>
      </c>
      <c r="D331" s="8" t="s">
        <v>488</v>
      </c>
      <c r="E331" s="149">
        <v>45870</v>
      </c>
      <c r="F331" s="149">
        <f t="shared" si="52"/>
        <v>45873</v>
      </c>
      <c r="G331" s="149">
        <f t="shared" si="53"/>
        <v>45884</v>
      </c>
      <c r="H331" s="149">
        <f t="shared" si="54"/>
        <v>45901</v>
      </c>
      <c r="I331" s="149" t="str">
        <f t="shared" si="51"/>
        <v>Aug</v>
      </c>
      <c r="J331" s="216" t="str">
        <f t="shared" ca="1" si="55"/>
        <v/>
      </c>
      <c r="K331" s="149" t="s">
        <v>4</v>
      </c>
      <c r="L331" s="149"/>
      <c r="M331" s="11">
        <v>45874</v>
      </c>
      <c r="N331" s="152">
        <f t="shared" si="56"/>
        <v>2</v>
      </c>
      <c r="O331" s="12" t="str">
        <f t="shared" si="57"/>
        <v>Yes</v>
      </c>
      <c r="P331" s="158"/>
      <c r="Q331" s="157"/>
      <c r="R331" s="11" t="s">
        <v>39</v>
      </c>
      <c r="S331" s="158"/>
      <c r="T331" s="5" t="s">
        <v>40</v>
      </c>
      <c r="U331" s="6"/>
      <c r="V331" s="5"/>
      <c r="W331" s="5"/>
      <c r="X331" s="6"/>
      <c r="BB331" s="7" t="str">
        <v>Quarter 2</v>
      </c>
    </row>
    <row r="332" spans="1:54" ht="31.4" customHeight="1" x14ac:dyDescent="0.35">
      <c r="A332" s="210">
        <v>331</v>
      </c>
      <c r="B332" s="5" t="s">
        <v>6</v>
      </c>
      <c r="C332" s="5" t="s">
        <v>6</v>
      </c>
      <c r="D332" s="5" t="s">
        <v>489</v>
      </c>
      <c r="E332" s="149">
        <v>45873</v>
      </c>
      <c r="F332" s="149">
        <f t="shared" si="52"/>
        <v>45874</v>
      </c>
      <c r="G332" s="149">
        <f t="shared" si="53"/>
        <v>45887</v>
      </c>
      <c r="H332" s="149">
        <f t="shared" si="54"/>
        <v>45902</v>
      </c>
      <c r="I332" s="149" t="str">
        <f t="shared" si="51"/>
        <v>Aug</v>
      </c>
      <c r="J332" s="216" t="str">
        <f t="shared" ca="1" si="55"/>
        <v/>
      </c>
      <c r="K332" s="149" t="s">
        <v>43</v>
      </c>
      <c r="L332" s="149"/>
      <c r="M332" s="11">
        <v>45888</v>
      </c>
      <c r="N332" s="152">
        <f t="shared" si="56"/>
        <v>11</v>
      </c>
      <c r="O332" s="12" t="str">
        <f t="shared" si="57"/>
        <v>Yes</v>
      </c>
      <c r="P332" s="158"/>
      <c r="Q332" s="157"/>
      <c r="R332" s="11" t="s">
        <v>39</v>
      </c>
      <c r="S332" s="158"/>
      <c r="T332" s="5" t="s">
        <v>40</v>
      </c>
      <c r="U332" s="6"/>
      <c r="V332" s="5"/>
      <c r="W332" s="5" t="s">
        <v>46</v>
      </c>
      <c r="X332" s="6"/>
      <c r="BB332" s="7" t="str">
        <v>Quarter 2</v>
      </c>
    </row>
    <row r="333" spans="1:54" ht="31.4" customHeight="1" x14ac:dyDescent="0.35">
      <c r="A333" s="210">
        <v>332</v>
      </c>
      <c r="B333" s="5" t="s">
        <v>55</v>
      </c>
      <c r="C333" s="5" t="s">
        <v>13</v>
      </c>
      <c r="D333" s="5" t="s">
        <v>490</v>
      </c>
      <c r="E333" s="149">
        <v>45873</v>
      </c>
      <c r="F333" s="149">
        <f t="shared" si="52"/>
        <v>45874</v>
      </c>
      <c r="G333" s="149">
        <f t="shared" si="53"/>
        <v>45887</v>
      </c>
      <c r="H333" s="149">
        <f t="shared" si="54"/>
        <v>45902</v>
      </c>
      <c r="I333" s="149" t="str">
        <f t="shared" si="51"/>
        <v>Aug</v>
      </c>
      <c r="J333" s="216" t="str">
        <f t="shared" ca="1" si="55"/>
        <v/>
      </c>
      <c r="K333" s="149" t="s">
        <v>43</v>
      </c>
      <c r="L333" s="149"/>
      <c r="M333" s="11">
        <v>45874</v>
      </c>
      <c r="N333" s="152">
        <f t="shared" si="56"/>
        <v>1</v>
      </c>
      <c r="O333" s="12" t="str">
        <f t="shared" si="57"/>
        <v>Yes</v>
      </c>
      <c r="P333" s="158"/>
      <c r="Q333" s="157"/>
      <c r="R333" s="11" t="s">
        <v>39</v>
      </c>
      <c r="S333" s="158"/>
      <c r="T333" s="5" t="s">
        <v>40</v>
      </c>
      <c r="U333" s="6"/>
      <c r="V333" s="5"/>
      <c r="W333" s="5"/>
      <c r="X333" s="6"/>
      <c r="BB333" s="7" t="str">
        <v>Quarter 2</v>
      </c>
    </row>
    <row r="334" spans="1:54" ht="31.4" customHeight="1" x14ac:dyDescent="0.35">
      <c r="A334" s="210">
        <v>333</v>
      </c>
      <c r="B334" s="5" t="s">
        <v>6</v>
      </c>
      <c r="C334" s="5" t="s">
        <v>6</v>
      </c>
      <c r="D334" s="5" t="s">
        <v>1851</v>
      </c>
      <c r="E334" s="149">
        <v>45873</v>
      </c>
      <c r="F334" s="149">
        <f t="shared" si="52"/>
        <v>45874</v>
      </c>
      <c r="G334" s="149">
        <f t="shared" si="53"/>
        <v>45887</v>
      </c>
      <c r="H334" s="149">
        <f t="shared" si="54"/>
        <v>45902</v>
      </c>
      <c r="I334" s="149" t="str">
        <f t="shared" si="51"/>
        <v>Aug</v>
      </c>
      <c r="J334" s="216" t="str">
        <f t="shared" ca="1" si="55"/>
        <v/>
      </c>
      <c r="K334" s="149" t="s">
        <v>4</v>
      </c>
      <c r="L334" s="149"/>
      <c r="M334" s="11">
        <v>45881</v>
      </c>
      <c r="N334" s="152">
        <f t="shared" si="56"/>
        <v>6</v>
      </c>
      <c r="O334" s="12" t="str">
        <f t="shared" si="57"/>
        <v>Yes</v>
      </c>
      <c r="P334" s="158"/>
      <c r="Q334" s="157"/>
      <c r="R334" s="11" t="s">
        <v>39</v>
      </c>
      <c r="S334" s="158"/>
      <c r="T334" s="5" t="s">
        <v>40</v>
      </c>
      <c r="U334" s="6"/>
      <c r="V334" s="5" t="s">
        <v>87</v>
      </c>
      <c r="W334" s="5" t="s">
        <v>46</v>
      </c>
      <c r="X334" s="6"/>
      <c r="BB334" s="7" t="str">
        <v>Quarter 2</v>
      </c>
    </row>
    <row r="335" spans="1:54" ht="31.4" customHeight="1" x14ac:dyDescent="0.35">
      <c r="A335" s="210">
        <v>334</v>
      </c>
      <c r="B335" s="5" t="s">
        <v>491</v>
      </c>
      <c r="C335" s="5" t="s">
        <v>9</v>
      </c>
      <c r="D335" s="5" t="s">
        <v>492</v>
      </c>
      <c r="E335" s="149">
        <v>45884</v>
      </c>
      <c r="F335" s="149">
        <f t="shared" si="52"/>
        <v>45887</v>
      </c>
      <c r="G335" s="149">
        <f t="shared" si="53"/>
        <v>45901</v>
      </c>
      <c r="H335" s="149">
        <f t="shared" si="54"/>
        <v>45915</v>
      </c>
      <c r="I335" s="149" t="str">
        <f t="shared" si="51"/>
        <v>Aug</v>
      </c>
      <c r="J335" s="216" t="str">
        <f t="shared" ca="1" si="55"/>
        <v/>
      </c>
      <c r="K335" s="149" t="s">
        <v>7</v>
      </c>
      <c r="L335" s="149"/>
      <c r="M335" s="11">
        <v>45904</v>
      </c>
      <c r="N335" s="152">
        <f t="shared" si="56"/>
        <v>13</v>
      </c>
      <c r="O335" s="12" t="str">
        <f t="shared" si="57"/>
        <v>Yes</v>
      </c>
      <c r="P335" s="158"/>
      <c r="Q335" s="157"/>
      <c r="R335" s="11" t="s">
        <v>39</v>
      </c>
      <c r="S335" s="158"/>
      <c r="T335" s="5" t="s">
        <v>40</v>
      </c>
      <c r="U335" s="6"/>
      <c r="V335" s="5"/>
      <c r="W335" s="5"/>
      <c r="X335" s="6"/>
      <c r="BB335" s="7" t="str">
        <v>Quarter 2</v>
      </c>
    </row>
    <row r="336" spans="1:54" ht="31.4" customHeight="1" x14ac:dyDescent="0.35">
      <c r="A336" s="210">
        <v>335</v>
      </c>
      <c r="B336" s="5" t="s">
        <v>493</v>
      </c>
      <c r="C336" s="5" t="s">
        <v>5</v>
      </c>
      <c r="D336" s="5" t="s">
        <v>494</v>
      </c>
      <c r="E336" s="149">
        <v>45873</v>
      </c>
      <c r="F336" s="149">
        <f t="shared" si="52"/>
        <v>45874</v>
      </c>
      <c r="G336" s="149">
        <f t="shared" si="53"/>
        <v>45887</v>
      </c>
      <c r="H336" s="149">
        <f t="shared" si="54"/>
        <v>45902</v>
      </c>
      <c r="I336" s="149" t="str">
        <f t="shared" si="51"/>
        <v>Aug</v>
      </c>
      <c r="J336" s="216" t="str">
        <f t="shared" ca="1" si="55"/>
        <v/>
      </c>
      <c r="K336" s="149" t="s">
        <v>3</v>
      </c>
      <c r="L336" s="149"/>
      <c r="M336" s="11">
        <v>45992</v>
      </c>
      <c r="N336" s="152">
        <f t="shared" si="56"/>
        <v>84</v>
      </c>
      <c r="O336" s="12" t="str">
        <f t="shared" si="57"/>
        <v>No</v>
      </c>
      <c r="P336" s="158"/>
      <c r="Q336" s="157"/>
      <c r="R336" s="11" t="s">
        <v>39</v>
      </c>
      <c r="S336" s="158"/>
      <c r="T336" s="5" t="s">
        <v>40</v>
      </c>
      <c r="U336" s="6"/>
      <c r="V336" s="5"/>
      <c r="W336" s="5" t="s">
        <v>46</v>
      </c>
      <c r="X336" s="6"/>
      <c r="BB336" s="7" t="str">
        <v>Quarter 2</v>
      </c>
    </row>
    <row r="337" spans="1:54" ht="31.4" customHeight="1" x14ac:dyDescent="0.35">
      <c r="A337" s="210">
        <v>336</v>
      </c>
      <c r="B337" s="5" t="s">
        <v>55</v>
      </c>
      <c r="C337" s="5" t="s">
        <v>13</v>
      </c>
      <c r="D337" s="5" t="s">
        <v>495</v>
      </c>
      <c r="E337" s="149">
        <v>45873</v>
      </c>
      <c r="F337" s="149">
        <f t="shared" si="52"/>
        <v>45874</v>
      </c>
      <c r="G337" s="149">
        <f t="shared" si="53"/>
        <v>45887</v>
      </c>
      <c r="H337" s="149">
        <f t="shared" si="54"/>
        <v>45902</v>
      </c>
      <c r="I337" s="149" t="str">
        <f t="shared" si="51"/>
        <v>Aug</v>
      </c>
      <c r="J337" s="216" t="str">
        <f t="shared" ca="1" si="55"/>
        <v/>
      </c>
      <c r="K337" s="149" t="s">
        <v>4</v>
      </c>
      <c r="L337" s="149"/>
      <c r="M337" s="11">
        <v>45882</v>
      </c>
      <c r="N337" s="152">
        <f t="shared" si="56"/>
        <v>7</v>
      </c>
      <c r="O337" s="12" t="str">
        <f t="shared" si="57"/>
        <v>Yes</v>
      </c>
      <c r="P337" s="158"/>
      <c r="Q337" s="157"/>
      <c r="R337" s="11" t="s">
        <v>39</v>
      </c>
      <c r="S337" s="158"/>
      <c r="T337" s="5" t="s">
        <v>40</v>
      </c>
      <c r="U337" s="6"/>
      <c r="V337" s="5"/>
      <c r="W337" s="5" t="s">
        <v>46</v>
      </c>
      <c r="X337" s="6"/>
      <c r="BB337" s="7" t="str">
        <v>Quarter 2</v>
      </c>
    </row>
    <row r="338" spans="1:54" ht="31.4" customHeight="1" x14ac:dyDescent="0.35">
      <c r="A338" s="210">
        <v>337</v>
      </c>
      <c r="B338" s="5" t="s">
        <v>392</v>
      </c>
      <c r="C338" s="5" t="s">
        <v>5</v>
      </c>
      <c r="D338" s="5" t="s">
        <v>496</v>
      </c>
      <c r="E338" s="149">
        <v>45873</v>
      </c>
      <c r="F338" s="149">
        <f t="shared" si="52"/>
        <v>45874</v>
      </c>
      <c r="G338" s="149">
        <f t="shared" si="53"/>
        <v>45887</v>
      </c>
      <c r="H338" s="149">
        <f t="shared" si="54"/>
        <v>45902</v>
      </c>
      <c r="I338" s="149" t="str">
        <f t="shared" si="51"/>
        <v>Aug</v>
      </c>
      <c r="J338" s="216" t="str">
        <f t="shared" ca="1" si="55"/>
        <v/>
      </c>
      <c r="K338" s="149" t="s">
        <v>4</v>
      </c>
      <c r="L338" s="149"/>
      <c r="M338" s="11">
        <v>45926</v>
      </c>
      <c r="N338" s="152">
        <f t="shared" si="56"/>
        <v>38</v>
      </c>
      <c r="O338" s="12" t="str">
        <f t="shared" si="57"/>
        <v>No</v>
      </c>
      <c r="P338" s="158"/>
      <c r="Q338" s="157"/>
      <c r="R338" s="11" t="s">
        <v>39</v>
      </c>
      <c r="S338" s="158"/>
      <c r="T338" s="5" t="s">
        <v>40</v>
      </c>
      <c r="U338" s="6"/>
      <c r="V338" s="5"/>
      <c r="W338" s="5"/>
      <c r="X338" s="6"/>
      <c r="BB338" s="7" t="str">
        <v>Quarter 2</v>
      </c>
    </row>
    <row r="339" spans="1:54" ht="31.4" customHeight="1" x14ac:dyDescent="0.35">
      <c r="A339" s="210">
        <v>338</v>
      </c>
      <c r="B339" s="5" t="s">
        <v>6</v>
      </c>
      <c r="C339" s="5" t="s">
        <v>6</v>
      </c>
      <c r="D339" s="5" t="s">
        <v>497</v>
      </c>
      <c r="E339" s="149">
        <v>45874</v>
      </c>
      <c r="F339" s="149">
        <f t="shared" si="52"/>
        <v>45875</v>
      </c>
      <c r="G339" s="149">
        <f t="shared" si="53"/>
        <v>45888</v>
      </c>
      <c r="H339" s="149">
        <f t="shared" si="54"/>
        <v>45903</v>
      </c>
      <c r="I339" s="149" t="str">
        <f t="shared" si="51"/>
        <v>Aug</v>
      </c>
      <c r="J339" s="216" t="str">
        <f t="shared" ca="1" si="55"/>
        <v/>
      </c>
      <c r="K339" s="149" t="s">
        <v>4</v>
      </c>
      <c r="L339" s="149"/>
      <c r="M339" s="11">
        <v>45880</v>
      </c>
      <c r="N339" s="152">
        <f t="shared" si="56"/>
        <v>4</v>
      </c>
      <c r="O339" s="12" t="str">
        <f t="shared" si="57"/>
        <v>Yes</v>
      </c>
      <c r="P339" s="158"/>
      <c r="Q339" s="157"/>
      <c r="R339" s="11" t="s">
        <v>39</v>
      </c>
      <c r="S339" s="158"/>
      <c r="T339" s="5" t="s">
        <v>40</v>
      </c>
      <c r="U339" s="6"/>
      <c r="V339" s="5" t="s">
        <v>87</v>
      </c>
      <c r="W339" s="5"/>
      <c r="X339" s="6"/>
      <c r="BB339" s="7" t="str">
        <v>Quarter 2</v>
      </c>
    </row>
    <row r="340" spans="1:54" ht="31.4" customHeight="1" x14ac:dyDescent="0.35">
      <c r="A340" s="210">
        <v>339</v>
      </c>
      <c r="B340" s="5" t="s">
        <v>6</v>
      </c>
      <c r="C340" s="5" t="s">
        <v>6</v>
      </c>
      <c r="D340" s="5" t="s">
        <v>498</v>
      </c>
      <c r="E340" s="149">
        <v>45873</v>
      </c>
      <c r="F340" s="149">
        <f t="shared" si="52"/>
        <v>45874</v>
      </c>
      <c r="G340" s="149">
        <f t="shared" si="53"/>
        <v>45887</v>
      </c>
      <c r="H340" s="149">
        <f t="shared" si="54"/>
        <v>45902</v>
      </c>
      <c r="I340" s="149" t="str">
        <f t="shared" si="51"/>
        <v>Aug</v>
      </c>
      <c r="J340" s="216" t="str">
        <f t="shared" ca="1" si="55"/>
        <v/>
      </c>
      <c r="K340" s="149" t="s">
        <v>43</v>
      </c>
      <c r="L340" s="149"/>
      <c r="M340" s="11">
        <v>45887</v>
      </c>
      <c r="N340" s="152">
        <f t="shared" si="56"/>
        <v>10</v>
      </c>
      <c r="O340" s="12" t="str">
        <f t="shared" si="57"/>
        <v>Yes</v>
      </c>
      <c r="P340" s="158"/>
      <c r="Q340" s="157"/>
      <c r="R340" s="11" t="s">
        <v>39</v>
      </c>
      <c r="S340" s="158"/>
      <c r="T340" s="5" t="s">
        <v>40</v>
      </c>
      <c r="U340" s="6"/>
      <c r="V340" s="5"/>
      <c r="W340" s="5"/>
      <c r="X340" s="6"/>
      <c r="BB340" s="7" t="str">
        <v>Quarter 2</v>
      </c>
    </row>
    <row r="341" spans="1:54" ht="31.4" customHeight="1" x14ac:dyDescent="0.35">
      <c r="A341" s="210">
        <v>340</v>
      </c>
      <c r="B341" s="5" t="s">
        <v>499</v>
      </c>
      <c r="C341" s="5" t="s">
        <v>9</v>
      </c>
      <c r="D341" s="5" t="s">
        <v>500</v>
      </c>
      <c r="E341" s="149">
        <v>45874</v>
      </c>
      <c r="F341" s="149">
        <f t="shared" si="52"/>
        <v>45875</v>
      </c>
      <c r="G341" s="149">
        <f t="shared" si="53"/>
        <v>45888</v>
      </c>
      <c r="H341" s="149">
        <f t="shared" si="54"/>
        <v>45903</v>
      </c>
      <c r="I341" s="149" t="str">
        <f t="shared" si="51"/>
        <v>Aug</v>
      </c>
      <c r="J341" s="216" t="str">
        <f t="shared" ca="1" si="55"/>
        <v/>
      </c>
      <c r="K341" s="149" t="s">
        <v>7</v>
      </c>
      <c r="L341" s="149"/>
      <c r="M341" s="11">
        <v>45877</v>
      </c>
      <c r="N341" s="152">
        <f t="shared" si="56"/>
        <v>3</v>
      </c>
      <c r="O341" s="12" t="str">
        <f t="shared" si="57"/>
        <v>Yes</v>
      </c>
      <c r="P341" s="158"/>
      <c r="Q341" s="157"/>
      <c r="R341" s="11" t="s">
        <v>39</v>
      </c>
      <c r="S341" s="158"/>
      <c r="T341" s="5" t="s">
        <v>40</v>
      </c>
      <c r="U341" s="6"/>
      <c r="V341" s="5"/>
      <c r="W341" s="5"/>
      <c r="X341" s="6"/>
      <c r="BB341" s="7" t="str">
        <v>Quarter 2</v>
      </c>
    </row>
    <row r="342" spans="1:54" ht="31.4" customHeight="1" x14ac:dyDescent="0.35">
      <c r="A342" s="210">
        <v>341</v>
      </c>
      <c r="B342" s="5" t="s">
        <v>501</v>
      </c>
      <c r="C342" s="5" t="s">
        <v>5</v>
      </c>
      <c r="D342" s="5" t="s">
        <v>502</v>
      </c>
      <c r="E342" s="149">
        <v>45875</v>
      </c>
      <c r="F342" s="149">
        <f t="shared" si="52"/>
        <v>45876</v>
      </c>
      <c r="G342" s="149">
        <f t="shared" si="53"/>
        <v>45889</v>
      </c>
      <c r="H342" s="149">
        <f t="shared" si="54"/>
        <v>45904</v>
      </c>
      <c r="I342" s="149" t="str">
        <f t="shared" si="51"/>
        <v>Aug</v>
      </c>
      <c r="J342" s="216" t="str">
        <f t="shared" ca="1" si="55"/>
        <v/>
      </c>
      <c r="K342" s="149" t="s">
        <v>43</v>
      </c>
      <c r="L342" s="149"/>
      <c r="M342" s="11">
        <v>45875</v>
      </c>
      <c r="N342" s="152">
        <f t="shared" si="56"/>
        <v>0</v>
      </c>
      <c r="O342" s="12" t="str">
        <f t="shared" si="57"/>
        <v>Yes</v>
      </c>
      <c r="P342" s="158"/>
      <c r="Q342" s="157"/>
      <c r="R342" s="11" t="s">
        <v>39</v>
      </c>
      <c r="S342" s="158"/>
      <c r="T342" s="5" t="s">
        <v>62</v>
      </c>
      <c r="U342" s="6"/>
      <c r="V342" s="5"/>
      <c r="W342" s="5"/>
      <c r="X342" s="6"/>
      <c r="BB342" s="7" t="str">
        <v>Quarter 2</v>
      </c>
    </row>
    <row r="343" spans="1:54" ht="31.4" customHeight="1" x14ac:dyDescent="0.35">
      <c r="A343" s="210">
        <v>342</v>
      </c>
      <c r="B343" s="5" t="s">
        <v>387</v>
      </c>
      <c r="C343" s="5" t="s">
        <v>5</v>
      </c>
      <c r="D343" s="5" t="s">
        <v>1863</v>
      </c>
      <c r="E343" s="149">
        <v>45875</v>
      </c>
      <c r="F343" s="149">
        <f t="shared" si="52"/>
        <v>45876</v>
      </c>
      <c r="G343" s="149">
        <f t="shared" si="53"/>
        <v>45889</v>
      </c>
      <c r="H343" s="149">
        <f t="shared" si="54"/>
        <v>45904</v>
      </c>
      <c r="I343" s="149" t="str">
        <f t="shared" si="51"/>
        <v>Aug</v>
      </c>
      <c r="J343" s="216" t="str">
        <f t="shared" ca="1" si="55"/>
        <v/>
      </c>
      <c r="K343" s="149" t="s">
        <v>7</v>
      </c>
      <c r="L343" s="149"/>
      <c r="M343" s="11">
        <v>45884</v>
      </c>
      <c r="N343" s="152">
        <f t="shared" si="56"/>
        <v>7</v>
      </c>
      <c r="O343" s="12" t="str">
        <f t="shared" si="57"/>
        <v>Yes</v>
      </c>
      <c r="P343" s="158"/>
      <c r="Q343" s="157"/>
      <c r="R343" s="11" t="s">
        <v>39</v>
      </c>
      <c r="S343" s="158"/>
      <c r="T343" s="5" t="s">
        <v>40</v>
      </c>
      <c r="U343" s="6"/>
      <c r="V343" s="5"/>
      <c r="W343" s="5"/>
      <c r="X343" s="6"/>
      <c r="BB343" s="7" t="str">
        <v>Quarter 2</v>
      </c>
    </row>
    <row r="344" spans="1:54" ht="31.4" customHeight="1" x14ac:dyDescent="0.35">
      <c r="A344" s="210">
        <v>343</v>
      </c>
      <c r="B344" s="5" t="s">
        <v>503</v>
      </c>
      <c r="C344" s="5" t="s">
        <v>11</v>
      </c>
      <c r="D344" s="5" t="s">
        <v>504</v>
      </c>
      <c r="E344" s="149">
        <v>45875</v>
      </c>
      <c r="F344" s="149">
        <f t="shared" si="52"/>
        <v>45876</v>
      </c>
      <c r="G344" s="149">
        <f t="shared" si="53"/>
        <v>45889</v>
      </c>
      <c r="H344" s="149">
        <f t="shared" si="54"/>
        <v>45904</v>
      </c>
      <c r="I344" s="149" t="str">
        <f t="shared" si="51"/>
        <v>Aug</v>
      </c>
      <c r="J344" s="216" t="str">
        <f t="shared" ca="1" si="55"/>
        <v/>
      </c>
      <c r="K344" s="149" t="s">
        <v>43</v>
      </c>
      <c r="L344" s="149"/>
      <c r="M344" s="11">
        <v>45948</v>
      </c>
      <c r="N344" s="152">
        <f t="shared" si="56"/>
        <v>51</v>
      </c>
      <c r="O344" s="12" t="str">
        <f t="shared" si="57"/>
        <v>No</v>
      </c>
      <c r="P344" s="158"/>
      <c r="Q344" s="157"/>
      <c r="R344" s="11" t="s">
        <v>39</v>
      </c>
      <c r="S344" s="158"/>
      <c r="T344" s="5" t="s">
        <v>40</v>
      </c>
      <c r="U344" s="6"/>
      <c r="V344" s="5"/>
      <c r="W344" s="5" t="s">
        <v>46</v>
      </c>
      <c r="X344" s="6"/>
      <c r="BB344" s="7" t="str">
        <v>Quarter 2</v>
      </c>
    </row>
    <row r="345" spans="1:54" ht="31.4" customHeight="1" x14ac:dyDescent="0.35">
      <c r="A345" s="210">
        <v>344</v>
      </c>
      <c r="B345" s="5" t="s">
        <v>505</v>
      </c>
      <c r="C345" s="5" t="s">
        <v>9</v>
      </c>
      <c r="D345" s="5" t="s">
        <v>506</v>
      </c>
      <c r="E345" s="149">
        <v>45875</v>
      </c>
      <c r="F345" s="149">
        <f t="shared" si="52"/>
        <v>45876</v>
      </c>
      <c r="G345" s="149">
        <f t="shared" si="53"/>
        <v>45889</v>
      </c>
      <c r="H345" s="149">
        <f t="shared" si="54"/>
        <v>45904</v>
      </c>
      <c r="I345" s="149" t="str">
        <f t="shared" si="51"/>
        <v>Aug</v>
      </c>
      <c r="J345" s="216" t="str">
        <f t="shared" ca="1" si="55"/>
        <v/>
      </c>
      <c r="K345" s="149" t="s">
        <v>4</v>
      </c>
      <c r="L345" s="149"/>
      <c r="M345" s="11">
        <v>45881</v>
      </c>
      <c r="N345" s="152">
        <f t="shared" si="56"/>
        <v>4</v>
      </c>
      <c r="O345" s="12" t="str">
        <f t="shared" si="57"/>
        <v>Yes</v>
      </c>
      <c r="P345" s="158"/>
      <c r="Q345" s="157"/>
      <c r="R345" s="11" t="s">
        <v>39</v>
      </c>
      <c r="S345" s="158"/>
      <c r="T345" s="5" t="s">
        <v>51</v>
      </c>
      <c r="U345" s="6"/>
      <c r="V345" s="5"/>
      <c r="W345" s="5" t="s">
        <v>507</v>
      </c>
      <c r="X345" s="6"/>
      <c r="BB345" s="7" t="str">
        <v>Quarter 2</v>
      </c>
    </row>
    <row r="346" spans="1:54" ht="31.4" customHeight="1" x14ac:dyDescent="0.35">
      <c r="A346" s="210">
        <v>345</v>
      </c>
      <c r="B346" s="5" t="s">
        <v>214</v>
      </c>
      <c r="C346" s="5" t="s">
        <v>5</v>
      </c>
      <c r="D346" s="5" t="s">
        <v>508</v>
      </c>
      <c r="E346" s="149">
        <v>45875</v>
      </c>
      <c r="F346" s="149">
        <f t="shared" si="52"/>
        <v>45876</v>
      </c>
      <c r="G346" s="149">
        <f t="shared" si="53"/>
        <v>45889</v>
      </c>
      <c r="H346" s="149">
        <f t="shared" si="54"/>
        <v>45904</v>
      </c>
      <c r="I346" s="149" t="str">
        <f t="shared" si="51"/>
        <v>Aug</v>
      </c>
      <c r="J346" s="216" t="str">
        <f t="shared" ca="1" si="55"/>
        <v/>
      </c>
      <c r="K346" s="149" t="s">
        <v>43</v>
      </c>
      <c r="L346" s="149"/>
      <c r="M346" s="11">
        <v>45877</v>
      </c>
      <c r="N346" s="152">
        <f t="shared" si="56"/>
        <v>2</v>
      </c>
      <c r="O346" s="12" t="str">
        <f t="shared" si="57"/>
        <v>Yes</v>
      </c>
      <c r="P346" s="158"/>
      <c r="Q346" s="157"/>
      <c r="R346" s="11" t="s">
        <v>39</v>
      </c>
      <c r="S346" s="158"/>
      <c r="T346" s="5" t="s">
        <v>40</v>
      </c>
      <c r="U346" s="6"/>
      <c r="V346" s="5"/>
      <c r="W346" s="5"/>
      <c r="X346" s="6"/>
      <c r="BB346" s="7" t="str">
        <v>Quarter 2</v>
      </c>
    </row>
    <row r="347" spans="1:54" ht="31.4" customHeight="1" x14ac:dyDescent="0.35">
      <c r="A347" s="210">
        <v>346</v>
      </c>
      <c r="B347" s="5" t="s">
        <v>297</v>
      </c>
      <c r="C347" s="5" t="s">
        <v>5</v>
      </c>
      <c r="D347" s="5" t="s">
        <v>509</v>
      </c>
      <c r="E347" s="149">
        <v>45875</v>
      </c>
      <c r="F347" s="149">
        <f t="shared" ref="F347:F378" si="58">IF($E347="","",WORKDAY($E347,1,$Z$33:$Z$47))</f>
        <v>45876</v>
      </c>
      <c r="G347" s="149">
        <f t="shared" ref="G347:G378" si="59">IF($E347="","",WORKDAY($E347,10,$Z$33:$Z$47))</f>
        <v>45889</v>
      </c>
      <c r="H347" s="149">
        <f t="shared" ref="H347:H378" si="60">IF($E347="","",WORKDAY($E347,20,$Z$33:$Z$47))</f>
        <v>45904</v>
      </c>
      <c r="I347" s="149" t="str">
        <f t="shared" si="51"/>
        <v>Aug</v>
      </c>
      <c r="J347" s="216" t="str">
        <f t="shared" ca="1" si="55"/>
        <v/>
      </c>
      <c r="K347" s="149" t="s">
        <v>3</v>
      </c>
      <c r="L347" s="149"/>
      <c r="M347" s="11">
        <v>46034</v>
      </c>
      <c r="N347" s="152">
        <f t="shared" si="56"/>
        <v>109</v>
      </c>
      <c r="O347" s="12" t="str">
        <f t="shared" si="57"/>
        <v>No</v>
      </c>
      <c r="P347" s="158"/>
      <c r="Q347" s="157"/>
      <c r="R347" s="11" t="s">
        <v>39</v>
      </c>
      <c r="S347" s="158"/>
      <c r="T347" s="5" t="s">
        <v>40</v>
      </c>
      <c r="U347" s="6"/>
      <c r="V347" s="5"/>
      <c r="W347" s="5"/>
      <c r="X347" s="6"/>
      <c r="BB347" s="7" t="str">
        <v>Quarter 2</v>
      </c>
    </row>
    <row r="348" spans="1:54" ht="31.4" customHeight="1" x14ac:dyDescent="0.35">
      <c r="A348" s="210">
        <v>347</v>
      </c>
      <c r="B348" s="5" t="s">
        <v>6</v>
      </c>
      <c r="C348" s="5" t="s">
        <v>6</v>
      </c>
      <c r="D348" s="5" t="s">
        <v>510</v>
      </c>
      <c r="E348" s="149">
        <v>45876</v>
      </c>
      <c r="F348" s="149">
        <f t="shared" si="58"/>
        <v>45877</v>
      </c>
      <c r="G348" s="149">
        <f t="shared" si="59"/>
        <v>45890</v>
      </c>
      <c r="H348" s="149">
        <f t="shared" si="60"/>
        <v>45905</v>
      </c>
      <c r="I348" s="149" t="str">
        <f t="shared" si="51"/>
        <v>Aug</v>
      </c>
      <c r="J348" s="216" t="str">
        <f t="shared" ca="1" si="55"/>
        <v/>
      </c>
      <c r="K348" s="149" t="s">
        <v>4</v>
      </c>
      <c r="L348" s="149"/>
      <c r="M348" s="11">
        <v>45876</v>
      </c>
      <c r="N348" s="152">
        <f t="shared" si="56"/>
        <v>0</v>
      </c>
      <c r="O348" s="12" t="str">
        <f t="shared" si="57"/>
        <v>Yes</v>
      </c>
      <c r="P348" s="158"/>
      <c r="Q348" s="157"/>
      <c r="R348" s="11" t="s">
        <v>39</v>
      </c>
      <c r="S348" s="158"/>
      <c r="T348" s="5" t="s">
        <v>62</v>
      </c>
      <c r="U348" s="6"/>
      <c r="V348" s="5"/>
      <c r="W348" s="5"/>
      <c r="X348" s="6"/>
      <c r="BB348" s="7" t="str">
        <v>Quarter 2</v>
      </c>
    </row>
    <row r="349" spans="1:54" ht="31.4" customHeight="1" x14ac:dyDescent="0.35">
      <c r="A349" s="210">
        <v>348</v>
      </c>
      <c r="B349" s="5" t="s">
        <v>6</v>
      </c>
      <c r="C349" s="5" t="s">
        <v>6</v>
      </c>
      <c r="D349" s="5" t="s">
        <v>1858</v>
      </c>
      <c r="E349" s="149">
        <v>45876</v>
      </c>
      <c r="F349" s="149">
        <f t="shared" si="58"/>
        <v>45877</v>
      </c>
      <c r="G349" s="149">
        <f t="shared" si="59"/>
        <v>45890</v>
      </c>
      <c r="H349" s="149">
        <f t="shared" si="60"/>
        <v>45905</v>
      </c>
      <c r="I349" s="149" t="str">
        <f t="shared" si="51"/>
        <v>Aug</v>
      </c>
      <c r="J349" s="216" t="str">
        <f t="shared" ca="1" si="55"/>
        <v/>
      </c>
      <c r="K349" s="149" t="s">
        <v>7</v>
      </c>
      <c r="L349" s="149"/>
      <c r="M349" s="11">
        <v>45880</v>
      </c>
      <c r="N349" s="152">
        <f t="shared" si="56"/>
        <v>2</v>
      </c>
      <c r="O349" s="12" t="str">
        <f t="shared" si="57"/>
        <v>Yes</v>
      </c>
      <c r="P349" s="158"/>
      <c r="Q349" s="157"/>
      <c r="R349" s="11" t="s">
        <v>39</v>
      </c>
      <c r="S349" s="158"/>
      <c r="T349" s="5" t="s">
        <v>40</v>
      </c>
      <c r="U349" s="6"/>
      <c r="V349" s="5"/>
      <c r="W349" s="5"/>
      <c r="X349" s="6"/>
      <c r="BB349" s="7" t="str">
        <v>Quarter 2</v>
      </c>
    </row>
    <row r="350" spans="1:54" ht="31.4" customHeight="1" x14ac:dyDescent="0.35">
      <c r="A350" s="210">
        <v>349</v>
      </c>
      <c r="B350" s="5" t="s">
        <v>6</v>
      </c>
      <c r="C350" s="5" t="s">
        <v>6</v>
      </c>
      <c r="D350" s="5" t="s">
        <v>86</v>
      </c>
      <c r="E350" s="149">
        <v>45876</v>
      </c>
      <c r="F350" s="149">
        <f t="shared" si="58"/>
        <v>45877</v>
      </c>
      <c r="G350" s="149">
        <f t="shared" si="59"/>
        <v>45890</v>
      </c>
      <c r="H350" s="149">
        <f t="shared" si="60"/>
        <v>45905</v>
      </c>
      <c r="I350" s="149" t="str">
        <f t="shared" si="51"/>
        <v>Aug</v>
      </c>
      <c r="J350" s="216" t="str">
        <f t="shared" ca="1" si="55"/>
        <v/>
      </c>
      <c r="K350" s="149" t="s">
        <v>4</v>
      </c>
      <c r="L350" s="149"/>
      <c r="M350" s="11">
        <v>45876</v>
      </c>
      <c r="N350" s="152">
        <f t="shared" si="56"/>
        <v>0</v>
      </c>
      <c r="O350" s="12" t="str">
        <f t="shared" si="57"/>
        <v>Yes</v>
      </c>
      <c r="P350" s="158"/>
      <c r="Q350" s="157"/>
      <c r="R350" s="11" t="s">
        <v>39</v>
      </c>
      <c r="S350" s="158"/>
      <c r="T350" s="5" t="s">
        <v>51</v>
      </c>
      <c r="U350" s="6"/>
      <c r="V350" s="5" t="s">
        <v>58</v>
      </c>
      <c r="W350" s="5"/>
      <c r="X350" s="6"/>
      <c r="BB350" s="7" t="str">
        <v>Quarter 2</v>
      </c>
    </row>
    <row r="351" spans="1:54" ht="31.4" customHeight="1" x14ac:dyDescent="0.35">
      <c r="A351" s="210">
        <v>350</v>
      </c>
      <c r="B351" s="5" t="s">
        <v>511</v>
      </c>
      <c r="C351" s="5" t="s">
        <v>9</v>
      </c>
      <c r="D351" s="5" t="s">
        <v>512</v>
      </c>
      <c r="E351" s="149">
        <v>45876</v>
      </c>
      <c r="F351" s="149">
        <f t="shared" si="58"/>
        <v>45877</v>
      </c>
      <c r="G351" s="149">
        <f t="shared" si="59"/>
        <v>45890</v>
      </c>
      <c r="H351" s="149">
        <f t="shared" si="60"/>
        <v>45905</v>
      </c>
      <c r="I351" s="149" t="str">
        <f t="shared" si="51"/>
        <v>Aug</v>
      </c>
      <c r="J351" s="216" t="str">
        <f t="shared" ca="1" si="55"/>
        <v/>
      </c>
      <c r="K351" s="149" t="s">
        <v>7</v>
      </c>
      <c r="L351" s="149"/>
      <c r="M351" s="11">
        <v>45884</v>
      </c>
      <c r="N351" s="152">
        <f t="shared" si="56"/>
        <v>6</v>
      </c>
      <c r="O351" s="12" t="str">
        <f t="shared" si="57"/>
        <v>Yes</v>
      </c>
      <c r="P351" s="158"/>
      <c r="Q351" s="157"/>
      <c r="R351" s="11" t="s">
        <v>39</v>
      </c>
      <c r="S351" s="158"/>
      <c r="T351" s="5" t="s">
        <v>40</v>
      </c>
      <c r="U351" s="6"/>
      <c r="V351" s="5"/>
      <c r="W351" s="5"/>
      <c r="X351" s="6"/>
      <c r="BB351" s="7" t="str">
        <v>Quarter 2</v>
      </c>
    </row>
    <row r="352" spans="1:54" ht="31.4" customHeight="1" x14ac:dyDescent="0.35">
      <c r="A352" s="210">
        <v>351</v>
      </c>
      <c r="B352" s="5" t="s">
        <v>55</v>
      </c>
      <c r="C352" s="5" t="s">
        <v>13</v>
      </c>
      <c r="D352" s="5" t="s">
        <v>513</v>
      </c>
      <c r="E352" s="149">
        <v>45876</v>
      </c>
      <c r="F352" s="149">
        <f t="shared" si="58"/>
        <v>45877</v>
      </c>
      <c r="G352" s="149">
        <f t="shared" si="59"/>
        <v>45890</v>
      </c>
      <c r="H352" s="149">
        <f t="shared" si="60"/>
        <v>45905</v>
      </c>
      <c r="I352" s="149" t="str">
        <f t="shared" si="51"/>
        <v>Aug</v>
      </c>
      <c r="J352" s="216" t="str">
        <f t="shared" ca="1" si="55"/>
        <v/>
      </c>
      <c r="K352" s="149" t="s">
        <v>43</v>
      </c>
      <c r="L352" s="149"/>
      <c r="M352" s="11">
        <v>45884</v>
      </c>
      <c r="N352" s="152">
        <f t="shared" si="56"/>
        <v>6</v>
      </c>
      <c r="O352" s="12" t="str">
        <f t="shared" si="57"/>
        <v>Yes</v>
      </c>
      <c r="P352" s="158"/>
      <c r="Q352" s="157"/>
      <c r="R352" s="11" t="s">
        <v>39</v>
      </c>
      <c r="S352" s="158"/>
      <c r="T352" s="5" t="s">
        <v>40</v>
      </c>
      <c r="U352" s="6"/>
      <c r="V352" s="5"/>
      <c r="W352" s="5"/>
      <c r="X352" s="6"/>
      <c r="BB352" s="7" t="str">
        <v>Quarter 2</v>
      </c>
    </row>
    <row r="353" spans="1:54" ht="31.4" customHeight="1" x14ac:dyDescent="0.35">
      <c r="A353" s="210">
        <v>352</v>
      </c>
      <c r="B353" s="5" t="s">
        <v>6</v>
      </c>
      <c r="C353" s="5" t="s">
        <v>6</v>
      </c>
      <c r="D353" s="5" t="s">
        <v>514</v>
      </c>
      <c r="E353" s="149">
        <v>45876</v>
      </c>
      <c r="F353" s="149">
        <f t="shared" si="58"/>
        <v>45877</v>
      </c>
      <c r="G353" s="149">
        <f t="shared" si="59"/>
        <v>45890</v>
      </c>
      <c r="H353" s="149">
        <f t="shared" si="60"/>
        <v>45905</v>
      </c>
      <c r="I353" s="149" t="str">
        <f t="shared" si="51"/>
        <v>Aug</v>
      </c>
      <c r="J353" s="216" t="str">
        <f t="shared" ca="1" si="55"/>
        <v/>
      </c>
      <c r="K353" s="149" t="s">
        <v>7</v>
      </c>
      <c r="L353" s="149"/>
      <c r="M353" s="11">
        <v>45889</v>
      </c>
      <c r="N353" s="152">
        <f t="shared" si="56"/>
        <v>9</v>
      </c>
      <c r="O353" s="12" t="str">
        <f t="shared" si="57"/>
        <v>Yes</v>
      </c>
      <c r="P353" s="158"/>
      <c r="Q353" s="157"/>
      <c r="R353" s="11" t="s">
        <v>39</v>
      </c>
      <c r="S353" s="158"/>
      <c r="T353" s="5" t="s">
        <v>45</v>
      </c>
      <c r="U353" s="6"/>
      <c r="V353" s="5" t="s">
        <v>87</v>
      </c>
      <c r="W353" s="5" t="s">
        <v>46</v>
      </c>
      <c r="X353" s="6"/>
      <c r="BB353" s="7" t="str">
        <v>Quarter 2</v>
      </c>
    </row>
    <row r="354" spans="1:54" ht="31.4" customHeight="1" x14ac:dyDescent="0.35">
      <c r="A354" s="210">
        <v>353</v>
      </c>
      <c r="B354" s="5" t="s">
        <v>515</v>
      </c>
      <c r="C354" s="5" t="s">
        <v>11</v>
      </c>
      <c r="D354" s="136" t="s">
        <v>516</v>
      </c>
      <c r="E354" s="149">
        <v>45877</v>
      </c>
      <c r="F354" s="149">
        <f t="shared" si="58"/>
        <v>45880</v>
      </c>
      <c r="G354" s="149">
        <f t="shared" si="59"/>
        <v>45891</v>
      </c>
      <c r="H354" s="149">
        <f t="shared" si="60"/>
        <v>45908</v>
      </c>
      <c r="I354" s="149" t="str">
        <f t="shared" si="51"/>
        <v>Aug</v>
      </c>
      <c r="J354" s="216" t="str">
        <f t="shared" ca="1" si="55"/>
        <v/>
      </c>
      <c r="K354" s="149" t="s">
        <v>43</v>
      </c>
      <c r="L354" s="149"/>
      <c r="M354" s="11">
        <v>45888</v>
      </c>
      <c r="N354" s="152">
        <f t="shared" si="56"/>
        <v>7</v>
      </c>
      <c r="O354" s="12" t="str">
        <f t="shared" si="57"/>
        <v>Yes</v>
      </c>
      <c r="P354" s="158"/>
      <c r="Q354" s="157"/>
      <c r="R354" s="11" t="s">
        <v>39</v>
      </c>
      <c r="S354" s="158"/>
      <c r="T354" s="5" t="s">
        <v>40</v>
      </c>
      <c r="U354" s="6"/>
      <c r="V354" s="5" t="s">
        <v>87</v>
      </c>
      <c r="W354" s="5"/>
      <c r="X354" s="6"/>
      <c r="BB354" s="7" t="str">
        <v>Quarter 2</v>
      </c>
    </row>
    <row r="355" spans="1:54" ht="31.4" customHeight="1" x14ac:dyDescent="0.35">
      <c r="A355" s="210">
        <v>354</v>
      </c>
      <c r="B355" s="5" t="s">
        <v>517</v>
      </c>
      <c r="C355" s="5" t="s">
        <v>9</v>
      </c>
      <c r="D355" s="5" t="s">
        <v>518</v>
      </c>
      <c r="E355" s="149">
        <v>45877</v>
      </c>
      <c r="F355" s="149">
        <f t="shared" si="58"/>
        <v>45880</v>
      </c>
      <c r="G355" s="149">
        <f t="shared" si="59"/>
        <v>45891</v>
      </c>
      <c r="H355" s="149">
        <f t="shared" si="60"/>
        <v>45908</v>
      </c>
      <c r="I355" s="149" t="str">
        <f t="shared" si="51"/>
        <v>Aug</v>
      </c>
      <c r="J355" s="216" t="str">
        <f t="shared" ca="1" si="55"/>
        <v/>
      </c>
      <c r="K355" s="149" t="s">
        <v>43</v>
      </c>
      <c r="L355" s="149"/>
      <c r="M355" s="11">
        <v>45890</v>
      </c>
      <c r="N355" s="152">
        <f t="shared" si="56"/>
        <v>9</v>
      </c>
      <c r="O355" s="12" t="str">
        <f t="shared" si="57"/>
        <v>Yes</v>
      </c>
      <c r="P355" s="158"/>
      <c r="Q355" s="157"/>
      <c r="R355" s="11" t="s">
        <v>39</v>
      </c>
      <c r="S355" s="158"/>
      <c r="T355" s="5" t="s">
        <v>40</v>
      </c>
      <c r="U355" s="6"/>
      <c r="V355" s="5"/>
      <c r="W355" s="5"/>
      <c r="X355" s="6"/>
      <c r="BB355" s="7" t="str">
        <v>Quarter 2</v>
      </c>
    </row>
    <row r="356" spans="1:54" ht="31.4" customHeight="1" x14ac:dyDescent="0.35">
      <c r="A356" s="210">
        <v>355</v>
      </c>
      <c r="B356" s="5" t="s">
        <v>511</v>
      </c>
      <c r="C356" s="5" t="s">
        <v>9</v>
      </c>
      <c r="D356" s="5" t="s">
        <v>519</v>
      </c>
      <c r="E356" s="149">
        <v>45877</v>
      </c>
      <c r="F356" s="149">
        <f t="shared" si="58"/>
        <v>45880</v>
      </c>
      <c r="G356" s="149">
        <f t="shared" si="59"/>
        <v>45891</v>
      </c>
      <c r="H356" s="149">
        <f t="shared" si="60"/>
        <v>45908</v>
      </c>
      <c r="I356" s="149" t="str">
        <f t="shared" si="51"/>
        <v>Aug</v>
      </c>
      <c r="J356" s="216" t="str">
        <f t="shared" ca="1" si="55"/>
        <v/>
      </c>
      <c r="K356" s="149" t="s">
        <v>4</v>
      </c>
      <c r="L356" s="149"/>
      <c r="M356" s="11">
        <v>45895</v>
      </c>
      <c r="N356" s="152">
        <f t="shared" si="56"/>
        <v>11</v>
      </c>
      <c r="O356" s="12" t="str">
        <f t="shared" si="57"/>
        <v>Yes</v>
      </c>
      <c r="P356" s="158"/>
      <c r="Q356" s="157"/>
      <c r="R356" s="11" t="s">
        <v>39</v>
      </c>
      <c r="S356" s="158"/>
      <c r="T356" s="5" t="s">
        <v>40</v>
      </c>
      <c r="U356" s="6"/>
      <c r="V356" s="5" t="s">
        <v>54</v>
      </c>
      <c r="W356" s="5" t="s">
        <v>46</v>
      </c>
      <c r="X356" s="6"/>
      <c r="BB356" s="7" t="str">
        <v>Quarter 2</v>
      </c>
    </row>
    <row r="357" spans="1:54" ht="31.4" customHeight="1" x14ac:dyDescent="0.35">
      <c r="A357" s="210">
        <v>356</v>
      </c>
      <c r="B357" s="5" t="s">
        <v>520</v>
      </c>
      <c r="C357" s="5" t="s">
        <v>5</v>
      </c>
      <c r="D357" s="5" t="s">
        <v>1878</v>
      </c>
      <c r="E357" s="149">
        <v>45877</v>
      </c>
      <c r="F357" s="149">
        <f t="shared" si="58"/>
        <v>45880</v>
      </c>
      <c r="G357" s="149">
        <f t="shared" si="59"/>
        <v>45891</v>
      </c>
      <c r="H357" s="149">
        <f t="shared" si="60"/>
        <v>45908</v>
      </c>
      <c r="I357" s="149" t="str">
        <f t="shared" si="51"/>
        <v>Aug</v>
      </c>
      <c r="J357" s="216" t="str">
        <f t="shared" ca="1" si="55"/>
        <v/>
      </c>
      <c r="K357" s="149" t="s">
        <v>7</v>
      </c>
      <c r="L357" s="149"/>
      <c r="M357" s="11">
        <v>45884</v>
      </c>
      <c r="N357" s="152">
        <f t="shared" si="56"/>
        <v>5</v>
      </c>
      <c r="O357" s="12" t="str">
        <f t="shared" si="57"/>
        <v>Yes</v>
      </c>
      <c r="P357" s="158"/>
      <c r="Q357" s="157"/>
      <c r="R357" s="11" t="s">
        <v>39</v>
      </c>
      <c r="S357" s="158"/>
      <c r="T357" s="5" t="s">
        <v>40</v>
      </c>
      <c r="U357" s="6"/>
      <c r="V357" s="5" t="s">
        <v>54</v>
      </c>
      <c r="W357" s="5"/>
      <c r="X357" s="6"/>
      <c r="BB357" s="7" t="str">
        <v>Quarter 2</v>
      </c>
    </row>
    <row r="358" spans="1:54" ht="31.4" customHeight="1" x14ac:dyDescent="0.35">
      <c r="A358" s="210">
        <v>357</v>
      </c>
      <c r="B358" s="8" t="s">
        <v>6</v>
      </c>
      <c r="C358" s="8" t="s">
        <v>6</v>
      </c>
      <c r="D358" s="8" t="s">
        <v>521</v>
      </c>
      <c r="E358" s="149">
        <v>45880</v>
      </c>
      <c r="F358" s="149">
        <f t="shared" si="58"/>
        <v>45881</v>
      </c>
      <c r="G358" s="149">
        <f t="shared" si="59"/>
        <v>45895</v>
      </c>
      <c r="H358" s="149">
        <f t="shared" si="60"/>
        <v>45909</v>
      </c>
      <c r="I358" s="149" t="str">
        <f t="shared" si="51"/>
        <v>Aug</v>
      </c>
      <c r="J358" s="216" t="str">
        <f t="shared" ca="1" si="55"/>
        <v/>
      </c>
      <c r="K358" s="149" t="s">
        <v>7</v>
      </c>
      <c r="L358" s="22"/>
      <c r="M358" s="11">
        <v>45880</v>
      </c>
      <c r="N358" s="152">
        <f t="shared" si="56"/>
        <v>0</v>
      </c>
      <c r="O358" s="12" t="str">
        <f t="shared" si="57"/>
        <v>Yes</v>
      </c>
      <c r="P358" s="17"/>
      <c r="Q358" s="17"/>
      <c r="R358" s="11" t="s">
        <v>39</v>
      </c>
      <c r="S358" s="17"/>
      <c r="T358" s="5" t="s">
        <v>40</v>
      </c>
      <c r="U358" s="8"/>
      <c r="V358" s="8"/>
      <c r="W358" s="8"/>
      <c r="X358" s="6"/>
      <c r="BB358" s="7" t="str">
        <v>Quarter 2</v>
      </c>
    </row>
    <row r="359" spans="1:54" ht="31.4" customHeight="1" x14ac:dyDescent="0.35">
      <c r="A359" s="210">
        <v>358</v>
      </c>
      <c r="B359" s="5" t="s">
        <v>522</v>
      </c>
      <c r="C359" s="5" t="s">
        <v>11</v>
      </c>
      <c r="D359" s="5" t="s">
        <v>523</v>
      </c>
      <c r="E359" s="149">
        <v>45880</v>
      </c>
      <c r="F359" s="149">
        <f t="shared" si="58"/>
        <v>45881</v>
      </c>
      <c r="G359" s="149">
        <f t="shared" si="59"/>
        <v>45895</v>
      </c>
      <c r="H359" s="149">
        <f t="shared" si="60"/>
        <v>45909</v>
      </c>
      <c r="I359" s="149" t="str">
        <f t="shared" si="51"/>
        <v>Aug</v>
      </c>
      <c r="J359" s="216" t="str">
        <f t="shared" ca="1" si="55"/>
        <v/>
      </c>
      <c r="K359" s="149" t="s">
        <v>3</v>
      </c>
      <c r="L359" s="149"/>
      <c r="M359" s="11">
        <v>45895</v>
      </c>
      <c r="N359" s="152">
        <f t="shared" si="56"/>
        <v>10</v>
      </c>
      <c r="O359" s="12" t="str">
        <f t="shared" si="57"/>
        <v>Yes</v>
      </c>
      <c r="P359" s="158"/>
      <c r="Q359" s="157"/>
      <c r="R359" s="11" t="s">
        <v>39</v>
      </c>
      <c r="S359" s="158"/>
      <c r="T359" s="5" t="s">
        <v>40</v>
      </c>
      <c r="U359" s="6"/>
      <c r="V359" s="5"/>
      <c r="W359" s="5"/>
      <c r="X359" s="6"/>
      <c r="BB359" s="7" t="str">
        <v>Quarter 2</v>
      </c>
    </row>
    <row r="360" spans="1:54" ht="31.4" customHeight="1" x14ac:dyDescent="0.35">
      <c r="A360" s="210">
        <v>359</v>
      </c>
      <c r="B360" s="5" t="s">
        <v>55</v>
      </c>
      <c r="C360" s="5" t="s">
        <v>13</v>
      </c>
      <c r="D360" s="5" t="s">
        <v>524</v>
      </c>
      <c r="E360" s="149">
        <v>45880</v>
      </c>
      <c r="F360" s="149">
        <f t="shared" si="58"/>
        <v>45881</v>
      </c>
      <c r="G360" s="149">
        <f t="shared" si="59"/>
        <v>45895</v>
      </c>
      <c r="H360" s="149">
        <f t="shared" si="60"/>
        <v>45909</v>
      </c>
      <c r="I360" s="149" t="str">
        <f t="shared" si="51"/>
        <v>Aug</v>
      </c>
      <c r="J360" s="216" t="str">
        <f t="shared" ca="1" si="55"/>
        <v/>
      </c>
      <c r="K360" s="149" t="s">
        <v>3</v>
      </c>
      <c r="L360" s="149"/>
      <c r="M360" s="11">
        <v>45903</v>
      </c>
      <c r="N360" s="152">
        <f t="shared" si="56"/>
        <v>16</v>
      </c>
      <c r="O360" s="12" t="str">
        <f t="shared" si="57"/>
        <v>Yes</v>
      </c>
      <c r="P360" s="158"/>
      <c r="Q360" s="157"/>
      <c r="R360" s="11" t="s">
        <v>39</v>
      </c>
      <c r="S360" s="158"/>
      <c r="T360" s="5" t="s">
        <v>40</v>
      </c>
      <c r="U360" s="6"/>
      <c r="V360" s="5"/>
      <c r="W360" s="5"/>
      <c r="X360" s="6"/>
      <c r="BB360" s="7" t="str">
        <v>Quarter 2</v>
      </c>
    </row>
    <row r="361" spans="1:54" ht="31.4" customHeight="1" x14ac:dyDescent="0.35">
      <c r="A361" s="210">
        <v>360</v>
      </c>
      <c r="B361" s="5" t="s">
        <v>214</v>
      </c>
      <c r="C361" s="5" t="s">
        <v>5</v>
      </c>
      <c r="D361" s="5" t="s">
        <v>525</v>
      </c>
      <c r="E361" s="149">
        <v>45880</v>
      </c>
      <c r="F361" s="149">
        <f t="shared" si="58"/>
        <v>45881</v>
      </c>
      <c r="G361" s="149">
        <f t="shared" si="59"/>
        <v>45895</v>
      </c>
      <c r="H361" s="149">
        <f t="shared" si="60"/>
        <v>45909</v>
      </c>
      <c r="I361" s="149" t="str">
        <f t="shared" si="51"/>
        <v>Aug</v>
      </c>
      <c r="J361" s="216" t="str">
        <f t="shared" ca="1" si="55"/>
        <v/>
      </c>
      <c r="K361" s="149" t="s">
        <v>4</v>
      </c>
      <c r="L361" s="149"/>
      <c r="M361" s="11">
        <v>45918</v>
      </c>
      <c r="N361" s="152">
        <f t="shared" si="56"/>
        <v>27</v>
      </c>
      <c r="O361" s="12" t="str">
        <f t="shared" si="57"/>
        <v>No</v>
      </c>
      <c r="P361" s="158"/>
      <c r="Q361" s="157"/>
      <c r="R361" s="11" t="s">
        <v>39</v>
      </c>
      <c r="S361" s="158"/>
      <c r="T361" s="5" t="s">
        <v>45</v>
      </c>
      <c r="U361" s="6"/>
      <c r="V361" s="5" t="s">
        <v>87</v>
      </c>
      <c r="W361" s="5"/>
      <c r="X361" s="6"/>
      <c r="BB361" s="7" t="str">
        <v>Quarter 2</v>
      </c>
    </row>
    <row r="362" spans="1:54" ht="31.4" customHeight="1" x14ac:dyDescent="0.35">
      <c r="A362" s="210">
        <v>361</v>
      </c>
      <c r="B362" s="5" t="s">
        <v>6</v>
      </c>
      <c r="C362" s="5" t="s">
        <v>6</v>
      </c>
      <c r="D362" s="5" t="s">
        <v>526</v>
      </c>
      <c r="E362" s="149">
        <v>45880</v>
      </c>
      <c r="F362" s="149">
        <f t="shared" si="58"/>
        <v>45881</v>
      </c>
      <c r="G362" s="149">
        <f t="shared" si="59"/>
        <v>45895</v>
      </c>
      <c r="H362" s="149">
        <f t="shared" si="60"/>
        <v>45909</v>
      </c>
      <c r="I362" s="149" t="str">
        <f t="shared" si="51"/>
        <v>Aug</v>
      </c>
      <c r="J362" s="216" t="str">
        <f t="shared" ca="1" si="55"/>
        <v/>
      </c>
      <c r="K362" s="149" t="s">
        <v>3</v>
      </c>
      <c r="L362" s="149"/>
      <c r="M362" s="11">
        <v>45880</v>
      </c>
      <c r="N362" s="152">
        <f t="shared" si="56"/>
        <v>0</v>
      </c>
      <c r="O362" s="12" t="str">
        <f t="shared" si="57"/>
        <v>Yes</v>
      </c>
      <c r="P362" s="158"/>
      <c r="Q362" s="157"/>
      <c r="R362" s="11" t="s">
        <v>39</v>
      </c>
      <c r="S362" s="158"/>
      <c r="T362" s="5" t="s">
        <v>62</v>
      </c>
      <c r="U362" s="6"/>
      <c r="V362" s="5"/>
      <c r="W362" s="5"/>
      <c r="X362" s="6"/>
      <c r="BB362" s="7" t="str">
        <v>Quarter 2</v>
      </c>
    </row>
    <row r="363" spans="1:54" ht="31.4" customHeight="1" x14ac:dyDescent="0.35">
      <c r="A363" s="210">
        <v>362</v>
      </c>
      <c r="B363" s="5" t="s">
        <v>493</v>
      </c>
      <c r="C363" s="5" t="s">
        <v>5</v>
      </c>
      <c r="D363" s="5" t="s">
        <v>527</v>
      </c>
      <c r="E363" s="149">
        <v>45881</v>
      </c>
      <c r="F363" s="149">
        <f t="shared" si="58"/>
        <v>45882</v>
      </c>
      <c r="G363" s="149">
        <f t="shared" si="59"/>
        <v>45896</v>
      </c>
      <c r="H363" s="149">
        <f t="shared" si="60"/>
        <v>45910</v>
      </c>
      <c r="I363" s="149" t="str">
        <f t="shared" si="51"/>
        <v>Aug</v>
      </c>
      <c r="J363" s="216" t="str">
        <f t="shared" ca="1" si="55"/>
        <v/>
      </c>
      <c r="K363" s="149" t="s">
        <v>43</v>
      </c>
      <c r="L363" s="149"/>
      <c r="M363" s="11">
        <v>45933</v>
      </c>
      <c r="N363" s="152">
        <f t="shared" si="56"/>
        <v>37</v>
      </c>
      <c r="O363" s="12" t="str">
        <f t="shared" si="57"/>
        <v>No</v>
      </c>
      <c r="P363" s="158"/>
      <c r="Q363" s="157"/>
      <c r="R363" s="11" t="s">
        <v>39</v>
      </c>
      <c r="S363" s="158"/>
      <c r="T363" s="5" t="s">
        <v>40</v>
      </c>
      <c r="U363" s="6"/>
      <c r="V363" s="5" t="s">
        <v>54</v>
      </c>
      <c r="W363" s="5" t="s">
        <v>46</v>
      </c>
      <c r="X363" s="6"/>
      <c r="BB363" s="7" t="str">
        <v>Quarter 2</v>
      </c>
    </row>
    <row r="364" spans="1:54" ht="31.4" customHeight="1" x14ac:dyDescent="0.35">
      <c r="A364" s="210">
        <v>363</v>
      </c>
      <c r="B364" s="136" t="s">
        <v>528</v>
      </c>
      <c r="C364" s="136" t="s">
        <v>12</v>
      </c>
      <c r="D364" s="5" t="s">
        <v>529</v>
      </c>
      <c r="E364" s="149">
        <v>45881</v>
      </c>
      <c r="F364" s="149">
        <f t="shared" si="58"/>
        <v>45882</v>
      </c>
      <c r="G364" s="149">
        <f t="shared" si="59"/>
        <v>45896</v>
      </c>
      <c r="H364" s="149">
        <f t="shared" si="60"/>
        <v>45910</v>
      </c>
      <c r="I364" s="149" t="str">
        <f t="shared" si="51"/>
        <v>Aug</v>
      </c>
      <c r="J364" s="216" t="str">
        <f t="shared" ca="1" si="55"/>
        <v/>
      </c>
      <c r="K364" s="149" t="s">
        <v>43</v>
      </c>
      <c r="L364" s="149"/>
      <c r="M364" s="11">
        <v>45930</v>
      </c>
      <c r="N364" s="152">
        <f t="shared" si="56"/>
        <v>34</v>
      </c>
      <c r="O364" s="12" t="str">
        <f t="shared" si="57"/>
        <v>No</v>
      </c>
      <c r="P364" s="158"/>
      <c r="Q364" s="157"/>
      <c r="R364" s="11" t="s">
        <v>39</v>
      </c>
      <c r="S364" s="158"/>
      <c r="T364" s="5" t="s">
        <v>62</v>
      </c>
      <c r="U364" s="6"/>
      <c r="V364" s="5"/>
      <c r="W364" s="5"/>
      <c r="X364" s="6"/>
      <c r="BB364" s="7" t="str">
        <v>Quarter 2</v>
      </c>
    </row>
    <row r="365" spans="1:54" ht="31.4" customHeight="1" x14ac:dyDescent="0.35">
      <c r="A365" s="210">
        <v>364</v>
      </c>
      <c r="B365" s="5" t="s">
        <v>6</v>
      </c>
      <c r="C365" s="5" t="s">
        <v>6</v>
      </c>
      <c r="D365" s="5" t="s">
        <v>530</v>
      </c>
      <c r="E365" s="149">
        <v>45881</v>
      </c>
      <c r="F365" s="149">
        <f t="shared" si="58"/>
        <v>45882</v>
      </c>
      <c r="G365" s="149">
        <f t="shared" si="59"/>
        <v>45896</v>
      </c>
      <c r="H365" s="149">
        <f t="shared" si="60"/>
        <v>45910</v>
      </c>
      <c r="I365" s="149" t="str">
        <f t="shared" si="51"/>
        <v>Aug</v>
      </c>
      <c r="J365" s="216" t="str">
        <f t="shared" ca="1" si="55"/>
        <v/>
      </c>
      <c r="K365" s="149" t="s">
        <v>4</v>
      </c>
      <c r="L365" s="149"/>
      <c r="M365" s="11">
        <v>45881</v>
      </c>
      <c r="N365" s="152">
        <f t="shared" si="56"/>
        <v>0</v>
      </c>
      <c r="O365" s="12" t="str">
        <f t="shared" si="57"/>
        <v>Yes</v>
      </c>
      <c r="P365" s="158"/>
      <c r="Q365" s="157"/>
      <c r="R365" s="11" t="s">
        <v>39</v>
      </c>
      <c r="S365" s="158"/>
      <c r="T365" s="5" t="s">
        <v>40</v>
      </c>
      <c r="U365" s="6"/>
      <c r="V365" s="5"/>
      <c r="W365" s="5"/>
      <c r="X365" s="6"/>
      <c r="BB365" s="7" t="str">
        <v>Quarter 2</v>
      </c>
    </row>
    <row r="366" spans="1:54" ht="31.4" customHeight="1" x14ac:dyDescent="0.35">
      <c r="A366" s="210">
        <v>365</v>
      </c>
      <c r="B366" s="5" t="s">
        <v>68</v>
      </c>
      <c r="C366" s="5" t="s">
        <v>9</v>
      </c>
      <c r="D366" s="5" t="s">
        <v>531</v>
      </c>
      <c r="E366" s="149">
        <v>45881</v>
      </c>
      <c r="F366" s="149">
        <f t="shared" si="58"/>
        <v>45882</v>
      </c>
      <c r="G366" s="149">
        <f t="shared" si="59"/>
        <v>45896</v>
      </c>
      <c r="H366" s="149">
        <f t="shared" si="60"/>
        <v>45910</v>
      </c>
      <c r="I366" s="149" t="str">
        <f t="shared" si="51"/>
        <v>Aug</v>
      </c>
      <c r="J366" s="216" t="str">
        <f t="shared" ca="1" si="55"/>
        <v/>
      </c>
      <c r="K366" s="149" t="s">
        <v>3</v>
      </c>
      <c r="L366" s="149"/>
      <c r="M366" s="11">
        <v>45931</v>
      </c>
      <c r="N366" s="152">
        <f t="shared" si="56"/>
        <v>35</v>
      </c>
      <c r="O366" s="12" t="str">
        <f t="shared" si="57"/>
        <v>No</v>
      </c>
      <c r="P366" s="158"/>
      <c r="Q366" s="157"/>
      <c r="R366" s="11" t="s">
        <v>39</v>
      </c>
      <c r="S366" s="158"/>
      <c r="T366" s="5" t="s">
        <v>40</v>
      </c>
      <c r="U366" s="6"/>
      <c r="V366" s="5"/>
      <c r="W366" s="5"/>
      <c r="X366" s="6"/>
      <c r="BB366" s="7" t="str">
        <v>Quarter 2</v>
      </c>
    </row>
    <row r="367" spans="1:54" ht="31.4" customHeight="1" x14ac:dyDescent="0.35">
      <c r="A367" s="210">
        <v>366</v>
      </c>
      <c r="B367" s="5" t="s">
        <v>55</v>
      </c>
      <c r="C367" s="5" t="s">
        <v>13</v>
      </c>
      <c r="D367" s="5" t="s">
        <v>532</v>
      </c>
      <c r="E367" s="149">
        <v>45881</v>
      </c>
      <c r="F367" s="149">
        <f t="shared" si="58"/>
        <v>45882</v>
      </c>
      <c r="G367" s="149">
        <f t="shared" si="59"/>
        <v>45896</v>
      </c>
      <c r="H367" s="149">
        <f t="shared" si="60"/>
        <v>45910</v>
      </c>
      <c r="I367" s="149" t="str">
        <f t="shared" si="51"/>
        <v>Aug</v>
      </c>
      <c r="J367" s="216" t="str">
        <f t="shared" ca="1" si="55"/>
        <v/>
      </c>
      <c r="K367" s="149" t="s">
        <v>43</v>
      </c>
      <c r="L367" s="149"/>
      <c r="M367" s="11">
        <v>45901</v>
      </c>
      <c r="N367" s="152">
        <f t="shared" si="56"/>
        <v>13</v>
      </c>
      <c r="O367" s="12" t="str">
        <f t="shared" si="57"/>
        <v>Yes</v>
      </c>
      <c r="P367" s="158"/>
      <c r="Q367" s="157"/>
      <c r="R367" s="11" t="s">
        <v>39</v>
      </c>
      <c r="S367" s="158"/>
      <c r="T367" s="5" t="s">
        <v>40</v>
      </c>
      <c r="U367" s="6"/>
      <c r="V367" s="5"/>
      <c r="W367" s="5" t="s">
        <v>46</v>
      </c>
      <c r="X367" s="6"/>
      <c r="BB367" s="7" t="str">
        <v>Quarter 2</v>
      </c>
    </row>
    <row r="368" spans="1:54" ht="31.4" customHeight="1" x14ac:dyDescent="0.35">
      <c r="A368" s="210">
        <v>367</v>
      </c>
      <c r="B368" s="8" t="s">
        <v>533</v>
      </c>
      <c r="C368" s="8" t="s">
        <v>9</v>
      </c>
      <c r="D368" s="5" t="s">
        <v>534</v>
      </c>
      <c r="E368" s="149">
        <v>45881</v>
      </c>
      <c r="F368" s="149">
        <f t="shared" si="58"/>
        <v>45882</v>
      </c>
      <c r="G368" s="149">
        <f t="shared" si="59"/>
        <v>45896</v>
      </c>
      <c r="H368" s="149">
        <f t="shared" si="60"/>
        <v>45910</v>
      </c>
      <c r="I368" s="149" t="str">
        <f t="shared" ref="I368:I431" si="61">IF(ISBLANK($E368),"",TEXT($E368,"mmm"))</f>
        <v>Aug</v>
      </c>
      <c r="J368" s="216" t="str">
        <f t="shared" ca="1" si="55"/>
        <v/>
      </c>
      <c r="K368" s="149" t="s">
        <v>43</v>
      </c>
      <c r="L368" s="149"/>
      <c r="M368" s="11">
        <v>45902</v>
      </c>
      <c r="N368" s="152">
        <f t="shared" si="56"/>
        <v>14</v>
      </c>
      <c r="O368" s="12" t="str">
        <f t="shared" si="57"/>
        <v>Yes</v>
      </c>
      <c r="P368" s="158"/>
      <c r="Q368" s="157"/>
      <c r="R368" s="11" t="s">
        <v>39</v>
      </c>
      <c r="S368" s="158"/>
      <c r="T368" s="5" t="s">
        <v>40</v>
      </c>
      <c r="U368" s="6"/>
      <c r="V368" s="5" t="s">
        <v>54</v>
      </c>
      <c r="W368" s="5"/>
      <c r="X368" s="6"/>
      <c r="BB368" s="7" t="str">
        <v>Quarter 2</v>
      </c>
    </row>
    <row r="369" spans="1:54" ht="31.4" customHeight="1" x14ac:dyDescent="0.35">
      <c r="A369" s="210">
        <v>368</v>
      </c>
      <c r="B369" s="8" t="s">
        <v>55</v>
      </c>
      <c r="C369" s="8" t="s">
        <v>13</v>
      </c>
      <c r="D369" s="8" t="s">
        <v>535</v>
      </c>
      <c r="E369" s="149">
        <v>45881</v>
      </c>
      <c r="F369" s="149">
        <f t="shared" si="58"/>
        <v>45882</v>
      </c>
      <c r="G369" s="149">
        <f t="shared" si="59"/>
        <v>45896</v>
      </c>
      <c r="H369" s="149">
        <f t="shared" si="60"/>
        <v>45910</v>
      </c>
      <c r="I369" s="149" t="str">
        <f t="shared" si="61"/>
        <v>Aug</v>
      </c>
      <c r="J369" s="216" t="str">
        <f t="shared" ca="1" si="55"/>
        <v/>
      </c>
      <c r="K369" s="149" t="s">
        <v>7</v>
      </c>
      <c r="L369" s="22"/>
      <c r="M369" s="11">
        <v>45895</v>
      </c>
      <c r="N369" s="152">
        <f t="shared" si="56"/>
        <v>9</v>
      </c>
      <c r="O369" s="12" t="str">
        <f t="shared" si="57"/>
        <v>Yes</v>
      </c>
      <c r="P369" s="19"/>
      <c r="Q369" s="19"/>
      <c r="R369" s="11" t="s">
        <v>39</v>
      </c>
      <c r="S369" s="17"/>
      <c r="T369" s="5" t="s">
        <v>40</v>
      </c>
      <c r="U369" s="8"/>
      <c r="V369" s="8"/>
      <c r="W369" s="8" t="s">
        <v>46</v>
      </c>
      <c r="X369" s="6"/>
      <c r="BB369" s="7" t="str">
        <v>Quarter 2</v>
      </c>
    </row>
    <row r="370" spans="1:54" ht="31.4" customHeight="1" x14ac:dyDescent="0.35">
      <c r="A370" s="210">
        <v>369</v>
      </c>
      <c r="B370" s="5" t="s">
        <v>6</v>
      </c>
      <c r="C370" s="5" t="s">
        <v>6</v>
      </c>
      <c r="D370" s="5" t="s">
        <v>536</v>
      </c>
      <c r="E370" s="149">
        <v>45882</v>
      </c>
      <c r="F370" s="149">
        <f t="shared" si="58"/>
        <v>45883</v>
      </c>
      <c r="G370" s="149">
        <f t="shared" si="59"/>
        <v>45897</v>
      </c>
      <c r="H370" s="149">
        <f t="shared" si="60"/>
        <v>45911</v>
      </c>
      <c r="I370" s="149" t="str">
        <f t="shared" si="61"/>
        <v>Aug</v>
      </c>
      <c r="J370" s="216" t="str">
        <f t="shared" ca="1" si="55"/>
        <v/>
      </c>
      <c r="K370" s="149" t="s">
        <v>4</v>
      </c>
      <c r="L370" s="149"/>
      <c r="M370" s="11">
        <v>45882</v>
      </c>
      <c r="N370" s="152">
        <f t="shared" si="56"/>
        <v>0</v>
      </c>
      <c r="O370" s="12" t="str">
        <f t="shared" si="57"/>
        <v>Yes</v>
      </c>
      <c r="P370" s="158"/>
      <c r="Q370" s="157"/>
      <c r="R370" s="11" t="s">
        <v>39</v>
      </c>
      <c r="S370" s="158"/>
      <c r="T370" s="5" t="s">
        <v>40</v>
      </c>
      <c r="U370" s="6"/>
      <c r="V370" s="5"/>
      <c r="W370" s="5"/>
      <c r="X370" s="6"/>
      <c r="BB370" s="7" t="str">
        <v>Quarter 2</v>
      </c>
    </row>
    <row r="371" spans="1:54" ht="31.4" customHeight="1" x14ac:dyDescent="0.35">
      <c r="A371" s="210">
        <v>370</v>
      </c>
      <c r="B371" s="5" t="s">
        <v>537</v>
      </c>
      <c r="C371" s="5" t="s">
        <v>9</v>
      </c>
      <c r="D371" s="5" t="s">
        <v>538</v>
      </c>
      <c r="E371" s="149">
        <v>45882</v>
      </c>
      <c r="F371" s="149">
        <f t="shared" si="58"/>
        <v>45883</v>
      </c>
      <c r="G371" s="149">
        <f t="shared" si="59"/>
        <v>45897</v>
      </c>
      <c r="H371" s="149">
        <f t="shared" si="60"/>
        <v>45911</v>
      </c>
      <c r="I371" s="149" t="str">
        <f t="shared" si="61"/>
        <v>Aug</v>
      </c>
      <c r="J371" s="216" t="str">
        <f t="shared" ca="1" si="55"/>
        <v/>
      </c>
      <c r="K371" s="149" t="s">
        <v>4</v>
      </c>
      <c r="L371" s="149"/>
      <c r="M371" s="11">
        <v>45882</v>
      </c>
      <c r="N371" s="152">
        <f t="shared" si="56"/>
        <v>0</v>
      </c>
      <c r="O371" s="12" t="str">
        <f t="shared" si="57"/>
        <v>Yes</v>
      </c>
      <c r="P371" s="158"/>
      <c r="Q371" s="157"/>
      <c r="R371" s="11" t="s">
        <v>39</v>
      </c>
      <c r="S371" s="158"/>
      <c r="T371" s="5" t="s">
        <v>62</v>
      </c>
      <c r="U371" s="6"/>
      <c r="V371" s="5"/>
      <c r="W371" s="5"/>
      <c r="X371" s="6"/>
      <c r="BB371" s="7" t="str">
        <v>Quarter 2</v>
      </c>
    </row>
    <row r="372" spans="1:54" ht="31.4" customHeight="1" x14ac:dyDescent="0.35">
      <c r="A372" s="210">
        <v>371</v>
      </c>
      <c r="B372" s="5" t="s">
        <v>6</v>
      </c>
      <c r="C372" s="5" t="s">
        <v>6</v>
      </c>
      <c r="D372" s="5" t="s">
        <v>160</v>
      </c>
      <c r="E372" s="149">
        <v>45883</v>
      </c>
      <c r="F372" s="149">
        <f t="shared" si="58"/>
        <v>45884</v>
      </c>
      <c r="G372" s="149">
        <f t="shared" si="59"/>
        <v>45898</v>
      </c>
      <c r="H372" s="149">
        <f t="shared" si="60"/>
        <v>45912</v>
      </c>
      <c r="I372" s="149" t="str">
        <f t="shared" si="61"/>
        <v>Aug</v>
      </c>
      <c r="J372" s="216" t="str">
        <f t="shared" ca="1" si="55"/>
        <v/>
      </c>
      <c r="K372" s="149" t="s">
        <v>43</v>
      </c>
      <c r="L372" s="149"/>
      <c r="M372" s="11">
        <v>45912</v>
      </c>
      <c r="N372" s="152">
        <f t="shared" si="56"/>
        <v>20</v>
      </c>
      <c r="O372" s="12" t="str">
        <f t="shared" si="57"/>
        <v>Yes</v>
      </c>
      <c r="P372" s="158"/>
      <c r="Q372" s="157"/>
      <c r="R372" s="11" t="s">
        <v>39</v>
      </c>
      <c r="S372" s="158"/>
      <c r="T372" s="5" t="s">
        <v>40</v>
      </c>
      <c r="U372" s="6"/>
      <c r="V372" s="5"/>
      <c r="W372" s="5"/>
      <c r="X372" s="6"/>
      <c r="BB372" s="7" t="str">
        <v>Quarter 2</v>
      </c>
    </row>
    <row r="373" spans="1:54" ht="31.4" customHeight="1" x14ac:dyDescent="0.35">
      <c r="A373" s="210">
        <v>372</v>
      </c>
      <c r="B373" s="5" t="s">
        <v>6</v>
      </c>
      <c r="C373" s="5" t="s">
        <v>6</v>
      </c>
      <c r="D373" s="5" t="s">
        <v>433</v>
      </c>
      <c r="E373" s="149">
        <v>45929</v>
      </c>
      <c r="F373" s="149">
        <f t="shared" si="58"/>
        <v>45930</v>
      </c>
      <c r="G373" s="149">
        <f t="shared" si="59"/>
        <v>45943</v>
      </c>
      <c r="H373" s="149">
        <f t="shared" si="60"/>
        <v>45957</v>
      </c>
      <c r="I373" s="149" t="str">
        <f t="shared" si="61"/>
        <v>Sep</v>
      </c>
      <c r="J373" s="216" t="str">
        <f t="shared" ca="1" si="55"/>
        <v/>
      </c>
      <c r="K373" s="149" t="s">
        <v>3</v>
      </c>
      <c r="L373" s="149"/>
      <c r="M373" s="11">
        <v>45957</v>
      </c>
      <c r="N373" s="152">
        <f t="shared" si="56"/>
        <v>20</v>
      </c>
      <c r="O373" s="12" t="str">
        <f t="shared" si="57"/>
        <v>Yes</v>
      </c>
      <c r="P373" s="158"/>
      <c r="Q373" s="157"/>
      <c r="R373" s="11" t="s">
        <v>39</v>
      </c>
      <c r="S373" s="158"/>
      <c r="T373" s="5" t="s">
        <v>40</v>
      </c>
      <c r="U373" s="6"/>
      <c r="V373" s="5" t="s">
        <v>87</v>
      </c>
      <c r="W373" s="5"/>
      <c r="X373" s="6"/>
      <c r="BB373" s="7" t="str">
        <v>Quarter 2</v>
      </c>
    </row>
    <row r="374" spans="1:54" ht="31.4" customHeight="1" x14ac:dyDescent="0.35">
      <c r="A374" s="210">
        <v>373</v>
      </c>
      <c r="B374" s="5" t="s">
        <v>6</v>
      </c>
      <c r="C374" s="5" t="s">
        <v>6</v>
      </c>
      <c r="D374" s="5" t="s">
        <v>433</v>
      </c>
      <c r="E374" s="149">
        <v>45880</v>
      </c>
      <c r="F374" s="149">
        <f t="shared" si="58"/>
        <v>45881</v>
      </c>
      <c r="G374" s="149">
        <f t="shared" si="59"/>
        <v>45895</v>
      </c>
      <c r="H374" s="149">
        <f t="shared" si="60"/>
        <v>45909</v>
      </c>
      <c r="I374" s="149" t="str">
        <f t="shared" si="61"/>
        <v>Aug</v>
      </c>
      <c r="J374" s="216" t="str">
        <f t="shared" ca="1" si="55"/>
        <v/>
      </c>
      <c r="K374" s="149" t="s">
        <v>3</v>
      </c>
      <c r="L374" s="149"/>
      <c r="M374" s="11">
        <v>45905</v>
      </c>
      <c r="N374" s="152">
        <f t="shared" si="56"/>
        <v>18</v>
      </c>
      <c r="O374" s="12" t="str">
        <f t="shared" si="57"/>
        <v>Yes</v>
      </c>
      <c r="P374" s="158"/>
      <c r="Q374" s="157"/>
      <c r="R374" s="11" t="s">
        <v>39</v>
      </c>
      <c r="S374" s="158"/>
      <c r="T374" s="5" t="s">
        <v>51</v>
      </c>
      <c r="U374" s="6"/>
      <c r="V374" s="5" t="s">
        <v>102</v>
      </c>
      <c r="W374" s="5"/>
      <c r="X374" s="6"/>
      <c r="BB374" s="7" t="str">
        <v>Quarter 2</v>
      </c>
    </row>
    <row r="375" spans="1:54" ht="31.4" customHeight="1" x14ac:dyDescent="0.35">
      <c r="A375" s="210">
        <v>374</v>
      </c>
      <c r="B375" s="5" t="s">
        <v>6</v>
      </c>
      <c r="C375" s="5" t="s">
        <v>6</v>
      </c>
      <c r="D375" s="5" t="s">
        <v>498</v>
      </c>
      <c r="E375" s="149">
        <v>45883</v>
      </c>
      <c r="F375" s="149">
        <f t="shared" si="58"/>
        <v>45884</v>
      </c>
      <c r="G375" s="149">
        <f t="shared" si="59"/>
        <v>45898</v>
      </c>
      <c r="H375" s="149">
        <f t="shared" si="60"/>
        <v>45912</v>
      </c>
      <c r="I375" s="149" t="str">
        <f t="shared" si="61"/>
        <v>Aug</v>
      </c>
      <c r="J375" s="216" t="str">
        <f t="shared" ca="1" si="55"/>
        <v/>
      </c>
      <c r="K375" s="149" t="s">
        <v>43</v>
      </c>
      <c r="L375" s="149"/>
      <c r="M375" s="11">
        <v>45887</v>
      </c>
      <c r="N375" s="152">
        <f t="shared" si="56"/>
        <v>2</v>
      </c>
      <c r="O375" s="12" t="str">
        <f t="shared" si="57"/>
        <v>Yes</v>
      </c>
      <c r="P375" s="158"/>
      <c r="Q375" s="157"/>
      <c r="R375" s="11" t="s">
        <v>39</v>
      </c>
      <c r="S375" s="158"/>
      <c r="T375" s="5" t="s">
        <v>40</v>
      </c>
      <c r="U375" s="6"/>
      <c r="V375" s="5"/>
      <c r="W375" s="5" t="s">
        <v>46</v>
      </c>
      <c r="X375" s="6"/>
      <c r="BB375" s="7" t="str">
        <v>Quarter 2</v>
      </c>
    </row>
    <row r="376" spans="1:54" ht="31.4" customHeight="1" x14ac:dyDescent="0.35">
      <c r="A376" s="210">
        <v>375</v>
      </c>
      <c r="B376" s="5" t="s">
        <v>55</v>
      </c>
      <c r="C376" s="5" t="s">
        <v>13</v>
      </c>
      <c r="D376" s="5" t="s">
        <v>539</v>
      </c>
      <c r="E376" s="149">
        <v>45883</v>
      </c>
      <c r="F376" s="149">
        <f t="shared" si="58"/>
        <v>45884</v>
      </c>
      <c r="G376" s="149">
        <f t="shared" si="59"/>
        <v>45898</v>
      </c>
      <c r="H376" s="149">
        <f t="shared" si="60"/>
        <v>45912</v>
      </c>
      <c r="I376" s="149" t="str">
        <f t="shared" si="61"/>
        <v>Aug</v>
      </c>
      <c r="J376" s="216" t="str">
        <f t="shared" ca="1" si="55"/>
        <v/>
      </c>
      <c r="K376" s="149" t="s">
        <v>43</v>
      </c>
      <c r="L376" s="149"/>
      <c r="M376" s="11">
        <v>45884</v>
      </c>
      <c r="N376" s="152">
        <f t="shared" si="56"/>
        <v>1</v>
      </c>
      <c r="O376" s="12" t="str">
        <f t="shared" si="57"/>
        <v>Yes</v>
      </c>
      <c r="P376" s="158"/>
      <c r="Q376" s="157"/>
      <c r="R376" s="11" t="s">
        <v>39</v>
      </c>
      <c r="S376" s="158"/>
      <c r="T376" s="5" t="s">
        <v>40</v>
      </c>
      <c r="U376" s="6"/>
      <c r="V376" s="5"/>
      <c r="W376" s="5"/>
      <c r="X376" s="6"/>
      <c r="BB376" s="7" t="str">
        <v>Quarter 2</v>
      </c>
    </row>
    <row r="377" spans="1:54" ht="31.4" customHeight="1" x14ac:dyDescent="0.35">
      <c r="A377" s="210">
        <v>376</v>
      </c>
      <c r="B377" s="5" t="s">
        <v>214</v>
      </c>
      <c r="C377" s="5" t="s">
        <v>5</v>
      </c>
      <c r="D377" s="5" t="s">
        <v>540</v>
      </c>
      <c r="E377" s="149">
        <v>45884</v>
      </c>
      <c r="F377" s="149">
        <f t="shared" si="58"/>
        <v>45887</v>
      </c>
      <c r="G377" s="149">
        <f t="shared" si="59"/>
        <v>45901</v>
      </c>
      <c r="H377" s="149">
        <f t="shared" si="60"/>
        <v>45915</v>
      </c>
      <c r="I377" s="149" t="str">
        <f t="shared" si="61"/>
        <v>Aug</v>
      </c>
      <c r="J377" s="216" t="str">
        <f t="shared" ca="1" si="55"/>
        <v/>
      </c>
      <c r="K377" s="149" t="s">
        <v>3</v>
      </c>
      <c r="L377" s="149"/>
      <c r="M377" s="11">
        <v>46008</v>
      </c>
      <c r="N377" s="152">
        <f t="shared" si="56"/>
        <v>87</v>
      </c>
      <c r="O377" s="12" t="str">
        <f t="shared" si="57"/>
        <v>No</v>
      </c>
      <c r="P377" s="158"/>
      <c r="Q377" s="157"/>
      <c r="R377" s="11" t="s">
        <v>39</v>
      </c>
      <c r="S377" s="158"/>
      <c r="T377" s="5" t="s">
        <v>40</v>
      </c>
      <c r="U377" s="6"/>
      <c r="V377" s="5"/>
      <c r="W377" s="5" t="s">
        <v>46</v>
      </c>
      <c r="X377" s="6"/>
      <c r="BB377" s="7" t="str">
        <v>Quarter 2</v>
      </c>
    </row>
    <row r="378" spans="1:54" ht="31.4" customHeight="1" x14ac:dyDescent="0.35">
      <c r="A378" s="210">
        <v>377</v>
      </c>
      <c r="B378" s="5" t="s">
        <v>541</v>
      </c>
      <c r="C378" s="5" t="s">
        <v>12</v>
      </c>
      <c r="D378" s="5" t="s">
        <v>542</v>
      </c>
      <c r="E378" s="149">
        <v>45884</v>
      </c>
      <c r="F378" s="149">
        <f t="shared" si="58"/>
        <v>45887</v>
      </c>
      <c r="G378" s="149">
        <f t="shared" si="59"/>
        <v>45901</v>
      </c>
      <c r="H378" s="149">
        <f t="shared" si="60"/>
        <v>45915</v>
      </c>
      <c r="I378" s="149" t="str">
        <f t="shared" si="61"/>
        <v>Aug</v>
      </c>
      <c r="J378" s="216" t="str">
        <f t="shared" ca="1" si="55"/>
        <v/>
      </c>
      <c r="K378" s="149" t="s">
        <v>3</v>
      </c>
      <c r="L378" s="149"/>
      <c r="M378" s="11">
        <v>45888</v>
      </c>
      <c r="N378" s="152">
        <f t="shared" si="56"/>
        <v>2</v>
      </c>
      <c r="O378" s="12" t="str">
        <f t="shared" si="57"/>
        <v>Yes</v>
      </c>
      <c r="P378" s="158"/>
      <c r="Q378" s="157"/>
      <c r="R378" s="11" t="s">
        <v>39</v>
      </c>
      <c r="S378" s="158"/>
      <c r="T378" s="5" t="s">
        <v>40</v>
      </c>
      <c r="U378" s="6"/>
      <c r="V378" s="5"/>
      <c r="W378" s="5"/>
      <c r="X378" s="6"/>
      <c r="BB378" s="7" t="str">
        <v>Quarter 2</v>
      </c>
    </row>
    <row r="379" spans="1:54" ht="31.4" customHeight="1" x14ac:dyDescent="0.35">
      <c r="A379" s="210">
        <v>378</v>
      </c>
      <c r="B379" s="5" t="s">
        <v>485</v>
      </c>
      <c r="C379" s="5" t="s">
        <v>9</v>
      </c>
      <c r="D379" s="5" t="s">
        <v>486</v>
      </c>
      <c r="E379" s="149">
        <v>45884</v>
      </c>
      <c r="F379" s="149">
        <f t="shared" ref="F379:F385" si="62">IF($E379="","",WORKDAY($E379,1,$Z$33:$Z$47))</f>
        <v>45887</v>
      </c>
      <c r="G379" s="149">
        <f t="shared" ref="G379:G395" si="63">IF($E379="","",WORKDAY($E379,10,$Z$33:$Z$47))</f>
        <v>45901</v>
      </c>
      <c r="H379" s="149">
        <f t="shared" ref="H379:H395" si="64">IF($E379="","",WORKDAY($E379,20,$Z$33:$Z$47))</f>
        <v>45915</v>
      </c>
      <c r="I379" s="149" t="str">
        <f t="shared" si="61"/>
        <v>Aug</v>
      </c>
      <c r="J379" s="216" t="str">
        <f t="shared" ca="1" si="55"/>
        <v/>
      </c>
      <c r="K379" s="149" t="s">
        <v>3</v>
      </c>
      <c r="L379" s="149"/>
      <c r="M379" s="11">
        <v>45902</v>
      </c>
      <c r="N379" s="152">
        <f t="shared" si="56"/>
        <v>11</v>
      </c>
      <c r="O379" s="12" t="str">
        <f t="shared" si="57"/>
        <v>Yes</v>
      </c>
      <c r="P379" s="158"/>
      <c r="Q379" s="157"/>
      <c r="R379" s="11" t="s">
        <v>39</v>
      </c>
      <c r="S379" s="158"/>
      <c r="T379" s="5" t="s">
        <v>40</v>
      </c>
      <c r="U379" s="6"/>
      <c r="V379" s="5" t="s">
        <v>54</v>
      </c>
      <c r="W379" s="5"/>
      <c r="X379" s="6"/>
      <c r="BB379" s="7" t="str">
        <v>Quarter 2</v>
      </c>
    </row>
    <row r="380" spans="1:54" ht="31.4" customHeight="1" x14ac:dyDescent="0.35">
      <c r="A380" s="210">
        <v>379</v>
      </c>
      <c r="B380" s="5" t="s">
        <v>543</v>
      </c>
      <c r="C380" s="5" t="s">
        <v>9</v>
      </c>
      <c r="D380" s="5" t="s">
        <v>498</v>
      </c>
      <c r="E380" s="149">
        <v>45884</v>
      </c>
      <c r="F380" s="149">
        <f t="shared" si="62"/>
        <v>45887</v>
      </c>
      <c r="G380" s="149">
        <f t="shared" si="63"/>
        <v>45901</v>
      </c>
      <c r="H380" s="149">
        <f t="shared" si="64"/>
        <v>45915</v>
      </c>
      <c r="I380" s="149" t="str">
        <f t="shared" si="61"/>
        <v>Aug</v>
      </c>
      <c r="J380" s="216" t="str">
        <f t="shared" ca="1" si="55"/>
        <v/>
      </c>
      <c r="K380" s="149" t="s">
        <v>43</v>
      </c>
      <c r="L380" s="149"/>
      <c r="M380" s="11">
        <v>45887</v>
      </c>
      <c r="N380" s="152">
        <f t="shared" si="56"/>
        <v>1</v>
      </c>
      <c r="O380" s="12" t="str">
        <f t="shared" si="57"/>
        <v>Yes</v>
      </c>
      <c r="P380" s="158"/>
      <c r="Q380" s="157"/>
      <c r="R380" s="11" t="s">
        <v>39</v>
      </c>
      <c r="S380" s="158"/>
      <c r="T380" s="5" t="s">
        <v>45</v>
      </c>
      <c r="U380" s="6"/>
      <c r="V380" s="5" t="s">
        <v>53</v>
      </c>
      <c r="W380" s="5"/>
      <c r="X380" s="6"/>
      <c r="BB380" s="7" t="str">
        <v>Quarter 2</v>
      </c>
    </row>
    <row r="381" spans="1:54" ht="31.4" customHeight="1" x14ac:dyDescent="0.35">
      <c r="A381" s="210">
        <v>380</v>
      </c>
      <c r="B381" s="5" t="s">
        <v>362</v>
      </c>
      <c r="C381" s="5" t="s">
        <v>5</v>
      </c>
      <c r="D381" s="5" t="s">
        <v>544</v>
      </c>
      <c r="E381" s="149">
        <v>45884</v>
      </c>
      <c r="F381" s="149">
        <f t="shared" si="62"/>
        <v>45887</v>
      </c>
      <c r="G381" s="149">
        <f t="shared" si="63"/>
        <v>45901</v>
      </c>
      <c r="H381" s="149">
        <f t="shared" si="64"/>
        <v>45915</v>
      </c>
      <c r="I381" s="149" t="str">
        <f t="shared" si="61"/>
        <v>Aug</v>
      </c>
      <c r="J381" s="216" t="str">
        <f t="shared" ca="1" si="55"/>
        <v/>
      </c>
      <c r="K381" s="149" t="s">
        <v>7</v>
      </c>
      <c r="L381" s="149"/>
      <c r="M381" s="11">
        <v>45888</v>
      </c>
      <c r="N381" s="152">
        <f t="shared" si="56"/>
        <v>2</v>
      </c>
      <c r="O381" s="12" t="str">
        <f t="shared" si="57"/>
        <v>Yes</v>
      </c>
      <c r="P381" s="158"/>
      <c r="Q381" s="157"/>
      <c r="R381" s="11" t="s">
        <v>39</v>
      </c>
      <c r="S381" s="158"/>
      <c r="T381" s="5" t="s">
        <v>62</v>
      </c>
      <c r="U381" s="6"/>
      <c r="V381" s="5"/>
      <c r="W381" s="5"/>
      <c r="X381" s="6"/>
      <c r="BB381" s="7" t="str">
        <v>Quarter 2</v>
      </c>
    </row>
    <row r="382" spans="1:54" ht="31.4" customHeight="1" x14ac:dyDescent="0.35">
      <c r="A382" s="210">
        <v>381</v>
      </c>
      <c r="B382" s="5" t="s">
        <v>545</v>
      </c>
      <c r="C382" s="5" t="s">
        <v>9</v>
      </c>
      <c r="D382" s="5" t="s">
        <v>546</v>
      </c>
      <c r="E382" s="149">
        <v>45884</v>
      </c>
      <c r="F382" s="149">
        <f t="shared" si="62"/>
        <v>45887</v>
      </c>
      <c r="G382" s="149">
        <f t="shared" si="63"/>
        <v>45901</v>
      </c>
      <c r="H382" s="149">
        <f t="shared" si="64"/>
        <v>45915</v>
      </c>
      <c r="I382" s="149" t="str">
        <f t="shared" si="61"/>
        <v>Aug</v>
      </c>
      <c r="J382" s="216" t="str">
        <f t="shared" ca="1" si="55"/>
        <v/>
      </c>
      <c r="K382" s="149" t="s">
        <v>7</v>
      </c>
      <c r="L382" s="149"/>
      <c r="M382" s="11">
        <v>45903</v>
      </c>
      <c r="N382" s="152">
        <f t="shared" si="56"/>
        <v>12</v>
      </c>
      <c r="O382" s="12" t="str">
        <f t="shared" si="57"/>
        <v>Yes</v>
      </c>
      <c r="P382" s="158"/>
      <c r="Q382" s="157"/>
      <c r="R382" s="11" t="s">
        <v>39</v>
      </c>
      <c r="S382" s="158"/>
      <c r="T382" s="5" t="s">
        <v>40</v>
      </c>
      <c r="U382" s="6"/>
      <c r="V382" s="5"/>
      <c r="W382" s="5"/>
      <c r="X382" s="6"/>
      <c r="BB382" s="7" t="str">
        <v>Quarter 2</v>
      </c>
    </row>
    <row r="383" spans="1:54" ht="31.4" customHeight="1" x14ac:dyDescent="0.35">
      <c r="A383" s="210">
        <v>382</v>
      </c>
      <c r="B383" s="5" t="s">
        <v>297</v>
      </c>
      <c r="C383" s="5" t="s">
        <v>5</v>
      </c>
      <c r="D383" s="5" t="s">
        <v>547</v>
      </c>
      <c r="E383" s="149">
        <v>45887</v>
      </c>
      <c r="F383" s="149">
        <f t="shared" si="62"/>
        <v>45888</v>
      </c>
      <c r="G383" s="149">
        <f t="shared" si="63"/>
        <v>45902</v>
      </c>
      <c r="H383" s="149">
        <f t="shared" si="64"/>
        <v>45916</v>
      </c>
      <c r="I383" s="149" t="str">
        <f t="shared" si="61"/>
        <v>Aug</v>
      </c>
      <c r="J383" s="216" t="str">
        <f t="shared" ca="1" si="55"/>
        <v/>
      </c>
      <c r="K383" s="149" t="s">
        <v>4</v>
      </c>
      <c r="L383" s="149"/>
      <c r="M383" s="11">
        <v>45887</v>
      </c>
      <c r="N383" s="152">
        <f t="shared" si="56"/>
        <v>0</v>
      </c>
      <c r="O383" s="12" t="str">
        <f t="shared" si="57"/>
        <v>Yes</v>
      </c>
      <c r="P383" s="158"/>
      <c r="Q383" s="157"/>
      <c r="R383" s="11" t="s">
        <v>39</v>
      </c>
      <c r="S383" s="158"/>
      <c r="T383" s="5" t="s">
        <v>62</v>
      </c>
      <c r="U383" s="6"/>
      <c r="V383" s="5"/>
      <c r="W383" s="5"/>
      <c r="X383" s="6"/>
      <c r="BB383" s="7" t="str">
        <v>Quarter 2</v>
      </c>
    </row>
    <row r="384" spans="1:54" ht="31.4" customHeight="1" x14ac:dyDescent="0.35">
      <c r="A384" s="210">
        <v>383</v>
      </c>
      <c r="B384" s="5" t="s">
        <v>55</v>
      </c>
      <c r="C384" s="5" t="s">
        <v>13</v>
      </c>
      <c r="D384" s="5" t="s">
        <v>548</v>
      </c>
      <c r="E384" s="149">
        <v>45887</v>
      </c>
      <c r="F384" s="149">
        <f t="shared" si="62"/>
        <v>45888</v>
      </c>
      <c r="G384" s="149">
        <f t="shared" si="63"/>
        <v>45902</v>
      </c>
      <c r="H384" s="149">
        <f t="shared" si="64"/>
        <v>45916</v>
      </c>
      <c r="I384" s="149" t="str">
        <f t="shared" si="61"/>
        <v>Aug</v>
      </c>
      <c r="J384" s="216" t="str">
        <f t="shared" ca="1" si="55"/>
        <v/>
      </c>
      <c r="K384" s="149" t="s">
        <v>43</v>
      </c>
      <c r="L384" s="149"/>
      <c r="M384" s="11">
        <v>45887</v>
      </c>
      <c r="N384" s="152">
        <f t="shared" si="56"/>
        <v>0</v>
      </c>
      <c r="O384" s="12" t="str">
        <f t="shared" si="57"/>
        <v>Yes</v>
      </c>
      <c r="P384" s="158"/>
      <c r="Q384" s="157"/>
      <c r="R384" s="11" t="s">
        <v>39</v>
      </c>
      <c r="S384" s="158"/>
      <c r="T384" s="5" t="s">
        <v>40</v>
      </c>
      <c r="U384" s="6"/>
      <c r="V384" s="5"/>
      <c r="W384" s="5"/>
      <c r="X384" s="6"/>
      <c r="BB384" s="7" t="str">
        <v>Quarter 2</v>
      </c>
    </row>
    <row r="385" spans="1:54" ht="31.4" customHeight="1" x14ac:dyDescent="0.35">
      <c r="A385" s="210">
        <v>384</v>
      </c>
      <c r="B385" s="5" t="s">
        <v>6</v>
      </c>
      <c r="C385" s="5" t="s">
        <v>6</v>
      </c>
      <c r="D385" s="5" t="s">
        <v>365</v>
      </c>
      <c r="E385" s="149">
        <v>45887</v>
      </c>
      <c r="F385" s="149">
        <f t="shared" si="62"/>
        <v>45888</v>
      </c>
      <c r="G385" s="149">
        <f t="shared" si="63"/>
        <v>45902</v>
      </c>
      <c r="H385" s="149">
        <f t="shared" si="64"/>
        <v>45916</v>
      </c>
      <c r="I385" s="149" t="str">
        <f t="shared" si="61"/>
        <v>Aug</v>
      </c>
      <c r="J385" s="216" t="str">
        <f t="shared" ca="1" si="55"/>
        <v/>
      </c>
      <c r="K385" s="149" t="s">
        <v>43</v>
      </c>
      <c r="L385" s="149"/>
      <c r="M385" s="11">
        <v>45889</v>
      </c>
      <c r="N385" s="152">
        <f t="shared" si="56"/>
        <v>2</v>
      </c>
      <c r="O385" s="12" t="str">
        <f t="shared" si="57"/>
        <v>Yes</v>
      </c>
      <c r="P385" s="158"/>
      <c r="Q385" s="157"/>
      <c r="R385" s="11" t="s">
        <v>39</v>
      </c>
      <c r="S385" s="158"/>
      <c r="T385" s="5" t="s">
        <v>40</v>
      </c>
      <c r="U385" s="6"/>
      <c r="V385" s="5"/>
      <c r="W385" s="5"/>
      <c r="X385" s="6"/>
      <c r="BB385" s="7" t="str">
        <v>Quarter 2</v>
      </c>
    </row>
    <row r="386" spans="1:54" ht="31.4" customHeight="1" x14ac:dyDescent="0.35">
      <c r="A386" s="210">
        <v>385</v>
      </c>
      <c r="B386" s="8" t="s">
        <v>549</v>
      </c>
      <c r="C386" s="8" t="s">
        <v>9</v>
      </c>
      <c r="D386" s="8" t="s">
        <v>550</v>
      </c>
      <c r="E386" s="22">
        <v>45887</v>
      </c>
      <c r="F386" s="149">
        <v>45888</v>
      </c>
      <c r="G386" s="149">
        <f t="shared" si="63"/>
        <v>45902</v>
      </c>
      <c r="H386" s="149">
        <f t="shared" si="64"/>
        <v>45916</v>
      </c>
      <c r="I386" s="149" t="str">
        <f t="shared" si="61"/>
        <v>Aug</v>
      </c>
      <c r="J386" s="216" t="str">
        <f t="shared" ref="J386:J449" ca="1" si="65">IF($E386="","",IF($M386="",$H386-TODAY(),""))</f>
        <v/>
      </c>
      <c r="K386" s="22" t="s">
        <v>4</v>
      </c>
      <c r="L386" s="22"/>
      <c r="M386" s="11">
        <v>45887</v>
      </c>
      <c r="N386" s="152">
        <f t="shared" ref="N386:N449" si="66">IF($M386="","",NETWORKDAYS($E386,$M386,$Z$33:$Z$47)-1)</f>
        <v>0</v>
      </c>
      <c r="O386" s="12" t="str">
        <f t="shared" si="57"/>
        <v>Yes</v>
      </c>
      <c r="P386" s="158"/>
      <c r="Q386" s="157"/>
      <c r="R386" s="11" t="s">
        <v>39</v>
      </c>
      <c r="S386" s="158"/>
      <c r="T386" s="5" t="s">
        <v>40</v>
      </c>
      <c r="U386" s="6"/>
      <c r="V386" s="5"/>
      <c r="W386" s="5"/>
      <c r="X386" s="6"/>
      <c r="BB386" s="7" t="str">
        <v>Quarter 2</v>
      </c>
    </row>
    <row r="387" spans="1:54" ht="31.4" customHeight="1" x14ac:dyDescent="0.35">
      <c r="A387" s="210">
        <v>386</v>
      </c>
      <c r="B387" s="8" t="s">
        <v>68</v>
      </c>
      <c r="C387" s="8" t="s">
        <v>9</v>
      </c>
      <c r="D387" s="8" t="s">
        <v>551</v>
      </c>
      <c r="E387" s="22">
        <v>45887</v>
      </c>
      <c r="F387" s="149">
        <f t="shared" ref="F387:F395" si="67">IF($E387="","",WORKDAY($E387,1,$Z$33:$Z$47))</f>
        <v>45888</v>
      </c>
      <c r="G387" s="149">
        <f t="shared" si="63"/>
        <v>45902</v>
      </c>
      <c r="H387" s="149">
        <f t="shared" si="64"/>
        <v>45916</v>
      </c>
      <c r="I387" s="149" t="str">
        <f t="shared" si="61"/>
        <v>Aug</v>
      </c>
      <c r="J387" s="216" t="str">
        <f t="shared" ca="1" si="65"/>
        <v/>
      </c>
      <c r="K387" s="22" t="s">
        <v>4</v>
      </c>
      <c r="L387" s="149"/>
      <c r="M387" s="11">
        <v>45911</v>
      </c>
      <c r="N387" s="152">
        <f t="shared" si="66"/>
        <v>17</v>
      </c>
      <c r="O387" s="12" t="str">
        <f t="shared" ref="O387:O450" si="68">IF(ISBLANK($M387),"",IF($N387&lt;21,"Yes","No"))</f>
        <v>Yes</v>
      </c>
      <c r="P387" s="158"/>
      <c r="Q387" s="157"/>
      <c r="R387" s="11" t="s">
        <v>39</v>
      </c>
      <c r="S387" s="158"/>
      <c r="T387" s="5" t="s">
        <v>40</v>
      </c>
      <c r="U387" s="6"/>
      <c r="V387" s="5"/>
      <c r="W387" s="5"/>
      <c r="X387" s="6"/>
      <c r="BB387" s="7" t="str">
        <v>Quarter 2</v>
      </c>
    </row>
    <row r="388" spans="1:54" ht="31.4" customHeight="1" x14ac:dyDescent="0.35">
      <c r="A388" s="210">
        <v>387</v>
      </c>
      <c r="B388" s="5" t="s">
        <v>552</v>
      </c>
      <c r="C388" s="5" t="s">
        <v>9</v>
      </c>
      <c r="D388" s="8" t="s">
        <v>553</v>
      </c>
      <c r="E388" s="149">
        <v>45887</v>
      </c>
      <c r="F388" s="149">
        <f t="shared" si="67"/>
        <v>45888</v>
      </c>
      <c r="G388" s="149">
        <f t="shared" si="63"/>
        <v>45902</v>
      </c>
      <c r="H388" s="149">
        <f t="shared" si="64"/>
        <v>45916</v>
      </c>
      <c r="I388" s="149" t="str">
        <f t="shared" si="61"/>
        <v>Aug</v>
      </c>
      <c r="J388" s="216" t="str">
        <f t="shared" ca="1" si="65"/>
        <v/>
      </c>
      <c r="K388" s="149" t="s">
        <v>4</v>
      </c>
      <c r="L388" s="149"/>
      <c r="M388" s="11">
        <v>45888</v>
      </c>
      <c r="N388" s="152">
        <f t="shared" si="66"/>
        <v>1</v>
      </c>
      <c r="O388" s="12" t="str">
        <f t="shared" si="68"/>
        <v>Yes</v>
      </c>
      <c r="P388" s="158"/>
      <c r="Q388" s="157"/>
      <c r="R388" s="11" t="s">
        <v>39</v>
      </c>
      <c r="S388" s="158"/>
      <c r="T388" s="5" t="s">
        <v>40</v>
      </c>
      <c r="U388" s="6"/>
      <c r="V388" s="5"/>
      <c r="W388" s="5"/>
      <c r="X388" s="6"/>
      <c r="BB388" s="7" t="str">
        <v>Quarter 2</v>
      </c>
    </row>
    <row r="389" spans="1:54" ht="31.4" customHeight="1" x14ac:dyDescent="0.35">
      <c r="A389" s="210">
        <v>388</v>
      </c>
      <c r="B389" s="8" t="s">
        <v>55</v>
      </c>
      <c r="C389" s="8" t="s">
        <v>13</v>
      </c>
      <c r="D389" s="8" t="s">
        <v>554</v>
      </c>
      <c r="E389" s="22">
        <v>45888</v>
      </c>
      <c r="F389" s="149">
        <f t="shared" si="67"/>
        <v>45889</v>
      </c>
      <c r="G389" s="149">
        <f t="shared" si="63"/>
        <v>45903</v>
      </c>
      <c r="H389" s="149">
        <f t="shared" si="64"/>
        <v>45917</v>
      </c>
      <c r="I389" s="149" t="str">
        <f t="shared" si="61"/>
        <v>Aug</v>
      </c>
      <c r="J389" s="216" t="str">
        <f t="shared" ca="1" si="65"/>
        <v/>
      </c>
      <c r="K389" s="22" t="s">
        <v>7</v>
      </c>
      <c r="L389" s="22"/>
      <c r="M389" s="11">
        <v>45917</v>
      </c>
      <c r="N389" s="152">
        <f t="shared" si="66"/>
        <v>20</v>
      </c>
      <c r="O389" s="12" t="str">
        <f t="shared" si="68"/>
        <v>Yes</v>
      </c>
      <c r="P389" s="158"/>
      <c r="Q389" s="157"/>
      <c r="R389" s="11" t="s">
        <v>39</v>
      </c>
      <c r="S389" s="158"/>
      <c r="T389" s="5" t="s">
        <v>62</v>
      </c>
      <c r="U389" s="6"/>
      <c r="V389" s="5"/>
      <c r="W389" s="5"/>
      <c r="X389" s="6"/>
      <c r="BB389" s="7" t="str">
        <v>Quarter 2</v>
      </c>
    </row>
    <row r="390" spans="1:54" ht="31.4" customHeight="1" x14ac:dyDescent="0.35">
      <c r="A390" s="210">
        <v>389</v>
      </c>
      <c r="B390" s="5" t="s">
        <v>6</v>
      </c>
      <c r="C390" s="5" t="s">
        <v>6</v>
      </c>
      <c r="D390" s="5" t="s">
        <v>555</v>
      </c>
      <c r="E390" s="149">
        <v>45888</v>
      </c>
      <c r="F390" s="149">
        <f t="shared" si="67"/>
        <v>45889</v>
      </c>
      <c r="G390" s="149">
        <f t="shared" si="63"/>
        <v>45903</v>
      </c>
      <c r="H390" s="149">
        <f t="shared" si="64"/>
        <v>45917</v>
      </c>
      <c r="I390" s="149" t="str">
        <f t="shared" si="61"/>
        <v>Aug</v>
      </c>
      <c r="J390" s="216" t="str">
        <f t="shared" ca="1" si="65"/>
        <v/>
      </c>
      <c r="K390" s="149" t="s">
        <v>43</v>
      </c>
      <c r="L390" s="149"/>
      <c r="M390" s="11">
        <v>45889</v>
      </c>
      <c r="N390" s="152">
        <f t="shared" si="66"/>
        <v>1</v>
      </c>
      <c r="O390" s="12" t="str">
        <f t="shared" si="68"/>
        <v>Yes</v>
      </c>
      <c r="P390" s="158"/>
      <c r="Q390" s="157"/>
      <c r="R390" s="11" t="s">
        <v>39</v>
      </c>
      <c r="S390" s="158"/>
      <c r="T390" s="5" t="s">
        <v>40</v>
      </c>
      <c r="U390" s="6"/>
      <c r="V390" s="5"/>
      <c r="W390" s="5"/>
      <c r="X390" s="6"/>
      <c r="BB390" s="7" t="str">
        <v>Quarter 2</v>
      </c>
    </row>
    <row r="391" spans="1:54" ht="31.4" customHeight="1" x14ac:dyDescent="0.35">
      <c r="A391" s="210">
        <v>390</v>
      </c>
      <c r="B391" s="5" t="s">
        <v>6</v>
      </c>
      <c r="C391" s="5" t="s">
        <v>6</v>
      </c>
      <c r="D391" s="5" t="s">
        <v>556</v>
      </c>
      <c r="E391" s="149">
        <v>45887</v>
      </c>
      <c r="F391" s="149">
        <f t="shared" si="67"/>
        <v>45888</v>
      </c>
      <c r="G391" s="149">
        <f t="shared" si="63"/>
        <v>45902</v>
      </c>
      <c r="H391" s="149">
        <f t="shared" si="64"/>
        <v>45916</v>
      </c>
      <c r="I391" s="149" t="str">
        <f t="shared" si="61"/>
        <v>Aug</v>
      </c>
      <c r="J391" s="216" t="str">
        <f t="shared" ca="1" si="65"/>
        <v/>
      </c>
      <c r="K391" s="149" t="s">
        <v>3</v>
      </c>
      <c r="L391" s="149"/>
      <c r="M391" s="11">
        <v>45922</v>
      </c>
      <c r="N391" s="152">
        <f t="shared" si="66"/>
        <v>24</v>
      </c>
      <c r="O391" s="12" t="str">
        <f t="shared" si="68"/>
        <v>No</v>
      </c>
      <c r="P391" s="158"/>
      <c r="Q391" s="157"/>
      <c r="R391" s="11" t="s">
        <v>39</v>
      </c>
      <c r="S391" s="158"/>
      <c r="T391" s="5" t="s">
        <v>62</v>
      </c>
      <c r="U391" s="6"/>
      <c r="V391" s="5"/>
      <c r="W391" s="5"/>
      <c r="X391" s="6"/>
      <c r="BB391" s="7" t="str">
        <v>Quarter 2</v>
      </c>
    </row>
    <row r="392" spans="1:54" ht="31.4" customHeight="1" x14ac:dyDescent="0.35">
      <c r="A392" s="210">
        <v>391</v>
      </c>
      <c r="B392" s="5" t="s">
        <v>55</v>
      </c>
      <c r="C392" s="5" t="s">
        <v>13</v>
      </c>
      <c r="D392" s="5" t="s">
        <v>557</v>
      </c>
      <c r="E392" s="149">
        <v>45888</v>
      </c>
      <c r="F392" s="149">
        <f t="shared" si="67"/>
        <v>45889</v>
      </c>
      <c r="G392" s="149">
        <f t="shared" si="63"/>
        <v>45903</v>
      </c>
      <c r="H392" s="149">
        <f t="shared" si="64"/>
        <v>45917</v>
      </c>
      <c r="I392" s="149" t="str">
        <f t="shared" si="61"/>
        <v>Aug</v>
      </c>
      <c r="J392" s="216" t="str">
        <f t="shared" ca="1" si="65"/>
        <v/>
      </c>
      <c r="K392" s="149" t="s">
        <v>43</v>
      </c>
      <c r="L392" s="149"/>
      <c r="M392" s="11">
        <v>45902</v>
      </c>
      <c r="N392" s="152">
        <f t="shared" si="66"/>
        <v>9</v>
      </c>
      <c r="O392" s="12" t="str">
        <f t="shared" si="68"/>
        <v>Yes</v>
      </c>
      <c r="P392" s="158"/>
      <c r="Q392" s="157"/>
      <c r="R392" s="11" t="s">
        <v>39</v>
      </c>
      <c r="S392" s="158"/>
      <c r="T392" s="5" t="s">
        <v>40</v>
      </c>
      <c r="U392" s="6"/>
      <c r="V392" s="5"/>
      <c r="W392" s="5"/>
      <c r="X392" s="6"/>
      <c r="BB392" s="7" t="str">
        <v>Quarter 2</v>
      </c>
    </row>
    <row r="393" spans="1:54" ht="31.4" customHeight="1" x14ac:dyDescent="0.35">
      <c r="A393" s="210">
        <v>392</v>
      </c>
      <c r="B393" s="5" t="s">
        <v>154</v>
      </c>
      <c r="C393" s="5" t="s">
        <v>11</v>
      </c>
      <c r="D393" s="5" t="s">
        <v>155</v>
      </c>
      <c r="E393" s="149">
        <v>45888</v>
      </c>
      <c r="F393" s="149">
        <f t="shared" si="67"/>
        <v>45889</v>
      </c>
      <c r="G393" s="149">
        <f t="shared" si="63"/>
        <v>45903</v>
      </c>
      <c r="H393" s="149">
        <f t="shared" si="64"/>
        <v>45917</v>
      </c>
      <c r="I393" s="149" t="str">
        <f t="shared" si="61"/>
        <v>Aug</v>
      </c>
      <c r="J393" s="216" t="str">
        <f t="shared" ca="1" si="65"/>
        <v/>
      </c>
      <c r="K393" s="149" t="s">
        <v>7</v>
      </c>
      <c r="L393" s="149"/>
      <c r="M393" s="11">
        <v>45931</v>
      </c>
      <c r="N393" s="152">
        <f t="shared" si="66"/>
        <v>30</v>
      </c>
      <c r="O393" s="12" t="str">
        <f t="shared" si="68"/>
        <v>No</v>
      </c>
      <c r="P393" s="158"/>
      <c r="Q393" s="157"/>
      <c r="R393" s="11" t="s">
        <v>39</v>
      </c>
      <c r="S393" s="158"/>
      <c r="T393" s="5" t="s">
        <v>40</v>
      </c>
      <c r="U393" s="6"/>
      <c r="V393" s="5"/>
      <c r="W393" s="5" t="s">
        <v>558</v>
      </c>
      <c r="X393" s="6"/>
      <c r="BB393" s="7" t="str">
        <v>Quarter 2</v>
      </c>
    </row>
    <row r="394" spans="1:54" ht="31.4" customHeight="1" x14ac:dyDescent="0.35">
      <c r="A394" s="210">
        <v>393</v>
      </c>
      <c r="B394" s="8" t="s">
        <v>559</v>
      </c>
      <c r="C394" s="8" t="s">
        <v>11</v>
      </c>
      <c r="D394" s="5" t="s">
        <v>560</v>
      </c>
      <c r="E394" s="149">
        <v>45852</v>
      </c>
      <c r="F394" s="149">
        <f t="shared" si="67"/>
        <v>45853</v>
      </c>
      <c r="G394" s="149">
        <f t="shared" si="63"/>
        <v>45866</v>
      </c>
      <c r="H394" s="149">
        <f t="shared" si="64"/>
        <v>45880</v>
      </c>
      <c r="I394" s="149" t="str">
        <f t="shared" si="61"/>
        <v>Jul</v>
      </c>
      <c r="J394" s="216" t="str">
        <f t="shared" ca="1" si="65"/>
        <v/>
      </c>
      <c r="K394" s="149" t="s">
        <v>43</v>
      </c>
      <c r="L394" s="149"/>
      <c r="M394" s="11">
        <v>45889</v>
      </c>
      <c r="N394" s="152">
        <f t="shared" si="66"/>
        <v>27</v>
      </c>
      <c r="O394" s="12" t="str">
        <f t="shared" si="68"/>
        <v>No</v>
      </c>
      <c r="P394" s="158"/>
      <c r="Q394" s="157"/>
      <c r="R394" s="11" t="s">
        <v>39</v>
      </c>
      <c r="S394" s="158"/>
      <c r="T394" s="5" t="s">
        <v>40</v>
      </c>
      <c r="U394" s="6"/>
      <c r="V394" s="5"/>
      <c r="W394" s="5"/>
      <c r="X394" s="6"/>
      <c r="BB394" s="7" t="str">
        <v>Quarter 2</v>
      </c>
    </row>
    <row r="395" spans="1:54" ht="31.4" customHeight="1" x14ac:dyDescent="0.35">
      <c r="A395" s="210">
        <v>394</v>
      </c>
      <c r="B395" s="5" t="s">
        <v>55</v>
      </c>
      <c r="C395" s="5" t="s">
        <v>13</v>
      </c>
      <c r="D395" s="5" t="s">
        <v>561</v>
      </c>
      <c r="E395" s="149">
        <v>45889</v>
      </c>
      <c r="F395" s="149">
        <f t="shared" si="67"/>
        <v>45890</v>
      </c>
      <c r="G395" s="149">
        <f t="shared" si="63"/>
        <v>45904</v>
      </c>
      <c r="H395" s="149">
        <f t="shared" si="64"/>
        <v>45918</v>
      </c>
      <c r="I395" s="149" t="str">
        <f t="shared" si="61"/>
        <v>Aug</v>
      </c>
      <c r="J395" s="216" t="str">
        <f t="shared" ca="1" si="65"/>
        <v/>
      </c>
      <c r="K395" s="149" t="s">
        <v>4</v>
      </c>
      <c r="L395" s="149"/>
      <c r="M395" s="11">
        <v>45896</v>
      </c>
      <c r="N395" s="152">
        <f t="shared" si="66"/>
        <v>4</v>
      </c>
      <c r="O395" s="12" t="str">
        <f t="shared" si="68"/>
        <v>Yes</v>
      </c>
      <c r="P395" s="158"/>
      <c r="Q395" s="157"/>
      <c r="R395" s="11" t="s">
        <v>39</v>
      </c>
      <c r="S395" s="158"/>
      <c r="T395" s="5" t="s">
        <v>40</v>
      </c>
      <c r="U395" s="6"/>
      <c r="V395" s="5"/>
      <c r="W395" s="5"/>
      <c r="X395" s="6"/>
      <c r="BB395" s="7" t="str">
        <v>Quarter 2</v>
      </c>
    </row>
    <row r="396" spans="1:54" ht="31.4" customHeight="1" x14ac:dyDescent="0.35">
      <c r="A396" s="210">
        <v>395</v>
      </c>
      <c r="B396" s="5" t="s">
        <v>6</v>
      </c>
      <c r="C396" s="5" t="s">
        <v>6</v>
      </c>
      <c r="D396" s="5" t="s">
        <v>562</v>
      </c>
      <c r="E396" s="149"/>
      <c r="F396" s="149"/>
      <c r="G396" s="149"/>
      <c r="H396" s="149"/>
      <c r="I396" s="149" t="s">
        <v>563</v>
      </c>
      <c r="J396" s="216" t="str">
        <f t="shared" ca="1" si="65"/>
        <v/>
      </c>
      <c r="K396" s="149" t="s">
        <v>4</v>
      </c>
      <c r="L396" s="149"/>
      <c r="M396" s="11"/>
      <c r="N396" s="152" t="str">
        <f t="shared" si="66"/>
        <v/>
      </c>
      <c r="O396" s="12" t="str">
        <f t="shared" si="68"/>
        <v/>
      </c>
      <c r="P396" s="158"/>
      <c r="Q396" s="157"/>
      <c r="R396" s="11" t="s">
        <v>57</v>
      </c>
      <c r="S396" s="158"/>
      <c r="T396" s="5" t="s">
        <v>57</v>
      </c>
      <c r="U396" s="6"/>
      <c r="V396" s="5"/>
      <c r="W396" s="5"/>
      <c r="X396" s="6"/>
      <c r="BB396" s="7" t="str">
        <v>Quarter 2</v>
      </c>
    </row>
    <row r="397" spans="1:54" ht="31.4" customHeight="1" x14ac:dyDescent="0.35">
      <c r="A397" s="210">
        <v>396</v>
      </c>
      <c r="B397" s="5" t="s">
        <v>55</v>
      </c>
      <c r="C397" s="5" t="s">
        <v>13</v>
      </c>
      <c r="D397" s="5" t="s">
        <v>564</v>
      </c>
      <c r="E397" s="149">
        <v>45889</v>
      </c>
      <c r="F397" s="149">
        <f t="shared" ref="F397:F460" si="69">IF($E397="","",WORKDAY($E397,1,$Z$33:$Z$47))</f>
        <v>45890</v>
      </c>
      <c r="G397" s="149">
        <f t="shared" ref="G397:G460" si="70">IF($E397="","",WORKDAY($E397,10,$Z$33:$Z$47))</f>
        <v>45904</v>
      </c>
      <c r="H397" s="149">
        <f t="shared" ref="H397:H460" si="71">IF($E397="","",WORKDAY($E397,20,$Z$33:$Z$47))</f>
        <v>45918</v>
      </c>
      <c r="I397" s="149" t="str">
        <f t="shared" si="61"/>
        <v>Aug</v>
      </c>
      <c r="J397" s="216" t="str">
        <f t="shared" ca="1" si="65"/>
        <v/>
      </c>
      <c r="K397" s="149" t="s">
        <v>43</v>
      </c>
      <c r="L397" s="149"/>
      <c r="M397" s="11">
        <v>45890</v>
      </c>
      <c r="N397" s="152">
        <f t="shared" si="66"/>
        <v>1</v>
      </c>
      <c r="O397" s="12" t="str">
        <f t="shared" si="68"/>
        <v>Yes</v>
      </c>
      <c r="P397" s="158"/>
      <c r="Q397" s="157"/>
      <c r="R397" s="11" t="s">
        <v>39</v>
      </c>
      <c r="S397" s="158"/>
      <c r="T397" s="5" t="s">
        <v>40</v>
      </c>
      <c r="U397" s="6"/>
      <c r="V397" s="5"/>
      <c r="W397" s="5"/>
      <c r="X397" s="6"/>
      <c r="BB397" s="7" t="str">
        <v>Quarter 2</v>
      </c>
    </row>
    <row r="398" spans="1:54" ht="31.4" customHeight="1" x14ac:dyDescent="0.35">
      <c r="A398" s="210">
        <v>397</v>
      </c>
      <c r="B398" s="5" t="s">
        <v>214</v>
      </c>
      <c r="C398" s="5" t="s">
        <v>5</v>
      </c>
      <c r="D398" s="5" t="s">
        <v>565</v>
      </c>
      <c r="E398" s="149">
        <v>45890</v>
      </c>
      <c r="F398" s="149">
        <f t="shared" si="69"/>
        <v>45891</v>
      </c>
      <c r="G398" s="149">
        <f t="shared" si="70"/>
        <v>45905</v>
      </c>
      <c r="H398" s="149">
        <f t="shared" si="71"/>
        <v>45919</v>
      </c>
      <c r="I398" s="149" t="str">
        <f t="shared" si="61"/>
        <v>Aug</v>
      </c>
      <c r="J398" s="216" t="str">
        <f t="shared" ca="1" si="65"/>
        <v/>
      </c>
      <c r="K398" s="149" t="s">
        <v>3</v>
      </c>
      <c r="L398" s="149"/>
      <c r="M398" s="11">
        <v>45986</v>
      </c>
      <c r="N398" s="152">
        <f t="shared" si="66"/>
        <v>67</v>
      </c>
      <c r="O398" s="12" t="str">
        <f t="shared" si="68"/>
        <v>No</v>
      </c>
      <c r="P398" s="158"/>
      <c r="Q398" s="157"/>
      <c r="R398" s="11" t="s">
        <v>39</v>
      </c>
      <c r="S398" s="158"/>
      <c r="T398" s="5" t="s">
        <v>40</v>
      </c>
      <c r="U398" s="6"/>
      <c r="V398" s="5"/>
      <c r="W398" s="5" t="s">
        <v>46</v>
      </c>
      <c r="X398" s="6"/>
      <c r="BB398" s="7" t="str">
        <v>Quarter 2</v>
      </c>
    </row>
    <row r="399" spans="1:54" ht="31.4" customHeight="1" x14ac:dyDescent="0.35">
      <c r="A399" s="210">
        <v>398</v>
      </c>
      <c r="B399" s="5" t="s">
        <v>214</v>
      </c>
      <c r="C399" s="5" t="s">
        <v>5</v>
      </c>
      <c r="D399" s="5" t="s">
        <v>566</v>
      </c>
      <c r="E399" s="149">
        <v>45890</v>
      </c>
      <c r="F399" s="149">
        <f t="shared" si="69"/>
        <v>45891</v>
      </c>
      <c r="G399" s="149">
        <f t="shared" si="70"/>
        <v>45905</v>
      </c>
      <c r="H399" s="149">
        <f t="shared" si="71"/>
        <v>45919</v>
      </c>
      <c r="I399" s="149" t="str">
        <f t="shared" si="61"/>
        <v>Aug</v>
      </c>
      <c r="J399" s="216" t="str">
        <f t="shared" ca="1" si="65"/>
        <v/>
      </c>
      <c r="K399" s="149" t="s">
        <v>7</v>
      </c>
      <c r="L399" s="149"/>
      <c r="M399" s="11">
        <v>45925</v>
      </c>
      <c r="N399" s="152">
        <f t="shared" si="66"/>
        <v>24</v>
      </c>
      <c r="O399" s="12" t="str">
        <f t="shared" si="68"/>
        <v>No</v>
      </c>
      <c r="P399" s="158"/>
      <c r="Q399" s="157"/>
      <c r="R399" s="11" t="s">
        <v>39</v>
      </c>
      <c r="S399" s="158"/>
      <c r="T399" s="5" t="s">
        <v>40</v>
      </c>
      <c r="U399" s="6"/>
      <c r="V399" s="5"/>
      <c r="W399" s="5"/>
      <c r="X399" s="6"/>
      <c r="BB399" s="7" t="str">
        <v>Quarter 2</v>
      </c>
    </row>
    <row r="400" spans="1:54" ht="31.4" customHeight="1" x14ac:dyDescent="0.35">
      <c r="A400" s="210">
        <v>399</v>
      </c>
      <c r="B400" s="5" t="s">
        <v>55</v>
      </c>
      <c r="C400" s="5" t="s">
        <v>13</v>
      </c>
      <c r="D400" s="5" t="s">
        <v>567</v>
      </c>
      <c r="E400" s="149">
        <v>45890</v>
      </c>
      <c r="F400" s="149">
        <f t="shared" si="69"/>
        <v>45891</v>
      </c>
      <c r="G400" s="149">
        <f t="shared" si="70"/>
        <v>45905</v>
      </c>
      <c r="H400" s="149">
        <f t="shared" si="71"/>
        <v>45919</v>
      </c>
      <c r="I400" s="149" t="str">
        <f t="shared" si="61"/>
        <v>Aug</v>
      </c>
      <c r="J400" s="216" t="str">
        <f t="shared" ca="1" si="65"/>
        <v/>
      </c>
      <c r="K400" s="149" t="s">
        <v>43</v>
      </c>
      <c r="L400" s="149"/>
      <c r="M400" s="11">
        <v>45915</v>
      </c>
      <c r="N400" s="152">
        <f t="shared" si="66"/>
        <v>16</v>
      </c>
      <c r="O400" s="12" t="str">
        <f t="shared" si="68"/>
        <v>Yes</v>
      </c>
      <c r="P400" s="158"/>
      <c r="Q400" s="157"/>
      <c r="R400" s="11" t="s">
        <v>39</v>
      </c>
      <c r="S400" s="158"/>
      <c r="T400" s="5" t="s">
        <v>40</v>
      </c>
      <c r="U400" s="6"/>
      <c r="V400" s="5"/>
      <c r="W400" s="5"/>
      <c r="X400" s="6"/>
      <c r="BB400" s="7" t="str">
        <v>Quarter 2</v>
      </c>
    </row>
    <row r="401" spans="1:54" ht="31.4" customHeight="1" x14ac:dyDescent="0.35">
      <c r="A401" s="210">
        <v>400</v>
      </c>
      <c r="B401" s="5" t="s">
        <v>568</v>
      </c>
      <c r="C401" s="5" t="s">
        <v>11</v>
      </c>
      <c r="D401" s="5" t="s">
        <v>569</v>
      </c>
      <c r="E401" s="149">
        <v>45890</v>
      </c>
      <c r="F401" s="149">
        <f t="shared" si="69"/>
        <v>45891</v>
      </c>
      <c r="G401" s="149">
        <f t="shared" si="70"/>
        <v>45905</v>
      </c>
      <c r="H401" s="149">
        <f t="shared" si="71"/>
        <v>45919</v>
      </c>
      <c r="I401" s="149" t="str">
        <f t="shared" si="61"/>
        <v>Aug</v>
      </c>
      <c r="J401" s="216" t="str">
        <f t="shared" ca="1" si="65"/>
        <v/>
      </c>
      <c r="K401" s="149" t="s">
        <v>43</v>
      </c>
      <c r="L401" s="149"/>
      <c r="M401" s="11">
        <v>45908</v>
      </c>
      <c r="N401" s="152">
        <f t="shared" si="66"/>
        <v>11</v>
      </c>
      <c r="O401" s="12" t="str">
        <f t="shared" si="68"/>
        <v>Yes</v>
      </c>
      <c r="P401" s="158"/>
      <c r="Q401" s="157"/>
      <c r="R401" s="11" t="s">
        <v>39</v>
      </c>
      <c r="S401" s="158"/>
      <c r="T401" s="5" t="s">
        <v>40</v>
      </c>
      <c r="U401" s="6"/>
      <c r="V401" s="5"/>
      <c r="W401" s="5"/>
      <c r="X401" s="6"/>
      <c r="BB401" s="7" t="str">
        <v>Quarter 2</v>
      </c>
    </row>
    <row r="402" spans="1:54" ht="31.4" customHeight="1" x14ac:dyDescent="0.35">
      <c r="A402" s="210">
        <v>401</v>
      </c>
      <c r="B402" s="5" t="s">
        <v>68</v>
      </c>
      <c r="C402" s="5" t="s">
        <v>9</v>
      </c>
      <c r="D402" s="5" t="s">
        <v>570</v>
      </c>
      <c r="E402" s="149">
        <v>45890</v>
      </c>
      <c r="F402" s="149">
        <f t="shared" si="69"/>
        <v>45891</v>
      </c>
      <c r="G402" s="149">
        <f t="shared" si="70"/>
        <v>45905</v>
      </c>
      <c r="H402" s="149">
        <f t="shared" si="71"/>
        <v>45919</v>
      </c>
      <c r="I402" s="149" t="str">
        <f t="shared" si="61"/>
        <v>Aug</v>
      </c>
      <c r="J402" s="216" t="str">
        <f t="shared" ca="1" si="65"/>
        <v/>
      </c>
      <c r="K402" s="149" t="s">
        <v>4</v>
      </c>
      <c r="L402" s="149"/>
      <c r="M402" s="11">
        <v>45917</v>
      </c>
      <c r="N402" s="152">
        <f t="shared" si="66"/>
        <v>18</v>
      </c>
      <c r="O402" s="12" t="str">
        <f t="shared" si="68"/>
        <v>Yes</v>
      </c>
      <c r="P402" s="158"/>
      <c r="Q402" s="157"/>
      <c r="R402" s="11" t="s">
        <v>39</v>
      </c>
      <c r="S402" s="158"/>
      <c r="T402" s="5" t="s">
        <v>40</v>
      </c>
      <c r="U402" s="6"/>
      <c r="V402" s="5"/>
      <c r="W402" s="5"/>
      <c r="X402" s="6"/>
      <c r="BB402" s="7" t="str">
        <v>Quarter 2</v>
      </c>
    </row>
    <row r="403" spans="1:54" ht="31.4" customHeight="1" x14ac:dyDescent="0.35">
      <c r="A403" s="210">
        <v>402</v>
      </c>
      <c r="B403" s="5" t="s">
        <v>571</v>
      </c>
      <c r="C403" s="5" t="s">
        <v>9</v>
      </c>
      <c r="D403" s="5" t="s">
        <v>572</v>
      </c>
      <c r="E403" s="149">
        <v>45890</v>
      </c>
      <c r="F403" s="149">
        <f t="shared" si="69"/>
        <v>45891</v>
      </c>
      <c r="G403" s="149">
        <f t="shared" si="70"/>
        <v>45905</v>
      </c>
      <c r="H403" s="149">
        <f t="shared" si="71"/>
        <v>45919</v>
      </c>
      <c r="I403" s="149" t="str">
        <f t="shared" si="61"/>
        <v>Aug</v>
      </c>
      <c r="J403" s="216" t="str">
        <f t="shared" ca="1" si="65"/>
        <v/>
      </c>
      <c r="K403" s="149" t="s">
        <v>43</v>
      </c>
      <c r="L403" s="149"/>
      <c r="M403" s="11">
        <v>45915</v>
      </c>
      <c r="N403" s="152">
        <f t="shared" si="66"/>
        <v>16</v>
      </c>
      <c r="O403" s="12" t="str">
        <f t="shared" si="68"/>
        <v>Yes</v>
      </c>
      <c r="P403" s="158"/>
      <c r="Q403" s="157"/>
      <c r="R403" s="11" t="s">
        <v>39</v>
      </c>
      <c r="S403" s="158"/>
      <c r="T403" s="5" t="s">
        <v>40</v>
      </c>
      <c r="U403" s="6"/>
      <c r="V403" s="5"/>
      <c r="W403" s="5"/>
      <c r="X403" s="6"/>
      <c r="BB403" s="7" t="str">
        <v>Quarter 2</v>
      </c>
    </row>
    <row r="404" spans="1:54" ht="31.4" customHeight="1" x14ac:dyDescent="0.35">
      <c r="A404" s="210">
        <v>403</v>
      </c>
      <c r="B404" s="5" t="s">
        <v>573</v>
      </c>
      <c r="C404" s="5" t="s">
        <v>9</v>
      </c>
      <c r="D404" s="5" t="s">
        <v>574</v>
      </c>
      <c r="E404" s="149">
        <v>45891</v>
      </c>
      <c r="F404" s="149">
        <f t="shared" si="69"/>
        <v>45895</v>
      </c>
      <c r="G404" s="149">
        <f t="shared" si="70"/>
        <v>45908</v>
      </c>
      <c r="H404" s="149">
        <f t="shared" si="71"/>
        <v>45922</v>
      </c>
      <c r="I404" s="149" t="str">
        <f t="shared" si="61"/>
        <v>Aug</v>
      </c>
      <c r="J404" s="216" t="str">
        <f t="shared" ca="1" si="65"/>
        <v/>
      </c>
      <c r="K404" s="149" t="s">
        <v>4</v>
      </c>
      <c r="L404" s="149"/>
      <c r="M404" s="11">
        <v>45915</v>
      </c>
      <c r="N404" s="152">
        <f t="shared" si="66"/>
        <v>15</v>
      </c>
      <c r="O404" s="12" t="str">
        <f t="shared" si="68"/>
        <v>Yes</v>
      </c>
      <c r="P404" s="158"/>
      <c r="Q404" s="157"/>
      <c r="R404" s="11" t="s">
        <v>39</v>
      </c>
      <c r="S404" s="158"/>
      <c r="T404" s="5" t="s">
        <v>40</v>
      </c>
      <c r="U404" s="6"/>
      <c r="V404" s="5"/>
      <c r="W404" s="5" t="s">
        <v>575</v>
      </c>
      <c r="X404" s="6"/>
      <c r="BB404" s="7" t="str">
        <v>Quarter 2</v>
      </c>
    </row>
    <row r="405" spans="1:54" ht="31.4" customHeight="1" x14ac:dyDescent="0.35">
      <c r="A405" s="210">
        <v>404</v>
      </c>
      <c r="B405" s="199" t="s">
        <v>576</v>
      </c>
      <c r="C405" s="5" t="s">
        <v>9</v>
      </c>
      <c r="D405" s="5" t="s">
        <v>1852</v>
      </c>
      <c r="E405" s="149">
        <v>45891</v>
      </c>
      <c r="F405" s="149">
        <f t="shared" si="69"/>
        <v>45895</v>
      </c>
      <c r="G405" s="149">
        <f t="shared" si="70"/>
        <v>45908</v>
      </c>
      <c r="H405" s="149">
        <f t="shared" si="71"/>
        <v>45922</v>
      </c>
      <c r="I405" s="149" t="str">
        <f t="shared" si="61"/>
        <v>Aug</v>
      </c>
      <c r="J405" s="216" t="str">
        <f t="shared" ca="1" si="65"/>
        <v/>
      </c>
      <c r="K405" s="149" t="s">
        <v>4</v>
      </c>
      <c r="L405" s="149"/>
      <c r="M405" s="11">
        <v>45895</v>
      </c>
      <c r="N405" s="152">
        <f t="shared" si="66"/>
        <v>1</v>
      </c>
      <c r="O405" s="12" t="str">
        <f t="shared" si="68"/>
        <v>Yes</v>
      </c>
      <c r="P405" s="158"/>
      <c r="Q405" s="157"/>
      <c r="R405" s="11" t="s">
        <v>39</v>
      </c>
      <c r="S405" s="158"/>
      <c r="T405" s="5" t="s">
        <v>51</v>
      </c>
      <c r="U405" s="6"/>
      <c r="V405" s="5" t="s">
        <v>87</v>
      </c>
      <c r="W405" s="5"/>
      <c r="X405" s="6"/>
      <c r="BB405" s="7" t="str">
        <v>Quarter 2</v>
      </c>
    </row>
    <row r="406" spans="1:54" ht="31.4" customHeight="1" x14ac:dyDescent="0.35">
      <c r="A406" s="210">
        <v>405</v>
      </c>
      <c r="B406" s="5" t="s">
        <v>6</v>
      </c>
      <c r="C406" s="5" t="s">
        <v>6</v>
      </c>
      <c r="D406" s="5" t="s">
        <v>577</v>
      </c>
      <c r="E406" s="149">
        <v>45891</v>
      </c>
      <c r="F406" s="149">
        <f t="shared" si="69"/>
        <v>45895</v>
      </c>
      <c r="G406" s="149">
        <f t="shared" si="70"/>
        <v>45908</v>
      </c>
      <c r="H406" s="149">
        <f t="shared" si="71"/>
        <v>45922</v>
      </c>
      <c r="I406" s="149" t="str">
        <f t="shared" si="61"/>
        <v>Aug</v>
      </c>
      <c r="J406" s="216" t="str">
        <f t="shared" ca="1" si="65"/>
        <v/>
      </c>
      <c r="K406" s="149" t="s">
        <v>4</v>
      </c>
      <c r="L406" s="149"/>
      <c r="M406" s="11">
        <v>45895</v>
      </c>
      <c r="N406" s="152">
        <f t="shared" si="66"/>
        <v>1</v>
      </c>
      <c r="O406" s="12" t="str">
        <f t="shared" si="68"/>
        <v>Yes</v>
      </c>
      <c r="P406" s="158"/>
      <c r="Q406" s="157"/>
      <c r="R406" s="11" t="s">
        <v>39</v>
      </c>
      <c r="S406" s="158"/>
      <c r="T406" s="5" t="s">
        <v>62</v>
      </c>
      <c r="U406" s="6"/>
      <c r="V406" s="5"/>
      <c r="W406" s="5"/>
      <c r="X406" s="6"/>
      <c r="BB406" s="7" t="str">
        <v>Quarter 2</v>
      </c>
    </row>
    <row r="407" spans="1:54" ht="31.4" customHeight="1" x14ac:dyDescent="0.35">
      <c r="A407" s="210">
        <v>406</v>
      </c>
      <c r="B407" s="5" t="s">
        <v>573</v>
      </c>
      <c r="C407" s="5" t="s">
        <v>9</v>
      </c>
      <c r="D407" s="5" t="s">
        <v>578</v>
      </c>
      <c r="E407" s="149">
        <v>45891</v>
      </c>
      <c r="F407" s="149">
        <f t="shared" si="69"/>
        <v>45895</v>
      </c>
      <c r="G407" s="149">
        <f t="shared" si="70"/>
        <v>45908</v>
      </c>
      <c r="H407" s="149">
        <f t="shared" si="71"/>
        <v>45922</v>
      </c>
      <c r="I407" s="149" t="str">
        <f t="shared" si="61"/>
        <v>Aug</v>
      </c>
      <c r="J407" s="216" t="str">
        <f t="shared" ca="1" si="65"/>
        <v/>
      </c>
      <c r="K407" s="149" t="s">
        <v>43</v>
      </c>
      <c r="L407" s="149"/>
      <c r="M407" s="11">
        <v>45895</v>
      </c>
      <c r="N407" s="152">
        <f t="shared" si="66"/>
        <v>1</v>
      </c>
      <c r="O407" s="12" t="str">
        <f t="shared" si="68"/>
        <v>Yes</v>
      </c>
      <c r="P407" s="158"/>
      <c r="Q407" s="157"/>
      <c r="R407" s="11" t="s">
        <v>39</v>
      </c>
      <c r="S407" s="158"/>
      <c r="T407" s="5" t="s">
        <v>40</v>
      </c>
      <c r="U407" s="6"/>
      <c r="V407" s="5" t="s">
        <v>54</v>
      </c>
      <c r="W407" s="5"/>
      <c r="X407" s="6"/>
      <c r="BB407" s="7" t="str">
        <v>Quarter 2</v>
      </c>
    </row>
    <row r="408" spans="1:54" ht="31.4" customHeight="1" x14ac:dyDescent="0.35">
      <c r="A408" s="210">
        <v>407</v>
      </c>
      <c r="B408" s="5" t="s">
        <v>6</v>
      </c>
      <c r="C408" s="5" t="s">
        <v>6</v>
      </c>
      <c r="D408" s="164" t="s">
        <v>86</v>
      </c>
      <c r="E408" s="149">
        <v>45891</v>
      </c>
      <c r="F408" s="149">
        <f t="shared" si="69"/>
        <v>45895</v>
      </c>
      <c r="G408" s="149">
        <f t="shared" si="70"/>
        <v>45908</v>
      </c>
      <c r="H408" s="149">
        <f t="shared" si="71"/>
        <v>45922</v>
      </c>
      <c r="I408" s="149" t="str">
        <f t="shared" si="61"/>
        <v>Aug</v>
      </c>
      <c r="J408" s="216" t="str">
        <f t="shared" ca="1" si="65"/>
        <v/>
      </c>
      <c r="K408" s="149" t="s">
        <v>4</v>
      </c>
      <c r="L408" s="149"/>
      <c r="M408" s="11">
        <v>45895</v>
      </c>
      <c r="N408" s="152">
        <f t="shared" si="66"/>
        <v>1</v>
      </c>
      <c r="O408" s="12" t="str">
        <f t="shared" si="68"/>
        <v>Yes</v>
      </c>
      <c r="P408" s="158"/>
      <c r="Q408" s="157"/>
      <c r="R408" s="11" t="s">
        <v>39</v>
      </c>
      <c r="S408" s="158"/>
      <c r="T408" s="5" t="s">
        <v>40</v>
      </c>
      <c r="U408" s="6"/>
      <c r="V408" s="5" t="s">
        <v>54</v>
      </c>
      <c r="W408" s="5"/>
      <c r="X408" s="6"/>
      <c r="BB408" s="7" t="str">
        <v>Quarter 2</v>
      </c>
    </row>
    <row r="409" spans="1:54" ht="31.4" customHeight="1" x14ac:dyDescent="0.35">
      <c r="A409" s="210">
        <v>408</v>
      </c>
      <c r="B409" s="5" t="s">
        <v>579</v>
      </c>
      <c r="C409" s="5" t="s">
        <v>11</v>
      </c>
      <c r="D409" s="5" t="s">
        <v>580</v>
      </c>
      <c r="E409" s="149">
        <v>45891</v>
      </c>
      <c r="F409" s="149">
        <f t="shared" si="69"/>
        <v>45895</v>
      </c>
      <c r="G409" s="149">
        <f t="shared" si="70"/>
        <v>45908</v>
      </c>
      <c r="H409" s="149">
        <f t="shared" si="71"/>
        <v>45922</v>
      </c>
      <c r="I409" s="149" t="str">
        <f t="shared" si="61"/>
        <v>Aug</v>
      </c>
      <c r="J409" s="216" t="str">
        <f t="shared" ca="1" si="65"/>
        <v/>
      </c>
      <c r="K409" s="149" t="s">
        <v>43</v>
      </c>
      <c r="L409" s="149"/>
      <c r="M409" s="11">
        <v>45895</v>
      </c>
      <c r="N409" s="152">
        <f t="shared" si="66"/>
        <v>1</v>
      </c>
      <c r="O409" s="12" t="str">
        <f t="shared" si="68"/>
        <v>Yes</v>
      </c>
      <c r="P409" s="158"/>
      <c r="Q409" s="157"/>
      <c r="R409" s="11" t="s">
        <v>39</v>
      </c>
      <c r="S409" s="158"/>
      <c r="T409" s="5" t="s">
        <v>40</v>
      </c>
      <c r="U409" s="6"/>
      <c r="V409" s="5"/>
      <c r="W409" s="5"/>
      <c r="X409" s="6"/>
      <c r="BB409" s="7" t="str">
        <v>Quarter 2</v>
      </c>
    </row>
    <row r="410" spans="1:54" ht="31.4" customHeight="1" x14ac:dyDescent="0.35">
      <c r="A410" s="210">
        <v>409</v>
      </c>
      <c r="B410" s="5" t="s">
        <v>55</v>
      </c>
      <c r="C410" s="5" t="s">
        <v>13</v>
      </c>
      <c r="D410" s="5" t="s">
        <v>581</v>
      </c>
      <c r="E410" s="149">
        <v>45902</v>
      </c>
      <c r="F410" s="149">
        <f t="shared" si="69"/>
        <v>45903</v>
      </c>
      <c r="G410" s="149">
        <f t="shared" si="70"/>
        <v>45916</v>
      </c>
      <c r="H410" s="149">
        <f t="shared" si="71"/>
        <v>45930</v>
      </c>
      <c r="I410" s="149" t="str">
        <f t="shared" si="61"/>
        <v>Sep</v>
      </c>
      <c r="J410" s="216" t="str">
        <f t="shared" ca="1" si="65"/>
        <v/>
      </c>
      <c r="K410" s="149" t="s">
        <v>7</v>
      </c>
      <c r="L410" s="149"/>
      <c r="M410" s="11">
        <v>45902</v>
      </c>
      <c r="N410" s="152">
        <f t="shared" si="66"/>
        <v>0</v>
      </c>
      <c r="O410" s="12" t="str">
        <f t="shared" si="68"/>
        <v>Yes</v>
      </c>
      <c r="P410" s="158"/>
      <c r="Q410" s="157"/>
      <c r="R410" s="11" t="s">
        <v>39</v>
      </c>
      <c r="S410" s="158"/>
      <c r="T410" s="5" t="s">
        <v>40</v>
      </c>
      <c r="U410" s="6"/>
      <c r="V410" s="5"/>
      <c r="W410" s="5"/>
      <c r="X410" s="6"/>
      <c r="BB410" s="7" t="str">
        <v>Quarter 2</v>
      </c>
    </row>
    <row r="411" spans="1:54" ht="31.4" customHeight="1" x14ac:dyDescent="0.35">
      <c r="A411" s="210">
        <v>410</v>
      </c>
      <c r="B411" s="5" t="s">
        <v>6</v>
      </c>
      <c r="C411" s="5" t="s">
        <v>6</v>
      </c>
      <c r="D411" s="5" t="s">
        <v>365</v>
      </c>
      <c r="E411" s="149">
        <v>45895</v>
      </c>
      <c r="F411" s="149">
        <f t="shared" si="69"/>
        <v>45896</v>
      </c>
      <c r="G411" s="149">
        <f t="shared" si="70"/>
        <v>45909</v>
      </c>
      <c r="H411" s="149">
        <f t="shared" si="71"/>
        <v>45923</v>
      </c>
      <c r="I411" s="149" t="str">
        <f t="shared" si="61"/>
        <v>Aug</v>
      </c>
      <c r="J411" s="216" t="str">
        <f t="shared" ca="1" si="65"/>
        <v/>
      </c>
      <c r="K411" s="149" t="s">
        <v>43</v>
      </c>
      <c r="L411" s="149"/>
      <c r="M411" s="11">
        <v>45895</v>
      </c>
      <c r="N411" s="152">
        <f t="shared" si="66"/>
        <v>0</v>
      </c>
      <c r="O411" s="12" t="str">
        <f t="shared" si="68"/>
        <v>Yes</v>
      </c>
      <c r="P411" s="158"/>
      <c r="Q411" s="157"/>
      <c r="R411" s="11" t="s">
        <v>39</v>
      </c>
      <c r="S411" s="158"/>
      <c r="T411" s="5" t="s">
        <v>40</v>
      </c>
      <c r="U411" s="6"/>
      <c r="V411" s="5"/>
      <c r="W411" s="5" t="s">
        <v>46</v>
      </c>
      <c r="X411" s="6"/>
      <c r="BB411" s="7" t="str">
        <v>Quarter 2</v>
      </c>
    </row>
    <row r="412" spans="1:54" ht="31.4" customHeight="1" x14ac:dyDescent="0.35">
      <c r="A412" s="210">
        <v>411</v>
      </c>
      <c r="B412" s="8" t="s">
        <v>55</v>
      </c>
      <c r="C412" s="8" t="s">
        <v>13</v>
      </c>
      <c r="D412" s="8" t="s">
        <v>582</v>
      </c>
      <c r="E412" s="22">
        <v>45895</v>
      </c>
      <c r="F412" s="149">
        <f t="shared" si="69"/>
        <v>45896</v>
      </c>
      <c r="G412" s="149">
        <f t="shared" si="70"/>
        <v>45909</v>
      </c>
      <c r="H412" s="149">
        <f t="shared" si="71"/>
        <v>45923</v>
      </c>
      <c r="I412" s="149" t="str">
        <f t="shared" si="61"/>
        <v>Aug</v>
      </c>
      <c r="J412" s="216" t="str">
        <f t="shared" ca="1" si="65"/>
        <v/>
      </c>
      <c r="K412" s="22" t="s">
        <v>7</v>
      </c>
      <c r="L412" s="22"/>
      <c r="M412" s="11">
        <v>45909</v>
      </c>
      <c r="N412" s="152">
        <f t="shared" si="66"/>
        <v>10</v>
      </c>
      <c r="O412" s="12" t="str">
        <f t="shared" si="68"/>
        <v>Yes</v>
      </c>
      <c r="P412" s="17"/>
      <c r="Q412" s="17"/>
      <c r="R412" s="11" t="s">
        <v>39</v>
      </c>
      <c r="S412" s="17"/>
      <c r="T412" s="5" t="s">
        <v>40</v>
      </c>
      <c r="U412" s="8"/>
      <c r="V412" s="8"/>
      <c r="W412" s="5"/>
      <c r="X412" s="6"/>
      <c r="BB412" s="7" t="str">
        <v>Quarter 2</v>
      </c>
    </row>
    <row r="413" spans="1:54" ht="31.4" customHeight="1" x14ac:dyDescent="0.35">
      <c r="A413" s="210">
        <v>412</v>
      </c>
      <c r="B413" s="5" t="s">
        <v>6</v>
      </c>
      <c r="C413" s="5" t="s">
        <v>6</v>
      </c>
      <c r="D413" s="5" t="s">
        <v>583</v>
      </c>
      <c r="E413" s="149">
        <v>45896</v>
      </c>
      <c r="F413" s="149">
        <f t="shared" si="69"/>
        <v>45897</v>
      </c>
      <c r="G413" s="149">
        <f t="shared" si="70"/>
        <v>45910</v>
      </c>
      <c r="H413" s="149">
        <f t="shared" si="71"/>
        <v>45924</v>
      </c>
      <c r="I413" s="149" t="str">
        <f t="shared" si="61"/>
        <v>Aug</v>
      </c>
      <c r="J413" s="216" t="str">
        <f t="shared" ca="1" si="65"/>
        <v/>
      </c>
      <c r="K413" s="149" t="s">
        <v>4</v>
      </c>
      <c r="L413" s="149"/>
      <c r="M413" s="11">
        <v>45896</v>
      </c>
      <c r="N413" s="152">
        <f t="shared" si="66"/>
        <v>0</v>
      </c>
      <c r="O413" s="12" t="str">
        <f t="shared" si="68"/>
        <v>Yes</v>
      </c>
      <c r="P413" s="158"/>
      <c r="Q413" s="157"/>
      <c r="R413" s="11" t="s">
        <v>39</v>
      </c>
      <c r="S413" s="158"/>
      <c r="T413" s="5" t="s">
        <v>40</v>
      </c>
      <c r="U413" s="6"/>
      <c r="V413" s="5"/>
      <c r="W413" s="5"/>
      <c r="X413" s="6"/>
      <c r="BB413" s="7" t="str">
        <v>Quarter 2</v>
      </c>
    </row>
    <row r="414" spans="1:54" ht="31.4" customHeight="1" x14ac:dyDescent="0.35">
      <c r="A414" s="210">
        <v>413</v>
      </c>
      <c r="B414" s="5" t="s">
        <v>55</v>
      </c>
      <c r="C414" s="5" t="s">
        <v>13</v>
      </c>
      <c r="D414" s="5" t="s">
        <v>584</v>
      </c>
      <c r="E414" s="149">
        <v>45897</v>
      </c>
      <c r="F414" s="149">
        <f t="shared" si="69"/>
        <v>45898</v>
      </c>
      <c r="G414" s="149">
        <f t="shared" si="70"/>
        <v>45911</v>
      </c>
      <c r="H414" s="149">
        <f t="shared" si="71"/>
        <v>45925</v>
      </c>
      <c r="I414" s="149" t="str">
        <f t="shared" si="61"/>
        <v>Aug</v>
      </c>
      <c r="J414" s="216" t="str">
        <f t="shared" ca="1" si="65"/>
        <v/>
      </c>
      <c r="K414" s="149" t="s">
        <v>4</v>
      </c>
      <c r="L414" s="149"/>
      <c r="M414" s="11">
        <v>45897</v>
      </c>
      <c r="N414" s="152">
        <f t="shared" si="66"/>
        <v>0</v>
      </c>
      <c r="O414" s="12" t="str">
        <f t="shared" si="68"/>
        <v>Yes</v>
      </c>
      <c r="P414" s="158"/>
      <c r="Q414" s="157"/>
      <c r="R414" s="11" t="s">
        <v>39</v>
      </c>
      <c r="S414" s="158"/>
      <c r="T414" s="5" t="s">
        <v>45</v>
      </c>
      <c r="U414" s="6"/>
      <c r="V414" s="5" t="s">
        <v>87</v>
      </c>
      <c r="W414" s="5"/>
      <c r="X414" s="6"/>
      <c r="BB414" s="7" t="str">
        <v>Quarter 2</v>
      </c>
    </row>
    <row r="415" spans="1:54" ht="31.4" customHeight="1" x14ac:dyDescent="0.35">
      <c r="A415" s="210">
        <v>414</v>
      </c>
      <c r="B415" s="5" t="s">
        <v>55</v>
      </c>
      <c r="C415" s="5" t="s">
        <v>13</v>
      </c>
      <c r="D415" s="12" t="s">
        <v>585</v>
      </c>
      <c r="E415" s="149">
        <v>45897</v>
      </c>
      <c r="F415" s="149">
        <f t="shared" si="69"/>
        <v>45898</v>
      </c>
      <c r="G415" s="149">
        <f t="shared" si="70"/>
        <v>45911</v>
      </c>
      <c r="H415" s="149">
        <f t="shared" si="71"/>
        <v>45925</v>
      </c>
      <c r="I415" s="149" t="str">
        <f t="shared" si="61"/>
        <v>Aug</v>
      </c>
      <c r="J415" s="216" t="str">
        <f t="shared" ca="1" si="65"/>
        <v/>
      </c>
      <c r="K415" s="149" t="s">
        <v>43</v>
      </c>
      <c r="L415" s="149"/>
      <c r="M415" s="11">
        <v>45917</v>
      </c>
      <c r="N415" s="152">
        <f t="shared" si="66"/>
        <v>14</v>
      </c>
      <c r="O415" s="12" t="str">
        <f t="shared" si="68"/>
        <v>Yes</v>
      </c>
      <c r="P415" s="158"/>
      <c r="Q415" s="157"/>
      <c r="R415" s="11" t="s">
        <v>39</v>
      </c>
      <c r="S415" s="158"/>
      <c r="T415" s="5" t="s">
        <v>45</v>
      </c>
      <c r="U415" s="6"/>
      <c r="V415" s="5" t="s">
        <v>80</v>
      </c>
      <c r="W415" s="5" t="s">
        <v>586</v>
      </c>
      <c r="X415" s="6"/>
      <c r="BB415" s="7" t="str">
        <v>Quarter 2</v>
      </c>
    </row>
    <row r="416" spans="1:54" ht="31.4" customHeight="1" x14ac:dyDescent="0.35">
      <c r="A416" s="210">
        <v>415</v>
      </c>
      <c r="B416" s="5" t="s">
        <v>6</v>
      </c>
      <c r="C416" s="5" t="s">
        <v>6</v>
      </c>
      <c r="D416" s="5" t="s">
        <v>587</v>
      </c>
      <c r="E416" s="149">
        <v>45897</v>
      </c>
      <c r="F416" s="149">
        <f t="shared" si="69"/>
        <v>45898</v>
      </c>
      <c r="G416" s="149">
        <f t="shared" si="70"/>
        <v>45911</v>
      </c>
      <c r="H416" s="149">
        <f t="shared" si="71"/>
        <v>45925</v>
      </c>
      <c r="I416" s="149" t="str">
        <f t="shared" si="61"/>
        <v>Aug</v>
      </c>
      <c r="J416" s="216" t="str">
        <f t="shared" ca="1" si="65"/>
        <v/>
      </c>
      <c r="K416" s="149" t="s">
        <v>4</v>
      </c>
      <c r="L416" s="149"/>
      <c r="M416" s="11">
        <v>45910</v>
      </c>
      <c r="N416" s="152">
        <f t="shared" si="66"/>
        <v>9</v>
      </c>
      <c r="O416" s="12" t="str">
        <f t="shared" si="68"/>
        <v>Yes</v>
      </c>
      <c r="P416" s="158"/>
      <c r="Q416" s="157"/>
      <c r="R416" s="11" t="s">
        <v>39</v>
      </c>
      <c r="S416" s="158"/>
      <c r="T416" s="5" t="s">
        <v>40</v>
      </c>
      <c r="U416" s="6"/>
      <c r="V416" s="5"/>
      <c r="W416" s="5"/>
      <c r="X416" s="6"/>
      <c r="BB416" s="7" t="str">
        <v>Quarter 2</v>
      </c>
    </row>
    <row r="417" spans="1:54" ht="31.4" customHeight="1" x14ac:dyDescent="0.35">
      <c r="A417" s="210">
        <v>416</v>
      </c>
      <c r="B417" s="5" t="s">
        <v>588</v>
      </c>
      <c r="C417" s="5" t="s">
        <v>9</v>
      </c>
      <c r="D417" s="5" t="s">
        <v>337</v>
      </c>
      <c r="E417" s="149">
        <v>45898</v>
      </c>
      <c r="F417" s="149">
        <f t="shared" si="69"/>
        <v>45901</v>
      </c>
      <c r="G417" s="149">
        <f t="shared" si="70"/>
        <v>45912</v>
      </c>
      <c r="H417" s="149">
        <f t="shared" si="71"/>
        <v>45926</v>
      </c>
      <c r="I417" s="149" t="str">
        <f t="shared" si="61"/>
        <v>Aug</v>
      </c>
      <c r="J417" s="216" t="str">
        <f t="shared" ca="1" si="65"/>
        <v/>
      </c>
      <c r="K417" s="149" t="s">
        <v>3</v>
      </c>
      <c r="L417" s="149"/>
      <c r="M417" s="11">
        <v>45902</v>
      </c>
      <c r="N417" s="152">
        <f t="shared" si="66"/>
        <v>2</v>
      </c>
      <c r="O417" s="12" t="str">
        <f t="shared" si="68"/>
        <v>Yes</v>
      </c>
      <c r="P417" s="158"/>
      <c r="Q417" s="157"/>
      <c r="R417" s="11" t="s">
        <v>39</v>
      </c>
      <c r="S417" s="158"/>
      <c r="T417" s="5" t="s">
        <v>40</v>
      </c>
      <c r="U417" s="6"/>
      <c r="V417" s="5"/>
      <c r="W417" s="5"/>
      <c r="X417" s="6"/>
      <c r="BB417" s="7" t="str">
        <v>Quarter 2</v>
      </c>
    </row>
    <row r="418" spans="1:54" ht="31.4" customHeight="1" x14ac:dyDescent="0.35">
      <c r="A418" s="210">
        <v>417</v>
      </c>
      <c r="B418" s="5" t="s">
        <v>392</v>
      </c>
      <c r="C418" s="5" t="s">
        <v>5</v>
      </c>
      <c r="D418" s="5" t="s">
        <v>589</v>
      </c>
      <c r="E418" s="149">
        <v>45898</v>
      </c>
      <c r="F418" s="149">
        <f t="shared" si="69"/>
        <v>45901</v>
      </c>
      <c r="G418" s="149">
        <f t="shared" si="70"/>
        <v>45912</v>
      </c>
      <c r="H418" s="149">
        <f t="shared" si="71"/>
        <v>45926</v>
      </c>
      <c r="I418" s="149" t="str">
        <f t="shared" si="61"/>
        <v>Aug</v>
      </c>
      <c r="J418" s="216" t="str">
        <f t="shared" ca="1" si="65"/>
        <v/>
      </c>
      <c r="K418" s="149" t="s">
        <v>4</v>
      </c>
      <c r="L418" s="149"/>
      <c r="M418" s="11">
        <v>45901</v>
      </c>
      <c r="N418" s="152">
        <f t="shared" si="66"/>
        <v>1</v>
      </c>
      <c r="O418" s="12" t="str">
        <f t="shared" si="68"/>
        <v>Yes</v>
      </c>
      <c r="P418" s="158"/>
      <c r="Q418" s="157"/>
      <c r="R418" s="11" t="s">
        <v>39</v>
      </c>
      <c r="S418" s="158"/>
      <c r="T418" s="5" t="s">
        <v>40</v>
      </c>
      <c r="U418" s="6"/>
      <c r="V418" s="5"/>
      <c r="W418" s="5"/>
      <c r="X418" s="6"/>
      <c r="BB418" s="7" t="str">
        <v>Quarter 2</v>
      </c>
    </row>
    <row r="419" spans="1:54" ht="31.4" customHeight="1" x14ac:dyDescent="0.35">
      <c r="A419" s="210">
        <v>418</v>
      </c>
      <c r="B419" s="5" t="s">
        <v>6</v>
      </c>
      <c r="C419" s="5" t="s">
        <v>6</v>
      </c>
      <c r="D419" s="5" t="s">
        <v>590</v>
      </c>
      <c r="E419" s="149">
        <v>45901</v>
      </c>
      <c r="F419" s="149">
        <f t="shared" si="69"/>
        <v>45902</v>
      </c>
      <c r="G419" s="149">
        <f t="shared" si="70"/>
        <v>45915</v>
      </c>
      <c r="H419" s="149">
        <f t="shared" si="71"/>
        <v>45929</v>
      </c>
      <c r="I419" s="149" t="str">
        <f t="shared" si="61"/>
        <v>Sep</v>
      </c>
      <c r="J419" s="216" t="str">
        <f t="shared" ca="1" si="65"/>
        <v/>
      </c>
      <c r="K419" s="149" t="s">
        <v>4</v>
      </c>
      <c r="L419" s="149"/>
      <c r="M419" s="11">
        <v>45901</v>
      </c>
      <c r="N419" s="152">
        <f t="shared" si="66"/>
        <v>0</v>
      </c>
      <c r="O419" s="12" t="str">
        <f t="shared" si="68"/>
        <v>Yes</v>
      </c>
      <c r="P419" s="158"/>
      <c r="Q419" s="157"/>
      <c r="R419" s="11" t="s">
        <v>39</v>
      </c>
      <c r="S419" s="158"/>
      <c r="T419" s="5" t="s">
        <v>62</v>
      </c>
      <c r="U419" s="6"/>
      <c r="V419" s="5"/>
      <c r="W419" s="5"/>
      <c r="X419" s="6"/>
      <c r="BB419" s="7" t="str">
        <v>Quarter 2</v>
      </c>
    </row>
    <row r="420" spans="1:54" ht="31.4" customHeight="1" x14ac:dyDescent="0.35">
      <c r="A420" s="210">
        <v>419</v>
      </c>
      <c r="B420" s="5" t="s">
        <v>6</v>
      </c>
      <c r="C420" s="5" t="s">
        <v>6</v>
      </c>
      <c r="D420" s="5" t="s">
        <v>591</v>
      </c>
      <c r="E420" s="149">
        <v>45901</v>
      </c>
      <c r="F420" s="149">
        <f t="shared" si="69"/>
        <v>45902</v>
      </c>
      <c r="G420" s="149">
        <f t="shared" si="70"/>
        <v>45915</v>
      </c>
      <c r="H420" s="149">
        <f t="shared" si="71"/>
        <v>45929</v>
      </c>
      <c r="I420" s="149" t="str">
        <f t="shared" si="61"/>
        <v>Sep</v>
      </c>
      <c r="J420" s="216" t="str">
        <f t="shared" ca="1" si="65"/>
        <v/>
      </c>
      <c r="K420" s="149" t="s">
        <v>4</v>
      </c>
      <c r="L420" s="149"/>
      <c r="M420" s="11">
        <v>45905</v>
      </c>
      <c r="N420" s="152">
        <f t="shared" si="66"/>
        <v>4</v>
      </c>
      <c r="O420" s="12" t="str">
        <f t="shared" si="68"/>
        <v>Yes</v>
      </c>
      <c r="P420" s="158"/>
      <c r="Q420" s="157"/>
      <c r="R420" s="11" t="s">
        <v>39</v>
      </c>
      <c r="S420" s="158"/>
      <c r="T420" s="5" t="s">
        <v>40</v>
      </c>
      <c r="U420" s="6"/>
      <c r="V420" s="5"/>
      <c r="W420" s="5"/>
      <c r="X420" s="6"/>
      <c r="BB420" s="7" t="str">
        <v>Quarter 2</v>
      </c>
    </row>
    <row r="421" spans="1:54" ht="31.4" customHeight="1" x14ac:dyDescent="0.35">
      <c r="A421" s="210">
        <v>420</v>
      </c>
      <c r="B421" s="5" t="s">
        <v>237</v>
      </c>
      <c r="C421" s="5" t="s">
        <v>14</v>
      </c>
      <c r="D421" s="5" t="s">
        <v>592</v>
      </c>
      <c r="E421" s="149">
        <v>45901</v>
      </c>
      <c r="F421" s="149">
        <f t="shared" si="69"/>
        <v>45902</v>
      </c>
      <c r="G421" s="149">
        <f t="shared" si="70"/>
        <v>45915</v>
      </c>
      <c r="H421" s="149">
        <f t="shared" si="71"/>
        <v>45929</v>
      </c>
      <c r="I421" s="149" t="str">
        <f t="shared" si="61"/>
        <v>Sep</v>
      </c>
      <c r="J421" s="216" t="str">
        <f t="shared" ca="1" si="65"/>
        <v/>
      </c>
      <c r="K421" s="149" t="s">
        <v>7</v>
      </c>
      <c r="L421" s="149"/>
      <c r="M421" s="11">
        <v>45902</v>
      </c>
      <c r="N421" s="152">
        <f t="shared" si="66"/>
        <v>1</v>
      </c>
      <c r="O421" s="12" t="str">
        <f t="shared" si="68"/>
        <v>Yes</v>
      </c>
      <c r="P421" s="158"/>
      <c r="Q421" s="157"/>
      <c r="R421" s="11" t="s">
        <v>39</v>
      </c>
      <c r="S421" s="158"/>
      <c r="T421" s="5" t="s">
        <v>40</v>
      </c>
      <c r="U421" s="6"/>
      <c r="V421" s="5"/>
      <c r="W421" s="5"/>
      <c r="X421" s="6"/>
      <c r="BB421" s="7" t="str">
        <v>Quarter 2</v>
      </c>
    </row>
    <row r="422" spans="1:54" ht="31.4" customHeight="1" x14ac:dyDescent="0.35">
      <c r="A422" s="210">
        <v>421</v>
      </c>
      <c r="B422" s="5" t="s">
        <v>593</v>
      </c>
      <c r="C422" s="5" t="s">
        <v>9</v>
      </c>
      <c r="D422" s="5" t="s">
        <v>594</v>
      </c>
      <c r="E422" s="149"/>
      <c r="F422" s="149" t="str">
        <f t="shared" si="69"/>
        <v/>
      </c>
      <c r="G422" s="149" t="str">
        <f t="shared" si="70"/>
        <v/>
      </c>
      <c r="H422" s="149" t="str">
        <f t="shared" si="71"/>
        <v/>
      </c>
      <c r="I422" s="149" t="s">
        <v>595</v>
      </c>
      <c r="J422" s="216" t="str">
        <f t="shared" ca="1" si="65"/>
        <v/>
      </c>
      <c r="K422" s="149" t="s">
        <v>4</v>
      </c>
      <c r="L422" s="149"/>
      <c r="M422" s="11"/>
      <c r="N422" s="152" t="str">
        <f t="shared" si="66"/>
        <v/>
      </c>
      <c r="O422" s="12" t="str">
        <f t="shared" si="68"/>
        <v/>
      </c>
      <c r="P422" s="158"/>
      <c r="Q422" s="157"/>
      <c r="R422" s="11" t="s">
        <v>52</v>
      </c>
      <c r="S422" s="158"/>
      <c r="T422" s="5" t="s">
        <v>52</v>
      </c>
      <c r="U422" s="6"/>
      <c r="V422" s="5"/>
      <c r="W422" s="5" t="s">
        <v>596</v>
      </c>
      <c r="X422" s="6"/>
      <c r="BB422" s="7" t="str">
        <v>Quarter 2</v>
      </c>
    </row>
    <row r="423" spans="1:54" ht="31.4" customHeight="1" x14ac:dyDescent="0.35">
      <c r="A423" s="210">
        <v>422</v>
      </c>
      <c r="B423" s="5" t="s">
        <v>6</v>
      </c>
      <c r="C423" s="5" t="s">
        <v>6</v>
      </c>
      <c r="D423" s="5" t="s">
        <v>597</v>
      </c>
      <c r="E423" s="149">
        <v>45901</v>
      </c>
      <c r="F423" s="149">
        <f t="shared" si="69"/>
        <v>45902</v>
      </c>
      <c r="G423" s="149">
        <f t="shared" si="70"/>
        <v>45915</v>
      </c>
      <c r="H423" s="149">
        <f t="shared" si="71"/>
        <v>45929</v>
      </c>
      <c r="I423" s="149" t="str">
        <f t="shared" si="61"/>
        <v>Sep</v>
      </c>
      <c r="J423" s="216" t="str">
        <f t="shared" ca="1" si="65"/>
        <v/>
      </c>
      <c r="K423" s="149" t="s">
        <v>4</v>
      </c>
      <c r="L423" s="149"/>
      <c r="M423" s="11">
        <v>45917</v>
      </c>
      <c r="N423" s="152">
        <f t="shared" si="66"/>
        <v>12</v>
      </c>
      <c r="O423" s="12" t="str">
        <f t="shared" si="68"/>
        <v>Yes</v>
      </c>
      <c r="P423" s="158"/>
      <c r="Q423" s="157"/>
      <c r="R423" s="11" t="s">
        <v>39</v>
      </c>
      <c r="S423" s="158"/>
      <c r="T423" s="5" t="s">
        <v>62</v>
      </c>
      <c r="U423" s="6"/>
      <c r="V423" s="5"/>
      <c r="W423" s="5"/>
      <c r="X423" s="6"/>
      <c r="BB423" s="7" t="str">
        <v>Quarter 2</v>
      </c>
    </row>
    <row r="424" spans="1:54" ht="31.4" customHeight="1" x14ac:dyDescent="0.35">
      <c r="A424" s="210">
        <v>423</v>
      </c>
      <c r="B424" s="8" t="s">
        <v>598</v>
      </c>
      <c r="C424" s="8" t="s">
        <v>9</v>
      </c>
      <c r="D424" s="8" t="s">
        <v>599</v>
      </c>
      <c r="E424" s="22">
        <v>45902</v>
      </c>
      <c r="F424" s="149">
        <f t="shared" si="69"/>
        <v>45903</v>
      </c>
      <c r="G424" s="149">
        <f t="shared" si="70"/>
        <v>45916</v>
      </c>
      <c r="H424" s="149">
        <f t="shared" si="71"/>
        <v>45930</v>
      </c>
      <c r="I424" s="149" t="str">
        <f t="shared" si="61"/>
        <v>Sep</v>
      </c>
      <c r="J424" s="216" t="str">
        <f t="shared" ca="1" si="65"/>
        <v/>
      </c>
      <c r="K424" s="22" t="s">
        <v>43</v>
      </c>
      <c r="L424" s="22"/>
      <c r="M424" s="11">
        <v>45930</v>
      </c>
      <c r="N424" s="152">
        <f t="shared" si="66"/>
        <v>20</v>
      </c>
      <c r="O424" s="12" t="str">
        <f t="shared" si="68"/>
        <v>Yes</v>
      </c>
      <c r="P424" s="159"/>
      <c r="Q424" s="159"/>
      <c r="R424" s="11" t="s">
        <v>39</v>
      </c>
      <c r="S424" s="17"/>
      <c r="T424" s="5" t="s">
        <v>40</v>
      </c>
      <c r="U424" s="8"/>
      <c r="V424" s="8"/>
      <c r="W424" s="5" t="s">
        <v>46</v>
      </c>
      <c r="X424" s="6"/>
      <c r="BB424" s="7" t="str">
        <v>Quarter 2</v>
      </c>
    </row>
    <row r="425" spans="1:54" ht="31.4" customHeight="1" x14ac:dyDescent="0.35">
      <c r="A425" s="210">
        <v>424</v>
      </c>
      <c r="B425" s="5" t="s">
        <v>600</v>
      </c>
      <c r="C425" s="5" t="s">
        <v>8</v>
      </c>
      <c r="D425" s="5" t="s">
        <v>601</v>
      </c>
      <c r="E425" s="149">
        <v>45933</v>
      </c>
      <c r="F425" s="149">
        <f t="shared" si="69"/>
        <v>45936</v>
      </c>
      <c r="G425" s="149">
        <f t="shared" si="70"/>
        <v>45947</v>
      </c>
      <c r="H425" s="149">
        <f t="shared" si="71"/>
        <v>45961</v>
      </c>
      <c r="I425" s="149" t="str">
        <f t="shared" si="61"/>
        <v>Oct</v>
      </c>
      <c r="J425" s="216" t="str">
        <f t="shared" ca="1" si="65"/>
        <v/>
      </c>
      <c r="K425" s="149" t="s">
        <v>3</v>
      </c>
      <c r="L425" s="149"/>
      <c r="M425" s="11">
        <v>45972</v>
      </c>
      <c r="N425" s="152">
        <f t="shared" si="66"/>
        <v>27</v>
      </c>
      <c r="O425" s="12" t="str">
        <f t="shared" si="68"/>
        <v>No</v>
      </c>
      <c r="P425" s="158"/>
      <c r="Q425" s="157"/>
      <c r="R425" s="11" t="s">
        <v>39</v>
      </c>
      <c r="S425" s="158"/>
      <c r="T425" s="5" t="s">
        <v>40</v>
      </c>
      <c r="U425" s="6"/>
      <c r="V425" s="5" t="s">
        <v>87</v>
      </c>
      <c r="W425" s="5"/>
      <c r="X425" s="6"/>
      <c r="BB425" s="7" t="str">
        <v>Quarter 3</v>
      </c>
    </row>
    <row r="426" spans="1:54" ht="31.4" customHeight="1" x14ac:dyDescent="0.35">
      <c r="A426" s="210">
        <v>425</v>
      </c>
      <c r="B426" s="5" t="s">
        <v>55</v>
      </c>
      <c r="C426" s="5" t="s">
        <v>13</v>
      </c>
      <c r="D426" s="5" t="s">
        <v>602</v>
      </c>
      <c r="E426" s="149">
        <v>45902</v>
      </c>
      <c r="F426" s="149">
        <f t="shared" si="69"/>
        <v>45903</v>
      </c>
      <c r="G426" s="149">
        <f t="shared" si="70"/>
        <v>45916</v>
      </c>
      <c r="H426" s="149">
        <f t="shared" si="71"/>
        <v>45930</v>
      </c>
      <c r="I426" s="149" t="str">
        <f t="shared" si="61"/>
        <v>Sep</v>
      </c>
      <c r="J426" s="216" t="str">
        <f t="shared" ca="1" si="65"/>
        <v/>
      </c>
      <c r="K426" s="149" t="s">
        <v>43</v>
      </c>
      <c r="L426" s="149"/>
      <c r="M426" s="11">
        <v>45930</v>
      </c>
      <c r="N426" s="152">
        <f t="shared" si="66"/>
        <v>20</v>
      </c>
      <c r="O426" s="12" t="str">
        <f t="shared" si="68"/>
        <v>Yes</v>
      </c>
      <c r="P426" s="158"/>
      <c r="Q426" s="157"/>
      <c r="R426" s="11" t="s">
        <v>39</v>
      </c>
      <c r="S426" s="158"/>
      <c r="T426" s="5" t="s">
        <v>45</v>
      </c>
      <c r="U426" s="6"/>
      <c r="V426" s="5" t="s">
        <v>54</v>
      </c>
      <c r="W426" s="5"/>
      <c r="X426" s="6"/>
      <c r="BB426" s="7" t="str">
        <v>Quarter 2</v>
      </c>
    </row>
    <row r="427" spans="1:54" ht="31.4" customHeight="1" x14ac:dyDescent="0.35">
      <c r="A427" s="210">
        <v>426</v>
      </c>
      <c r="B427" s="5" t="s">
        <v>154</v>
      </c>
      <c r="C427" s="5" t="s">
        <v>11</v>
      </c>
      <c r="D427" s="5" t="s">
        <v>603</v>
      </c>
      <c r="E427" s="22">
        <v>45903</v>
      </c>
      <c r="F427" s="149">
        <f t="shared" si="69"/>
        <v>45904</v>
      </c>
      <c r="G427" s="149">
        <f t="shared" si="70"/>
        <v>45917</v>
      </c>
      <c r="H427" s="149">
        <f t="shared" si="71"/>
        <v>45931</v>
      </c>
      <c r="I427" s="149" t="str">
        <f t="shared" si="61"/>
        <v>Sep</v>
      </c>
      <c r="J427" s="216" t="str">
        <f t="shared" ca="1" si="65"/>
        <v/>
      </c>
      <c r="K427" s="149" t="s">
        <v>7</v>
      </c>
      <c r="L427" s="149"/>
      <c r="M427" s="11">
        <v>45931</v>
      </c>
      <c r="N427" s="152">
        <f t="shared" si="66"/>
        <v>20</v>
      </c>
      <c r="O427" s="12" t="str">
        <f t="shared" si="68"/>
        <v>Yes</v>
      </c>
      <c r="P427" s="158"/>
      <c r="Q427" s="157"/>
      <c r="R427" s="11" t="s">
        <v>39</v>
      </c>
      <c r="S427" s="158"/>
      <c r="T427" s="5" t="s">
        <v>45</v>
      </c>
      <c r="U427" s="6"/>
      <c r="V427" s="5" t="s">
        <v>41</v>
      </c>
      <c r="W427" s="5"/>
      <c r="X427" s="6"/>
      <c r="BB427" s="7" t="str">
        <v>Quarter 2</v>
      </c>
    </row>
    <row r="428" spans="1:54" ht="31.4" customHeight="1" x14ac:dyDescent="0.35">
      <c r="A428" s="210">
        <v>427</v>
      </c>
      <c r="B428" s="5" t="s">
        <v>6</v>
      </c>
      <c r="C428" s="5" t="s">
        <v>6</v>
      </c>
      <c r="D428" s="5" t="s">
        <v>604</v>
      </c>
      <c r="E428" s="149">
        <v>45903</v>
      </c>
      <c r="F428" s="149">
        <f t="shared" si="69"/>
        <v>45904</v>
      </c>
      <c r="G428" s="149">
        <f t="shared" si="70"/>
        <v>45917</v>
      </c>
      <c r="H428" s="149">
        <f t="shared" si="71"/>
        <v>45931</v>
      </c>
      <c r="I428" s="149" t="str">
        <f t="shared" si="61"/>
        <v>Sep</v>
      </c>
      <c r="J428" s="216" t="str">
        <f t="shared" ca="1" si="65"/>
        <v/>
      </c>
      <c r="K428" s="149" t="s">
        <v>43</v>
      </c>
      <c r="L428" s="149"/>
      <c r="M428" s="11">
        <v>45915</v>
      </c>
      <c r="N428" s="152">
        <f t="shared" si="66"/>
        <v>8</v>
      </c>
      <c r="O428" s="12" t="str">
        <f t="shared" si="68"/>
        <v>Yes</v>
      </c>
      <c r="P428" s="158"/>
      <c r="Q428" s="157"/>
      <c r="R428" s="11" t="s">
        <v>39</v>
      </c>
      <c r="S428" s="158"/>
      <c r="T428" s="5" t="s">
        <v>40</v>
      </c>
      <c r="U428" s="6"/>
      <c r="V428" s="5" t="s">
        <v>54</v>
      </c>
      <c r="W428" s="5"/>
      <c r="X428" s="6"/>
      <c r="BB428" s="7" t="str">
        <v>Quarter 2</v>
      </c>
    </row>
    <row r="429" spans="1:54" ht="31.4" customHeight="1" x14ac:dyDescent="0.35">
      <c r="A429" s="210">
        <v>428</v>
      </c>
      <c r="B429" s="5" t="s">
        <v>55</v>
      </c>
      <c r="C429" s="5" t="s">
        <v>13</v>
      </c>
      <c r="D429" s="5" t="s">
        <v>605</v>
      </c>
      <c r="E429" s="149">
        <v>45904</v>
      </c>
      <c r="F429" s="149">
        <f t="shared" si="69"/>
        <v>45905</v>
      </c>
      <c r="G429" s="149">
        <f t="shared" si="70"/>
        <v>45918</v>
      </c>
      <c r="H429" s="149">
        <f t="shared" si="71"/>
        <v>45932</v>
      </c>
      <c r="I429" s="149" t="str">
        <f t="shared" si="61"/>
        <v>Sep</v>
      </c>
      <c r="J429" s="216" t="str">
        <f t="shared" ca="1" si="65"/>
        <v/>
      </c>
      <c r="K429" s="149" t="s">
        <v>7</v>
      </c>
      <c r="L429" s="149"/>
      <c r="M429" s="11">
        <v>45918</v>
      </c>
      <c r="N429" s="152">
        <f t="shared" si="66"/>
        <v>10</v>
      </c>
      <c r="O429" s="12" t="str">
        <f t="shared" si="68"/>
        <v>Yes</v>
      </c>
      <c r="P429" s="158"/>
      <c r="Q429" s="157"/>
      <c r="R429" s="11" t="s">
        <v>39</v>
      </c>
      <c r="S429" s="158"/>
      <c r="T429" s="5" t="s">
        <v>40</v>
      </c>
      <c r="U429" s="6"/>
      <c r="V429" s="5"/>
      <c r="W429" s="5"/>
      <c r="X429" s="6"/>
      <c r="BB429" s="7" t="str">
        <v>Quarter 2</v>
      </c>
    </row>
    <row r="430" spans="1:54" ht="31.4" customHeight="1" x14ac:dyDescent="0.35">
      <c r="A430" s="210">
        <v>429</v>
      </c>
      <c r="B430" s="5" t="s">
        <v>6</v>
      </c>
      <c r="C430" s="5" t="s">
        <v>6</v>
      </c>
      <c r="D430" s="5" t="s">
        <v>1886</v>
      </c>
      <c r="E430" s="149">
        <v>45904</v>
      </c>
      <c r="F430" s="149">
        <f t="shared" si="69"/>
        <v>45905</v>
      </c>
      <c r="G430" s="149">
        <f t="shared" si="70"/>
        <v>45918</v>
      </c>
      <c r="H430" s="149">
        <f t="shared" si="71"/>
        <v>45932</v>
      </c>
      <c r="I430" s="149" t="str">
        <f t="shared" si="61"/>
        <v>Sep</v>
      </c>
      <c r="J430" s="216" t="str">
        <f t="shared" ca="1" si="65"/>
        <v/>
      </c>
      <c r="K430" s="149" t="s">
        <v>43</v>
      </c>
      <c r="L430" s="149"/>
      <c r="M430" s="11">
        <v>45918</v>
      </c>
      <c r="N430" s="152">
        <f t="shared" si="66"/>
        <v>10</v>
      </c>
      <c r="O430" s="12" t="str">
        <f t="shared" si="68"/>
        <v>Yes</v>
      </c>
      <c r="P430" s="158"/>
      <c r="Q430" s="157"/>
      <c r="R430" s="11" t="s">
        <v>39</v>
      </c>
      <c r="S430" s="158"/>
      <c r="T430" s="5" t="s">
        <v>40</v>
      </c>
      <c r="U430" s="6"/>
      <c r="V430" s="5"/>
      <c r="W430" s="5"/>
      <c r="X430" s="6"/>
      <c r="BB430" s="7" t="str">
        <v>Quarter 2</v>
      </c>
    </row>
    <row r="431" spans="1:54" ht="31.4" customHeight="1" x14ac:dyDescent="0.35">
      <c r="A431" s="210">
        <v>430</v>
      </c>
      <c r="B431" s="5" t="s">
        <v>214</v>
      </c>
      <c r="C431" s="5" t="s">
        <v>5</v>
      </c>
      <c r="D431" s="5" t="s">
        <v>606</v>
      </c>
      <c r="E431" s="149">
        <v>45904</v>
      </c>
      <c r="F431" s="149">
        <f t="shared" si="69"/>
        <v>45905</v>
      </c>
      <c r="G431" s="149">
        <f t="shared" si="70"/>
        <v>45918</v>
      </c>
      <c r="H431" s="149">
        <f t="shared" si="71"/>
        <v>45932</v>
      </c>
      <c r="I431" s="149" t="str">
        <f t="shared" si="61"/>
        <v>Sep</v>
      </c>
      <c r="J431" s="216" t="str">
        <f t="shared" ca="1" si="65"/>
        <v/>
      </c>
      <c r="K431" s="149" t="s">
        <v>7</v>
      </c>
      <c r="L431" s="149"/>
      <c r="M431" s="11">
        <v>45918</v>
      </c>
      <c r="N431" s="152">
        <f t="shared" si="66"/>
        <v>10</v>
      </c>
      <c r="O431" s="12" t="str">
        <f t="shared" si="68"/>
        <v>Yes</v>
      </c>
      <c r="P431" s="158"/>
      <c r="Q431" s="157"/>
      <c r="R431" s="11" t="s">
        <v>39</v>
      </c>
      <c r="S431" s="158"/>
      <c r="T431" s="5" t="s">
        <v>40</v>
      </c>
      <c r="U431" s="6"/>
      <c r="V431" s="5"/>
      <c r="W431" s="5" t="s">
        <v>46</v>
      </c>
      <c r="X431" s="6"/>
      <c r="BB431" s="7" t="str">
        <v>Quarter 2</v>
      </c>
    </row>
    <row r="432" spans="1:54" ht="31.4" customHeight="1" x14ac:dyDescent="0.35">
      <c r="A432" s="210">
        <v>431</v>
      </c>
      <c r="B432" s="5" t="s">
        <v>607</v>
      </c>
      <c r="C432" s="5" t="s">
        <v>9</v>
      </c>
      <c r="D432" s="5" t="s">
        <v>608</v>
      </c>
      <c r="E432" s="149">
        <v>45904</v>
      </c>
      <c r="F432" s="149">
        <f t="shared" si="69"/>
        <v>45905</v>
      </c>
      <c r="G432" s="149">
        <f t="shared" si="70"/>
        <v>45918</v>
      </c>
      <c r="H432" s="149">
        <f t="shared" si="71"/>
        <v>45932</v>
      </c>
      <c r="I432" s="149" t="str">
        <f t="shared" ref="I432:I495" si="72">IF(ISBLANK($E432),"",TEXT($E432,"mmm"))</f>
        <v>Sep</v>
      </c>
      <c r="J432" s="216" t="str">
        <f t="shared" ca="1" si="65"/>
        <v/>
      </c>
      <c r="K432" s="149" t="s">
        <v>3</v>
      </c>
      <c r="L432" s="149"/>
      <c r="M432" s="11">
        <v>45931</v>
      </c>
      <c r="N432" s="152">
        <f t="shared" si="66"/>
        <v>19</v>
      </c>
      <c r="O432" s="12" t="str">
        <f t="shared" si="68"/>
        <v>Yes</v>
      </c>
      <c r="P432" s="158"/>
      <c r="Q432" s="157"/>
      <c r="R432" s="11" t="s">
        <v>39</v>
      </c>
      <c r="S432" s="158"/>
      <c r="T432" s="5" t="s">
        <v>45</v>
      </c>
      <c r="U432" s="6"/>
      <c r="V432" s="5" t="s">
        <v>80</v>
      </c>
      <c r="W432" s="223" t="s">
        <v>41</v>
      </c>
      <c r="X432" s="6"/>
      <c r="BB432" s="7" t="str">
        <v>Quarter 2</v>
      </c>
    </row>
    <row r="433" spans="1:54" ht="31.4" customHeight="1" x14ac:dyDescent="0.35">
      <c r="A433" s="210">
        <v>432</v>
      </c>
      <c r="B433" s="5" t="s">
        <v>609</v>
      </c>
      <c r="C433" s="5" t="s">
        <v>9</v>
      </c>
      <c r="D433" s="5" t="s">
        <v>610</v>
      </c>
      <c r="E433" s="149">
        <v>45904</v>
      </c>
      <c r="F433" s="149">
        <f t="shared" si="69"/>
        <v>45905</v>
      </c>
      <c r="G433" s="149">
        <f t="shared" si="70"/>
        <v>45918</v>
      </c>
      <c r="H433" s="149">
        <f t="shared" si="71"/>
        <v>45932</v>
      </c>
      <c r="I433" s="149" t="str">
        <f t="shared" si="72"/>
        <v>Sep</v>
      </c>
      <c r="J433" s="216" t="str">
        <f t="shared" ca="1" si="65"/>
        <v/>
      </c>
      <c r="K433" s="149" t="s">
        <v>4</v>
      </c>
      <c r="L433" s="149"/>
      <c r="M433" s="11">
        <v>45934</v>
      </c>
      <c r="N433" s="152">
        <f t="shared" si="66"/>
        <v>21</v>
      </c>
      <c r="O433" s="12" t="str">
        <f t="shared" si="68"/>
        <v>No</v>
      </c>
      <c r="P433" s="158"/>
      <c r="Q433" s="157"/>
      <c r="R433" s="11" t="s">
        <v>39</v>
      </c>
      <c r="S433" s="158"/>
      <c r="T433" s="5" t="s">
        <v>40</v>
      </c>
      <c r="U433" s="6"/>
      <c r="V433" s="5"/>
      <c r="W433" s="5"/>
      <c r="X433" s="6"/>
      <c r="BB433" s="7" t="str">
        <v>Quarter 2</v>
      </c>
    </row>
    <row r="434" spans="1:54" ht="31.4" customHeight="1" x14ac:dyDescent="0.35">
      <c r="A434" s="210">
        <v>433</v>
      </c>
      <c r="B434" s="5" t="s">
        <v>611</v>
      </c>
      <c r="C434" s="5" t="s">
        <v>9</v>
      </c>
      <c r="D434" s="5" t="s">
        <v>612</v>
      </c>
      <c r="E434" s="149">
        <v>45905</v>
      </c>
      <c r="F434" s="149">
        <f t="shared" si="69"/>
        <v>45908</v>
      </c>
      <c r="G434" s="149">
        <f t="shared" si="70"/>
        <v>45919</v>
      </c>
      <c r="H434" s="149">
        <f t="shared" si="71"/>
        <v>45933</v>
      </c>
      <c r="I434" s="149" t="str">
        <f t="shared" si="72"/>
        <v>Sep</v>
      </c>
      <c r="J434" s="216" t="str">
        <f t="shared" ca="1" si="65"/>
        <v/>
      </c>
      <c r="K434" s="149" t="s">
        <v>43</v>
      </c>
      <c r="L434" s="149"/>
      <c r="M434" s="11">
        <v>45908</v>
      </c>
      <c r="N434" s="152">
        <f t="shared" si="66"/>
        <v>1</v>
      </c>
      <c r="O434" s="12" t="str">
        <f t="shared" si="68"/>
        <v>Yes</v>
      </c>
      <c r="P434" s="158"/>
      <c r="Q434" s="157"/>
      <c r="R434" s="11" t="s">
        <v>39</v>
      </c>
      <c r="S434" s="158"/>
      <c r="T434" s="5" t="s">
        <v>40</v>
      </c>
      <c r="U434" s="6"/>
      <c r="V434" s="5"/>
      <c r="W434" s="5"/>
      <c r="X434" s="6"/>
      <c r="BB434" s="7" t="str">
        <v>Quarter 2</v>
      </c>
    </row>
    <row r="435" spans="1:54" ht="31.4" customHeight="1" x14ac:dyDescent="0.35">
      <c r="A435" s="210">
        <v>434</v>
      </c>
      <c r="B435" s="8" t="s">
        <v>613</v>
      </c>
      <c r="C435" s="8" t="s">
        <v>9</v>
      </c>
      <c r="D435" s="8" t="s">
        <v>614</v>
      </c>
      <c r="E435" s="149">
        <v>45905</v>
      </c>
      <c r="F435" s="149">
        <f t="shared" si="69"/>
        <v>45908</v>
      </c>
      <c r="G435" s="149">
        <f t="shared" si="70"/>
        <v>45919</v>
      </c>
      <c r="H435" s="149">
        <f t="shared" si="71"/>
        <v>45933</v>
      </c>
      <c r="I435" s="149" t="str">
        <f t="shared" si="72"/>
        <v>Sep</v>
      </c>
      <c r="J435" s="216" t="str">
        <f t="shared" ca="1" si="65"/>
        <v/>
      </c>
      <c r="K435" s="149" t="s">
        <v>43</v>
      </c>
      <c r="L435" s="22"/>
      <c r="M435" s="11">
        <v>45917</v>
      </c>
      <c r="N435" s="152">
        <f t="shared" si="66"/>
        <v>8</v>
      </c>
      <c r="O435" s="12" t="str">
        <f t="shared" si="68"/>
        <v>Yes</v>
      </c>
      <c r="P435" s="17"/>
      <c r="Q435" s="17"/>
      <c r="R435" s="11" t="s">
        <v>39</v>
      </c>
      <c r="S435" s="17"/>
      <c r="T435" s="5" t="s">
        <v>45</v>
      </c>
      <c r="U435" s="8"/>
      <c r="V435" s="8" t="s">
        <v>87</v>
      </c>
      <c r="W435" s="8"/>
      <c r="X435" s="6"/>
      <c r="BB435" s="7" t="str">
        <v>Quarter 2</v>
      </c>
    </row>
    <row r="436" spans="1:54" ht="31.4" customHeight="1" x14ac:dyDescent="0.35">
      <c r="A436" s="210">
        <v>435</v>
      </c>
      <c r="B436" s="5" t="s">
        <v>6</v>
      </c>
      <c r="C436" s="5" t="s">
        <v>6</v>
      </c>
      <c r="D436" s="5" t="s">
        <v>615</v>
      </c>
      <c r="E436" s="149">
        <v>45905</v>
      </c>
      <c r="F436" s="149">
        <f t="shared" si="69"/>
        <v>45908</v>
      </c>
      <c r="G436" s="149">
        <f t="shared" si="70"/>
        <v>45919</v>
      </c>
      <c r="H436" s="149">
        <f t="shared" si="71"/>
        <v>45933</v>
      </c>
      <c r="I436" s="149" t="str">
        <f t="shared" si="72"/>
        <v>Sep</v>
      </c>
      <c r="J436" s="216" t="str">
        <f t="shared" ca="1" si="65"/>
        <v/>
      </c>
      <c r="K436" s="149" t="s">
        <v>3</v>
      </c>
      <c r="L436" s="149"/>
      <c r="M436" s="11">
        <v>45992</v>
      </c>
      <c r="N436" s="152">
        <f t="shared" si="66"/>
        <v>61</v>
      </c>
      <c r="O436" s="12" t="str">
        <f t="shared" si="68"/>
        <v>No</v>
      </c>
      <c r="P436" s="158"/>
      <c r="Q436" s="157"/>
      <c r="R436" s="11" t="s">
        <v>39</v>
      </c>
      <c r="S436" s="158"/>
      <c r="T436" s="5" t="s">
        <v>51</v>
      </c>
      <c r="U436" s="6"/>
      <c r="V436" s="5" t="s">
        <v>41</v>
      </c>
      <c r="W436" s="5"/>
      <c r="X436" s="6"/>
      <c r="BB436" s="7" t="str">
        <v>Quarter 2</v>
      </c>
    </row>
    <row r="437" spans="1:54" ht="31.4" customHeight="1" x14ac:dyDescent="0.35">
      <c r="A437" s="210">
        <v>436</v>
      </c>
      <c r="B437" s="5" t="s">
        <v>616</v>
      </c>
      <c r="C437" s="5" t="s">
        <v>9</v>
      </c>
      <c r="D437" s="5" t="s">
        <v>617</v>
      </c>
      <c r="E437" s="149">
        <v>45905</v>
      </c>
      <c r="F437" s="149">
        <f t="shared" si="69"/>
        <v>45908</v>
      </c>
      <c r="G437" s="149">
        <f t="shared" si="70"/>
        <v>45919</v>
      </c>
      <c r="H437" s="149">
        <f t="shared" si="71"/>
        <v>45933</v>
      </c>
      <c r="I437" s="149" t="str">
        <f t="shared" si="72"/>
        <v>Sep</v>
      </c>
      <c r="J437" s="216" t="str">
        <f t="shared" ca="1" si="65"/>
        <v/>
      </c>
      <c r="K437" s="149" t="s">
        <v>4</v>
      </c>
      <c r="L437" s="149"/>
      <c r="M437" s="11">
        <v>45909</v>
      </c>
      <c r="N437" s="152">
        <f t="shared" si="66"/>
        <v>2</v>
      </c>
      <c r="O437" s="12" t="str">
        <f t="shared" si="68"/>
        <v>Yes</v>
      </c>
      <c r="P437" s="158"/>
      <c r="Q437" s="157"/>
      <c r="R437" s="11" t="s">
        <v>39</v>
      </c>
      <c r="S437" s="158"/>
      <c r="T437" s="5" t="s">
        <v>40</v>
      </c>
      <c r="U437" s="6"/>
      <c r="V437" s="5"/>
      <c r="W437" s="5"/>
      <c r="X437" s="6"/>
      <c r="BB437" s="7" t="str">
        <v>Quarter 2</v>
      </c>
    </row>
    <row r="438" spans="1:54" ht="31.4" customHeight="1" x14ac:dyDescent="0.35">
      <c r="A438" s="210">
        <v>437</v>
      </c>
      <c r="B438" s="5" t="s">
        <v>618</v>
      </c>
      <c r="C438" s="5" t="s">
        <v>9</v>
      </c>
      <c r="D438" s="5" t="s">
        <v>619</v>
      </c>
      <c r="E438" s="149">
        <v>45908</v>
      </c>
      <c r="F438" s="149">
        <f t="shared" si="69"/>
        <v>45909</v>
      </c>
      <c r="G438" s="149">
        <f t="shared" si="70"/>
        <v>45922</v>
      </c>
      <c r="H438" s="149">
        <f t="shared" si="71"/>
        <v>45936</v>
      </c>
      <c r="I438" s="149" t="str">
        <f t="shared" si="72"/>
        <v>Sep</v>
      </c>
      <c r="J438" s="216" t="str">
        <f t="shared" ca="1" si="65"/>
        <v/>
      </c>
      <c r="K438" s="149" t="s">
        <v>4</v>
      </c>
      <c r="L438" s="149"/>
      <c r="M438" s="11">
        <v>45908</v>
      </c>
      <c r="N438" s="152">
        <f t="shared" si="66"/>
        <v>0</v>
      </c>
      <c r="O438" s="12" t="str">
        <f t="shared" si="68"/>
        <v>Yes</v>
      </c>
      <c r="P438" s="158"/>
      <c r="Q438" s="157"/>
      <c r="R438" s="11" t="s">
        <v>39</v>
      </c>
      <c r="S438" s="158"/>
      <c r="T438" s="5" t="s">
        <v>40</v>
      </c>
      <c r="U438" s="6"/>
      <c r="V438" s="5" t="s">
        <v>54</v>
      </c>
      <c r="W438" s="5"/>
      <c r="X438" s="6"/>
      <c r="BB438" s="7" t="str">
        <v>Quarter 2</v>
      </c>
    </row>
    <row r="439" spans="1:54" ht="31.4" customHeight="1" x14ac:dyDescent="0.35">
      <c r="A439" s="210">
        <v>438</v>
      </c>
      <c r="B439" s="5" t="s">
        <v>6</v>
      </c>
      <c r="C439" s="5" t="s">
        <v>6</v>
      </c>
      <c r="D439" s="5" t="s">
        <v>605</v>
      </c>
      <c r="E439" s="149">
        <v>45908</v>
      </c>
      <c r="F439" s="149">
        <f t="shared" si="69"/>
        <v>45909</v>
      </c>
      <c r="G439" s="149">
        <f t="shared" si="70"/>
        <v>45922</v>
      </c>
      <c r="H439" s="149">
        <f t="shared" si="71"/>
        <v>45936</v>
      </c>
      <c r="I439" s="149" t="str">
        <f t="shared" si="72"/>
        <v>Sep</v>
      </c>
      <c r="J439" s="216" t="str">
        <f t="shared" ca="1" si="65"/>
        <v/>
      </c>
      <c r="K439" s="149" t="s">
        <v>7</v>
      </c>
      <c r="L439" s="149"/>
      <c r="M439" s="11">
        <v>45922</v>
      </c>
      <c r="N439" s="152">
        <f t="shared" si="66"/>
        <v>10</v>
      </c>
      <c r="O439" s="12" t="str">
        <f t="shared" si="68"/>
        <v>Yes</v>
      </c>
      <c r="P439" s="158"/>
      <c r="Q439" s="157"/>
      <c r="R439" s="11" t="s">
        <v>39</v>
      </c>
      <c r="S439" s="158"/>
      <c r="T439" s="5" t="s">
        <v>40</v>
      </c>
      <c r="U439" s="6"/>
      <c r="V439" s="5"/>
      <c r="W439" s="5"/>
      <c r="X439" s="6"/>
      <c r="BB439" s="7" t="str">
        <v>Quarter 2</v>
      </c>
    </row>
    <row r="440" spans="1:54" ht="31.4" customHeight="1" x14ac:dyDescent="0.35">
      <c r="A440" s="210">
        <v>439</v>
      </c>
      <c r="B440" s="5" t="s">
        <v>620</v>
      </c>
      <c r="C440" s="5" t="s">
        <v>12</v>
      </c>
      <c r="D440" s="5" t="s">
        <v>621</v>
      </c>
      <c r="E440" s="149">
        <v>45908</v>
      </c>
      <c r="F440" s="149">
        <f t="shared" si="69"/>
        <v>45909</v>
      </c>
      <c r="G440" s="149">
        <f t="shared" si="70"/>
        <v>45922</v>
      </c>
      <c r="H440" s="149">
        <f t="shared" si="71"/>
        <v>45936</v>
      </c>
      <c r="I440" s="149" t="str">
        <f t="shared" si="72"/>
        <v>Sep</v>
      </c>
      <c r="J440" s="216" t="str">
        <f t="shared" ca="1" si="65"/>
        <v/>
      </c>
      <c r="K440" s="149" t="s">
        <v>43</v>
      </c>
      <c r="L440" s="149"/>
      <c r="M440" s="11">
        <v>45915</v>
      </c>
      <c r="N440" s="152">
        <f t="shared" si="66"/>
        <v>5</v>
      </c>
      <c r="O440" s="12" t="str">
        <f t="shared" si="68"/>
        <v>Yes</v>
      </c>
      <c r="P440" s="158"/>
      <c r="Q440" s="157"/>
      <c r="R440" s="11" t="s">
        <v>39</v>
      </c>
      <c r="S440" s="158"/>
      <c r="T440" s="5" t="s">
        <v>62</v>
      </c>
      <c r="U440" s="6"/>
      <c r="V440" s="5"/>
      <c r="W440" s="5"/>
      <c r="X440" s="6"/>
      <c r="BB440" s="7" t="str">
        <v>Quarter 2</v>
      </c>
    </row>
    <row r="441" spans="1:54" ht="31.4" customHeight="1" x14ac:dyDescent="0.35">
      <c r="A441" s="210">
        <v>440</v>
      </c>
      <c r="B441" s="5" t="s">
        <v>162</v>
      </c>
      <c r="C441" s="5" t="s">
        <v>5</v>
      </c>
      <c r="D441" s="222" t="s">
        <v>622</v>
      </c>
      <c r="E441" s="22">
        <v>45908</v>
      </c>
      <c r="F441" s="149">
        <f t="shared" si="69"/>
        <v>45909</v>
      </c>
      <c r="G441" s="149">
        <f t="shared" si="70"/>
        <v>45922</v>
      </c>
      <c r="H441" s="149">
        <f t="shared" si="71"/>
        <v>45936</v>
      </c>
      <c r="I441" s="149" t="str">
        <f t="shared" si="72"/>
        <v>Sep</v>
      </c>
      <c r="J441" s="216" t="str">
        <f t="shared" ca="1" si="65"/>
        <v/>
      </c>
      <c r="K441" s="149" t="s">
        <v>4</v>
      </c>
      <c r="L441" s="22"/>
      <c r="M441" s="11">
        <v>45917</v>
      </c>
      <c r="N441" s="152">
        <f t="shared" si="66"/>
        <v>7</v>
      </c>
      <c r="O441" s="12" t="str">
        <f t="shared" si="68"/>
        <v>Yes</v>
      </c>
      <c r="P441" s="158"/>
      <c r="Q441" s="157"/>
      <c r="R441" s="11" t="s">
        <v>39</v>
      </c>
      <c r="S441" s="158"/>
      <c r="T441" s="5" t="s">
        <v>40</v>
      </c>
      <c r="U441" s="6"/>
      <c r="V441" s="5"/>
      <c r="W441" s="5"/>
      <c r="X441" s="6"/>
      <c r="BB441" s="7" t="str">
        <v>Quarter 2</v>
      </c>
    </row>
    <row r="442" spans="1:54" ht="31.4" customHeight="1" x14ac:dyDescent="0.35">
      <c r="A442" s="210">
        <v>441</v>
      </c>
      <c r="B442" s="8" t="s">
        <v>55</v>
      </c>
      <c r="C442" s="8" t="s">
        <v>13</v>
      </c>
      <c r="D442" s="8" t="s">
        <v>623</v>
      </c>
      <c r="E442" s="22">
        <v>45908</v>
      </c>
      <c r="F442" s="149">
        <f t="shared" si="69"/>
        <v>45909</v>
      </c>
      <c r="G442" s="149">
        <f t="shared" si="70"/>
        <v>45922</v>
      </c>
      <c r="H442" s="149">
        <f t="shared" si="71"/>
        <v>45936</v>
      </c>
      <c r="I442" s="149" t="str">
        <f t="shared" si="72"/>
        <v>Sep</v>
      </c>
      <c r="J442" s="216" t="str">
        <f t="shared" ca="1" si="65"/>
        <v/>
      </c>
      <c r="K442" s="149" t="s">
        <v>7</v>
      </c>
      <c r="L442" s="22"/>
      <c r="M442" s="11">
        <v>45922</v>
      </c>
      <c r="N442" s="152">
        <f t="shared" si="66"/>
        <v>10</v>
      </c>
      <c r="O442" s="12" t="str">
        <f t="shared" si="68"/>
        <v>Yes</v>
      </c>
      <c r="P442" s="158"/>
      <c r="Q442" s="157"/>
      <c r="R442" s="11" t="s">
        <v>39</v>
      </c>
      <c r="S442" s="158"/>
      <c r="T442" s="5" t="s">
        <v>40</v>
      </c>
      <c r="U442" s="6"/>
      <c r="V442" s="5" t="s">
        <v>54</v>
      </c>
      <c r="W442" s="5" t="s">
        <v>46</v>
      </c>
      <c r="X442" s="6"/>
      <c r="BB442" s="7" t="str">
        <v>Quarter 2</v>
      </c>
    </row>
    <row r="443" spans="1:54" ht="31.4" customHeight="1" x14ac:dyDescent="0.35">
      <c r="A443" s="210">
        <v>442</v>
      </c>
      <c r="B443" s="5" t="s">
        <v>55</v>
      </c>
      <c r="C443" s="5" t="s">
        <v>13</v>
      </c>
      <c r="D443" s="5" t="s">
        <v>624</v>
      </c>
      <c r="E443" s="22">
        <v>45908</v>
      </c>
      <c r="F443" s="149">
        <f t="shared" si="69"/>
        <v>45909</v>
      </c>
      <c r="G443" s="149">
        <f t="shared" si="70"/>
        <v>45922</v>
      </c>
      <c r="H443" s="149">
        <f t="shared" si="71"/>
        <v>45936</v>
      </c>
      <c r="I443" s="149" t="str">
        <f t="shared" si="72"/>
        <v>Sep</v>
      </c>
      <c r="J443" s="216" t="str">
        <f t="shared" ca="1" si="65"/>
        <v/>
      </c>
      <c r="K443" s="149" t="s">
        <v>3</v>
      </c>
      <c r="L443" s="149"/>
      <c r="M443" s="11">
        <v>45936</v>
      </c>
      <c r="N443" s="152">
        <f t="shared" si="66"/>
        <v>20</v>
      </c>
      <c r="O443" s="12" t="str">
        <f t="shared" si="68"/>
        <v>Yes</v>
      </c>
      <c r="P443" s="158"/>
      <c r="Q443" s="157"/>
      <c r="R443" s="11" t="s">
        <v>39</v>
      </c>
      <c r="S443" s="158"/>
      <c r="T443" s="5" t="s">
        <v>40</v>
      </c>
      <c r="U443" s="6"/>
      <c r="V443" s="5"/>
      <c r="W443" s="5"/>
      <c r="X443" s="6"/>
      <c r="BB443" s="7" t="str">
        <v>Quarter 2</v>
      </c>
    </row>
    <row r="444" spans="1:54" ht="31.4" customHeight="1" x14ac:dyDescent="0.35">
      <c r="A444" s="210">
        <v>443</v>
      </c>
      <c r="B444" s="5" t="s">
        <v>6</v>
      </c>
      <c r="C444" s="5" t="s">
        <v>6</v>
      </c>
      <c r="D444" s="5" t="s">
        <v>625</v>
      </c>
      <c r="E444" s="22">
        <v>45909</v>
      </c>
      <c r="F444" s="149">
        <f t="shared" si="69"/>
        <v>45910</v>
      </c>
      <c r="G444" s="149">
        <f t="shared" si="70"/>
        <v>45923</v>
      </c>
      <c r="H444" s="149">
        <f t="shared" si="71"/>
        <v>45937</v>
      </c>
      <c r="I444" s="149" t="str">
        <f t="shared" si="72"/>
        <v>Sep</v>
      </c>
      <c r="J444" s="216" t="str">
        <f t="shared" ca="1" si="65"/>
        <v/>
      </c>
      <c r="K444" s="149" t="s">
        <v>43</v>
      </c>
      <c r="L444" s="149"/>
      <c r="M444" s="11">
        <v>45910</v>
      </c>
      <c r="N444" s="152">
        <f t="shared" si="66"/>
        <v>1</v>
      </c>
      <c r="O444" s="12" t="str">
        <f t="shared" si="68"/>
        <v>Yes</v>
      </c>
      <c r="P444" s="158"/>
      <c r="Q444" s="157"/>
      <c r="R444" s="11" t="s">
        <v>39</v>
      </c>
      <c r="S444" s="158"/>
      <c r="T444" s="5" t="s">
        <v>40</v>
      </c>
      <c r="U444" s="6"/>
      <c r="V444" s="5" t="s">
        <v>54</v>
      </c>
      <c r="W444" s="5"/>
      <c r="X444" s="6"/>
      <c r="BB444" s="7" t="str">
        <v>Quarter 2</v>
      </c>
    </row>
    <row r="445" spans="1:54" ht="31.4" customHeight="1" x14ac:dyDescent="0.35">
      <c r="A445" s="210">
        <v>444</v>
      </c>
      <c r="B445" s="5" t="s">
        <v>626</v>
      </c>
      <c r="C445" s="5" t="s">
        <v>9</v>
      </c>
      <c r="D445" s="5" t="s">
        <v>627</v>
      </c>
      <c r="E445" s="22">
        <v>45909</v>
      </c>
      <c r="F445" s="149">
        <f t="shared" si="69"/>
        <v>45910</v>
      </c>
      <c r="G445" s="149">
        <f t="shared" si="70"/>
        <v>45923</v>
      </c>
      <c r="H445" s="149">
        <f t="shared" si="71"/>
        <v>45937</v>
      </c>
      <c r="I445" s="149" t="str">
        <f t="shared" si="72"/>
        <v>Sep</v>
      </c>
      <c r="J445" s="216" t="str">
        <f t="shared" ca="1" si="65"/>
        <v/>
      </c>
      <c r="K445" s="149" t="s">
        <v>43</v>
      </c>
      <c r="L445" s="149"/>
      <c r="M445" s="11">
        <v>45910</v>
      </c>
      <c r="N445" s="152">
        <f t="shared" si="66"/>
        <v>1</v>
      </c>
      <c r="O445" s="12" t="str">
        <f t="shared" si="68"/>
        <v>Yes</v>
      </c>
      <c r="P445" s="158"/>
      <c r="Q445" s="157"/>
      <c r="R445" s="11" t="s">
        <v>39</v>
      </c>
      <c r="S445" s="158"/>
      <c r="T445" s="5" t="s">
        <v>40</v>
      </c>
      <c r="U445" s="6"/>
      <c r="V445" s="5"/>
      <c r="W445" s="5" t="s">
        <v>46</v>
      </c>
      <c r="X445" s="6"/>
      <c r="BB445" s="7" t="str">
        <v>Quarter 2</v>
      </c>
    </row>
    <row r="446" spans="1:54" ht="31.4" customHeight="1" x14ac:dyDescent="0.35">
      <c r="A446" s="210">
        <v>445</v>
      </c>
      <c r="B446" s="5" t="s">
        <v>6</v>
      </c>
      <c r="C446" s="5" t="s">
        <v>6</v>
      </c>
      <c r="D446" s="5" t="s">
        <v>628</v>
      </c>
      <c r="E446" s="149">
        <v>45909</v>
      </c>
      <c r="F446" s="149">
        <f t="shared" si="69"/>
        <v>45910</v>
      </c>
      <c r="G446" s="149">
        <f t="shared" si="70"/>
        <v>45923</v>
      </c>
      <c r="H446" s="149">
        <f t="shared" si="71"/>
        <v>45937</v>
      </c>
      <c r="I446" s="149" t="str">
        <f t="shared" si="72"/>
        <v>Sep</v>
      </c>
      <c r="J446" s="216" t="str">
        <f t="shared" ca="1" si="65"/>
        <v/>
      </c>
      <c r="K446" s="149" t="s">
        <v>3</v>
      </c>
      <c r="L446" s="149"/>
      <c r="M446" s="11">
        <v>45915</v>
      </c>
      <c r="N446" s="152">
        <f t="shared" si="66"/>
        <v>4</v>
      </c>
      <c r="O446" s="12" t="str">
        <f t="shared" si="68"/>
        <v>Yes</v>
      </c>
      <c r="P446" s="158"/>
      <c r="Q446" s="157"/>
      <c r="R446" s="11" t="s">
        <v>39</v>
      </c>
      <c r="S446" s="158"/>
      <c r="T446" s="5" t="s">
        <v>40</v>
      </c>
      <c r="U446" s="6"/>
      <c r="V446" s="5" t="s">
        <v>54</v>
      </c>
      <c r="W446" s="5"/>
      <c r="X446" s="6"/>
      <c r="BB446" s="7" t="str">
        <v>Quarter 2</v>
      </c>
    </row>
    <row r="447" spans="1:54" ht="31.4" customHeight="1" x14ac:dyDescent="0.35">
      <c r="A447" s="210">
        <v>446</v>
      </c>
      <c r="B447" s="5" t="s">
        <v>6</v>
      </c>
      <c r="C447" s="5" t="s">
        <v>6</v>
      </c>
      <c r="D447" s="5" t="s">
        <v>629</v>
      </c>
      <c r="E447" s="149">
        <v>45910</v>
      </c>
      <c r="F447" s="149">
        <f t="shared" si="69"/>
        <v>45911</v>
      </c>
      <c r="G447" s="149">
        <f t="shared" si="70"/>
        <v>45924</v>
      </c>
      <c r="H447" s="149">
        <f t="shared" si="71"/>
        <v>45938</v>
      </c>
      <c r="I447" s="149" t="str">
        <f t="shared" si="72"/>
        <v>Sep</v>
      </c>
      <c r="J447" s="216" t="str">
        <f t="shared" ca="1" si="65"/>
        <v/>
      </c>
      <c r="K447" s="149" t="s">
        <v>43</v>
      </c>
      <c r="L447" s="149"/>
      <c r="M447" s="11">
        <v>45915</v>
      </c>
      <c r="N447" s="152">
        <f t="shared" si="66"/>
        <v>3</v>
      </c>
      <c r="O447" s="12" t="str">
        <f t="shared" si="68"/>
        <v>Yes</v>
      </c>
      <c r="P447" s="158"/>
      <c r="Q447" s="157"/>
      <c r="R447" s="11" t="s">
        <v>39</v>
      </c>
      <c r="S447" s="158"/>
      <c r="T447" s="5" t="s">
        <v>40</v>
      </c>
      <c r="U447" s="6"/>
      <c r="V447" s="5"/>
      <c r="W447" s="5"/>
      <c r="X447" s="6"/>
      <c r="BB447" s="7" t="str">
        <v>Quarter 2</v>
      </c>
    </row>
    <row r="448" spans="1:54" ht="31.4" customHeight="1" x14ac:dyDescent="0.35">
      <c r="A448" s="210">
        <v>447</v>
      </c>
      <c r="B448" s="5" t="s">
        <v>630</v>
      </c>
      <c r="C448" s="5" t="s">
        <v>16</v>
      </c>
      <c r="D448" s="5" t="s">
        <v>631</v>
      </c>
      <c r="E448" s="149">
        <v>45910</v>
      </c>
      <c r="F448" s="149">
        <f t="shared" si="69"/>
        <v>45911</v>
      </c>
      <c r="G448" s="149">
        <f t="shared" si="70"/>
        <v>45924</v>
      </c>
      <c r="H448" s="149">
        <f t="shared" si="71"/>
        <v>45938</v>
      </c>
      <c r="I448" s="149" t="str">
        <f t="shared" si="72"/>
        <v>Sep</v>
      </c>
      <c r="J448" s="216" t="str">
        <f t="shared" ca="1" si="65"/>
        <v/>
      </c>
      <c r="K448" s="149" t="s">
        <v>3</v>
      </c>
      <c r="L448" s="149"/>
      <c r="M448" s="11">
        <v>45925</v>
      </c>
      <c r="N448" s="152">
        <f t="shared" si="66"/>
        <v>11</v>
      </c>
      <c r="O448" s="12" t="str">
        <f t="shared" si="68"/>
        <v>Yes</v>
      </c>
      <c r="P448" s="158"/>
      <c r="Q448" s="157"/>
      <c r="R448" s="11" t="s">
        <v>39</v>
      </c>
      <c r="S448" s="158"/>
      <c r="T448" s="5" t="s">
        <v>40</v>
      </c>
      <c r="U448" s="6"/>
      <c r="V448" s="5"/>
      <c r="W448" s="5" t="s">
        <v>46</v>
      </c>
      <c r="X448" s="6"/>
      <c r="BB448" s="7" t="str">
        <v>Quarter 2</v>
      </c>
    </row>
    <row r="449" spans="1:54" ht="31.4" customHeight="1" x14ac:dyDescent="0.35">
      <c r="A449" s="210">
        <v>448</v>
      </c>
      <c r="B449" s="5" t="s">
        <v>214</v>
      </c>
      <c r="C449" s="5" t="s">
        <v>5</v>
      </c>
      <c r="D449" s="5" t="s">
        <v>632</v>
      </c>
      <c r="E449" s="149">
        <v>45910</v>
      </c>
      <c r="F449" s="149">
        <f t="shared" si="69"/>
        <v>45911</v>
      </c>
      <c r="G449" s="149">
        <f t="shared" si="70"/>
        <v>45924</v>
      </c>
      <c r="H449" s="149">
        <f t="shared" si="71"/>
        <v>45938</v>
      </c>
      <c r="I449" s="149" t="str">
        <f t="shared" si="72"/>
        <v>Sep</v>
      </c>
      <c r="J449" s="216" t="str">
        <f t="shared" ca="1" si="65"/>
        <v/>
      </c>
      <c r="K449" s="149" t="s">
        <v>43</v>
      </c>
      <c r="L449" s="149"/>
      <c r="M449" s="11">
        <v>45930</v>
      </c>
      <c r="N449" s="152">
        <f t="shared" si="66"/>
        <v>14</v>
      </c>
      <c r="O449" s="12" t="str">
        <f t="shared" si="68"/>
        <v>Yes</v>
      </c>
      <c r="P449" s="158"/>
      <c r="Q449" s="157"/>
      <c r="R449" s="11" t="s">
        <v>39</v>
      </c>
      <c r="S449" s="158"/>
      <c r="T449" s="5" t="s">
        <v>40</v>
      </c>
      <c r="U449" s="6"/>
      <c r="V449" s="5"/>
      <c r="W449" s="5" t="s">
        <v>46</v>
      </c>
      <c r="X449" s="6"/>
      <c r="BB449" s="7" t="str">
        <v>Quarter 2</v>
      </c>
    </row>
    <row r="450" spans="1:54" ht="31.4" customHeight="1" x14ac:dyDescent="0.35">
      <c r="A450" s="210">
        <v>449</v>
      </c>
      <c r="B450" s="5" t="s">
        <v>633</v>
      </c>
      <c r="C450" s="5" t="s">
        <v>16</v>
      </c>
      <c r="D450" s="5" t="s">
        <v>634</v>
      </c>
      <c r="E450" s="149">
        <v>45910</v>
      </c>
      <c r="F450" s="149">
        <f t="shared" si="69"/>
        <v>45911</v>
      </c>
      <c r="G450" s="149">
        <f t="shared" si="70"/>
        <v>45924</v>
      </c>
      <c r="H450" s="149">
        <f t="shared" si="71"/>
        <v>45938</v>
      </c>
      <c r="I450" s="149" t="str">
        <f t="shared" si="72"/>
        <v>Sep</v>
      </c>
      <c r="J450" s="216" t="str">
        <f t="shared" ref="J450:J513" ca="1" si="73">IF($E450="","",IF($M450="",$H450-TODAY(),""))</f>
        <v/>
      </c>
      <c r="K450" s="149" t="s">
        <v>7</v>
      </c>
      <c r="L450" s="149"/>
      <c r="M450" s="11">
        <v>45915</v>
      </c>
      <c r="N450" s="152">
        <f t="shared" ref="N450:N513" si="74">IF($M450="","",NETWORKDAYS($E450,$M450,$Z$33:$Z$47)-1)</f>
        <v>3</v>
      </c>
      <c r="O450" s="12" t="str">
        <f t="shared" si="68"/>
        <v>Yes</v>
      </c>
      <c r="P450" s="158"/>
      <c r="Q450" s="157"/>
      <c r="R450" s="11" t="s">
        <v>39</v>
      </c>
      <c r="S450" s="158"/>
      <c r="T450" s="5" t="s">
        <v>45</v>
      </c>
      <c r="U450" s="6"/>
      <c r="V450" s="5" t="s">
        <v>87</v>
      </c>
      <c r="W450" s="5"/>
      <c r="X450" s="6"/>
      <c r="BB450" s="7" t="str">
        <v>Quarter 2</v>
      </c>
    </row>
    <row r="451" spans="1:54" ht="31.4" customHeight="1" x14ac:dyDescent="0.35">
      <c r="A451" s="210">
        <v>450</v>
      </c>
      <c r="B451" s="5" t="s">
        <v>635</v>
      </c>
      <c r="C451" s="5" t="s">
        <v>16</v>
      </c>
      <c r="D451" s="5" t="s">
        <v>636</v>
      </c>
      <c r="E451" s="149">
        <v>45911</v>
      </c>
      <c r="F451" s="149">
        <f t="shared" si="69"/>
        <v>45912</v>
      </c>
      <c r="G451" s="149">
        <f t="shared" si="70"/>
        <v>45925</v>
      </c>
      <c r="H451" s="149">
        <f t="shared" si="71"/>
        <v>45939</v>
      </c>
      <c r="I451" s="149" t="str">
        <f t="shared" si="72"/>
        <v>Sep</v>
      </c>
      <c r="J451" s="216" t="str">
        <f t="shared" ca="1" si="73"/>
        <v/>
      </c>
      <c r="K451" s="149" t="s">
        <v>43</v>
      </c>
      <c r="L451" s="149"/>
      <c r="M451" s="11">
        <v>45911</v>
      </c>
      <c r="N451" s="152">
        <f t="shared" si="74"/>
        <v>0</v>
      </c>
      <c r="O451" s="12" t="str">
        <f t="shared" ref="O451:O514" si="75">IF(ISBLANK($M451),"",IF($N451&lt;21,"Yes","No"))</f>
        <v>Yes</v>
      </c>
      <c r="P451" s="158"/>
      <c r="Q451" s="157"/>
      <c r="R451" s="11" t="s">
        <v>39</v>
      </c>
      <c r="S451" s="158"/>
      <c r="T451" s="5" t="s">
        <v>40</v>
      </c>
      <c r="U451" s="6"/>
      <c r="V451" s="5"/>
      <c r="W451" s="5"/>
      <c r="X451" s="6"/>
      <c r="BB451" s="7" t="str">
        <v>Quarter 2</v>
      </c>
    </row>
    <row r="452" spans="1:54" ht="31.4" customHeight="1" x14ac:dyDescent="0.35">
      <c r="A452" s="210">
        <v>451</v>
      </c>
      <c r="B452" s="8" t="s">
        <v>6</v>
      </c>
      <c r="C452" s="8" t="s">
        <v>6</v>
      </c>
      <c r="D452" s="8" t="s">
        <v>637</v>
      </c>
      <c r="E452" s="22">
        <v>45911</v>
      </c>
      <c r="F452" s="149">
        <f t="shared" si="69"/>
        <v>45912</v>
      </c>
      <c r="G452" s="149">
        <f t="shared" si="70"/>
        <v>45925</v>
      </c>
      <c r="H452" s="149">
        <f t="shared" si="71"/>
        <v>45939</v>
      </c>
      <c r="I452" s="149" t="str">
        <f t="shared" si="72"/>
        <v>Sep</v>
      </c>
      <c r="J452" s="216" t="str">
        <f t="shared" ca="1" si="73"/>
        <v/>
      </c>
      <c r="K452" s="22" t="s">
        <v>4</v>
      </c>
      <c r="L452" s="149"/>
      <c r="M452" s="11">
        <v>45912</v>
      </c>
      <c r="N452" s="152">
        <f t="shared" si="74"/>
        <v>1</v>
      </c>
      <c r="O452" s="12" t="str">
        <f t="shared" si="75"/>
        <v>Yes</v>
      </c>
      <c r="P452" s="158"/>
      <c r="Q452" s="157"/>
      <c r="R452" s="11" t="s">
        <v>39</v>
      </c>
      <c r="S452" s="158"/>
      <c r="T452" s="5" t="s">
        <v>40</v>
      </c>
      <c r="U452" s="6"/>
      <c r="V452" s="5"/>
      <c r="W452" s="5"/>
      <c r="X452" s="6"/>
      <c r="BB452" s="7" t="str">
        <v>Quarter 2</v>
      </c>
    </row>
    <row r="453" spans="1:54" ht="31.4" customHeight="1" x14ac:dyDescent="0.35">
      <c r="A453" s="210">
        <v>452</v>
      </c>
      <c r="B453" s="5" t="s">
        <v>638</v>
      </c>
      <c r="C453" s="5" t="s">
        <v>9</v>
      </c>
      <c r="D453" s="5" t="s">
        <v>639</v>
      </c>
      <c r="E453" s="149">
        <v>45911</v>
      </c>
      <c r="F453" s="149">
        <f t="shared" si="69"/>
        <v>45912</v>
      </c>
      <c r="G453" s="149">
        <f t="shared" si="70"/>
        <v>45925</v>
      </c>
      <c r="H453" s="149">
        <f t="shared" si="71"/>
        <v>45939</v>
      </c>
      <c r="I453" s="149" t="str">
        <f t="shared" si="72"/>
        <v>Sep</v>
      </c>
      <c r="J453" s="216" t="str">
        <f t="shared" ca="1" si="73"/>
        <v/>
      </c>
      <c r="K453" s="149" t="s">
        <v>4</v>
      </c>
      <c r="L453" s="149"/>
      <c r="M453" s="11">
        <v>45937</v>
      </c>
      <c r="N453" s="152">
        <f t="shared" si="74"/>
        <v>18</v>
      </c>
      <c r="O453" s="12" t="str">
        <f t="shared" si="75"/>
        <v>Yes</v>
      </c>
      <c r="P453" s="158"/>
      <c r="Q453" s="157"/>
      <c r="R453" s="11" t="s">
        <v>39</v>
      </c>
      <c r="S453" s="158"/>
      <c r="T453" s="5" t="s">
        <v>40</v>
      </c>
      <c r="U453" s="6"/>
      <c r="V453" s="5" t="s">
        <v>54</v>
      </c>
      <c r="W453" s="5"/>
      <c r="X453" s="6"/>
      <c r="BB453" s="7" t="str">
        <v>Quarter 2</v>
      </c>
    </row>
    <row r="454" spans="1:54" ht="31.4" customHeight="1" x14ac:dyDescent="0.35">
      <c r="A454" s="210">
        <v>453</v>
      </c>
      <c r="B454" s="5" t="s">
        <v>6</v>
      </c>
      <c r="C454" s="5" t="s">
        <v>6</v>
      </c>
      <c r="D454" s="199" t="s">
        <v>640</v>
      </c>
      <c r="E454" s="149">
        <v>45915</v>
      </c>
      <c r="F454" s="149">
        <f t="shared" si="69"/>
        <v>45916</v>
      </c>
      <c r="G454" s="149">
        <f t="shared" si="70"/>
        <v>45929</v>
      </c>
      <c r="H454" s="149">
        <f t="shared" si="71"/>
        <v>45943</v>
      </c>
      <c r="I454" s="149" t="str">
        <f t="shared" si="72"/>
        <v>Sep</v>
      </c>
      <c r="J454" s="216" t="str">
        <f t="shared" ca="1" si="73"/>
        <v/>
      </c>
      <c r="K454" s="149" t="s">
        <v>4</v>
      </c>
      <c r="L454" s="149"/>
      <c r="M454" s="11">
        <v>45922</v>
      </c>
      <c r="N454" s="152">
        <f t="shared" si="74"/>
        <v>5</v>
      </c>
      <c r="O454" s="12" t="str">
        <f t="shared" si="75"/>
        <v>Yes</v>
      </c>
      <c r="P454" s="158"/>
      <c r="Q454" s="157"/>
      <c r="R454" s="11" t="s">
        <v>39</v>
      </c>
      <c r="S454" s="158"/>
      <c r="T454" s="5" t="s">
        <v>40</v>
      </c>
      <c r="U454" s="6"/>
      <c r="V454" s="5"/>
      <c r="W454" s="5"/>
      <c r="X454" s="6"/>
      <c r="BB454" s="7" t="str">
        <v>Quarter 2</v>
      </c>
    </row>
    <row r="455" spans="1:54" ht="31.4" customHeight="1" x14ac:dyDescent="0.35">
      <c r="A455" s="210">
        <v>454</v>
      </c>
      <c r="B455" s="5" t="s">
        <v>403</v>
      </c>
      <c r="C455" s="5" t="s">
        <v>11</v>
      </c>
      <c r="D455" s="5" t="s">
        <v>404</v>
      </c>
      <c r="E455" s="149">
        <v>45915</v>
      </c>
      <c r="F455" s="149">
        <f t="shared" si="69"/>
        <v>45916</v>
      </c>
      <c r="G455" s="149">
        <f t="shared" si="70"/>
        <v>45929</v>
      </c>
      <c r="H455" s="149">
        <f t="shared" si="71"/>
        <v>45943</v>
      </c>
      <c r="I455" s="149" t="str">
        <f t="shared" si="72"/>
        <v>Sep</v>
      </c>
      <c r="J455" s="216" t="str">
        <f t="shared" ca="1" si="73"/>
        <v/>
      </c>
      <c r="K455" s="149" t="s">
        <v>3</v>
      </c>
      <c r="L455" s="149"/>
      <c r="M455" s="11">
        <v>45986</v>
      </c>
      <c r="N455" s="152">
        <f t="shared" si="74"/>
        <v>51</v>
      </c>
      <c r="O455" s="12" t="str">
        <f t="shared" si="75"/>
        <v>No</v>
      </c>
      <c r="P455" s="158"/>
      <c r="Q455" s="157"/>
      <c r="R455" s="11" t="s">
        <v>39</v>
      </c>
      <c r="S455" s="158"/>
      <c r="T455" s="5" t="s">
        <v>40</v>
      </c>
      <c r="U455" s="6"/>
      <c r="V455" s="5"/>
      <c r="W455" s="5" t="s">
        <v>46</v>
      </c>
      <c r="X455" s="6"/>
      <c r="BB455" s="7" t="str">
        <v>Quarter 2</v>
      </c>
    </row>
    <row r="456" spans="1:54" ht="31.4" customHeight="1" x14ac:dyDescent="0.35">
      <c r="A456" s="210">
        <v>455</v>
      </c>
      <c r="B456" s="5" t="s">
        <v>641</v>
      </c>
      <c r="C456" s="5" t="s">
        <v>9</v>
      </c>
      <c r="D456" s="5" t="s">
        <v>642</v>
      </c>
      <c r="E456" s="149">
        <v>45915</v>
      </c>
      <c r="F456" s="149">
        <f t="shared" si="69"/>
        <v>45916</v>
      </c>
      <c r="G456" s="149">
        <f t="shared" si="70"/>
        <v>45929</v>
      </c>
      <c r="H456" s="149">
        <f t="shared" si="71"/>
        <v>45943</v>
      </c>
      <c r="I456" s="149" t="str">
        <f t="shared" si="72"/>
        <v>Sep</v>
      </c>
      <c r="J456" s="216" t="str">
        <f t="shared" ca="1" si="73"/>
        <v/>
      </c>
      <c r="K456" s="149" t="s">
        <v>4</v>
      </c>
      <c r="L456" s="149"/>
      <c r="M456" s="11">
        <v>45915</v>
      </c>
      <c r="N456" s="152">
        <f t="shared" si="74"/>
        <v>0</v>
      </c>
      <c r="O456" s="12" t="str">
        <f t="shared" si="75"/>
        <v>Yes</v>
      </c>
      <c r="P456" s="158"/>
      <c r="Q456" s="157"/>
      <c r="R456" s="11" t="s">
        <v>39</v>
      </c>
      <c r="S456" s="158"/>
      <c r="T456" s="5" t="s">
        <v>40</v>
      </c>
      <c r="U456" s="6"/>
      <c r="V456" s="5" t="s">
        <v>54</v>
      </c>
      <c r="W456" s="5"/>
      <c r="X456" s="6"/>
      <c r="BB456" s="7" t="str">
        <v>Quarter 2</v>
      </c>
    </row>
    <row r="457" spans="1:54" ht="31.4" customHeight="1" x14ac:dyDescent="0.35">
      <c r="A457" s="210">
        <v>456</v>
      </c>
      <c r="B457" s="5" t="s">
        <v>643</v>
      </c>
      <c r="C457" s="5" t="s">
        <v>9</v>
      </c>
      <c r="D457" s="5" t="s">
        <v>644</v>
      </c>
      <c r="E457" s="149">
        <v>45915</v>
      </c>
      <c r="F457" s="149">
        <f t="shared" si="69"/>
        <v>45916</v>
      </c>
      <c r="G457" s="149">
        <f t="shared" si="70"/>
        <v>45929</v>
      </c>
      <c r="H457" s="149">
        <f t="shared" si="71"/>
        <v>45943</v>
      </c>
      <c r="I457" s="149" t="str">
        <f t="shared" si="72"/>
        <v>Sep</v>
      </c>
      <c r="J457" s="216" t="str">
        <f t="shared" ca="1" si="73"/>
        <v/>
      </c>
      <c r="K457" s="149" t="s">
        <v>4</v>
      </c>
      <c r="L457" s="149"/>
      <c r="M457" s="11">
        <v>45917</v>
      </c>
      <c r="N457" s="152">
        <f t="shared" si="74"/>
        <v>2</v>
      </c>
      <c r="O457" s="12" t="str">
        <f t="shared" si="75"/>
        <v>Yes</v>
      </c>
      <c r="P457" s="158"/>
      <c r="Q457" s="157"/>
      <c r="R457" s="11" t="s">
        <v>39</v>
      </c>
      <c r="S457" s="158"/>
      <c r="T457" s="5" t="s">
        <v>40</v>
      </c>
      <c r="U457" s="6"/>
      <c r="V457" s="5"/>
      <c r="W457" s="5"/>
      <c r="X457" s="6"/>
      <c r="BB457" s="7" t="str">
        <v>Quarter 2</v>
      </c>
    </row>
    <row r="458" spans="1:54" ht="31.4" customHeight="1" x14ac:dyDescent="0.35">
      <c r="A458" s="210">
        <v>457</v>
      </c>
      <c r="B458" s="5" t="s">
        <v>645</v>
      </c>
      <c r="C458" s="5" t="s">
        <v>9</v>
      </c>
      <c r="D458" s="5" t="s">
        <v>646</v>
      </c>
      <c r="E458" s="149">
        <v>45915</v>
      </c>
      <c r="F458" s="149">
        <f t="shared" si="69"/>
        <v>45916</v>
      </c>
      <c r="G458" s="149">
        <f t="shared" si="70"/>
        <v>45929</v>
      </c>
      <c r="H458" s="149">
        <f t="shared" si="71"/>
        <v>45943</v>
      </c>
      <c r="I458" s="149" t="str">
        <f t="shared" si="72"/>
        <v>Sep</v>
      </c>
      <c r="J458" s="216" t="str">
        <f t="shared" ca="1" si="73"/>
        <v/>
      </c>
      <c r="K458" s="149" t="s">
        <v>4</v>
      </c>
      <c r="L458" s="149"/>
      <c r="M458" s="11">
        <v>45917</v>
      </c>
      <c r="N458" s="152">
        <f t="shared" si="74"/>
        <v>2</v>
      </c>
      <c r="O458" s="12" t="str">
        <f t="shared" si="75"/>
        <v>Yes</v>
      </c>
      <c r="P458" s="158"/>
      <c r="Q458" s="157"/>
      <c r="R458" s="11" t="s">
        <v>39</v>
      </c>
      <c r="S458" s="158"/>
      <c r="T458" s="5" t="s">
        <v>40</v>
      </c>
      <c r="U458" s="6"/>
      <c r="V458" s="5" t="s">
        <v>54</v>
      </c>
      <c r="W458" s="5"/>
      <c r="X458" s="6"/>
      <c r="BB458" s="7" t="str">
        <v>Quarter 2</v>
      </c>
    </row>
    <row r="459" spans="1:54" ht="31.4" customHeight="1" x14ac:dyDescent="0.35">
      <c r="A459" s="210">
        <v>458</v>
      </c>
      <c r="B459" s="8" t="s">
        <v>647</v>
      </c>
      <c r="C459" s="8" t="s">
        <v>5</v>
      </c>
      <c r="D459" s="5" t="s">
        <v>648</v>
      </c>
      <c r="E459" s="149">
        <v>45916</v>
      </c>
      <c r="F459" s="149">
        <f t="shared" si="69"/>
        <v>45917</v>
      </c>
      <c r="G459" s="149">
        <f t="shared" si="70"/>
        <v>45930</v>
      </c>
      <c r="H459" s="149">
        <f t="shared" si="71"/>
        <v>45944</v>
      </c>
      <c r="I459" s="149" t="str">
        <f t="shared" si="72"/>
        <v>Sep</v>
      </c>
      <c r="J459" s="216" t="str">
        <f t="shared" ca="1" si="73"/>
        <v/>
      </c>
      <c r="K459" s="149" t="s">
        <v>4</v>
      </c>
      <c r="L459" s="149"/>
      <c r="M459" s="11">
        <v>45917</v>
      </c>
      <c r="N459" s="152">
        <f t="shared" si="74"/>
        <v>1</v>
      </c>
      <c r="O459" s="12" t="str">
        <f t="shared" si="75"/>
        <v>Yes</v>
      </c>
      <c r="P459" s="158"/>
      <c r="Q459" s="157"/>
      <c r="R459" s="11" t="s">
        <v>39</v>
      </c>
      <c r="S459" s="158"/>
      <c r="T459" s="5" t="s">
        <v>40</v>
      </c>
      <c r="U459" s="6"/>
      <c r="V459" s="5"/>
      <c r="W459" s="5"/>
      <c r="X459" s="6"/>
      <c r="BB459" s="7" t="str">
        <v>Quarter 2</v>
      </c>
    </row>
    <row r="460" spans="1:54" ht="31.4" customHeight="1" x14ac:dyDescent="0.35">
      <c r="A460" s="210">
        <v>459</v>
      </c>
      <c r="B460" s="12" t="s">
        <v>6</v>
      </c>
      <c r="C460" s="12" t="s">
        <v>6</v>
      </c>
      <c r="D460" s="5" t="s">
        <v>649</v>
      </c>
      <c r="E460" s="149">
        <v>45916</v>
      </c>
      <c r="F460" s="149">
        <f t="shared" si="69"/>
        <v>45917</v>
      </c>
      <c r="G460" s="149">
        <f t="shared" si="70"/>
        <v>45930</v>
      </c>
      <c r="H460" s="149">
        <f t="shared" si="71"/>
        <v>45944</v>
      </c>
      <c r="I460" s="149" t="str">
        <f t="shared" si="72"/>
        <v>Sep</v>
      </c>
      <c r="J460" s="216" t="str">
        <f t="shared" ca="1" si="73"/>
        <v/>
      </c>
      <c r="K460" s="149" t="s">
        <v>4</v>
      </c>
      <c r="L460" s="149"/>
      <c r="M460" s="11">
        <v>45934</v>
      </c>
      <c r="N460" s="152">
        <f t="shared" si="74"/>
        <v>13</v>
      </c>
      <c r="O460" s="12" t="str">
        <f t="shared" si="75"/>
        <v>Yes</v>
      </c>
      <c r="P460" s="158"/>
      <c r="Q460" s="157"/>
      <c r="R460" s="11" t="s">
        <v>39</v>
      </c>
      <c r="S460" s="158"/>
      <c r="T460" s="5" t="s">
        <v>40</v>
      </c>
      <c r="U460" s="6"/>
      <c r="V460" s="5" t="s">
        <v>54</v>
      </c>
      <c r="W460" s="5"/>
      <c r="X460" s="6"/>
      <c r="BB460" s="7" t="str">
        <v>Quarter 2</v>
      </c>
    </row>
    <row r="461" spans="1:54" ht="31.4" customHeight="1" x14ac:dyDescent="0.35">
      <c r="A461" s="210">
        <v>460</v>
      </c>
      <c r="B461" s="8" t="s">
        <v>650</v>
      </c>
      <c r="C461" s="8" t="s">
        <v>9</v>
      </c>
      <c r="D461" s="8" t="s">
        <v>651</v>
      </c>
      <c r="E461" s="149">
        <v>45916</v>
      </c>
      <c r="F461" s="149">
        <f t="shared" ref="F461:F524" si="76">IF($E461="","",WORKDAY($E461,1,$Z$33:$Z$47))</f>
        <v>45917</v>
      </c>
      <c r="G461" s="149">
        <f t="shared" ref="G461:G524" si="77">IF($E461="","",WORKDAY($E461,10,$Z$33:$Z$47))</f>
        <v>45930</v>
      </c>
      <c r="H461" s="149">
        <f t="shared" ref="H461:H524" si="78">IF($E461="","",WORKDAY($E461,20,$Z$33:$Z$47))</f>
        <v>45944</v>
      </c>
      <c r="I461" s="149" t="str">
        <f t="shared" si="72"/>
        <v>Sep</v>
      </c>
      <c r="J461" s="216" t="str">
        <f t="shared" ca="1" si="73"/>
        <v/>
      </c>
      <c r="K461" s="149" t="s">
        <v>4</v>
      </c>
      <c r="L461" s="149"/>
      <c r="M461" s="11">
        <v>45923</v>
      </c>
      <c r="N461" s="152">
        <f t="shared" si="74"/>
        <v>5</v>
      </c>
      <c r="O461" s="12" t="str">
        <f t="shared" si="75"/>
        <v>Yes</v>
      </c>
      <c r="P461" s="158"/>
      <c r="Q461" s="157"/>
      <c r="R461" s="11" t="s">
        <v>39</v>
      </c>
      <c r="S461" s="158"/>
      <c r="T461" s="5" t="s">
        <v>45</v>
      </c>
      <c r="U461" s="6"/>
      <c r="V461" s="5" t="s">
        <v>87</v>
      </c>
      <c r="W461" s="5" t="s">
        <v>1046</v>
      </c>
      <c r="X461" s="6"/>
      <c r="BB461" s="7" t="str">
        <v>Quarter 2</v>
      </c>
    </row>
    <row r="462" spans="1:54" ht="31.4" customHeight="1" x14ac:dyDescent="0.35">
      <c r="A462" s="210">
        <v>461</v>
      </c>
      <c r="B462" s="5" t="s">
        <v>520</v>
      </c>
      <c r="C462" s="5" t="s">
        <v>5</v>
      </c>
      <c r="D462" s="5" t="s">
        <v>652</v>
      </c>
      <c r="E462" s="149">
        <v>45916</v>
      </c>
      <c r="F462" s="149">
        <f t="shared" si="76"/>
        <v>45917</v>
      </c>
      <c r="G462" s="149">
        <f t="shared" si="77"/>
        <v>45930</v>
      </c>
      <c r="H462" s="149">
        <f t="shared" si="78"/>
        <v>45944</v>
      </c>
      <c r="I462" s="149" t="str">
        <f t="shared" si="72"/>
        <v>Sep</v>
      </c>
      <c r="J462" s="216" t="str">
        <f t="shared" ca="1" si="73"/>
        <v/>
      </c>
      <c r="K462" s="149" t="s">
        <v>4</v>
      </c>
      <c r="L462" s="149"/>
      <c r="M462" s="11">
        <v>45917</v>
      </c>
      <c r="N462" s="152">
        <f t="shared" si="74"/>
        <v>1</v>
      </c>
      <c r="O462" s="12" t="str">
        <f t="shared" si="75"/>
        <v>Yes</v>
      </c>
      <c r="P462" s="158"/>
      <c r="Q462" s="157"/>
      <c r="R462" s="11" t="s">
        <v>39</v>
      </c>
      <c r="S462" s="158"/>
      <c r="T462" s="5" t="s">
        <v>40</v>
      </c>
      <c r="U462" s="6"/>
      <c r="V462" s="5"/>
      <c r="W462" s="5"/>
      <c r="X462" s="6"/>
      <c r="BB462" s="7" t="str">
        <v>Quarter 2</v>
      </c>
    </row>
    <row r="463" spans="1:54" ht="31.4" customHeight="1" x14ac:dyDescent="0.35">
      <c r="A463" s="210">
        <v>462</v>
      </c>
      <c r="B463" s="8" t="s">
        <v>55</v>
      </c>
      <c r="C463" s="8" t="s">
        <v>13</v>
      </c>
      <c r="D463" s="8" t="s">
        <v>653</v>
      </c>
      <c r="E463" s="149">
        <v>45916</v>
      </c>
      <c r="F463" s="149">
        <f t="shared" si="76"/>
        <v>45917</v>
      </c>
      <c r="G463" s="149">
        <f t="shared" si="77"/>
        <v>45930</v>
      </c>
      <c r="H463" s="149">
        <f t="shared" si="78"/>
        <v>45944</v>
      </c>
      <c r="I463" s="149" t="str">
        <f t="shared" si="72"/>
        <v>Sep</v>
      </c>
      <c r="J463" s="216" t="str">
        <f t="shared" ca="1" si="73"/>
        <v/>
      </c>
      <c r="K463" s="22" t="s">
        <v>43</v>
      </c>
      <c r="L463" s="149"/>
      <c r="M463" s="11">
        <v>45929</v>
      </c>
      <c r="N463" s="152">
        <f t="shared" si="74"/>
        <v>9</v>
      </c>
      <c r="O463" s="12" t="str">
        <f t="shared" si="75"/>
        <v>Yes</v>
      </c>
      <c r="P463" s="158"/>
      <c r="Q463" s="157"/>
      <c r="R463" s="11" t="s">
        <v>39</v>
      </c>
      <c r="S463" s="158"/>
      <c r="T463" s="5" t="s">
        <v>40</v>
      </c>
      <c r="U463" s="6"/>
      <c r="V463" s="5"/>
      <c r="W463" s="5"/>
      <c r="X463" s="6"/>
      <c r="BB463" s="7" t="str">
        <v>Quarter 2</v>
      </c>
    </row>
    <row r="464" spans="1:54" ht="31.4" customHeight="1" x14ac:dyDescent="0.35">
      <c r="A464" s="210">
        <v>463</v>
      </c>
      <c r="B464" s="8" t="s">
        <v>55</v>
      </c>
      <c r="C464" s="8" t="s">
        <v>13</v>
      </c>
      <c r="D464" s="8" t="s">
        <v>654</v>
      </c>
      <c r="E464" s="22">
        <v>45916</v>
      </c>
      <c r="F464" s="149">
        <f t="shared" si="76"/>
        <v>45917</v>
      </c>
      <c r="G464" s="149">
        <f t="shared" si="77"/>
        <v>45930</v>
      </c>
      <c r="H464" s="149">
        <f t="shared" si="78"/>
        <v>45944</v>
      </c>
      <c r="I464" s="149" t="str">
        <f t="shared" si="72"/>
        <v>Sep</v>
      </c>
      <c r="J464" s="216" t="str">
        <f t="shared" ca="1" si="73"/>
        <v/>
      </c>
      <c r="K464" s="22" t="s">
        <v>7</v>
      </c>
      <c r="L464" s="149"/>
      <c r="M464" s="11">
        <v>45931</v>
      </c>
      <c r="N464" s="152">
        <f t="shared" si="74"/>
        <v>11</v>
      </c>
      <c r="O464" s="12" t="str">
        <f t="shared" si="75"/>
        <v>Yes</v>
      </c>
      <c r="P464" s="158"/>
      <c r="Q464" s="157"/>
      <c r="R464" s="11" t="s">
        <v>39</v>
      </c>
      <c r="S464" s="158"/>
      <c r="T464" s="5" t="s">
        <v>40</v>
      </c>
      <c r="U464" s="6"/>
      <c r="V464" s="5"/>
      <c r="W464" s="5"/>
      <c r="X464" s="6"/>
      <c r="BB464" s="7" t="str">
        <v>Quarter 2</v>
      </c>
    </row>
    <row r="465" spans="1:54" ht="31.4" customHeight="1" x14ac:dyDescent="0.35">
      <c r="A465" s="210">
        <v>464</v>
      </c>
      <c r="B465" s="5" t="s">
        <v>655</v>
      </c>
      <c r="C465" s="5" t="s">
        <v>9</v>
      </c>
      <c r="D465" s="5" t="s">
        <v>656</v>
      </c>
      <c r="E465" s="149">
        <v>45917</v>
      </c>
      <c r="F465" s="149">
        <f t="shared" si="76"/>
        <v>45918</v>
      </c>
      <c r="G465" s="149">
        <f t="shared" si="77"/>
        <v>45931</v>
      </c>
      <c r="H465" s="149">
        <f t="shared" si="78"/>
        <v>45945</v>
      </c>
      <c r="I465" s="149" t="str">
        <f t="shared" si="72"/>
        <v>Sep</v>
      </c>
      <c r="J465" s="216" t="str">
        <f t="shared" ca="1" si="73"/>
        <v/>
      </c>
      <c r="K465" s="149" t="s">
        <v>4</v>
      </c>
      <c r="L465" s="149"/>
      <c r="M465" s="11">
        <v>45931</v>
      </c>
      <c r="N465" s="152">
        <f t="shared" si="74"/>
        <v>10</v>
      </c>
      <c r="O465" s="12" t="str">
        <f t="shared" si="75"/>
        <v>Yes</v>
      </c>
      <c r="P465" s="158"/>
      <c r="Q465" s="157"/>
      <c r="R465" s="11" t="s">
        <v>39</v>
      </c>
      <c r="S465" s="158"/>
      <c r="T465" s="5" t="s">
        <v>45</v>
      </c>
      <c r="U465" s="6"/>
      <c r="V465" s="5" t="s">
        <v>80</v>
      </c>
      <c r="W465" s="5" t="s">
        <v>657</v>
      </c>
      <c r="X465" s="6"/>
      <c r="BB465" s="7" t="str">
        <v>Quarter 2</v>
      </c>
    </row>
    <row r="466" spans="1:54" ht="31.4" customHeight="1" x14ac:dyDescent="0.35">
      <c r="A466" s="210">
        <v>465</v>
      </c>
      <c r="B466" s="5" t="s">
        <v>6</v>
      </c>
      <c r="C466" s="5" t="s">
        <v>6</v>
      </c>
      <c r="D466" s="5" t="s">
        <v>658</v>
      </c>
      <c r="E466" s="149">
        <v>45917</v>
      </c>
      <c r="F466" s="149">
        <f t="shared" si="76"/>
        <v>45918</v>
      </c>
      <c r="G466" s="149">
        <f t="shared" si="77"/>
        <v>45931</v>
      </c>
      <c r="H466" s="149">
        <f t="shared" si="78"/>
        <v>45945</v>
      </c>
      <c r="I466" s="149" t="str">
        <f t="shared" si="72"/>
        <v>Sep</v>
      </c>
      <c r="J466" s="216" t="str">
        <f t="shared" ca="1" si="73"/>
        <v/>
      </c>
      <c r="K466" s="149" t="s">
        <v>43</v>
      </c>
      <c r="L466" s="149"/>
      <c r="M466" s="11">
        <v>45918</v>
      </c>
      <c r="N466" s="152">
        <f t="shared" si="74"/>
        <v>1</v>
      </c>
      <c r="O466" s="12" t="str">
        <f t="shared" si="75"/>
        <v>Yes</v>
      </c>
      <c r="P466" s="158"/>
      <c r="Q466" s="157"/>
      <c r="R466" s="11" t="s">
        <v>39</v>
      </c>
      <c r="S466" s="158"/>
      <c r="T466" s="5" t="s">
        <v>40</v>
      </c>
      <c r="U466" s="6"/>
      <c r="V466" s="5"/>
      <c r="W466" s="5" t="s">
        <v>46</v>
      </c>
      <c r="X466" s="6"/>
      <c r="BB466" s="7" t="str">
        <v>Quarter 2</v>
      </c>
    </row>
    <row r="467" spans="1:54" ht="31.4" customHeight="1" x14ac:dyDescent="0.35">
      <c r="A467" s="210">
        <v>466</v>
      </c>
      <c r="B467" s="5" t="s">
        <v>301</v>
      </c>
      <c r="C467" s="5" t="s">
        <v>9</v>
      </c>
      <c r="D467" s="5" t="s">
        <v>659</v>
      </c>
      <c r="E467" s="149">
        <v>45917</v>
      </c>
      <c r="F467" s="149">
        <f t="shared" si="76"/>
        <v>45918</v>
      </c>
      <c r="G467" s="149">
        <f t="shared" si="77"/>
        <v>45931</v>
      </c>
      <c r="H467" s="149">
        <f t="shared" si="78"/>
        <v>45945</v>
      </c>
      <c r="I467" s="149" t="str">
        <f t="shared" si="72"/>
        <v>Sep</v>
      </c>
      <c r="J467" s="216" t="str">
        <f t="shared" ca="1" si="73"/>
        <v/>
      </c>
      <c r="K467" s="149" t="s">
        <v>4</v>
      </c>
      <c r="L467" s="149"/>
      <c r="M467" s="11">
        <v>45917</v>
      </c>
      <c r="N467" s="152">
        <f t="shared" si="74"/>
        <v>0</v>
      </c>
      <c r="O467" s="12" t="str">
        <f t="shared" si="75"/>
        <v>Yes</v>
      </c>
      <c r="P467" s="158"/>
      <c r="Q467" s="157"/>
      <c r="R467" s="11" t="s">
        <v>39</v>
      </c>
      <c r="S467" s="158"/>
      <c r="T467" s="5" t="s">
        <v>51</v>
      </c>
      <c r="U467" s="6"/>
      <c r="V467" s="5" t="s">
        <v>53</v>
      </c>
      <c r="W467" s="5"/>
      <c r="X467" s="6"/>
      <c r="BB467" s="7" t="str">
        <v>Quarter 2</v>
      </c>
    </row>
    <row r="468" spans="1:54" ht="31.4" customHeight="1" x14ac:dyDescent="0.35">
      <c r="A468" s="210">
        <v>467</v>
      </c>
      <c r="B468" s="5" t="s">
        <v>660</v>
      </c>
      <c r="C468" s="5" t="s">
        <v>9</v>
      </c>
      <c r="D468" s="5" t="s">
        <v>661</v>
      </c>
      <c r="E468" s="149">
        <v>45917</v>
      </c>
      <c r="F468" s="149">
        <f t="shared" si="76"/>
        <v>45918</v>
      </c>
      <c r="G468" s="149">
        <f t="shared" si="77"/>
        <v>45931</v>
      </c>
      <c r="H468" s="149">
        <f t="shared" si="78"/>
        <v>45945</v>
      </c>
      <c r="I468" s="149" t="str">
        <f t="shared" si="72"/>
        <v>Sep</v>
      </c>
      <c r="J468" s="216" t="str">
        <f t="shared" ca="1" si="73"/>
        <v/>
      </c>
      <c r="K468" s="149" t="s">
        <v>43</v>
      </c>
      <c r="L468" s="149"/>
      <c r="M468" s="11">
        <v>45917</v>
      </c>
      <c r="N468" s="152">
        <f t="shared" si="74"/>
        <v>0</v>
      </c>
      <c r="O468" s="12" t="str">
        <f t="shared" si="75"/>
        <v>Yes</v>
      </c>
      <c r="P468" s="158"/>
      <c r="Q468" s="157"/>
      <c r="R468" s="11" t="s">
        <v>39</v>
      </c>
      <c r="S468" s="158"/>
      <c r="T468" s="5" t="s">
        <v>40</v>
      </c>
      <c r="U468" s="6"/>
      <c r="V468" s="5"/>
      <c r="W468" s="5"/>
      <c r="X468" s="6"/>
      <c r="BB468" s="7" t="str">
        <v>Quarter 2</v>
      </c>
    </row>
    <row r="469" spans="1:54" ht="31.4" customHeight="1" x14ac:dyDescent="0.35">
      <c r="A469" s="210">
        <v>468</v>
      </c>
      <c r="B469" s="5" t="s">
        <v>662</v>
      </c>
      <c r="C469" s="5" t="s">
        <v>11</v>
      </c>
      <c r="D469" s="5" t="s">
        <v>663</v>
      </c>
      <c r="E469" s="149">
        <v>45918</v>
      </c>
      <c r="F469" s="149">
        <f t="shared" si="76"/>
        <v>45919</v>
      </c>
      <c r="G469" s="149">
        <f t="shared" si="77"/>
        <v>45932</v>
      </c>
      <c r="H469" s="149">
        <f t="shared" si="78"/>
        <v>45946</v>
      </c>
      <c r="I469" s="149" t="str">
        <f t="shared" si="72"/>
        <v>Sep</v>
      </c>
      <c r="J469" s="216" t="str">
        <f t="shared" ca="1" si="73"/>
        <v/>
      </c>
      <c r="K469" s="149" t="s">
        <v>4</v>
      </c>
      <c r="L469" s="149"/>
      <c r="M469" s="11">
        <v>45939</v>
      </c>
      <c r="N469" s="152">
        <f t="shared" si="74"/>
        <v>15</v>
      </c>
      <c r="O469" s="12" t="str">
        <f t="shared" si="75"/>
        <v>Yes</v>
      </c>
      <c r="P469" s="158"/>
      <c r="Q469" s="157"/>
      <c r="R469" s="11" t="s">
        <v>39</v>
      </c>
      <c r="S469" s="158"/>
      <c r="T469" s="5" t="s">
        <v>40</v>
      </c>
      <c r="U469" s="6"/>
      <c r="V469" s="5"/>
      <c r="W469" s="5"/>
      <c r="X469" s="6"/>
      <c r="BB469" s="7" t="str">
        <v>Quarter 2</v>
      </c>
    </row>
    <row r="470" spans="1:54" ht="31.4" customHeight="1" x14ac:dyDescent="0.35">
      <c r="A470" s="210">
        <v>469</v>
      </c>
      <c r="B470" s="5" t="s">
        <v>6</v>
      </c>
      <c r="C470" s="5" t="s">
        <v>6</v>
      </c>
      <c r="D470" s="5" t="s">
        <v>1853</v>
      </c>
      <c r="E470" s="149">
        <v>45919</v>
      </c>
      <c r="F470" s="149">
        <f t="shared" si="76"/>
        <v>45922</v>
      </c>
      <c r="G470" s="149">
        <f t="shared" si="77"/>
        <v>45933</v>
      </c>
      <c r="H470" s="149">
        <f t="shared" si="78"/>
        <v>45947</v>
      </c>
      <c r="I470" s="149" t="str">
        <f t="shared" si="72"/>
        <v>Sep</v>
      </c>
      <c r="J470" s="216" t="str">
        <f t="shared" ca="1" si="73"/>
        <v/>
      </c>
      <c r="K470" s="149" t="s">
        <v>4</v>
      </c>
      <c r="L470" s="149"/>
      <c r="M470" s="11">
        <v>45940</v>
      </c>
      <c r="N470" s="152">
        <f t="shared" si="74"/>
        <v>15</v>
      </c>
      <c r="O470" s="12" t="str">
        <f t="shared" si="75"/>
        <v>Yes</v>
      </c>
      <c r="P470" s="158"/>
      <c r="Q470" s="157"/>
      <c r="R470" s="11" t="s">
        <v>39</v>
      </c>
      <c r="S470" s="158"/>
      <c r="T470" s="5" t="s">
        <v>40</v>
      </c>
      <c r="U470" s="6"/>
      <c r="V470" s="5" t="s">
        <v>87</v>
      </c>
      <c r="W470" s="5"/>
      <c r="X470" s="6"/>
      <c r="BB470" s="7" t="str">
        <v>Quarter 2</v>
      </c>
    </row>
    <row r="471" spans="1:54" ht="31.4" customHeight="1" x14ac:dyDescent="0.35">
      <c r="A471" s="210">
        <v>470</v>
      </c>
      <c r="B471" s="5" t="s">
        <v>6</v>
      </c>
      <c r="C471" s="5" t="s">
        <v>6</v>
      </c>
      <c r="D471" s="5" t="s">
        <v>664</v>
      </c>
      <c r="E471" s="149">
        <v>45922</v>
      </c>
      <c r="F471" s="149">
        <f t="shared" si="76"/>
        <v>45923</v>
      </c>
      <c r="G471" s="149">
        <f t="shared" si="77"/>
        <v>45936</v>
      </c>
      <c r="H471" s="149">
        <f t="shared" si="78"/>
        <v>45950</v>
      </c>
      <c r="I471" s="149" t="str">
        <f t="shared" si="72"/>
        <v>Sep</v>
      </c>
      <c r="J471" s="216" t="str">
        <f t="shared" ca="1" si="73"/>
        <v/>
      </c>
      <c r="K471" s="149" t="s">
        <v>4</v>
      </c>
      <c r="L471" s="149"/>
      <c r="M471" s="11">
        <v>45950</v>
      </c>
      <c r="N471" s="152">
        <f t="shared" si="74"/>
        <v>20</v>
      </c>
      <c r="O471" s="12" t="str">
        <f t="shared" si="75"/>
        <v>Yes</v>
      </c>
      <c r="P471" s="158"/>
      <c r="Q471" s="157"/>
      <c r="R471" s="11" t="s">
        <v>39</v>
      </c>
      <c r="S471" s="158"/>
      <c r="T471" s="5" t="s">
        <v>51</v>
      </c>
      <c r="U471" s="6"/>
      <c r="V471" s="5" t="s">
        <v>41</v>
      </c>
      <c r="W471" s="5"/>
      <c r="X471" s="6"/>
      <c r="BB471" s="7" t="str">
        <v>Quarter 2</v>
      </c>
    </row>
    <row r="472" spans="1:54" ht="31.4" customHeight="1" x14ac:dyDescent="0.35">
      <c r="A472" s="210">
        <v>471</v>
      </c>
      <c r="B472" s="5" t="s">
        <v>6</v>
      </c>
      <c r="C472" s="5" t="s">
        <v>6</v>
      </c>
      <c r="D472" s="5" t="s">
        <v>665</v>
      </c>
      <c r="E472" s="149">
        <v>45922</v>
      </c>
      <c r="F472" s="149">
        <f t="shared" si="76"/>
        <v>45923</v>
      </c>
      <c r="G472" s="149">
        <f t="shared" si="77"/>
        <v>45936</v>
      </c>
      <c r="H472" s="149">
        <f t="shared" si="78"/>
        <v>45950</v>
      </c>
      <c r="I472" s="149" t="str">
        <f t="shared" si="72"/>
        <v>Sep</v>
      </c>
      <c r="J472" s="216" t="str">
        <f t="shared" ca="1" si="73"/>
        <v/>
      </c>
      <c r="K472" s="149" t="s">
        <v>43</v>
      </c>
      <c r="L472" s="149"/>
      <c r="M472" s="11">
        <v>45929</v>
      </c>
      <c r="N472" s="152">
        <f t="shared" si="74"/>
        <v>5</v>
      </c>
      <c r="O472" s="12" t="str">
        <f t="shared" si="75"/>
        <v>Yes</v>
      </c>
      <c r="P472" s="158"/>
      <c r="Q472" s="157"/>
      <c r="R472" s="11" t="s">
        <v>39</v>
      </c>
      <c r="S472" s="158"/>
      <c r="T472" s="5" t="s">
        <v>62</v>
      </c>
      <c r="U472" s="6"/>
      <c r="V472" s="5"/>
      <c r="W472" s="5"/>
      <c r="X472" s="6"/>
      <c r="BB472" s="7" t="str">
        <v>Quarter 2</v>
      </c>
    </row>
    <row r="473" spans="1:54" ht="31.4" customHeight="1" x14ac:dyDescent="0.35">
      <c r="A473" s="210">
        <v>472</v>
      </c>
      <c r="B473" s="5" t="s">
        <v>6</v>
      </c>
      <c r="C473" s="5" t="s">
        <v>6</v>
      </c>
      <c r="D473" s="5" t="s">
        <v>666</v>
      </c>
      <c r="E473" s="149">
        <v>45922</v>
      </c>
      <c r="F473" s="149">
        <f t="shared" si="76"/>
        <v>45923</v>
      </c>
      <c r="G473" s="149">
        <f t="shared" si="77"/>
        <v>45936</v>
      </c>
      <c r="H473" s="149">
        <f t="shared" si="78"/>
        <v>45950</v>
      </c>
      <c r="I473" s="149" t="str">
        <f t="shared" si="72"/>
        <v>Sep</v>
      </c>
      <c r="J473" s="216" t="str">
        <f t="shared" ca="1" si="73"/>
        <v/>
      </c>
      <c r="K473" s="149" t="s">
        <v>7</v>
      </c>
      <c r="L473" s="149"/>
      <c r="M473" s="11">
        <v>45923</v>
      </c>
      <c r="N473" s="152">
        <f t="shared" si="74"/>
        <v>1</v>
      </c>
      <c r="O473" s="12" t="str">
        <f t="shared" si="75"/>
        <v>Yes</v>
      </c>
      <c r="P473" s="158"/>
      <c r="Q473" s="157"/>
      <c r="R473" s="11" t="s">
        <v>39</v>
      </c>
      <c r="S473" s="158"/>
      <c r="T473" s="5" t="s">
        <v>40</v>
      </c>
      <c r="U473" s="6"/>
      <c r="V473" s="5"/>
      <c r="W473" s="5"/>
      <c r="X473" s="6"/>
      <c r="BB473" s="7" t="str">
        <v>Quarter 2</v>
      </c>
    </row>
    <row r="474" spans="1:54" ht="31.4" customHeight="1" x14ac:dyDescent="0.35">
      <c r="A474" s="210">
        <v>473</v>
      </c>
      <c r="B474" s="5" t="s">
        <v>667</v>
      </c>
      <c r="C474" s="5" t="s">
        <v>9</v>
      </c>
      <c r="D474" s="5" t="s">
        <v>668</v>
      </c>
      <c r="E474" s="149">
        <v>45919</v>
      </c>
      <c r="F474" s="149">
        <f t="shared" si="76"/>
        <v>45922</v>
      </c>
      <c r="G474" s="149">
        <f t="shared" si="77"/>
        <v>45933</v>
      </c>
      <c r="H474" s="149">
        <f t="shared" si="78"/>
        <v>45947</v>
      </c>
      <c r="I474" s="149" t="str">
        <f t="shared" si="72"/>
        <v>Sep</v>
      </c>
      <c r="J474" s="216" t="str">
        <f t="shared" ca="1" si="73"/>
        <v/>
      </c>
      <c r="K474" s="149" t="s">
        <v>4</v>
      </c>
      <c r="L474" s="149"/>
      <c r="M474" s="11">
        <v>45933</v>
      </c>
      <c r="N474" s="152">
        <f t="shared" si="74"/>
        <v>10</v>
      </c>
      <c r="O474" s="12" t="str">
        <f t="shared" si="75"/>
        <v>Yes</v>
      </c>
      <c r="P474" s="158"/>
      <c r="Q474" s="157"/>
      <c r="R474" s="11" t="s">
        <v>39</v>
      </c>
      <c r="S474" s="158"/>
      <c r="T474" s="5" t="s">
        <v>62</v>
      </c>
      <c r="U474" s="6"/>
      <c r="V474" s="5"/>
      <c r="W474" s="5"/>
      <c r="X474" s="6"/>
      <c r="BB474" s="7" t="str">
        <v>Quarter 2</v>
      </c>
    </row>
    <row r="475" spans="1:54" ht="31.4" customHeight="1" x14ac:dyDescent="0.35">
      <c r="A475" s="210">
        <v>474</v>
      </c>
      <c r="B475" s="5" t="s">
        <v>669</v>
      </c>
      <c r="C475" s="5" t="s">
        <v>9</v>
      </c>
      <c r="D475" s="5" t="s">
        <v>670</v>
      </c>
      <c r="E475" s="149">
        <v>45922</v>
      </c>
      <c r="F475" s="149">
        <f t="shared" si="76"/>
        <v>45923</v>
      </c>
      <c r="G475" s="149">
        <f t="shared" si="77"/>
        <v>45936</v>
      </c>
      <c r="H475" s="149">
        <f t="shared" si="78"/>
        <v>45950</v>
      </c>
      <c r="I475" s="149" t="str">
        <f t="shared" si="72"/>
        <v>Sep</v>
      </c>
      <c r="J475" s="216" t="str">
        <f t="shared" ca="1" si="73"/>
        <v/>
      </c>
      <c r="K475" s="149" t="s">
        <v>7</v>
      </c>
      <c r="L475" s="149"/>
      <c r="M475" s="11">
        <v>45937</v>
      </c>
      <c r="N475" s="152">
        <f t="shared" si="74"/>
        <v>11</v>
      </c>
      <c r="O475" s="12" t="str">
        <f t="shared" si="75"/>
        <v>Yes</v>
      </c>
      <c r="P475" s="158"/>
      <c r="Q475" s="157"/>
      <c r="R475" s="11" t="s">
        <v>39</v>
      </c>
      <c r="S475" s="158"/>
      <c r="T475" s="5" t="s">
        <v>40</v>
      </c>
      <c r="U475" s="6"/>
      <c r="V475" s="5"/>
      <c r="W475" s="5"/>
      <c r="X475" s="6"/>
      <c r="BB475" s="7" t="str">
        <v>Quarter 2</v>
      </c>
    </row>
    <row r="476" spans="1:54" ht="31.4" customHeight="1" x14ac:dyDescent="0.35">
      <c r="A476" s="210">
        <v>475</v>
      </c>
      <c r="B476" s="5" t="s">
        <v>520</v>
      </c>
      <c r="C476" s="5" t="s">
        <v>5</v>
      </c>
      <c r="D476" s="5" t="s">
        <v>671</v>
      </c>
      <c r="E476" s="149">
        <v>45922</v>
      </c>
      <c r="F476" s="149">
        <f t="shared" si="76"/>
        <v>45923</v>
      </c>
      <c r="G476" s="149">
        <f t="shared" si="77"/>
        <v>45936</v>
      </c>
      <c r="H476" s="149">
        <f t="shared" si="78"/>
        <v>45950</v>
      </c>
      <c r="I476" s="149" t="str">
        <f t="shared" si="72"/>
        <v>Sep</v>
      </c>
      <c r="J476" s="216" t="str">
        <f t="shared" ca="1" si="73"/>
        <v/>
      </c>
      <c r="K476" s="149" t="s">
        <v>7</v>
      </c>
      <c r="L476" s="149"/>
      <c r="M476" s="11">
        <v>45937</v>
      </c>
      <c r="N476" s="152">
        <f t="shared" si="74"/>
        <v>11</v>
      </c>
      <c r="O476" s="12" t="str">
        <f t="shared" si="75"/>
        <v>Yes</v>
      </c>
      <c r="P476" s="158"/>
      <c r="Q476" s="157"/>
      <c r="R476" s="11" t="s">
        <v>39</v>
      </c>
      <c r="S476" s="158"/>
      <c r="T476" s="5" t="s">
        <v>40</v>
      </c>
      <c r="U476" s="6"/>
      <c r="V476" s="5"/>
      <c r="W476" s="5" t="s">
        <v>46</v>
      </c>
      <c r="X476" s="6"/>
      <c r="BB476" s="7" t="str">
        <v>Quarter 2</v>
      </c>
    </row>
    <row r="477" spans="1:54" ht="31.4" customHeight="1" x14ac:dyDescent="0.35">
      <c r="A477" s="210">
        <v>476</v>
      </c>
      <c r="B477" s="5" t="s">
        <v>6</v>
      </c>
      <c r="C477" s="5" t="s">
        <v>6</v>
      </c>
      <c r="D477" s="5" t="s">
        <v>672</v>
      </c>
      <c r="E477" s="149">
        <v>45922</v>
      </c>
      <c r="F477" s="149">
        <f t="shared" si="76"/>
        <v>45923</v>
      </c>
      <c r="G477" s="149">
        <f t="shared" si="77"/>
        <v>45936</v>
      </c>
      <c r="H477" s="149">
        <f t="shared" si="78"/>
        <v>45950</v>
      </c>
      <c r="I477" s="149" t="str">
        <f t="shared" si="72"/>
        <v>Sep</v>
      </c>
      <c r="J477" s="216" t="str">
        <f t="shared" ca="1" si="73"/>
        <v/>
      </c>
      <c r="K477" s="149" t="s">
        <v>4</v>
      </c>
      <c r="L477" s="149"/>
      <c r="M477" s="11">
        <v>45922</v>
      </c>
      <c r="N477" s="152">
        <f t="shared" si="74"/>
        <v>0</v>
      </c>
      <c r="O477" s="12" t="str">
        <f t="shared" si="75"/>
        <v>Yes</v>
      </c>
      <c r="P477" s="158"/>
      <c r="Q477" s="157"/>
      <c r="R477" s="11" t="s">
        <v>39</v>
      </c>
      <c r="S477" s="158"/>
      <c r="T477" s="5" t="s">
        <v>40</v>
      </c>
      <c r="U477" s="6"/>
      <c r="V477" s="5" t="s">
        <v>54</v>
      </c>
      <c r="W477" s="5"/>
      <c r="X477" s="6"/>
      <c r="BB477" s="7" t="str">
        <v>Quarter 2</v>
      </c>
    </row>
    <row r="478" spans="1:54" ht="31.4" customHeight="1" x14ac:dyDescent="0.35">
      <c r="A478" s="210">
        <v>477</v>
      </c>
      <c r="B478" s="5" t="s">
        <v>55</v>
      </c>
      <c r="C478" s="5" t="s">
        <v>13</v>
      </c>
      <c r="D478" s="5" t="s">
        <v>673</v>
      </c>
      <c r="E478" s="149">
        <v>45922</v>
      </c>
      <c r="F478" s="149">
        <f t="shared" si="76"/>
        <v>45923</v>
      </c>
      <c r="G478" s="149">
        <f t="shared" si="77"/>
        <v>45936</v>
      </c>
      <c r="H478" s="149">
        <f t="shared" si="78"/>
        <v>45950</v>
      </c>
      <c r="I478" s="149" t="str">
        <f t="shared" si="72"/>
        <v>Sep</v>
      </c>
      <c r="J478" s="216" t="str">
        <f t="shared" ca="1" si="73"/>
        <v/>
      </c>
      <c r="K478" s="149" t="s">
        <v>4</v>
      </c>
      <c r="L478" s="149"/>
      <c r="M478" s="11">
        <v>45944</v>
      </c>
      <c r="N478" s="152">
        <f t="shared" si="74"/>
        <v>16</v>
      </c>
      <c r="O478" s="12" t="str">
        <f t="shared" si="75"/>
        <v>Yes</v>
      </c>
      <c r="P478" s="158"/>
      <c r="Q478" s="157"/>
      <c r="R478" s="11" t="s">
        <v>39</v>
      </c>
      <c r="S478" s="158"/>
      <c r="T478" s="5" t="s">
        <v>40</v>
      </c>
      <c r="U478" s="6"/>
      <c r="V478" s="5" t="s">
        <v>54</v>
      </c>
      <c r="W478" s="5"/>
      <c r="X478" s="6"/>
      <c r="BB478" s="7" t="str">
        <v>Quarter 2</v>
      </c>
    </row>
    <row r="479" spans="1:54" ht="31.4" customHeight="1" x14ac:dyDescent="0.35">
      <c r="A479" s="210">
        <v>478</v>
      </c>
      <c r="B479" s="5" t="s">
        <v>674</v>
      </c>
      <c r="C479" s="5" t="s">
        <v>9</v>
      </c>
      <c r="D479" s="5" t="s">
        <v>675</v>
      </c>
      <c r="E479" s="149">
        <v>45922</v>
      </c>
      <c r="F479" s="149">
        <f t="shared" si="76"/>
        <v>45923</v>
      </c>
      <c r="G479" s="149">
        <f t="shared" si="77"/>
        <v>45936</v>
      </c>
      <c r="H479" s="149">
        <f t="shared" si="78"/>
        <v>45950</v>
      </c>
      <c r="I479" s="149" t="str">
        <f t="shared" si="72"/>
        <v>Sep</v>
      </c>
      <c r="J479" s="216" t="str">
        <f t="shared" ca="1" si="73"/>
        <v/>
      </c>
      <c r="K479" s="149" t="s">
        <v>43</v>
      </c>
      <c r="L479" s="149"/>
      <c r="M479" s="11">
        <v>45954</v>
      </c>
      <c r="N479" s="152">
        <f t="shared" si="74"/>
        <v>24</v>
      </c>
      <c r="O479" s="12" t="str">
        <f t="shared" si="75"/>
        <v>No</v>
      </c>
      <c r="P479" s="158"/>
      <c r="Q479" s="157"/>
      <c r="R479" s="11" t="s">
        <v>39</v>
      </c>
      <c r="S479" s="158"/>
      <c r="T479" s="5" t="s">
        <v>40</v>
      </c>
      <c r="U479" s="6"/>
      <c r="V479" s="5"/>
      <c r="W479" s="5"/>
      <c r="X479" s="6"/>
      <c r="BB479" s="7" t="str">
        <v>Quarter 2</v>
      </c>
    </row>
    <row r="480" spans="1:54" ht="31.4" customHeight="1" x14ac:dyDescent="0.35">
      <c r="A480" s="210">
        <v>479</v>
      </c>
      <c r="B480" s="5" t="s">
        <v>676</v>
      </c>
      <c r="C480" s="5" t="s">
        <v>9</v>
      </c>
      <c r="D480" s="5" t="s">
        <v>677</v>
      </c>
      <c r="E480" s="149">
        <v>45923</v>
      </c>
      <c r="F480" s="149">
        <f t="shared" si="76"/>
        <v>45924</v>
      </c>
      <c r="G480" s="149">
        <f t="shared" si="77"/>
        <v>45937</v>
      </c>
      <c r="H480" s="149">
        <f t="shared" si="78"/>
        <v>45951</v>
      </c>
      <c r="I480" s="149" t="str">
        <f t="shared" si="72"/>
        <v>Sep</v>
      </c>
      <c r="J480" s="216" t="str">
        <f t="shared" ca="1" si="73"/>
        <v/>
      </c>
      <c r="K480" s="149" t="s">
        <v>43</v>
      </c>
      <c r="L480" s="149"/>
      <c r="M480" s="11">
        <v>45938</v>
      </c>
      <c r="N480" s="152">
        <f t="shared" si="74"/>
        <v>11</v>
      </c>
      <c r="O480" s="12" t="str">
        <f t="shared" si="75"/>
        <v>Yes</v>
      </c>
      <c r="P480" s="158"/>
      <c r="Q480" s="157"/>
      <c r="R480" s="11" t="s">
        <v>39</v>
      </c>
      <c r="S480" s="158"/>
      <c r="T480" s="5" t="s">
        <v>40</v>
      </c>
      <c r="U480" s="6"/>
      <c r="V480" s="5" t="s">
        <v>54</v>
      </c>
      <c r="W480" s="5"/>
      <c r="X480" s="6"/>
      <c r="BB480" s="7" t="str">
        <v>Quarter 2</v>
      </c>
    </row>
    <row r="481" spans="1:54" ht="31.4" customHeight="1" x14ac:dyDescent="0.35">
      <c r="A481" s="210">
        <v>480</v>
      </c>
      <c r="B481" s="5" t="s">
        <v>6</v>
      </c>
      <c r="C481" s="5" t="s">
        <v>6</v>
      </c>
      <c r="D481" s="5" t="s">
        <v>1881</v>
      </c>
      <c r="E481" s="149">
        <v>45923</v>
      </c>
      <c r="F481" s="149">
        <f t="shared" si="76"/>
        <v>45924</v>
      </c>
      <c r="G481" s="149">
        <f t="shared" si="77"/>
        <v>45937</v>
      </c>
      <c r="H481" s="149">
        <f t="shared" si="78"/>
        <v>45951</v>
      </c>
      <c r="I481" s="149" t="str">
        <f t="shared" si="72"/>
        <v>Sep</v>
      </c>
      <c r="J481" s="216" t="str">
        <f t="shared" ca="1" si="73"/>
        <v/>
      </c>
      <c r="K481" s="149" t="s">
        <v>7</v>
      </c>
      <c r="L481" s="149"/>
      <c r="M481" s="11">
        <v>45936</v>
      </c>
      <c r="N481" s="152">
        <f t="shared" si="74"/>
        <v>9</v>
      </c>
      <c r="O481" s="12" t="str">
        <f t="shared" si="75"/>
        <v>Yes</v>
      </c>
      <c r="P481" s="158"/>
      <c r="Q481" s="157"/>
      <c r="R481" s="11" t="s">
        <v>39</v>
      </c>
      <c r="S481" s="158"/>
      <c r="T481" s="5" t="s">
        <v>40</v>
      </c>
      <c r="U481" s="6"/>
      <c r="V481" s="5"/>
      <c r="W481" s="5" t="s">
        <v>46</v>
      </c>
      <c r="X481" s="6"/>
      <c r="BB481" s="7" t="str">
        <v>Quarter 2</v>
      </c>
    </row>
    <row r="482" spans="1:54" ht="31.4" customHeight="1" x14ac:dyDescent="0.35">
      <c r="A482" s="210">
        <v>481</v>
      </c>
      <c r="B482" s="5" t="s">
        <v>6</v>
      </c>
      <c r="C482" s="5" t="s">
        <v>6</v>
      </c>
      <c r="D482" s="5" t="s">
        <v>678</v>
      </c>
      <c r="E482" s="149">
        <v>45925</v>
      </c>
      <c r="F482" s="149">
        <f t="shared" si="76"/>
        <v>45926</v>
      </c>
      <c r="G482" s="149">
        <f t="shared" si="77"/>
        <v>45939</v>
      </c>
      <c r="H482" s="149">
        <f t="shared" si="78"/>
        <v>45953</v>
      </c>
      <c r="I482" s="149" t="str">
        <f t="shared" si="72"/>
        <v>Sep</v>
      </c>
      <c r="J482" s="216" t="str">
        <f t="shared" ca="1" si="73"/>
        <v/>
      </c>
      <c r="K482" s="149" t="s">
        <v>4</v>
      </c>
      <c r="L482" s="149"/>
      <c r="M482" s="11">
        <v>45938</v>
      </c>
      <c r="N482" s="152">
        <f t="shared" si="74"/>
        <v>9</v>
      </c>
      <c r="O482" s="12" t="str">
        <f t="shared" si="75"/>
        <v>Yes</v>
      </c>
      <c r="P482" s="158"/>
      <c r="Q482" s="157"/>
      <c r="R482" s="11" t="s">
        <v>39</v>
      </c>
      <c r="S482" s="158"/>
      <c r="T482" s="5" t="s">
        <v>40</v>
      </c>
      <c r="U482" s="6"/>
      <c r="V482" s="5" t="s">
        <v>54</v>
      </c>
      <c r="W482" s="5"/>
      <c r="X482" s="6"/>
      <c r="BB482" s="7" t="str">
        <v>Quarter 2</v>
      </c>
    </row>
    <row r="483" spans="1:54" ht="31.4" customHeight="1" x14ac:dyDescent="0.35">
      <c r="A483" s="210">
        <v>482</v>
      </c>
      <c r="B483" s="5" t="s">
        <v>68</v>
      </c>
      <c r="C483" s="5" t="s">
        <v>9</v>
      </c>
      <c r="D483" s="5" t="s">
        <v>679</v>
      </c>
      <c r="E483" s="149">
        <v>45925</v>
      </c>
      <c r="F483" s="149">
        <f t="shared" si="76"/>
        <v>45926</v>
      </c>
      <c r="G483" s="149">
        <f t="shared" si="77"/>
        <v>45939</v>
      </c>
      <c r="H483" s="149">
        <f t="shared" si="78"/>
        <v>45953</v>
      </c>
      <c r="I483" s="149" t="str">
        <f t="shared" si="72"/>
        <v>Sep</v>
      </c>
      <c r="J483" s="216" t="str">
        <f t="shared" ca="1" si="73"/>
        <v/>
      </c>
      <c r="K483" s="149" t="s">
        <v>43</v>
      </c>
      <c r="L483" s="149"/>
      <c r="M483" s="11">
        <v>45932</v>
      </c>
      <c r="N483" s="152">
        <f t="shared" si="74"/>
        <v>5</v>
      </c>
      <c r="O483" s="12" t="str">
        <f t="shared" si="75"/>
        <v>Yes</v>
      </c>
      <c r="P483" s="158"/>
      <c r="Q483" s="157"/>
      <c r="R483" s="11" t="s">
        <v>39</v>
      </c>
      <c r="S483" s="158"/>
      <c r="T483" s="5" t="s">
        <v>40</v>
      </c>
      <c r="U483" s="6"/>
      <c r="V483" s="5"/>
      <c r="W483" s="5"/>
      <c r="X483" s="6"/>
      <c r="BB483" s="7" t="str">
        <v>Quarter 2</v>
      </c>
    </row>
    <row r="484" spans="1:54" ht="31.4" customHeight="1" x14ac:dyDescent="0.35">
      <c r="A484" s="210">
        <v>483</v>
      </c>
      <c r="B484" s="5" t="s">
        <v>680</v>
      </c>
      <c r="C484" s="5" t="s">
        <v>9</v>
      </c>
      <c r="D484" s="5" t="s">
        <v>681</v>
      </c>
      <c r="E484" s="149">
        <v>45926</v>
      </c>
      <c r="F484" s="149">
        <f t="shared" si="76"/>
        <v>45929</v>
      </c>
      <c r="G484" s="149">
        <f t="shared" si="77"/>
        <v>45940</v>
      </c>
      <c r="H484" s="149">
        <f t="shared" si="78"/>
        <v>45954</v>
      </c>
      <c r="I484" s="149" t="str">
        <f t="shared" si="72"/>
        <v>Sep</v>
      </c>
      <c r="J484" s="216" t="str">
        <f t="shared" ca="1" si="73"/>
        <v/>
      </c>
      <c r="K484" s="149" t="s">
        <v>4</v>
      </c>
      <c r="L484" s="149"/>
      <c r="M484" s="11">
        <v>45937</v>
      </c>
      <c r="N484" s="152">
        <f t="shared" si="74"/>
        <v>7</v>
      </c>
      <c r="O484" s="12" t="str">
        <f t="shared" si="75"/>
        <v>Yes</v>
      </c>
      <c r="P484" s="158"/>
      <c r="Q484" s="157"/>
      <c r="R484" s="11" t="s">
        <v>39</v>
      </c>
      <c r="S484" s="158"/>
      <c r="T484" s="5" t="s">
        <v>40</v>
      </c>
      <c r="U484" s="6"/>
      <c r="V484" s="5"/>
      <c r="W484" s="5" t="s">
        <v>46</v>
      </c>
      <c r="X484" s="6"/>
      <c r="BB484" s="7" t="str">
        <v>Quarter 2</v>
      </c>
    </row>
    <row r="485" spans="1:54" ht="31.4" customHeight="1" x14ac:dyDescent="0.35">
      <c r="A485" s="210">
        <v>484</v>
      </c>
      <c r="B485" s="5" t="s">
        <v>588</v>
      </c>
      <c r="C485" s="5" t="s">
        <v>9</v>
      </c>
      <c r="D485" s="5" t="s">
        <v>682</v>
      </c>
      <c r="E485" s="149">
        <v>45926</v>
      </c>
      <c r="F485" s="149">
        <f t="shared" si="76"/>
        <v>45929</v>
      </c>
      <c r="G485" s="149">
        <f t="shared" si="77"/>
        <v>45940</v>
      </c>
      <c r="H485" s="149">
        <f t="shared" si="78"/>
        <v>45954</v>
      </c>
      <c r="I485" s="149" t="str">
        <f t="shared" si="72"/>
        <v>Sep</v>
      </c>
      <c r="J485" s="216" t="str">
        <f t="shared" ca="1" si="73"/>
        <v/>
      </c>
      <c r="K485" s="149" t="s">
        <v>3</v>
      </c>
      <c r="L485" s="22"/>
      <c r="M485" s="11">
        <v>45929</v>
      </c>
      <c r="N485" s="152">
        <f t="shared" si="74"/>
        <v>1</v>
      </c>
      <c r="O485" s="12" t="str">
        <f t="shared" si="75"/>
        <v>Yes</v>
      </c>
      <c r="P485" s="158"/>
      <c r="Q485" s="157"/>
      <c r="R485" s="11" t="s">
        <v>39</v>
      </c>
      <c r="S485" s="158"/>
      <c r="T485" s="5" t="s">
        <v>40</v>
      </c>
      <c r="U485" s="6"/>
      <c r="V485" s="5"/>
      <c r="W485" s="5"/>
      <c r="X485" s="6"/>
      <c r="BB485" s="7" t="str">
        <v>Quarter 2</v>
      </c>
    </row>
    <row r="486" spans="1:54" ht="31.4" customHeight="1" x14ac:dyDescent="0.35">
      <c r="A486" s="210">
        <v>485</v>
      </c>
      <c r="B486" s="5" t="s">
        <v>6</v>
      </c>
      <c r="C486" s="5" t="s">
        <v>6</v>
      </c>
      <c r="D486" s="5" t="s">
        <v>683</v>
      </c>
      <c r="E486" s="149">
        <v>45925</v>
      </c>
      <c r="F486" s="149">
        <f t="shared" si="76"/>
        <v>45926</v>
      </c>
      <c r="G486" s="149">
        <f t="shared" si="77"/>
        <v>45939</v>
      </c>
      <c r="H486" s="149">
        <f t="shared" si="78"/>
        <v>45953</v>
      </c>
      <c r="I486" s="149" t="str">
        <f t="shared" si="72"/>
        <v>Sep</v>
      </c>
      <c r="J486" s="216" t="str">
        <f t="shared" ca="1" si="73"/>
        <v/>
      </c>
      <c r="K486" s="149" t="s">
        <v>4</v>
      </c>
      <c r="L486" s="149"/>
      <c r="M486" s="11">
        <v>45937</v>
      </c>
      <c r="N486" s="152">
        <f t="shared" si="74"/>
        <v>8</v>
      </c>
      <c r="O486" s="12" t="str">
        <f t="shared" si="75"/>
        <v>Yes</v>
      </c>
      <c r="P486" s="158"/>
      <c r="Q486" s="157"/>
      <c r="R486" s="11" t="s">
        <v>39</v>
      </c>
      <c r="S486" s="158"/>
      <c r="T486" s="5" t="s">
        <v>40</v>
      </c>
      <c r="U486" s="6"/>
      <c r="V486" s="5"/>
      <c r="W486" s="5"/>
      <c r="X486" s="6"/>
      <c r="BB486" s="7" t="str">
        <v>Quarter 2</v>
      </c>
    </row>
    <row r="487" spans="1:54" ht="31.4" customHeight="1" x14ac:dyDescent="0.35">
      <c r="A487" s="210">
        <v>486</v>
      </c>
      <c r="B487" s="5" t="s">
        <v>68</v>
      </c>
      <c r="C487" s="5" t="s">
        <v>9</v>
      </c>
      <c r="D487" s="5" t="s">
        <v>684</v>
      </c>
      <c r="E487" s="149">
        <v>45926</v>
      </c>
      <c r="F487" s="149">
        <f t="shared" si="76"/>
        <v>45929</v>
      </c>
      <c r="G487" s="149">
        <f t="shared" si="77"/>
        <v>45940</v>
      </c>
      <c r="H487" s="149">
        <f t="shared" si="78"/>
        <v>45954</v>
      </c>
      <c r="I487" s="149" t="str">
        <f t="shared" si="72"/>
        <v>Sep</v>
      </c>
      <c r="J487" s="216" t="str">
        <f t="shared" ca="1" si="73"/>
        <v/>
      </c>
      <c r="K487" s="149" t="s">
        <v>4</v>
      </c>
      <c r="L487" s="149"/>
      <c r="M487" s="11">
        <v>45950</v>
      </c>
      <c r="N487" s="152">
        <f t="shared" si="74"/>
        <v>16</v>
      </c>
      <c r="O487" s="12" t="str">
        <f t="shared" si="75"/>
        <v>Yes</v>
      </c>
      <c r="P487" s="158"/>
      <c r="Q487" s="157"/>
      <c r="R487" s="11" t="s">
        <v>39</v>
      </c>
      <c r="S487" s="158"/>
      <c r="T487" s="5" t="s">
        <v>40</v>
      </c>
      <c r="U487" s="6"/>
      <c r="V487" s="5" t="s">
        <v>54</v>
      </c>
      <c r="W487" s="5" t="s">
        <v>46</v>
      </c>
      <c r="X487" s="6"/>
      <c r="BB487" s="7" t="str">
        <v>Quarter 2</v>
      </c>
    </row>
    <row r="488" spans="1:54" ht="31.4" customHeight="1" x14ac:dyDescent="0.35">
      <c r="A488" s="210">
        <v>487</v>
      </c>
      <c r="B488" s="5" t="s">
        <v>6</v>
      </c>
      <c r="C488" s="5" t="s">
        <v>6</v>
      </c>
      <c r="D488" s="5" t="s">
        <v>685</v>
      </c>
      <c r="E488" s="149">
        <v>45929</v>
      </c>
      <c r="F488" s="149">
        <f t="shared" si="76"/>
        <v>45930</v>
      </c>
      <c r="G488" s="149">
        <f t="shared" si="77"/>
        <v>45943</v>
      </c>
      <c r="H488" s="149">
        <f t="shared" si="78"/>
        <v>45957</v>
      </c>
      <c r="I488" s="149" t="str">
        <f t="shared" si="72"/>
        <v>Sep</v>
      </c>
      <c r="J488" s="216" t="str">
        <f t="shared" ca="1" si="73"/>
        <v/>
      </c>
      <c r="K488" s="149" t="s">
        <v>4</v>
      </c>
      <c r="L488" s="149"/>
      <c r="M488" s="11">
        <v>45944</v>
      </c>
      <c r="N488" s="152">
        <f t="shared" si="74"/>
        <v>11</v>
      </c>
      <c r="O488" s="12" t="str">
        <f t="shared" si="75"/>
        <v>Yes</v>
      </c>
      <c r="P488" s="158"/>
      <c r="Q488" s="157"/>
      <c r="R488" s="11" t="s">
        <v>39</v>
      </c>
      <c r="S488" s="158"/>
      <c r="T488" s="5" t="s">
        <v>40</v>
      </c>
      <c r="U488" s="6"/>
      <c r="V488" s="5" t="s">
        <v>87</v>
      </c>
      <c r="W488" s="5"/>
      <c r="X488" s="6"/>
      <c r="BB488" s="7" t="str">
        <v>Quarter 2</v>
      </c>
    </row>
    <row r="489" spans="1:54" ht="31.4" customHeight="1" x14ac:dyDescent="0.35">
      <c r="A489" s="210">
        <v>488</v>
      </c>
      <c r="B489" s="5" t="s">
        <v>6</v>
      </c>
      <c r="C489" s="5" t="s">
        <v>6</v>
      </c>
      <c r="D489" s="5" t="s">
        <v>686</v>
      </c>
      <c r="E489" s="149">
        <v>45929</v>
      </c>
      <c r="F489" s="149">
        <f t="shared" si="76"/>
        <v>45930</v>
      </c>
      <c r="G489" s="149">
        <f t="shared" si="77"/>
        <v>45943</v>
      </c>
      <c r="H489" s="149">
        <f t="shared" si="78"/>
        <v>45957</v>
      </c>
      <c r="I489" s="149" t="str">
        <f t="shared" si="72"/>
        <v>Sep</v>
      </c>
      <c r="J489" s="216" t="str">
        <f t="shared" ca="1" si="73"/>
        <v/>
      </c>
      <c r="K489" s="149" t="s">
        <v>4</v>
      </c>
      <c r="L489" s="149"/>
      <c r="M489" s="11">
        <v>45929</v>
      </c>
      <c r="N489" s="152">
        <f t="shared" si="74"/>
        <v>0</v>
      </c>
      <c r="O489" s="12" t="str">
        <f t="shared" si="75"/>
        <v>Yes</v>
      </c>
      <c r="P489" s="158"/>
      <c r="Q489" s="157"/>
      <c r="R489" s="11" t="s">
        <v>39</v>
      </c>
      <c r="S489" s="158"/>
      <c r="T489" s="5" t="s">
        <v>51</v>
      </c>
      <c r="U489" s="6"/>
      <c r="V489" s="5" t="s">
        <v>54</v>
      </c>
      <c r="W489" s="5"/>
      <c r="X489" s="6"/>
      <c r="BB489" s="7" t="str">
        <v>Quarter 2</v>
      </c>
    </row>
    <row r="490" spans="1:54" ht="31.4" customHeight="1" x14ac:dyDescent="0.35">
      <c r="A490" s="210">
        <v>489</v>
      </c>
      <c r="B490" s="5" t="s">
        <v>687</v>
      </c>
      <c r="C490" s="5" t="s">
        <v>9</v>
      </c>
      <c r="D490" s="5" t="s">
        <v>688</v>
      </c>
      <c r="E490" s="149">
        <v>45929</v>
      </c>
      <c r="F490" s="149">
        <f t="shared" si="76"/>
        <v>45930</v>
      </c>
      <c r="G490" s="149">
        <f t="shared" si="77"/>
        <v>45943</v>
      </c>
      <c r="H490" s="149">
        <f t="shared" si="78"/>
        <v>45957</v>
      </c>
      <c r="I490" s="149" t="str">
        <f t="shared" si="72"/>
        <v>Sep</v>
      </c>
      <c r="J490" s="216" t="str">
        <f t="shared" ca="1" si="73"/>
        <v/>
      </c>
      <c r="K490" s="149" t="s">
        <v>4</v>
      </c>
      <c r="L490" s="149"/>
      <c r="M490" s="11">
        <v>45936</v>
      </c>
      <c r="N490" s="152">
        <f t="shared" si="74"/>
        <v>5</v>
      </c>
      <c r="O490" s="12" t="str">
        <f t="shared" si="75"/>
        <v>Yes</v>
      </c>
      <c r="P490" s="158"/>
      <c r="Q490" s="157"/>
      <c r="R490" s="11" t="s">
        <v>39</v>
      </c>
      <c r="S490" s="158"/>
      <c r="T490" s="5" t="s">
        <v>51</v>
      </c>
      <c r="U490" s="6"/>
      <c r="V490" s="5" t="s">
        <v>53</v>
      </c>
      <c r="W490" s="5"/>
      <c r="X490" s="6"/>
      <c r="BB490" s="7" t="str">
        <v>Quarter 2</v>
      </c>
    </row>
    <row r="491" spans="1:54" ht="31.4" customHeight="1" x14ac:dyDescent="0.35">
      <c r="A491" s="210">
        <v>490</v>
      </c>
      <c r="B491" s="5" t="s">
        <v>6</v>
      </c>
      <c r="C491" s="5" t="s">
        <v>6</v>
      </c>
      <c r="D491" s="5" t="s">
        <v>639</v>
      </c>
      <c r="E491" s="149">
        <v>45929</v>
      </c>
      <c r="F491" s="149">
        <f t="shared" si="76"/>
        <v>45930</v>
      </c>
      <c r="G491" s="149">
        <f t="shared" si="77"/>
        <v>45943</v>
      </c>
      <c r="H491" s="149">
        <f t="shared" si="78"/>
        <v>45957</v>
      </c>
      <c r="I491" s="149" t="str">
        <f t="shared" si="72"/>
        <v>Sep</v>
      </c>
      <c r="J491" s="216" t="str">
        <f t="shared" ca="1" si="73"/>
        <v/>
      </c>
      <c r="K491" s="149" t="s">
        <v>4</v>
      </c>
      <c r="L491" s="149"/>
      <c r="M491" s="11">
        <v>45929</v>
      </c>
      <c r="N491" s="152">
        <f t="shared" si="74"/>
        <v>0</v>
      </c>
      <c r="O491" s="12" t="str">
        <f t="shared" si="75"/>
        <v>Yes</v>
      </c>
      <c r="P491" s="158"/>
      <c r="Q491" s="157"/>
      <c r="R491" s="11" t="s">
        <v>39</v>
      </c>
      <c r="S491" s="158"/>
      <c r="T491" s="5" t="s">
        <v>40</v>
      </c>
      <c r="U491" s="6"/>
      <c r="V491" s="5" t="s">
        <v>54</v>
      </c>
      <c r="W491" s="5"/>
      <c r="X491" s="6"/>
      <c r="BB491" s="7" t="str">
        <v>Quarter 2</v>
      </c>
    </row>
    <row r="492" spans="1:54" ht="31.4" customHeight="1" x14ac:dyDescent="0.35">
      <c r="A492" s="210">
        <v>491</v>
      </c>
      <c r="B492" s="5" t="s">
        <v>6</v>
      </c>
      <c r="C492" s="5" t="s">
        <v>6</v>
      </c>
      <c r="D492" s="5" t="s">
        <v>689</v>
      </c>
      <c r="E492" s="149">
        <v>45929</v>
      </c>
      <c r="F492" s="149">
        <f t="shared" si="76"/>
        <v>45930</v>
      </c>
      <c r="G492" s="149">
        <f t="shared" si="77"/>
        <v>45943</v>
      </c>
      <c r="H492" s="149">
        <f t="shared" si="78"/>
        <v>45957</v>
      </c>
      <c r="I492" s="149" t="str">
        <f t="shared" si="72"/>
        <v>Sep</v>
      </c>
      <c r="J492" s="216" t="str">
        <f t="shared" ca="1" si="73"/>
        <v/>
      </c>
      <c r="K492" s="149" t="s">
        <v>4</v>
      </c>
      <c r="L492" s="149"/>
      <c r="M492" s="11">
        <v>45931</v>
      </c>
      <c r="N492" s="152">
        <f t="shared" si="74"/>
        <v>2</v>
      </c>
      <c r="O492" s="12" t="str">
        <f t="shared" si="75"/>
        <v>Yes</v>
      </c>
      <c r="P492" s="158"/>
      <c r="Q492" s="157"/>
      <c r="R492" s="11" t="s">
        <v>39</v>
      </c>
      <c r="S492" s="158"/>
      <c r="T492" s="5" t="s">
        <v>40</v>
      </c>
      <c r="U492" s="6"/>
      <c r="V492" s="5" t="s">
        <v>87</v>
      </c>
      <c r="W492" s="5"/>
      <c r="X492" s="6"/>
      <c r="BB492" s="7" t="str">
        <v>Quarter 2</v>
      </c>
    </row>
    <row r="493" spans="1:54" ht="31.4" customHeight="1" x14ac:dyDescent="0.35">
      <c r="A493" s="210">
        <v>492</v>
      </c>
      <c r="B493" s="5" t="s">
        <v>690</v>
      </c>
      <c r="C493" s="5" t="s">
        <v>12</v>
      </c>
      <c r="D493" s="5" t="s">
        <v>691</v>
      </c>
      <c r="E493" s="149">
        <v>45930</v>
      </c>
      <c r="F493" s="149">
        <f t="shared" si="76"/>
        <v>45931</v>
      </c>
      <c r="G493" s="149">
        <f t="shared" si="77"/>
        <v>45944</v>
      </c>
      <c r="H493" s="149">
        <f t="shared" si="78"/>
        <v>45958</v>
      </c>
      <c r="I493" s="149" t="str">
        <f t="shared" si="72"/>
        <v>Sep</v>
      </c>
      <c r="J493" s="216" t="str">
        <f t="shared" ca="1" si="73"/>
        <v/>
      </c>
      <c r="K493" s="149" t="s">
        <v>3</v>
      </c>
      <c r="L493" s="149"/>
      <c r="M493" s="11">
        <v>45951</v>
      </c>
      <c r="N493" s="152">
        <f t="shared" si="74"/>
        <v>15</v>
      </c>
      <c r="O493" s="12" t="str">
        <f t="shared" si="75"/>
        <v>Yes</v>
      </c>
      <c r="P493" s="158"/>
      <c r="Q493" s="157"/>
      <c r="R493" s="11" t="s">
        <v>39</v>
      </c>
      <c r="S493" s="158"/>
      <c r="T493" s="5" t="s">
        <v>40</v>
      </c>
      <c r="U493" s="6"/>
      <c r="V493" s="5"/>
      <c r="W493" s="5"/>
      <c r="X493" s="6"/>
      <c r="BB493" s="7" t="str">
        <v>Quarter 2</v>
      </c>
    </row>
    <row r="494" spans="1:54" ht="31.4" customHeight="1" x14ac:dyDescent="0.35">
      <c r="A494" s="210">
        <v>493</v>
      </c>
      <c r="B494" s="5" t="s">
        <v>55</v>
      </c>
      <c r="C494" s="5" t="s">
        <v>13</v>
      </c>
      <c r="D494" s="5" t="s">
        <v>692</v>
      </c>
      <c r="E494" s="149">
        <v>45930</v>
      </c>
      <c r="F494" s="149">
        <f t="shared" si="76"/>
        <v>45931</v>
      </c>
      <c r="G494" s="149">
        <f t="shared" si="77"/>
        <v>45944</v>
      </c>
      <c r="H494" s="149">
        <f t="shared" si="78"/>
        <v>45958</v>
      </c>
      <c r="I494" s="149" t="str">
        <f t="shared" si="72"/>
        <v>Sep</v>
      </c>
      <c r="J494" s="216" t="str">
        <f t="shared" ca="1" si="73"/>
        <v/>
      </c>
      <c r="K494" s="149" t="s">
        <v>7</v>
      </c>
      <c r="L494" s="149"/>
      <c r="M494" s="11">
        <v>45945</v>
      </c>
      <c r="N494" s="152">
        <f t="shared" si="74"/>
        <v>11</v>
      </c>
      <c r="O494" s="12" t="str">
        <f t="shared" si="75"/>
        <v>Yes</v>
      </c>
      <c r="P494" s="158"/>
      <c r="Q494" s="157"/>
      <c r="R494" s="11" t="s">
        <v>39</v>
      </c>
      <c r="S494" s="158"/>
      <c r="T494" s="5" t="s">
        <v>40</v>
      </c>
      <c r="U494" s="6"/>
      <c r="V494" s="5"/>
      <c r="W494" s="5"/>
      <c r="X494" s="6"/>
      <c r="BB494" s="7" t="str">
        <v>Quarter 2</v>
      </c>
    </row>
    <row r="495" spans="1:54" ht="31.4" customHeight="1" x14ac:dyDescent="0.35">
      <c r="A495" s="210">
        <v>494</v>
      </c>
      <c r="B495" s="5" t="s">
        <v>55</v>
      </c>
      <c r="C495" s="5" t="s">
        <v>13</v>
      </c>
      <c r="D495" s="5" t="s">
        <v>693</v>
      </c>
      <c r="E495" s="149">
        <v>45930</v>
      </c>
      <c r="F495" s="149">
        <f t="shared" si="76"/>
        <v>45931</v>
      </c>
      <c r="G495" s="149">
        <f t="shared" si="77"/>
        <v>45944</v>
      </c>
      <c r="H495" s="149">
        <f t="shared" si="78"/>
        <v>45958</v>
      </c>
      <c r="I495" s="149" t="str">
        <f t="shared" si="72"/>
        <v>Sep</v>
      </c>
      <c r="J495" s="216" t="str">
        <f t="shared" ca="1" si="73"/>
        <v/>
      </c>
      <c r="K495" s="149" t="s">
        <v>43</v>
      </c>
      <c r="L495" s="149"/>
      <c r="M495" s="11">
        <v>45933</v>
      </c>
      <c r="N495" s="152">
        <f t="shared" si="74"/>
        <v>3</v>
      </c>
      <c r="O495" s="12" t="str">
        <f t="shared" si="75"/>
        <v>Yes</v>
      </c>
      <c r="P495" s="158"/>
      <c r="Q495" s="157"/>
      <c r="R495" s="11" t="s">
        <v>39</v>
      </c>
      <c r="S495" s="158"/>
      <c r="T495" s="5" t="s">
        <v>40</v>
      </c>
      <c r="U495" s="6"/>
      <c r="V495" s="5"/>
      <c r="W495" s="5"/>
      <c r="X495" s="6"/>
      <c r="BB495" s="7" t="str">
        <v>Quarter 2</v>
      </c>
    </row>
    <row r="496" spans="1:54" ht="31.4" customHeight="1" x14ac:dyDescent="0.35">
      <c r="A496" s="210">
        <v>495</v>
      </c>
      <c r="B496" s="5" t="s">
        <v>6</v>
      </c>
      <c r="C496" s="5" t="s">
        <v>6</v>
      </c>
      <c r="D496" s="5" t="s">
        <v>694</v>
      </c>
      <c r="E496" s="149">
        <v>45930</v>
      </c>
      <c r="F496" s="149">
        <f t="shared" si="76"/>
        <v>45931</v>
      </c>
      <c r="G496" s="149">
        <f t="shared" si="77"/>
        <v>45944</v>
      </c>
      <c r="H496" s="149">
        <f t="shared" si="78"/>
        <v>45958</v>
      </c>
      <c r="I496" s="149" t="str">
        <f t="shared" ref="I496:I559" si="79">IF(ISBLANK($E496),"",TEXT($E496,"mmm"))</f>
        <v>Sep</v>
      </c>
      <c r="J496" s="216" t="str">
        <f t="shared" ca="1" si="73"/>
        <v/>
      </c>
      <c r="K496" s="149" t="s">
        <v>4</v>
      </c>
      <c r="L496" s="149"/>
      <c r="M496" s="11">
        <v>45930</v>
      </c>
      <c r="N496" s="152">
        <f t="shared" si="74"/>
        <v>0</v>
      </c>
      <c r="O496" s="12" t="str">
        <f t="shared" si="75"/>
        <v>Yes</v>
      </c>
      <c r="P496" s="158"/>
      <c r="Q496" s="157"/>
      <c r="R496" s="11" t="s">
        <v>39</v>
      </c>
      <c r="S496" s="158"/>
      <c r="T496" s="5" t="s">
        <v>40</v>
      </c>
      <c r="U496" s="6"/>
      <c r="V496" s="5"/>
      <c r="W496" s="5"/>
      <c r="X496" s="6"/>
      <c r="BB496" s="7" t="str">
        <v>Quarter 2</v>
      </c>
    </row>
    <row r="497" spans="1:54" ht="31.4" customHeight="1" x14ac:dyDescent="0.35">
      <c r="A497" s="210">
        <v>496</v>
      </c>
      <c r="B497" s="5" t="s">
        <v>48</v>
      </c>
      <c r="C497" s="5" t="s">
        <v>9</v>
      </c>
      <c r="D497" s="5" t="s">
        <v>695</v>
      </c>
      <c r="E497" s="149">
        <v>45931</v>
      </c>
      <c r="F497" s="149">
        <f t="shared" si="76"/>
        <v>45932</v>
      </c>
      <c r="G497" s="149">
        <f t="shared" si="77"/>
        <v>45945</v>
      </c>
      <c r="H497" s="149">
        <f t="shared" si="78"/>
        <v>45959</v>
      </c>
      <c r="I497" s="149" t="str">
        <f t="shared" si="79"/>
        <v>Oct</v>
      </c>
      <c r="J497" s="216" t="str">
        <f t="shared" ca="1" si="73"/>
        <v/>
      </c>
      <c r="K497" s="149" t="s">
        <v>4</v>
      </c>
      <c r="L497" s="149"/>
      <c r="M497" s="11">
        <v>45931</v>
      </c>
      <c r="N497" s="152">
        <f t="shared" si="74"/>
        <v>0</v>
      </c>
      <c r="O497" s="12" t="str">
        <f t="shared" si="75"/>
        <v>Yes</v>
      </c>
      <c r="P497" s="158"/>
      <c r="Q497" s="157"/>
      <c r="R497" s="11" t="s">
        <v>39</v>
      </c>
      <c r="S497" s="158"/>
      <c r="T497" s="5" t="s">
        <v>51</v>
      </c>
      <c r="U497" s="6"/>
      <c r="V497" s="5" t="s">
        <v>53</v>
      </c>
      <c r="W497" s="5"/>
      <c r="X497" s="6"/>
      <c r="BB497" s="7" t="str">
        <v>Quarter 3</v>
      </c>
    </row>
    <row r="498" spans="1:54" ht="31.4" customHeight="1" x14ac:dyDescent="0.35">
      <c r="A498" s="210">
        <v>497</v>
      </c>
      <c r="B498" s="5" t="s">
        <v>491</v>
      </c>
      <c r="C498" s="5" t="s">
        <v>9</v>
      </c>
      <c r="D498" s="5" t="s">
        <v>492</v>
      </c>
      <c r="E498" s="149">
        <v>45931</v>
      </c>
      <c r="F498" s="149">
        <f t="shared" si="76"/>
        <v>45932</v>
      </c>
      <c r="G498" s="149">
        <f t="shared" si="77"/>
        <v>45945</v>
      </c>
      <c r="H498" s="149">
        <f t="shared" si="78"/>
        <v>45959</v>
      </c>
      <c r="I498" s="149" t="str">
        <f t="shared" si="79"/>
        <v>Oct</v>
      </c>
      <c r="J498" s="216" t="str">
        <f t="shared" ca="1" si="73"/>
        <v/>
      </c>
      <c r="K498" s="149" t="s">
        <v>7</v>
      </c>
      <c r="L498" s="149"/>
      <c r="M498" s="11">
        <v>45945</v>
      </c>
      <c r="N498" s="152">
        <f t="shared" si="74"/>
        <v>10</v>
      </c>
      <c r="O498" s="12" t="str">
        <f t="shared" si="75"/>
        <v>Yes</v>
      </c>
      <c r="P498" s="158"/>
      <c r="Q498" s="157"/>
      <c r="R498" s="11" t="s">
        <v>39</v>
      </c>
      <c r="S498" s="158"/>
      <c r="T498" s="5" t="s">
        <v>40</v>
      </c>
      <c r="U498" s="6"/>
      <c r="V498" s="5"/>
      <c r="W498" s="5" t="s">
        <v>46</v>
      </c>
      <c r="X498" s="6"/>
      <c r="BB498" s="7" t="str">
        <v>Quarter 3</v>
      </c>
    </row>
    <row r="499" spans="1:54" ht="31.4" customHeight="1" x14ac:dyDescent="0.35">
      <c r="A499" s="210">
        <v>498</v>
      </c>
      <c r="B499" s="5" t="s">
        <v>6</v>
      </c>
      <c r="C499" s="5" t="s">
        <v>6</v>
      </c>
      <c r="D499" s="5" t="s">
        <v>696</v>
      </c>
      <c r="E499" s="149">
        <v>45930</v>
      </c>
      <c r="F499" s="149">
        <f t="shared" si="76"/>
        <v>45931</v>
      </c>
      <c r="G499" s="149">
        <f t="shared" si="77"/>
        <v>45944</v>
      </c>
      <c r="H499" s="149">
        <f t="shared" si="78"/>
        <v>45958</v>
      </c>
      <c r="I499" s="149" t="str">
        <f t="shared" si="79"/>
        <v>Sep</v>
      </c>
      <c r="J499" s="216" t="str">
        <f t="shared" ca="1" si="73"/>
        <v/>
      </c>
      <c r="K499" s="149" t="s">
        <v>43</v>
      </c>
      <c r="L499" s="149"/>
      <c r="M499" s="11">
        <v>45931</v>
      </c>
      <c r="N499" s="152">
        <f t="shared" si="74"/>
        <v>1</v>
      </c>
      <c r="O499" s="12" t="str">
        <f t="shared" si="75"/>
        <v>Yes</v>
      </c>
      <c r="P499" s="158"/>
      <c r="Q499" s="157"/>
      <c r="R499" s="11" t="s">
        <v>39</v>
      </c>
      <c r="S499" s="158"/>
      <c r="T499" s="5" t="s">
        <v>45</v>
      </c>
      <c r="U499" s="6"/>
      <c r="V499" s="5" t="s">
        <v>87</v>
      </c>
      <c r="W499" s="5"/>
      <c r="X499" s="6"/>
      <c r="BB499" s="7" t="str">
        <v>Quarter 2</v>
      </c>
    </row>
    <row r="500" spans="1:54" ht="31.4" customHeight="1" x14ac:dyDescent="0.35">
      <c r="A500" s="210">
        <v>499</v>
      </c>
      <c r="B500" s="5" t="s">
        <v>55</v>
      </c>
      <c r="C500" s="5" t="s">
        <v>13</v>
      </c>
      <c r="D500" s="5" t="s">
        <v>697</v>
      </c>
      <c r="E500" s="149">
        <v>45931</v>
      </c>
      <c r="F500" s="149">
        <f t="shared" si="76"/>
        <v>45932</v>
      </c>
      <c r="G500" s="149">
        <f t="shared" si="77"/>
        <v>45945</v>
      </c>
      <c r="H500" s="149">
        <f t="shared" si="78"/>
        <v>45959</v>
      </c>
      <c r="I500" s="149" t="str">
        <f t="shared" si="79"/>
        <v>Oct</v>
      </c>
      <c r="J500" s="216" t="str">
        <f t="shared" ca="1" si="73"/>
        <v/>
      </c>
      <c r="K500" s="149" t="s">
        <v>43</v>
      </c>
      <c r="L500" s="149"/>
      <c r="M500" s="11">
        <v>45933</v>
      </c>
      <c r="N500" s="152">
        <f t="shared" si="74"/>
        <v>2</v>
      </c>
      <c r="O500" s="12" t="str">
        <f t="shared" si="75"/>
        <v>Yes</v>
      </c>
      <c r="P500" s="158"/>
      <c r="Q500" s="157"/>
      <c r="R500" s="11" t="s">
        <v>39</v>
      </c>
      <c r="S500" s="158"/>
      <c r="T500" s="5" t="s">
        <v>40</v>
      </c>
      <c r="U500" s="6"/>
      <c r="V500" s="5"/>
      <c r="W500" s="5"/>
      <c r="X500" s="6"/>
      <c r="BB500" s="7" t="str">
        <v>Quarter 3</v>
      </c>
    </row>
    <row r="501" spans="1:54" ht="31.4" customHeight="1" x14ac:dyDescent="0.35">
      <c r="A501" s="210">
        <v>500</v>
      </c>
      <c r="B501" s="5" t="s">
        <v>6</v>
      </c>
      <c r="C501" s="5" t="s">
        <v>6</v>
      </c>
      <c r="D501" s="5" t="s">
        <v>698</v>
      </c>
      <c r="E501" s="149">
        <v>45931</v>
      </c>
      <c r="F501" s="149">
        <f t="shared" si="76"/>
        <v>45932</v>
      </c>
      <c r="G501" s="149">
        <f t="shared" si="77"/>
        <v>45945</v>
      </c>
      <c r="H501" s="149">
        <f t="shared" si="78"/>
        <v>45959</v>
      </c>
      <c r="I501" s="149" t="str">
        <f t="shared" si="79"/>
        <v>Oct</v>
      </c>
      <c r="J501" s="216" t="str">
        <f t="shared" ca="1" si="73"/>
        <v/>
      </c>
      <c r="K501" s="149" t="s">
        <v>7</v>
      </c>
      <c r="L501" s="149"/>
      <c r="M501" s="11">
        <v>45945</v>
      </c>
      <c r="N501" s="152">
        <f t="shared" si="74"/>
        <v>10</v>
      </c>
      <c r="O501" s="12" t="str">
        <f t="shared" si="75"/>
        <v>Yes</v>
      </c>
      <c r="P501" s="158"/>
      <c r="Q501" s="157"/>
      <c r="R501" s="11" t="s">
        <v>39</v>
      </c>
      <c r="S501" s="158"/>
      <c r="T501" s="5" t="s">
        <v>40</v>
      </c>
      <c r="U501" s="6"/>
      <c r="V501" s="5"/>
      <c r="W501" s="5"/>
      <c r="X501" s="6"/>
      <c r="BB501" s="7" t="str">
        <v>Quarter 3</v>
      </c>
    </row>
    <row r="502" spans="1:54" ht="31.4" customHeight="1" x14ac:dyDescent="0.35">
      <c r="A502" s="210">
        <v>501</v>
      </c>
      <c r="B502" s="5" t="s">
        <v>55</v>
      </c>
      <c r="C502" s="5" t="s">
        <v>13</v>
      </c>
      <c r="D502" s="5" t="s">
        <v>1864</v>
      </c>
      <c r="E502" s="149">
        <v>45931</v>
      </c>
      <c r="F502" s="149">
        <f t="shared" si="76"/>
        <v>45932</v>
      </c>
      <c r="G502" s="149">
        <f t="shared" si="77"/>
        <v>45945</v>
      </c>
      <c r="H502" s="149">
        <f t="shared" si="78"/>
        <v>45959</v>
      </c>
      <c r="I502" s="149" t="str">
        <f t="shared" si="79"/>
        <v>Oct</v>
      </c>
      <c r="J502" s="216" t="str">
        <f t="shared" ca="1" si="73"/>
        <v/>
      </c>
      <c r="K502" s="149" t="s">
        <v>7</v>
      </c>
      <c r="L502" s="149"/>
      <c r="M502" s="11">
        <v>45944</v>
      </c>
      <c r="N502" s="152">
        <f t="shared" si="74"/>
        <v>9</v>
      </c>
      <c r="O502" s="12" t="str">
        <f t="shared" si="75"/>
        <v>Yes</v>
      </c>
      <c r="P502" s="158"/>
      <c r="Q502" s="157"/>
      <c r="R502" s="11" t="s">
        <v>39</v>
      </c>
      <c r="S502" s="158"/>
      <c r="T502" s="5" t="s">
        <v>40</v>
      </c>
      <c r="U502" s="6"/>
      <c r="V502" s="5"/>
      <c r="W502" s="5"/>
      <c r="X502" s="6"/>
      <c r="BB502" s="7" t="str">
        <v>Quarter 3</v>
      </c>
    </row>
    <row r="503" spans="1:54" ht="31.4" customHeight="1" x14ac:dyDescent="0.35">
      <c r="A503" s="210">
        <v>502</v>
      </c>
      <c r="B503" s="5" t="s">
        <v>6</v>
      </c>
      <c r="C503" s="5" t="s">
        <v>6</v>
      </c>
      <c r="D503" s="5" t="s">
        <v>699</v>
      </c>
      <c r="E503" s="149">
        <v>45931</v>
      </c>
      <c r="F503" s="149">
        <f t="shared" si="76"/>
        <v>45932</v>
      </c>
      <c r="G503" s="149">
        <f t="shared" si="77"/>
        <v>45945</v>
      </c>
      <c r="H503" s="149">
        <f t="shared" si="78"/>
        <v>45959</v>
      </c>
      <c r="I503" s="149" t="str">
        <f t="shared" si="79"/>
        <v>Oct</v>
      </c>
      <c r="J503" s="216" t="str">
        <f t="shared" ca="1" si="73"/>
        <v/>
      </c>
      <c r="K503" s="149" t="s">
        <v>43</v>
      </c>
      <c r="L503" s="149"/>
      <c r="M503" s="11">
        <v>45932</v>
      </c>
      <c r="N503" s="152">
        <f t="shared" si="74"/>
        <v>1</v>
      </c>
      <c r="O503" s="12" t="str">
        <f t="shared" si="75"/>
        <v>Yes</v>
      </c>
      <c r="P503" s="158"/>
      <c r="Q503" s="157"/>
      <c r="R503" s="11" t="s">
        <v>39</v>
      </c>
      <c r="S503" s="158"/>
      <c r="T503" s="5" t="s">
        <v>40</v>
      </c>
      <c r="U503" s="6"/>
      <c r="V503" s="5" t="s">
        <v>54</v>
      </c>
      <c r="W503" s="5"/>
      <c r="X503" s="6"/>
      <c r="BB503" s="7" t="str">
        <v>Quarter 3</v>
      </c>
    </row>
    <row r="504" spans="1:54" ht="31.4" customHeight="1" x14ac:dyDescent="0.35">
      <c r="A504" s="210">
        <v>503</v>
      </c>
      <c r="B504" s="5" t="s">
        <v>6</v>
      </c>
      <c r="C504" s="5" t="s">
        <v>6</v>
      </c>
      <c r="D504" s="5" t="s">
        <v>700</v>
      </c>
      <c r="E504" s="149">
        <v>45931</v>
      </c>
      <c r="F504" s="149">
        <f t="shared" si="76"/>
        <v>45932</v>
      </c>
      <c r="G504" s="149">
        <f t="shared" si="77"/>
        <v>45945</v>
      </c>
      <c r="H504" s="149">
        <f t="shared" si="78"/>
        <v>45959</v>
      </c>
      <c r="I504" s="149" t="str">
        <f t="shared" si="79"/>
        <v>Oct</v>
      </c>
      <c r="J504" s="216" t="str">
        <f t="shared" ca="1" si="73"/>
        <v/>
      </c>
      <c r="K504" s="149" t="s">
        <v>4</v>
      </c>
      <c r="L504" s="149"/>
      <c r="M504" s="11">
        <v>45939</v>
      </c>
      <c r="N504" s="152">
        <f t="shared" si="74"/>
        <v>6</v>
      </c>
      <c r="O504" s="12" t="str">
        <f t="shared" si="75"/>
        <v>Yes</v>
      </c>
      <c r="P504" s="158"/>
      <c r="Q504" s="157"/>
      <c r="R504" s="11" t="s">
        <v>39</v>
      </c>
      <c r="S504" s="158"/>
      <c r="T504" s="5" t="s">
        <v>40</v>
      </c>
      <c r="U504" s="6"/>
      <c r="V504" s="5"/>
      <c r="W504" s="5"/>
      <c r="X504" s="6"/>
      <c r="BB504" s="7" t="str">
        <v>Quarter 3</v>
      </c>
    </row>
    <row r="505" spans="1:54" ht="31.4" customHeight="1" x14ac:dyDescent="0.35">
      <c r="A505" s="210">
        <v>504</v>
      </c>
      <c r="B505" s="5" t="s">
        <v>237</v>
      </c>
      <c r="C505" s="5" t="s">
        <v>14</v>
      </c>
      <c r="D505" s="5" t="s">
        <v>701</v>
      </c>
      <c r="E505" s="149">
        <v>45931</v>
      </c>
      <c r="F505" s="149">
        <f t="shared" si="76"/>
        <v>45932</v>
      </c>
      <c r="G505" s="149">
        <f t="shared" si="77"/>
        <v>45945</v>
      </c>
      <c r="H505" s="149">
        <f t="shared" si="78"/>
        <v>45959</v>
      </c>
      <c r="I505" s="149" t="str">
        <f t="shared" si="79"/>
        <v>Oct</v>
      </c>
      <c r="J505" s="216" t="str">
        <f t="shared" ca="1" si="73"/>
        <v/>
      </c>
      <c r="K505" s="149" t="s">
        <v>43</v>
      </c>
      <c r="L505" s="149"/>
      <c r="M505" s="11">
        <v>45933</v>
      </c>
      <c r="N505" s="152">
        <f t="shared" si="74"/>
        <v>2</v>
      </c>
      <c r="O505" s="12" t="str">
        <f t="shared" si="75"/>
        <v>Yes</v>
      </c>
      <c r="P505" s="158"/>
      <c r="Q505" s="157"/>
      <c r="R505" s="11" t="s">
        <v>39</v>
      </c>
      <c r="S505" s="158"/>
      <c r="T505" s="5" t="s">
        <v>40</v>
      </c>
      <c r="U505" s="6"/>
      <c r="V505" s="5"/>
      <c r="W505" s="5"/>
      <c r="X505" s="6"/>
      <c r="BB505" s="7" t="str">
        <v>Quarter 3</v>
      </c>
    </row>
    <row r="506" spans="1:54" ht="31.4" customHeight="1" x14ac:dyDescent="0.35">
      <c r="A506" s="210">
        <v>505</v>
      </c>
      <c r="B506" s="5" t="s">
        <v>55</v>
      </c>
      <c r="C506" s="5" t="s">
        <v>13</v>
      </c>
      <c r="D506" s="5" t="s">
        <v>639</v>
      </c>
      <c r="E506" s="149">
        <v>45932</v>
      </c>
      <c r="F506" s="149">
        <f t="shared" si="76"/>
        <v>45933</v>
      </c>
      <c r="G506" s="149">
        <f t="shared" si="77"/>
        <v>45946</v>
      </c>
      <c r="H506" s="149">
        <f t="shared" si="78"/>
        <v>45960</v>
      </c>
      <c r="I506" s="149" t="str">
        <f t="shared" si="79"/>
        <v>Oct</v>
      </c>
      <c r="J506" s="216" t="str">
        <f t="shared" ca="1" si="73"/>
        <v/>
      </c>
      <c r="K506" s="149" t="s">
        <v>4</v>
      </c>
      <c r="L506" s="149"/>
      <c r="M506" s="11">
        <v>45932</v>
      </c>
      <c r="N506" s="152">
        <f t="shared" si="74"/>
        <v>0</v>
      </c>
      <c r="O506" s="12" t="str">
        <f t="shared" si="75"/>
        <v>Yes</v>
      </c>
      <c r="P506" s="158"/>
      <c r="Q506" s="157"/>
      <c r="R506" s="11" t="s">
        <v>39</v>
      </c>
      <c r="S506" s="158"/>
      <c r="T506" s="5" t="s">
        <v>40</v>
      </c>
      <c r="U506" s="6"/>
      <c r="V506" s="5" t="s">
        <v>54</v>
      </c>
      <c r="W506" s="5"/>
      <c r="X506" s="6"/>
      <c r="BB506" s="7" t="str">
        <v>Quarter 3</v>
      </c>
    </row>
    <row r="507" spans="1:54" ht="31.4" customHeight="1" x14ac:dyDescent="0.35">
      <c r="A507" s="210">
        <v>506</v>
      </c>
      <c r="B507" s="5" t="s">
        <v>702</v>
      </c>
      <c r="C507" s="5" t="s">
        <v>9</v>
      </c>
      <c r="D507" s="5" t="s">
        <v>703</v>
      </c>
      <c r="E507" s="149">
        <v>45932</v>
      </c>
      <c r="F507" s="149">
        <f t="shared" si="76"/>
        <v>45933</v>
      </c>
      <c r="G507" s="149">
        <f t="shared" si="77"/>
        <v>45946</v>
      </c>
      <c r="H507" s="149">
        <f t="shared" si="78"/>
        <v>45960</v>
      </c>
      <c r="I507" s="149" t="str">
        <f t="shared" si="79"/>
        <v>Oct</v>
      </c>
      <c r="J507" s="216" t="str">
        <f t="shared" ca="1" si="73"/>
        <v/>
      </c>
      <c r="K507" s="149" t="s">
        <v>43</v>
      </c>
      <c r="L507" s="149"/>
      <c r="M507" s="11">
        <v>45938</v>
      </c>
      <c r="N507" s="152">
        <f t="shared" si="74"/>
        <v>4</v>
      </c>
      <c r="O507" s="12" t="str">
        <f t="shared" si="75"/>
        <v>Yes</v>
      </c>
      <c r="P507" s="158"/>
      <c r="Q507" s="157"/>
      <c r="R507" s="11" t="s">
        <v>39</v>
      </c>
      <c r="S507" s="158"/>
      <c r="T507" s="5" t="s">
        <v>40</v>
      </c>
      <c r="U507" s="6"/>
      <c r="V507" s="5" t="s">
        <v>54</v>
      </c>
      <c r="W507" s="5"/>
      <c r="X507" s="6"/>
      <c r="BB507" s="7" t="str">
        <v>Quarter 3</v>
      </c>
    </row>
    <row r="508" spans="1:54" ht="31.4" customHeight="1" x14ac:dyDescent="0.35">
      <c r="A508" s="210">
        <v>507</v>
      </c>
      <c r="B508" s="5" t="s">
        <v>55</v>
      </c>
      <c r="C508" s="5" t="s">
        <v>13</v>
      </c>
      <c r="D508" s="5" t="s">
        <v>704</v>
      </c>
      <c r="E508" s="149">
        <v>45932</v>
      </c>
      <c r="F508" s="149">
        <f t="shared" si="76"/>
        <v>45933</v>
      </c>
      <c r="G508" s="149">
        <f t="shared" si="77"/>
        <v>45946</v>
      </c>
      <c r="H508" s="149">
        <f t="shared" si="78"/>
        <v>45960</v>
      </c>
      <c r="I508" s="149" t="str">
        <f t="shared" si="79"/>
        <v>Oct</v>
      </c>
      <c r="J508" s="216" t="str">
        <f t="shared" ca="1" si="73"/>
        <v/>
      </c>
      <c r="K508" s="149" t="s">
        <v>4</v>
      </c>
      <c r="L508" s="149"/>
      <c r="M508" s="11">
        <v>45951</v>
      </c>
      <c r="N508" s="152">
        <f t="shared" si="74"/>
        <v>13</v>
      </c>
      <c r="O508" s="12" t="str">
        <f t="shared" si="75"/>
        <v>Yes</v>
      </c>
      <c r="P508" s="158"/>
      <c r="Q508" s="157"/>
      <c r="R508" s="11" t="s">
        <v>39</v>
      </c>
      <c r="S508" s="158"/>
      <c r="T508" s="5" t="s">
        <v>40</v>
      </c>
      <c r="U508" s="6"/>
      <c r="V508" s="5" t="s">
        <v>54</v>
      </c>
      <c r="W508" s="5" t="s">
        <v>46</v>
      </c>
      <c r="X508" s="6"/>
      <c r="BB508" s="7" t="str">
        <v>Quarter 3</v>
      </c>
    </row>
    <row r="509" spans="1:54" ht="31.4" customHeight="1" x14ac:dyDescent="0.35">
      <c r="A509" s="210">
        <v>508</v>
      </c>
      <c r="B509" s="5" t="s">
        <v>705</v>
      </c>
      <c r="C509" s="5" t="s">
        <v>9</v>
      </c>
      <c r="D509" s="5" t="s">
        <v>706</v>
      </c>
      <c r="E509" s="149">
        <v>45932</v>
      </c>
      <c r="F509" s="149">
        <f t="shared" si="76"/>
        <v>45933</v>
      </c>
      <c r="G509" s="149">
        <f t="shared" si="77"/>
        <v>45946</v>
      </c>
      <c r="H509" s="149">
        <f t="shared" si="78"/>
        <v>45960</v>
      </c>
      <c r="I509" s="149" t="str">
        <f t="shared" si="79"/>
        <v>Oct</v>
      </c>
      <c r="J509" s="216" t="str">
        <f t="shared" ca="1" si="73"/>
        <v/>
      </c>
      <c r="K509" s="149" t="s">
        <v>4</v>
      </c>
      <c r="L509" s="149"/>
      <c r="M509" s="11">
        <v>45951</v>
      </c>
      <c r="N509" s="152">
        <f t="shared" si="74"/>
        <v>13</v>
      </c>
      <c r="O509" s="12" t="str">
        <f t="shared" si="75"/>
        <v>Yes</v>
      </c>
      <c r="P509" s="158"/>
      <c r="Q509" s="157"/>
      <c r="R509" s="11" t="s">
        <v>39</v>
      </c>
      <c r="S509" s="158"/>
      <c r="T509" s="5" t="s">
        <v>40</v>
      </c>
      <c r="U509" s="6"/>
      <c r="V509" s="5"/>
      <c r="W509" s="5"/>
      <c r="X509" s="6"/>
      <c r="BB509" s="7" t="str">
        <v>Quarter 3</v>
      </c>
    </row>
    <row r="510" spans="1:54" ht="31.4" customHeight="1" x14ac:dyDescent="0.35">
      <c r="A510" s="210">
        <v>509</v>
      </c>
      <c r="B510" s="5" t="s">
        <v>6</v>
      </c>
      <c r="C510" s="5" t="s">
        <v>6</v>
      </c>
      <c r="D510" s="5" t="s">
        <v>707</v>
      </c>
      <c r="E510" s="149">
        <v>45932</v>
      </c>
      <c r="F510" s="149">
        <f t="shared" si="76"/>
        <v>45933</v>
      </c>
      <c r="G510" s="149">
        <f t="shared" si="77"/>
        <v>45946</v>
      </c>
      <c r="H510" s="149">
        <f t="shared" si="78"/>
        <v>45960</v>
      </c>
      <c r="I510" s="149" t="str">
        <f t="shared" si="79"/>
        <v>Oct</v>
      </c>
      <c r="J510" s="216" t="str">
        <f t="shared" ca="1" si="73"/>
        <v/>
      </c>
      <c r="K510" s="149" t="s">
        <v>7</v>
      </c>
      <c r="L510" s="149"/>
      <c r="M510" s="11">
        <v>45957</v>
      </c>
      <c r="N510" s="152">
        <f t="shared" si="74"/>
        <v>17</v>
      </c>
      <c r="O510" s="12" t="str">
        <f t="shared" si="75"/>
        <v>Yes</v>
      </c>
      <c r="P510" s="158"/>
      <c r="Q510" s="157"/>
      <c r="R510" s="11" t="s">
        <v>39</v>
      </c>
      <c r="S510" s="158"/>
      <c r="T510" s="5" t="s">
        <v>40</v>
      </c>
      <c r="U510" s="6"/>
      <c r="V510" s="5"/>
      <c r="W510" s="5"/>
      <c r="X510" s="6"/>
      <c r="BB510" s="7" t="str">
        <v>Quarter 3</v>
      </c>
    </row>
    <row r="511" spans="1:54" ht="31.4" customHeight="1" x14ac:dyDescent="0.35">
      <c r="A511" s="210">
        <v>510</v>
      </c>
      <c r="B511" s="5" t="s">
        <v>633</v>
      </c>
      <c r="C511" s="5" t="s">
        <v>16</v>
      </c>
      <c r="D511" s="5" t="s">
        <v>708</v>
      </c>
      <c r="E511" s="149">
        <v>45932</v>
      </c>
      <c r="F511" s="149">
        <f t="shared" si="76"/>
        <v>45933</v>
      </c>
      <c r="G511" s="149">
        <f t="shared" si="77"/>
        <v>45946</v>
      </c>
      <c r="H511" s="149">
        <f t="shared" si="78"/>
        <v>45960</v>
      </c>
      <c r="I511" s="149" t="str">
        <f t="shared" si="79"/>
        <v>Oct</v>
      </c>
      <c r="J511" s="216" t="str">
        <f t="shared" ca="1" si="73"/>
        <v/>
      </c>
      <c r="K511" s="149" t="s">
        <v>43</v>
      </c>
      <c r="L511" s="149"/>
      <c r="M511" s="11">
        <v>45940</v>
      </c>
      <c r="N511" s="152">
        <f t="shared" si="74"/>
        <v>6</v>
      </c>
      <c r="O511" s="12" t="str">
        <f t="shared" si="75"/>
        <v>Yes</v>
      </c>
      <c r="P511" s="158"/>
      <c r="Q511" s="157"/>
      <c r="R511" s="11" t="s">
        <v>39</v>
      </c>
      <c r="S511" s="158"/>
      <c r="T511" s="5" t="s">
        <v>40</v>
      </c>
      <c r="U511" s="6"/>
      <c r="V511" s="5" t="s">
        <v>54</v>
      </c>
      <c r="W511" s="5" t="s">
        <v>46</v>
      </c>
      <c r="X511" s="6"/>
      <c r="BB511" s="7" t="str">
        <v>Quarter 3</v>
      </c>
    </row>
    <row r="512" spans="1:54" ht="31.4" customHeight="1" x14ac:dyDescent="0.35">
      <c r="A512" s="210">
        <v>511</v>
      </c>
      <c r="B512" s="5" t="s">
        <v>709</v>
      </c>
      <c r="C512" s="5" t="s">
        <v>9</v>
      </c>
      <c r="D512" s="5" t="s">
        <v>710</v>
      </c>
      <c r="E512" s="149">
        <v>45933</v>
      </c>
      <c r="F512" s="149">
        <f t="shared" si="76"/>
        <v>45936</v>
      </c>
      <c r="G512" s="149">
        <f t="shared" si="77"/>
        <v>45947</v>
      </c>
      <c r="H512" s="149">
        <f t="shared" si="78"/>
        <v>45961</v>
      </c>
      <c r="I512" s="149" t="str">
        <f t="shared" si="79"/>
        <v>Oct</v>
      </c>
      <c r="J512" s="216" t="str">
        <f t="shared" ca="1" si="73"/>
        <v/>
      </c>
      <c r="K512" s="149" t="s">
        <v>4</v>
      </c>
      <c r="L512" s="149"/>
      <c r="M512" s="11">
        <v>45936</v>
      </c>
      <c r="N512" s="152">
        <f t="shared" si="74"/>
        <v>1</v>
      </c>
      <c r="O512" s="12" t="str">
        <f t="shared" si="75"/>
        <v>Yes</v>
      </c>
      <c r="P512" s="158"/>
      <c r="Q512" s="157"/>
      <c r="R512" s="11" t="s">
        <v>39</v>
      </c>
      <c r="S512" s="158"/>
      <c r="T512" s="5" t="s">
        <v>51</v>
      </c>
      <c r="U512" s="6"/>
      <c r="V512" s="5" t="s">
        <v>87</v>
      </c>
      <c r="W512" s="5"/>
      <c r="X512" s="6"/>
      <c r="BB512" s="7" t="str">
        <v>Quarter 3</v>
      </c>
    </row>
    <row r="513" spans="1:54" ht="31.4" customHeight="1" x14ac:dyDescent="0.35">
      <c r="A513" s="210">
        <v>512</v>
      </c>
      <c r="B513" s="5" t="s">
        <v>711</v>
      </c>
      <c r="C513" s="5" t="s">
        <v>9</v>
      </c>
      <c r="D513" s="5" t="s">
        <v>712</v>
      </c>
      <c r="E513" s="149">
        <v>45933</v>
      </c>
      <c r="F513" s="149">
        <f t="shared" si="76"/>
        <v>45936</v>
      </c>
      <c r="G513" s="149">
        <f t="shared" si="77"/>
        <v>45947</v>
      </c>
      <c r="H513" s="149">
        <f t="shared" si="78"/>
        <v>45961</v>
      </c>
      <c r="I513" s="149" t="str">
        <f t="shared" si="79"/>
        <v>Oct</v>
      </c>
      <c r="J513" s="216" t="str">
        <f t="shared" ca="1" si="73"/>
        <v/>
      </c>
      <c r="K513" s="149" t="s">
        <v>43</v>
      </c>
      <c r="L513" s="149"/>
      <c r="M513" s="11">
        <v>45940</v>
      </c>
      <c r="N513" s="152">
        <f t="shared" si="74"/>
        <v>5</v>
      </c>
      <c r="O513" s="12" t="str">
        <f t="shared" si="75"/>
        <v>Yes</v>
      </c>
      <c r="P513" s="158"/>
      <c r="Q513" s="157"/>
      <c r="R513" s="11" t="s">
        <v>39</v>
      </c>
      <c r="S513" s="158"/>
      <c r="T513" s="5" t="s">
        <v>40</v>
      </c>
      <c r="U513" s="6"/>
      <c r="V513" s="5" t="s">
        <v>87</v>
      </c>
      <c r="W513" s="5" t="s">
        <v>46</v>
      </c>
      <c r="X513" s="6"/>
      <c r="BB513" s="7" t="str">
        <v>Quarter 3</v>
      </c>
    </row>
    <row r="514" spans="1:54" ht="31.4" customHeight="1" x14ac:dyDescent="0.35">
      <c r="A514" s="210">
        <v>513</v>
      </c>
      <c r="B514" s="5" t="s">
        <v>713</v>
      </c>
      <c r="C514" s="5" t="s">
        <v>5</v>
      </c>
      <c r="D514" s="5" t="s">
        <v>714</v>
      </c>
      <c r="E514" s="149">
        <v>45933</v>
      </c>
      <c r="F514" s="149">
        <f t="shared" si="76"/>
        <v>45936</v>
      </c>
      <c r="G514" s="149">
        <f t="shared" si="77"/>
        <v>45947</v>
      </c>
      <c r="H514" s="149">
        <f t="shared" si="78"/>
        <v>45961</v>
      </c>
      <c r="I514" s="149" t="str">
        <f t="shared" si="79"/>
        <v>Oct</v>
      </c>
      <c r="J514" s="216" t="str">
        <f t="shared" ref="J514:J577" ca="1" si="80">IF($E514="","",IF($M514="",$H514-TODAY(),""))</f>
        <v/>
      </c>
      <c r="K514" s="149" t="s">
        <v>43</v>
      </c>
      <c r="L514" s="149"/>
      <c r="M514" s="11">
        <v>45948</v>
      </c>
      <c r="N514" s="152">
        <f t="shared" ref="N514:N577" si="81">IF($M514="","",NETWORKDAYS($E514,$M514,$Z$33:$Z$47)-1)</f>
        <v>10</v>
      </c>
      <c r="O514" s="12" t="str">
        <f t="shared" si="75"/>
        <v>Yes</v>
      </c>
      <c r="P514" s="158"/>
      <c r="Q514" s="157"/>
      <c r="R514" s="11" t="s">
        <v>39</v>
      </c>
      <c r="S514" s="158"/>
      <c r="T514" s="5" t="s">
        <v>40</v>
      </c>
      <c r="U514" s="6"/>
      <c r="V514" s="5"/>
      <c r="W514" s="5"/>
      <c r="X514" s="6"/>
      <c r="BB514" s="7" t="str">
        <v>Quarter 3</v>
      </c>
    </row>
    <row r="515" spans="1:54" ht="31.4" customHeight="1" x14ac:dyDescent="0.35">
      <c r="A515" s="210">
        <v>514</v>
      </c>
      <c r="B515" s="5" t="s">
        <v>6</v>
      </c>
      <c r="C515" s="5" t="s">
        <v>6</v>
      </c>
      <c r="D515" s="5" t="s">
        <v>715</v>
      </c>
      <c r="E515" s="149">
        <v>45936</v>
      </c>
      <c r="F515" s="149">
        <f t="shared" si="76"/>
        <v>45937</v>
      </c>
      <c r="G515" s="149">
        <f t="shared" si="77"/>
        <v>45950</v>
      </c>
      <c r="H515" s="149">
        <f t="shared" si="78"/>
        <v>45964</v>
      </c>
      <c r="I515" s="149" t="str">
        <f t="shared" si="79"/>
        <v>Oct</v>
      </c>
      <c r="J515" s="216" t="str">
        <f t="shared" ca="1" si="80"/>
        <v/>
      </c>
      <c r="K515" s="149" t="s">
        <v>3</v>
      </c>
      <c r="L515" s="149"/>
      <c r="M515" s="11">
        <v>45947</v>
      </c>
      <c r="N515" s="152">
        <f t="shared" si="81"/>
        <v>9</v>
      </c>
      <c r="O515" s="12" t="str">
        <f t="shared" ref="O515:O578" si="82">IF(ISBLANK($M515),"",IF($N515&lt;21,"Yes","No"))</f>
        <v>Yes</v>
      </c>
      <c r="P515" s="158"/>
      <c r="Q515" s="157"/>
      <c r="R515" s="11" t="s">
        <v>39</v>
      </c>
      <c r="S515" s="158"/>
      <c r="T515" s="5" t="s">
        <v>40</v>
      </c>
      <c r="U515" s="6"/>
      <c r="V515" s="5"/>
      <c r="W515" s="5"/>
      <c r="X515" s="6"/>
      <c r="BB515" s="7" t="str">
        <v>Quarter 3</v>
      </c>
    </row>
    <row r="516" spans="1:54" ht="31.4" customHeight="1" x14ac:dyDescent="0.35">
      <c r="A516" s="210">
        <v>515</v>
      </c>
      <c r="B516" s="5" t="s">
        <v>716</v>
      </c>
      <c r="C516" s="5" t="s">
        <v>11</v>
      </c>
      <c r="D516" s="5" t="s">
        <v>1885</v>
      </c>
      <c r="E516" s="149">
        <v>45936</v>
      </c>
      <c r="F516" s="149">
        <f t="shared" si="76"/>
        <v>45937</v>
      </c>
      <c r="G516" s="149">
        <f t="shared" si="77"/>
        <v>45950</v>
      </c>
      <c r="H516" s="149">
        <f t="shared" si="78"/>
        <v>45964</v>
      </c>
      <c r="I516" s="149" t="str">
        <f t="shared" si="79"/>
        <v>Oct</v>
      </c>
      <c r="J516" s="216" t="str">
        <f t="shared" ca="1" si="80"/>
        <v/>
      </c>
      <c r="K516" s="149" t="s">
        <v>7</v>
      </c>
      <c r="L516" s="149"/>
      <c r="M516" s="11">
        <v>45964</v>
      </c>
      <c r="N516" s="152">
        <f t="shared" si="81"/>
        <v>20</v>
      </c>
      <c r="O516" s="12" t="str">
        <f t="shared" si="82"/>
        <v>Yes</v>
      </c>
      <c r="P516" s="158"/>
      <c r="Q516" s="157"/>
      <c r="R516" s="11" t="s">
        <v>39</v>
      </c>
      <c r="S516" s="158"/>
      <c r="T516" s="5" t="s">
        <v>40</v>
      </c>
      <c r="U516" s="6"/>
      <c r="V516" s="5"/>
      <c r="W516" s="5"/>
      <c r="X516" s="6"/>
      <c r="BB516" s="7" t="str">
        <v>Quarter 3</v>
      </c>
    </row>
    <row r="517" spans="1:54" ht="31.4" customHeight="1" x14ac:dyDescent="0.35">
      <c r="A517" s="210">
        <v>516</v>
      </c>
      <c r="B517" s="5" t="s">
        <v>717</v>
      </c>
      <c r="C517" s="5" t="s">
        <v>9</v>
      </c>
      <c r="D517" s="5" t="s">
        <v>718</v>
      </c>
      <c r="E517" s="149">
        <v>45936</v>
      </c>
      <c r="F517" s="149">
        <f t="shared" si="76"/>
        <v>45937</v>
      </c>
      <c r="G517" s="149">
        <f t="shared" si="77"/>
        <v>45950</v>
      </c>
      <c r="H517" s="149">
        <f t="shared" si="78"/>
        <v>45964</v>
      </c>
      <c r="I517" s="149" t="str">
        <f t="shared" si="79"/>
        <v>Oct</v>
      </c>
      <c r="J517" s="216" t="str">
        <f t="shared" ca="1" si="80"/>
        <v/>
      </c>
      <c r="K517" s="149" t="s">
        <v>4</v>
      </c>
      <c r="L517" s="149"/>
      <c r="M517" s="11">
        <v>45937</v>
      </c>
      <c r="N517" s="152">
        <f t="shared" si="81"/>
        <v>1</v>
      </c>
      <c r="O517" s="12" t="str">
        <f t="shared" si="82"/>
        <v>Yes</v>
      </c>
      <c r="P517" s="158"/>
      <c r="Q517" s="157"/>
      <c r="R517" s="11" t="s">
        <v>39</v>
      </c>
      <c r="S517" s="158"/>
      <c r="T517" s="5" t="s">
        <v>40</v>
      </c>
      <c r="U517" s="6"/>
      <c r="V517" s="5"/>
      <c r="W517" s="5"/>
      <c r="X517" s="6"/>
      <c r="BB517" s="7" t="str">
        <v>Quarter 3</v>
      </c>
    </row>
    <row r="518" spans="1:54" ht="31.4" customHeight="1" x14ac:dyDescent="0.35">
      <c r="A518" s="210">
        <v>517</v>
      </c>
      <c r="B518" s="8" t="s">
        <v>719</v>
      </c>
      <c r="C518" s="8" t="s">
        <v>9</v>
      </c>
      <c r="D518" s="8" t="s">
        <v>720</v>
      </c>
      <c r="E518" s="149">
        <v>45936</v>
      </c>
      <c r="F518" s="149">
        <f t="shared" si="76"/>
        <v>45937</v>
      </c>
      <c r="G518" s="149">
        <f t="shared" si="77"/>
        <v>45950</v>
      </c>
      <c r="H518" s="149">
        <f t="shared" si="78"/>
        <v>45964</v>
      </c>
      <c r="I518" s="149" t="str">
        <f t="shared" si="79"/>
        <v>Oct</v>
      </c>
      <c r="J518" s="216" t="str">
        <f t="shared" ca="1" si="80"/>
        <v/>
      </c>
      <c r="K518" s="149" t="s">
        <v>7</v>
      </c>
      <c r="L518" s="149"/>
      <c r="M518" s="11">
        <v>45939</v>
      </c>
      <c r="N518" s="152">
        <f t="shared" si="81"/>
        <v>3</v>
      </c>
      <c r="O518" s="12" t="str">
        <f t="shared" si="82"/>
        <v>Yes</v>
      </c>
      <c r="P518" s="158"/>
      <c r="Q518" s="157"/>
      <c r="R518" s="11" t="s">
        <v>39</v>
      </c>
      <c r="S518" s="158"/>
      <c r="T518" s="5" t="s">
        <v>40</v>
      </c>
      <c r="U518" s="6"/>
      <c r="V518" s="5"/>
      <c r="W518" s="5"/>
      <c r="X518" s="6"/>
      <c r="BB518" s="7" t="str">
        <v>Quarter 3</v>
      </c>
    </row>
    <row r="519" spans="1:54" ht="31.4" customHeight="1" x14ac:dyDescent="0.35">
      <c r="A519" s="210">
        <v>518</v>
      </c>
      <c r="B519" s="5" t="s">
        <v>6</v>
      </c>
      <c r="C519" s="5" t="s">
        <v>6</v>
      </c>
      <c r="D519" s="5" t="s">
        <v>721</v>
      </c>
      <c r="E519" s="149">
        <v>45937</v>
      </c>
      <c r="F519" s="149">
        <f t="shared" si="76"/>
        <v>45938</v>
      </c>
      <c r="G519" s="149">
        <f t="shared" si="77"/>
        <v>45951</v>
      </c>
      <c r="H519" s="149">
        <f t="shared" si="78"/>
        <v>45965</v>
      </c>
      <c r="I519" s="149" t="str">
        <f t="shared" si="79"/>
        <v>Oct</v>
      </c>
      <c r="J519" s="216" t="str">
        <f t="shared" ca="1" si="80"/>
        <v/>
      </c>
      <c r="K519" s="149" t="s">
        <v>3</v>
      </c>
      <c r="L519" s="149"/>
      <c r="M519" s="11">
        <v>45939</v>
      </c>
      <c r="N519" s="152">
        <f t="shared" si="81"/>
        <v>2</v>
      </c>
      <c r="O519" s="12" t="str">
        <f t="shared" si="82"/>
        <v>Yes</v>
      </c>
      <c r="P519" s="158"/>
      <c r="Q519" s="157"/>
      <c r="R519" s="11" t="s">
        <v>39</v>
      </c>
      <c r="S519" s="158"/>
      <c r="T519" s="5" t="s">
        <v>45</v>
      </c>
      <c r="U519" s="6"/>
      <c r="V519" s="5" t="s">
        <v>87</v>
      </c>
      <c r="W519" s="5" t="s">
        <v>722</v>
      </c>
      <c r="X519" s="6"/>
      <c r="BB519" s="7" t="str">
        <v>Quarter 3</v>
      </c>
    </row>
    <row r="520" spans="1:54" ht="31.4" customHeight="1" x14ac:dyDescent="0.35">
      <c r="A520" s="210">
        <v>519</v>
      </c>
      <c r="B520" s="5" t="s">
        <v>6</v>
      </c>
      <c r="C520" s="5" t="s">
        <v>6</v>
      </c>
      <c r="D520" s="5" t="s">
        <v>723</v>
      </c>
      <c r="E520" s="149">
        <v>45938</v>
      </c>
      <c r="F520" s="149">
        <f t="shared" si="76"/>
        <v>45939</v>
      </c>
      <c r="G520" s="149">
        <f t="shared" si="77"/>
        <v>45952</v>
      </c>
      <c r="H520" s="149">
        <f t="shared" si="78"/>
        <v>45966</v>
      </c>
      <c r="I520" s="149" t="str">
        <f t="shared" si="79"/>
        <v>Oct</v>
      </c>
      <c r="J520" s="216" t="str">
        <f t="shared" ca="1" si="80"/>
        <v/>
      </c>
      <c r="K520" s="149" t="s">
        <v>3</v>
      </c>
      <c r="L520" s="149"/>
      <c r="M520" s="11">
        <v>45939</v>
      </c>
      <c r="N520" s="152">
        <f t="shared" si="81"/>
        <v>1</v>
      </c>
      <c r="O520" s="12" t="str">
        <f t="shared" si="82"/>
        <v>Yes</v>
      </c>
      <c r="P520" s="158"/>
      <c r="Q520" s="157"/>
      <c r="R520" s="11" t="s">
        <v>39</v>
      </c>
      <c r="S520" s="158"/>
      <c r="T520" s="5" t="s">
        <v>40</v>
      </c>
      <c r="U520" s="6"/>
      <c r="V520" s="5"/>
      <c r="W520" s="5" t="s">
        <v>46</v>
      </c>
      <c r="X520" s="6"/>
      <c r="BB520" s="7" t="str">
        <v>Quarter 3</v>
      </c>
    </row>
    <row r="521" spans="1:54" ht="31.4" customHeight="1" x14ac:dyDescent="0.35">
      <c r="A521" s="210">
        <v>520</v>
      </c>
      <c r="B521" s="5" t="s">
        <v>55</v>
      </c>
      <c r="C521" s="5" t="s">
        <v>13</v>
      </c>
      <c r="D521" s="5" t="s">
        <v>560</v>
      </c>
      <c r="E521" s="149">
        <v>45938</v>
      </c>
      <c r="F521" s="149">
        <f t="shared" si="76"/>
        <v>45939</v>
      </c>
      <c r="G521" s="149">
        <f t="shared" si="77"/>
        <v>45952</v>
      </c>
      <c r="H521" s="149">
        <f t="shared" si="78"/>
        <v>45966</v>
      </c>
      <c r="I521" s="149" t="str">
        <f t="shared" si="79"/>
        <v>Oct</v>
      </c>
      <c r="J521" s="216" t="str">
        <f t="shared" ca="1" si="80"/>
        <v/>
      </c>
      <c r="K521" s="149" t="s">
        <v>43</v>
      </c>
      <c r="L521" s="149"/>
      <c r="M521" s="11">
        <v>45940</v>
      </c>
      <c r="N521" s="152">
        <f t="shared" si="81"/>
        <v>2</v>
      </c>
      <c r="O521" s="12" t="str">
        <f t="shared" si="82"/>
        <v>Yes</v>
      </c>
      <c r="P521" s="158"/>
      <c r="Q521" s="157"/>
      <c r="R521" s="11" t="s">
        <v>39</v>
      </c>
      <c r="S521" s="158"/>
      <c r="T521" s="5" t="s">
        <v>40</v>
      </c>
      <c r="U521" s="6"/>
      <c r="V521" s="5"/>
      <c r="W521" s="5" t="s">
        <v>46</v>
      </c>
      <c r="X521" s="6"/>
      <c r="BB521" s="7" t="str">
        <v>Quarter 3</v>
      </c>
    </row>
    <row r="522" spans="1:54" ht="31.4" customHeight="1" x14ac:dyDescent="0.35">
      <c r="A522" s="210">
        <v>521</v>
      </c>
      <c r="B522" s="5" t="s">
        <v>214</v>
      </c>
      <c r="C522" s="5" t="s">
        <v>5</v>
      </c>
      <c r="D522" s="5" t="s">
        <v>1883</v>
      </c>
      <c r="E522" s="149">
        <v>45938</v>
      </c>
      <c r="F522" s="149">
        <f t="shared" si="76"/>
        <v>45939</v>
      </c>
      <c r="G522" s="149">
        <f t="shared" si="77"/>
        <v>45952</v>
      </c>
      <c r="H522" s="149">
        <f t="shared" si="78"/>
        <v>45966</v>
      </c>
      <c r="I522" s="149" t="str">
        <f t="shared" si="79"/>
        <v>Oct</v>
      </c>
      <c r="J522" s="216" t="str">
        <f t="shared" ca="1" si="80"/>
        <v/>
      </c>
      <c r="K522" s="149" t="s">
        <v>7</v>
      </c>
      <c r="L522" s="149"/>
      <c r="M522" s="11">
        <v>45951</v>
      </c>
      <c r="N522" s="152">
        <f t="shared" si="81"/>
        <v>9</v>
      </c>
      <c r="O522" s="12" t="str">
        <f t="shared" si="82"/>
        <v>Yes</v>
      </c>
      <c r="P522" s="158"/>
      <c r="Q522" s="157"/>
      <c r="R522" s="11" t="s">
        <v>39</v>
      </c>
      <c r="S522" s="158"/>
      <c r="T522" s="5" t="s">
        <v>45</v>
      </c>
      <c r="U522" s="6"/>
      <c r="V522" s="5" t="s">
        <v>58</v>
      </c>
      <c r="W522" s="5"/>
      <c r="X522" s="6"/>
      <c r="BB522" s="7" t="str">
        <v>Quarter 3</v>
      </c>
    </row>
    <row r="523" spans="1:54" ht="31.4" customHeight="1" x14ac:dyDescent="0.35">
      <c r="A523" s="210">
        <v>522</v>
      </c>
      <c r="B523" s="5" t="s">
        <v>6</v>
      </c>
      <c r="C523" s="5" t="s">
        <v>6</v>
      </c>
      <c r="D523" s="5" t="s">
        <v>724</v>
      </c>
      <c r="E523" s="149">
        <v>45938</v>
      </c>
      <c r="F523" s="149">
        <f t="shared" si="76"/>
        <v>45939</v>
      </c>
      <c r="G523" s="149">
        <f t="shared" si="77"/>
        <v>45952</v>
      </c>
      <c r="H523" s="149">
        <f t="shared" si="78"/>
        <v>45966</v>
      </c>
      <c r="I523" s="149" t="str">
        <f t="shared" si="79"/>
        <v>Oct</v>
      </c>
      <c r="J523" s="216" t="str">
        <f t="shared" ca="1" si="80"/>
        <v/>
      </c>
      <c r="K523" s="149" t="s">
        <v>4</v>
      </c>
      <c r="L523" s="149"/>
      <c r="M523" s="11">
        <v>45939</v>
      </c>
      <c r="N523" s="152">
        <f t="shared" si="81"/>
        <v>1</v>
      </c>
      <c r="O523" s="12" t="str">
        <f t="shared" si="82"/>
        <v>Yes</v>
      </c>
      <c r="P523" s="158"/>
      <c r="Q523" s="157"/>
      <c r="R523" s="11" t="s">
        <v>39</v>
      </c>
      <c r="S523" s="158"/>
      <c r="T523" s="5" t="s">
        <v>40</v>
      </c>
      <c r="U523" s="6"/>
      <c r="V523" s="5"/>
      <c r="W523" s="5"/>
      <c r="X523" s="6"/>
      <c r="BB523" s="7" t="str">
        <v>Quarter 3</v>
      </c>
    </row>
    <row r="524" spans="1:54" ht="31.4" customHeight="1" x14ac:dyDescent="0.35">
      <c r="A524" s="210">
        <v>523</v>
      </c>
      <c r="B524" s="5" t="s">
        <v>475</v>
      </c>
      <c r="C524" s="5" t="s">
        <v>5</v>
      </c>
      <c r="D524" s="5" t="s">
        <v>725</v>
      </c>
      <c r="E524" s="149">
        <v>45938</v>
      </c>
      <c r="F524" s="149">
        <f t="shared" si="76"/>
        <v>45939</v>
      </c>
      <c r="G524" s="149">
        <f t="shared" si="77"/>
        <v>45952</v>
      </c>
      <c r="H524" s="149">
        <f t="shared" si="78"/>
        <v>45966</v>
      </c>
      <c r="I524" s="149" t="str">
        <f t="shared" si="79"/>
        <v>Oct</v>
      </c>
      <c r="J524" s="216" t="str">
        <f t="shared" ca="1" si="80"/>
        <v/>
      </c>
      <c r="K524" s="149" t="s">
        <v>43</v>
      </c>
      <c r="L524" s="149"/>
      <c r="M524" s="11">
        <v>45939</v>
      </c>
      <c r="N524" s="152">
        <f t="shared" si="81"/>
        <v>1</v>
      </c>
      <c r="O524" s="12" t="str">
        <f t="shared" si="82"/>
        <v>Yes</v>
      </c>
      <c r="P524" s="158"/>
      <c r="Q524" s="157"/>
      <c r="R524" s="11" t="s">
        <v>39</v>
      </c>
      <c r="S524" s="158"/>
      <c r="T524" s="5" t="s">
        <v>40</v>
      </c>
      <c r="U524" s="6"/>
      <c r="V524" s="5"/>
      <c r="W524" s="5"/>
      <c r="X524" s="6"/>
      <c r="BB524" s="7" t="str">
        <v>Quarter 3</v>
      </c>
    </row>
    <row r="525" spans="1:54" ht="31.4" customHeight="1" x14ac:dyDescent="0.35">
      <c r="A525" s="210">
        <v>524</v>
      </c>
      <c r="B525" s="5" t="s">
        <v>726</v>
      </c>
      <c r="C525" s="5" t="s">
        <v>9</v>
      </c>
      <c r="D525" s="5" t="s">
        <v>727</v>
      </c>
      <c r="E525" s="149">
        <v>45939</v>
      </c>
      <c r="F525" s="149">
        <f t="shared" ref="F525:F588" si="83">IF($E525="","",WORKDAY($E525,1,$Z$33:$Z$47))</f>
        <v>45940</v>
      </c>
      <c r="G525" s="149">
        <f t="shared" ref="G525:G588" si="84">IF($E525="","",WORKDAY($E525,10,$Z$33:$Z$47))</f>
        <v>45953</v>
      </c>
      <c r="H525" s="149">
        <f t="shared" ref="H525:H588" si="85">IF($E525="","",WORKDAY($E525,20,$Z$33:$Z$47))</f>
        <v>45967</v>
      </c>
      <c r="I525" s="149" t="str">
        <f t="shared" si="79"/>
        <v>Oct</v>
      </c>
      <c r="J525" s="216" t="str">
        <f t="shared" ca="1" si="80"/>
        <v/>
      </c>
      <c r="K525" s="149" t="s">
        <v>4</v>
      </c>
      <c r="L525" s="149"/>
      <c r="M525" s="11">
        <v>45951</v>
      </c>
      <c r="N525" s="152">
        <f t="shared" si="81"/>
        <v>8</v>
      </c>
      <c r="O525" s="12" t="str">
        <f t="shared" si="82"/>
        <v>Yes</v>
      </c>
      <c r="P525" s="158"/>
      <c r="Q525" s="157"/>
      <c r="R525" s="11" t="s">
        <v>39</v>
      </c>
      <c r="S525" s="158"/>
      <c r="T525" s="5" t="s">
        <v>40</v>
      </c>
      <c r="U525" s="6"/>
      <c r="V525" s="5"/>
      <c r="W525" s="5" t="s">
        <v>46</v>
      </c>
      <c r="X525" s="6"/>
      <c r="BB525" s="7" t="str">
        <v>Quarter 3</v>
      </c>
    </row>
    <row r="526" spans="1:54" ht="31.4" customHeight="1" x14ac:dyDescent="0.35">
      <c r="A526" s="210">
        <v>525</v>
      </c>
      <c r="B526" s="5" t="s">
        <v>6</v>
      </c>
      <c r="C526" s="5" t="s">
        <v>6</v>
      </c>
      <c r="D526" s="5" t="s">
        <v>672</v>
      </c>
      <c r="E526" s="149">
        <v>45939</v>
      </c>
      <c r="F526" s="149">
        <f t="shared" si="83"/>
        <v>45940</v>
      </c>
      <c r="G526" s="149">
        <f t="shared" si="84"/>
        <v>45953</v>
      </c>
      <c r="H526" s="149">
        <f t="shared" si="85"/>
        <v>45967</v>
      </c>
      <c r="I526" s="149" t="str">
        <f t="shared" si="79"/>
        <v>Oct</v>
      </c>
      <c r="J526" s="216" t="str">
        <f t="shared" ca="1" si="80"/>
        <v/>
      </c>
      <c r="K526" s="149" t="s">
        <v>43</v>
      </c>
      <c r="L526" s="149"/>
      <c r="M526" s="11">
        <v>45940</v>
      </c>
      <c r="N526" s="152">
        <f t="shared" si="81"/>
        <v>1</v>
      </c>
      <c r="O526" s="12" t="str">
        <f t="shared" si="82"/>
        <v>Yes</v>
      </c>
      <c r="P526" s="158"/>
      <c r="Q526" s="157"/>
      <c r="R526" s="11" t="s">
        <v>39</v>
      </c>
      <c r="S526" s="158"/>
      <c r="T526" s="5" t="s">
        <v>40</v>
      </c>
      <c r="U526" s="6"/>
      <c r="V526" s="5"/>
      <c r="W526" s="5" t="s">
        <v>46</v>
      </c>
      <c r="X526" s="6"/>
      <c r="BB526" s="7" t="str">
        <v>Quarter 3</v>
      </c>
    </row>
    <row r="527" spans="1:54" ht="31.4" customHeight="1" x14ac:dyDescent="0.35">
      <c r="A527" s="210">
        <v>526</v>
      </c>
      <c r="B527" s="5" t="s">
        <v>6</v>
      </c>
      <c r="C527" s="5" t="s">
        <v>6</v>
      </c>
      <c r="D527" s="5" t="s">
        <v>728</v>
      </c>
      <c r="E527" s="149">
        <v>45940</v>
      </c>
      <c r="F527" s="149">
        <f t="shared" si="83"/>
        <v>45943</v>
      </c>
      <c r="G527" s="149">
        <f t="shared" si="84"/>
        <v>45954</v>
      </c>
      <c r="H527" s="149">
        <f t="shared" si="85"/>
        <v>45968</v>
      </c>
      <c r="I527" s="149" t="str">
        <f t="shared" si="79"/>
        <v>Oct</v>
      </c>
      <c r="J527" s="216" t="str">
        <f t="shared" ca="1" si="80"/>
        <v/>
      </c>
      <c r="K527" s="149" t="s">
        <v>3</v>
      </c>
      <c r="L527" s="149"/>
      <c r="M527" s="11">
        <v>45945</v>
      </c>
      <c r="N527" s="152">
        <f t="shared" si="81"/>
        <v>3</v>
      </c>
      <c r="O527" s="12" t="str">
        <f t="shared" si="82"/>
        <v>Yes</v>
      </c>
      <c r="P527" s="158"/>
      <c r="Q527" s="157"/>
      <c r="R527" s="11" t="s">
        <v>39</v>
      </c>
      <c r="S527" s="158"/>
      <c r="T527" s="5" t="s">
        <v>40</v>
      </c>
      <c r="U527" s="6"/>
      <c r="V527" s="5"/>
      <c r="W527" s="5"/>
      <c r="X527" s="6"/>
      <c r="BB527" s="7" t="str">
        <v>Quarter 3</v>
      </c>
    </row>
    <row r="528" spans="1:54" ht="31.4" customHeight="1" x14ac:dyDescent="0.35">
      <c r="A528" s="210">
        <v>527</v>
      </c>
      <c r="B528" s="5" t="s">
        <v>6</v>
      </c>
      <c r="C528" s="5" t="s">
        <v>6</v>
      </c>
      <c r="D528" s="5" t="s">
        <v>729</v>
      </c>
      <c r="E528" s="149">
        <v>45943</v>
      </c>
      <c r="F528" s="149">
        <f t="shared" si="83"/>
        <v>45944</v>
      </c>
      <c r="G528" s="149">
        <f t="shared" si="84"/>
        <v>45957</v>
      </c>
      <c r="H528" s="149">
        <f t="shared" si="85"/>
        <v>45971</v>
      </c>
      <c r="I528" s="149" t="str">
        <f t="shared" si="79"/>
        <v>Oct</v>
      </c>
      <c r="J528" s="216" t="str">
        <f t="shared" ca="1" si="80"/>
        <v/>
      </c>
      <c r="K528" s="149" t="s">
        <v>7</v>
      </c>
      <c r="L528" s="149"/>
      <c r="M528" s="11">
        <v>45943</v>
      </c>
      <c r="N528" s="152">
        <f t="shared" si="81"/>
        <v>0</v>
      </c>
      <c r="O528" s="12" t="str">
        <f t="shared" si="82"/>
        <v>Yes</v>
      </c>
      <c r="P528" s="158"/>
      <c r="Q528" s="157"/>
      <c r="R528" s="11" t="s">
        <v>39</v>
      </c>
      <c r="S528" s="158"/>
      <c r="T528" s="5" t="s">
        <v>40</v>
      </c>
      <c r="U528" s="6"/>
      <c r="V528" s="5"/>
      <c r="W528" s="5"/>
      <c r="X528" s="6"/>
      <c r="BB528" s="7" t="str">
        <v>Quarter 3</v>
      </c>
    </row>
    <row r="529" spans="1:54" ht="31.4" customHeight="1" x14ac:dyDescent="0.35">
      <c r="A529" s="210">
        <v>528</v>
      </c>
      <c r="B529" s="5" t="s">
        <v>6</v>
      </c>
      <c r="C529" s="5" t="s">
        <v>6</v>
      </c>
      <c r="D529" s="5" t="s">
        <v>730</v>
      </c>
      <c r="E529" s="149">
        <v>45943</v>
      </c>
      <c r="F529" s="149">
        <f t="shared" si="83"/>
        <v>45944</v>
      </c>
      <c r="G529" s="149">
        <f t="shared" si="84"/>
        <v>45957</v>
      </c>
      <c r="H529" s="149">
        <f t="shared" si="85"/>
        <v>45971</v>
      </c>
      <c r="I529" s="149" t="str">
        <f t="shared" si="79"/>
        <v>Oct</v>
      </c>
      <c r="J529" s="216" t="str">
        <f t="shared" ca="1" si="80"/>
        <v/>
      </c>
      <c r="K529" s="149" t="s">
        <v>4</v>
      </c>
      <c r="L529" s="149"/>
      <c r="M529" s="11">
        <v>45952</v>
      </c>
      <c r="N529" s="152">
        <f t="shared" si="81"/>
        <v>7</v>
      </c>
      <c r="O529" s="12" t="str">
        <f t="shared" si="82"/>
        <v>Yes</v>
      </c>
      <c r="P529" s="158"/>
      <c r="Q529" s="157"/>
      <c r="R529" s="11" t="s">
        <v>39</v>
      </c>
      <c r="S529" s="158"/>
      <c r="T529" s="5" t="s">
        <v>40</v>
      </c>
      <c r="U529" s="6"/>
      <c r="V529" s="5" t="s">
        <v>87</v>
      </c>
      <c r="W529" s="5"/>
      <c r="X529" s="6"/>
      <c r="BB529" s="7" t="str">
        <v>Quarter 3</v>
      </c>
    </row>
    <row r="530" spans="1:54" ht="31.4" customHeight="1" x14ac:dyDescent="0.35">
      <c r="A530" s="210">
        <v>529</v>
      </c>
      <c r="B530" s="5" t="s">
        <v>731</v>
      </c>
      <c r="C530" s="5" t="s">
        <v>9</v>
      </c>
      <c r="D530" s="5" t="s">
        <v>732</v>
      </c>
      <c r="E530" s="149">
        <v>45943</v>
      </c>
      <c r="F530" s="149">
        <f t="shared" si="83"/>
        <v>45944</v>
      </c>
      <c r="G530" s="149">
        <f t="shared" si="84"/>
        <v>45957</v>
      </c>
      <c r="H530" s="149">
        <f t="shared" si="85"/>
        <v>45971</v>
      </c>
      <c r="I530" s="149" t="str">
        <f t="shared" si="79"/>
        <v>Oct</v>
      </c>
      <c r="J530" s="216" t="str">
        <f t="shared" ca="1" si="80"/>
        <v/>
      </c>
      <c r="K530" s="149" t="s">
        <v>4</v>
      </c>
      <c r="L530" s="149"/>
      <c r="M530" s="11">
        <v>45943</v>
      </c>
      <c r="N530" s="152">
        <f t="shared" si="81"/>
        <v>0</v>
      </c>
      <c r="O530" s="12" t="str">
        <f t="shared" si="82"/>
        <v>Yes</v>
      </c>
      <c r="P530" s="158"/>
      <c r="Q530" s="157"/>
      <c r="R530" s="11" t="s">
        <v>39</v>
      </c>
      <c r="S530" s="158"/>
      <c r="T530" s="5" t="s">
        <v>51</v>
      </c>
      <c r="U530" s="6"/>
      <c r="V530" s="5" t="s">
        <v>53</v>
      </c>
      <c r="W530" s="5" t="s">
        <v>733</v>
      </c>
      <c r="X530" s="6"/>
      <c r="BB530" s="7" t="str">
        <v>Quarter 3</v>
      </c>
    </row>
    <row r="531" spans="1:54" ht="31.4" customHeight="1" x14ac:dyDescent="0.35">
      <c r="A531" s="210">
        <v>530</v>
      </c>
      <c r="B531" s="5" t="s">
        <v>6</v>
      </c>
      <c r="C531" s="5" t="s">
        <v>6</v>
      </c>
      <c r="D531" s="5" t="s">
        <v>734</v>
      </c>
      <c r="E531" s="149">
        <v>45944</v>
      </c>
      <c r="F531" s="149">
        <f t="shared" si="83"/>
        <v>45945</v>
      </c>
      <c r="G531" s="149">
        <f t="shared" si="84"/>
        <v>45958</v>
      </c>
      <c r="H531" s="149">
        <f t="shared" si="85"/>
        <v>45972</v>
      </c>
      <c r="I531" s="149" t="str">
        <f t="shared" si="79"/>
        <v>Oct</v>
      </c>
      <c r="J531" s="216" t="str">
        <f t="shared" ca="1" si="80"/>
        <v/>
      </c>
      <c r="K531" s="149" t="s">
        <v>43</v>
      </c>
      <c r="L531" s="149"/>
      <c r="M531" s="11">
        <v>45953</v>
      </c>
      <c r="N531" s="152">
        <f t="shared" si="81"/>
        <v>7</v>
      </c>
      <c r="O531" s="12" t="str">
        <f t="shared" si="82"/>
        <v>Yes</v>
      </c>
      <c r="P531" s="158"/>
      <c r="Q531" s="157"/>
      <c r="R531" s="11" t="s">
        <v>39</v>
      </c>
      <c r="S531" s="158"/>
      <c r="T531" s="5" t="s">
        <v>45</v>
      </c>
      <c r="U531" s="6"/>
      <c r="V531" s="5" t="s">
        <v>53</v>
      </c>
      <c r="W531" s="5" t="s">
        <v>735</v>
      </c>
      <c r="X531" s="6"/>
      <c r="BB531" s="7" t="str">
        <v>Quarter 3</v>
      </c>
    </row>
    <row r="532" spans="1:54" ht="31.4" customHeight="1" x14ac:dyDescent="0.35">
      <c r="A532" s="210">
        <v>531</v>
      </c>
      <c r="B532" s="5" t="s">
        <v>736</v>
      </c>
      <c r="C532" s="5" t="s">
        <v>9</v>
      </c>
      <c r="D532" s="5" t="s">
        <v>737</v>
      </c>
      <c r="E532" s="149">
        <v>45944</v>
      </c>
      <c r="F532" s="149">
        <f t="shared" si="83"/>
        <v>45945</v>
      </c>
      <c r="G532" s="149">
        <f t="shared" si="84"/>
        <v>45958</v>
      </c>
      <c r="H532" s="149">
        <f t="shared" si="85"/>
        <v>45972</v>
      </c>
      <c r="I532" s="149" t="str">
        <f t="shared" si="79"/>
        <v>Oct</v>
      </c>
      <c r="J532" s="216" t="str">
        <f t="shared" ca="1" si="80"/>
        <v/>
      </c>
      <c r="K532" s="149" t="s">
        <v>7</v>
      </c>
      <c r="L532" s="149"/>
      <c r="M532" s="11">
        <v>45947</v>
      </c>
      <c r="N532" s="152">
        <f t="shared" si="81"/>
        <v>3</v>
      </c>
      <c r="O532" s="12" t="str">
        <f t="shared" si="82"/>
        <v>Yes</v>
      </c>
      <c r="P532" s="158"/>
      <c r="Q532" s="157"/>
      <c r="R532" s="11" t="s">
        <v>39</v>
      </c>
      <c r="S532" s="158"/>
      <c r="T532" s="5" t="s">
        <v>40</v>
      </c>
      <c r="U532" s="6"/>
      <c r="V532" s="5"/>
      <c r="W532" s="5"/>
      <c r="X532" s="6"/>
      <c r="BB532" s="7" t="str">
        <v>Quarter 3</v>
      </c>
    </row>
    <row r="533" spans="1:54" ht="31.4" customHeight="1" x14ac:dyDescent="0.35">
      <c r="A533" s="210">
        <v>532</v>
      </c>
      <c r="B533" s="5" t="s">
        <v>520</v>
      </c>
      <c r="C533" s="5" t="s">
        <v>5</v>
      </c>
      <c r="D533" s="5" t="s">
        <v>692</v>
      </c>
      <c r="E533" s="149">
        <v>45945</v>
      </c>
      <c r="F533" s="149">
        <f t="shared" si="83"/>
        <v>45946</v>
      </c>
      <c r="G533" s="149">
        <f t="shared" si="84"/>
        <v>45959</v>
      </c>
      <c r="H533" s="149">
        <f t="shared" si="85"/>
        <v>45973</v>
      </c>
      <c r="I533" s="149" t="str">
        <f t="shared" si="79"/>
        <v>Oct</v>
      </c>
      <c r="J533" s="216" t="str">
        <f t="shared" ca="1" si="80"/>
        <v/>
      </c>
      <c r="K533" s="149" t="s">
        <v>7</v>
      </c>
      <c r="L533" s="149"/>
      <c r="M533" s="11">
        <v>45959</v>
      </c>
      <c r="N533" s="152">
        <f t="shared" si="81"/>
        <v>10</v>
      </c>
      <c r="O533" s="12" t="str">
        <f t="shared" si="82"/>
        <v>Yes</v>
      </c>
      <c r="P533" s="158"/>
      <c r="Q533" s="157"/>
      <c r="R533" s="11" t="s">
        <v>39</v>
      </c>
      <c r="S533" s="158"/>
      <c r="T533" s="5" t="s">
        <v>40</v>
      </c>
      <c r="U533" s="6"/>
      <c r="V533" s="5"/>
      <c r="W533" s="5" t="s">
        <v>46</v>
      </c>
      <c r="X533" s="6"/>
      <c r="BB533" s="7" t="str">
        <v>Quarter 3</v>
      </c>
    </row>
    <row r="534" spans="1:54" ht="31.4" customHeight="1" x14ac:dyDescent="0.35">
      <c r="A534" s="210">
        <v>533</v>
      </c>
      <c r="B534" s="5" t="s">
        <v>6</v>
      </c>
      <c r="C534" s="5" t="s">
        <v>6</v>
      </c>
      <c r="D534" s="5" t="s">
        <v>738</v>
      </c>
      <c r="E534" s="149">
        <v>45945</v>
      </c>
      <c r="F534" s="149">
        <f t="shared" si="83"/>
        <v>45946</v>
      </c>
      <c r="G534" s="149">
        <f t="shared" si="84"/>
        <v>45959</v>
      </c>
      <c r="H534" s="149">
        <f t="shared" si="85"/>
        <v>45973</v>
      </c>
      <c r="I534" s="149" t="str">
        <f t="shared" si="79"/>
        <v>Oct</v>
      </c>
      <c r="J534" s="216" t="str">
        <f t="shared" ca="1" si="80"/>
        <v/>
      </c>
      <c r="K534" s="149" t="s">
        <v>7</v>
      </c>
      <c r="L534" s="149"/>
      <c r="M534" s="11">
        <v>45973</v>
      </c>
      <c r="N534" s="152">
        <f t="shared" si="81"/>
        <v>20</v>
      </c>
      <c r="O534" s="12" t="str">
        <f t="shared" si="82"/>
        <v>Yes</v>
      </c>
      <c r="P534" s="158"/>
      <c r="Q534" s="157"/>
      <c r="R534" s="11" t="s">
        <v>39</v>
      </c>
      <c r="S534" s="158"/>
      <c r="T534" s="5" t="s">
        <v>40</v>
      </c>
      <c r="U534" s="6"/>
      <c r="V534" s="5"/>
      <c r="W534" s="5" t="s">
        <v>46</v>
      </c>
      <c r="X534" s="6"/>
      <c r="BB534" s="7" t="str">
        <v>Quarter 3</v>
      </c>
    </row>
    <row r="535" spans="1:54" ht="31.4" customHeight="1" x14ac:dyDescent="0.35">
      <c r="A535" s="210">
        <v>534</v>
      </c>
      <c r="B535" s="5" t="s">
        <v>55</v>
      </c>
      <c r="C535" s="5" t="s">
        <v>13</v>
      </c>
      <c r="D535" s="5" t="s">
        <v>86</v>
      </c>
      <c r="E535" s="149">
        <v>45945</v>
      </c>
      <c r="F535" s="149">
        <f t="shared" si="83"/>
        <v>45946</v>
      </c>
      <c r="G535" s="149">
        <f t="shared" si="84"/>
        <v>45959</v>
      </c>
      <c r="H535" s="149">
        <f t="shared" si="85"/>
        <v>45973</v>
      </c>
      <c r="I535" s="149" t="str">
        <f t="shared" si="79"/>
        <v>Oct</v>
      </c>
      <c r="J535" s="216" t="str">
        <f t="shared" ca="1" si="80"/>
        <v/>
      </c>
      <c r="K535" s="149" t="s">
        <v>4</v>
      </c>
      <c r="L535" s="149"/>
      <c r="M535" s="11">
        <v>45947</v>
      </c>
      <c r="N535" s="152">
        <f t="shared" si="81"/>
        <v>2</v>
      </c>
      <c r="O535" s="12" t="str">
        <f t="shared" si="82"/>
        <v>Yes</v>
      </c>
      <c r="P535" s="158"/>
      <c r="Q535" s="157"/>
      <c r="R535" s="11" t="s">
        <v>39</v>
      </c>
      <c r="S535" s="158"/>
      <c r="T535" s="5" t="s">
        <v>45</v>
      </c>
      <c r="U535" s="6"/>
      <c r="V535" s="5" t="s">
        <v>53</v>
      </c>
      <c r="W535" s="5" t="s">
        <v>657</v>
      </c>
      <c r="X535" s="6"/>
      <c r="BB535" s="7" t="str">
        <v>Quarter 3</v>
      </c>
    </row>
    <row r="536" spans="1:54" ht="31.4" customHeight="1" x14ac:dyDescent="0.35">
      <c r="A536" s="210">
        <v>535</v>
      </c>
      <c r="B536" s="5" t="s">
        <v>739</v>
      </c>
      <c r="C536" s="5" t="s">
        <v>5</v>
      </c>
      <c r="D536" s="5" t="s">
        <v>740</v>
      </c>
      <c r="E536" s="149">
        <v>45946</v>
      </c>
      <c r="F536" s="149">
        <f t="shared" si="83"/>
        <v>45947</v>
      </c>
      <c r="G536" s="149">
        <f t="shared" si="84"/>
        <v>45960</v>
      </c>
      <c r="H536" s="149">
        <f t="shared" si="85"/>
        <v>45974</v>
      </c>
      <c r="I536" s="149" t="str">
        <f t="shared" si="79"/>
        <v>Oct</v>
      </c>
      <c r="J536" s="216" t="str">
        <f t="shared" ca="1" si="80"/>
        <v/>
      </c>
      <c r="K536" s="149" t="s">
        <v>7</v>
      </c>
      <c r="L536" s="149"/>
      <c r="M536" s="11">
        <v>45980</v>
      </c>
      <c r="N536" s="152">
        <f t="shared" si="81"/>
        <v>24</v>
      </c>
      <c r="O536" s="12" t="str">
        <f t="shared" si="82"/>
        <v>No</v>
      </c>
      <c r="P536" s="158"/>
      <c r="Q536" s="157"/>
      <c r="R536" s="11" t="s">
        <v>39</v>
      </c>
      <c r="S536" s="158"/>
      <c r="T536" s="5" t="s">
        <v>40</v>
      </c>
      <c r="U536" s="6"/>
      <c r="V536" s="5"/>
      <c r="W536" s="5" t="s">
        <v>46</v>
      </c>
      <c r="X536" s="6"/>
      <c r="BB536" s="7" t="str">
        <v>Quarter 3</v>
      </c>
    </row>
    <row r="537" spans="1:54" ht="31.4" customHeight="1" x14ac:dyDescent="0.35">
      <c r="A537" s="210">
        <v>536</v>
      </c>
      <c r="B537" s="5" t="s">
        <v>736</v>
      </c>
      <c r="C537" s="5" t="s">
        <v>9</v>
      </c>
      <c r="D537" s="5" t="s">
        <v>741</v>
      </c>
      <c r="E537" s="149">
        <v>45946</v>
      </c>
      <c r="F537" s="149">
        <f t="shared" si="83"/>
        <v>45947</v>
      </c>
      <c r="G537" s="149">
        <f t="shared" si="84"/>
        <v>45960</v>
      </c>
      <c r="H537" s="149">
        <f t="shared" si="85"/>
        <v>45974</v>
      </c>
      <c r="I537" s="149" t="str">
        <f t="shared" si="79"/>
        <v>Oct</v>
      </c>
      <c r="J537" s="216" t="str">
        <f t="shared" ca="1" si="80"/>
        <v/>
      </c>
      <c r="K537" s="149" t="s">
        <v>7</v>
      </c>
      <c r="L537" s="149"/>
      <c r="M537" s="11">
        <v>45948</v>
      </c>
      <c r="N537" s="152">
        <f t="shared" si="81"/>
        <v>1</v>
      </c>
      <c r="O537" s="12" t="str">
        <f t="shared" si="82"/>
        <v>Yes</v>
      </c>
      <c r="P537" s="158"/>
      <c r="Q537" s="157"/>
      <c r="R537" s="11" t="s">
        <v>39</v>
      </c>
      <c r="S537" s="158"/>
      <c r="T537" s="5" t="s">
        <v>40</v>
      </c>
      <c r="U537" s="6"/>
      <c r="V537" s="5"/>
      <c r="W537" s="5"/>
      <c r="X537" s="6"/>
      <c r="BB537" s="7" t="str">
        <v>Quarter 3</v>
      </c>
    </row>
    <row r="538" spans="1:54" ht="31.4" customHeight="1" x14ac:dyDescent="0.35">
      <c r="A538" s="210">
        <v>537</v>
      </c>
      <c r="B538" s="5" t="s">
        <v>6</v>
      </c>
      <c r="C538" s="5" t="s">
        <v>6</v>
      </c>
      <c r="D538" s="5" t="s">
        <v>742</v>
      </c>
      <c r="E538" s="149">
        <v>45946</v>
      </c>
      <c r="F538" s="149">
        <f t="shared" si="83"/>
        <v>45947</v>
      </c>
      <c r="G538" s="149">
        <f t="shared" si="84"/>
        <v>45960</v>
      </c>
      <c r="H538" s="149">
        <f t="shared" si="85"/>
        <v>45974</v>
      </c>
      <c r="I538" s="149" t="str">
        <f t="shared" si="79"/>
        <v>Oct</v>
      </c>
      <c r="J538" s="216" t="str">
        <f t="shared" ca="1" si="80"/>
        <v/>
      </c>
      <c r="K538" s="149" t="s">
        <v>3</v>
      </c>
      <c r="L538" s="149"/>
      <c r="M538" s="11">
        <v>45972</v>
      </c>
      <c r="N538" s="152">
        <f t="shared" si="81"/>
        <v>18</v>
      </c>
      <c r="O538" s="12" t="str">
        <f t="shared" si="82"/>
        <v>Yes</v>
      </c>
      <c r="P538" s="158"/>
      <c r="Q538" s="157"/>
      <c r="R538" s="11" t="s">
        <v>39</v>
      </c>
      <c r="S538" s="158"/>
      <c r="T538" s="5" t="s">
        <v>51</v>
      </c>
      <c r="U538" s="6"/>
      <c r="V538" s="5" t="s">
        <v>41</v>
      </c>
      <c r="W538" s="5"/>
      <c r="X538" s="6"/>
      <c r="BB538" s="7" t="str">
        <v>Quarter 3</v>
      </c>
    </row>
    <row r="539" spans="1:54" ht="31.4" customHeight="1" x14ac:dyDescent="0.35">
      <c r="A539" s="210">
        <v>538</v>
      </c>
      <c r="B539" s="5" t="s">
        <v>6</v>
      </c>
      <c r="C539" s="5" t="s">
        <v>6</v>
      </c>
      <c r="D539" s="5" t="s">
        <v>743</v>
      </c>
      <c r="E539" s="149">
        <v>45946</v>
      </c>
      <c r="F539" s="149">
        <f t="shared" si="83"/>
        <v>45947</v>
      </c>
      <c r="G539" s="149">
        <f t="shared" si="84"/>
        <v>45960</v>
      </c>
      <c r="H539" s="149">
        <f t="shared" si="85"/>
        <v>45974</v>
      </c>
      <c r="I539" s="149" t="str">
        <f t="shared" si="79"/>
        <v>Oct</v>
      </c>
      <c r="J539" s="216" t="str">
        <f t="shared" ca="1" si="80"/>
        <v/>
      </c>
      <c r="K539" s="149" t="s">
        <v>4</v>
      </c>
      <c r="L539" s="149"/>
      <c r="M539" s="11">
        <v>45973</v>
      </c>
      <c r="N539" s="152">
        <f t="shared" si="81"/>
        <v>19</v>
      </c>
      <c r="O539" s="12" t="str">
        <f t="shared" si="82"/>
        <v>Yes</v>
      </c>
      <c r="P539" s="158"/>
      <c r="Q539" s="157"/>
      <c r="R539" s="11" t="s">
        <v>39</v>
      </c>
      <c r="S539" s="158"/>
      <c r="T539" s="5" t="s">
        <v>40</v>
      </c>
      <c r="U539" s="6"/>
      <c r="V539" s="5"/>
      <c r="W539" s="5"/>
      <c r="X539" s="6"/>
      <c r="BB539" s="7" t="str">
        <v>Quarter 3</v>
      </c>
    </row>
    <row r="540" spans="1:54" ht="31.4" customHeight="1" x14ac:dyDescent="0.35">
      <c r="A540" s="210">
        <v>539</v>
      </c>
      <c r="B540" s="5" t="s">
        <v>6</v>
      </c>
      <c r="C540" s="5" t="s">
        <v>6</v>
      </c>
      <c r="D540" s="5" t="s">
        <v>744</v>
      </c>
      <c r="E540" s="149">
        <v>45946</v>
      </c>
      <c r="F540" s="149">
        <f t="shared" si="83"/>
        <v>45947</v>
      </c>
      <c r="G540" s="149">
        <f t="shared" si="84"/>
        <v>45960</v>
      </c>
      <c r="H540" s="149">
        <f t="shared" si="85"/>
        <v>45974</v>
      </c>
      <c r="I540" s="149" t="str">
        <f t="shared" si="79"/>
        <v>Oct</v>
      </c>
      <c r="J540" s="216" t="str">
        <f t="shared" ca="1" si="80"/>
        <v/>
      </c>
      <c r="K540" s="149" t="s">
        <v>3</v>
      </c>
      <c r="L540" s="149"/>
      <c r="M540" s="11">
        <v>45960</v>
      </c>
      <c r="N540" s="152">
        <f t="shared" si="81"/>
        <v>10</v>
      </c>
      <c r="O540" s="12" t="str">
        <f t="shared" si="82"/>
        <v>Yes</v>
      </c>
      <c r="P540" s="158"/>
      <c r="Q540" s="157"/>
      <c r="R540" s="11" t="s">
        <v>39</v>
      </c>
      <c r="S540" s="158"/>
      <c r="T540" s="5" t="s">
        <v>40</v>
      </c>
      <c r="U540" s="6"/>
      <c r="V540" s="5"/>
      <c r="W540" s="5" t="s">
        <v>46</v>
      </c>
      <c r="X540" s="6"/>
      <c r="BB540" s="7" t="str">
        <v>Quarter 3</v>
      </c>
    </row>
    <row r="541" spans="1:54" ht="31.4" customHeight="1" x14ac:dyDescent="0.35">
      <c r="A541" s="210">
        <v>540</v>
      </c>
      <c r="B541" s="5" t="s">
        <v>6</v>
      </c>
      <c r="C541" s="5" t="s">
        <v>6</v>
      </c>
      <c r="D541" s="5" t="s">
        <v>745</v>
      </c>
      <c r="E541" s="149">
        <v>45946</v>
      </c>
      <c r="F541" s="149">
        <f t="shared" si="83"/>
        <v>45947</v>
      </c>
      <c r="G541" s="149">
        <f t="shared" si="84"/>
        <v>45960</v>
      </c>
      <c r="H541" s="149">
        <f t="shared" si="85"/>
        <v>45974</v>
      </c>
      <c r="I541" s="149" t="str">
        <f t="shared" si="79"/>
        <v>Oct</v>
      </c>
      <c r="J541" s="216" t="str">
        <f t="shared" ca="1" si="80"/>
        <v/>
      </c>
      <c r="K541" s="149" t="s">
        <v>3</v>
      </c>
      <c r="L541" s="149"/>
      <c r="M541" s="11">
        <v>45960</v>
      </c>
      <c r="N541" s="152">
        <f t="shared" si="81"/>
        <v>10</v>
      </c>
      <c r="O541" s="12" t="str">
        <f t="shared" si="82"/>
        <v>Yes</v>
      </c>
      <c r="P541" s="158"/>
      <c r="Q541" s="157"/>
      <c r="R541" s="11" t="s">
        <v>39</v>
      </c>
      <c r="S541" s="158"/>
      <c r="T541" s="5" t="s">
        <v>40</v>
      </c>
      <c r="U541" s="6"/>
      <c r="V541" s="5"/>
      <c r="W541" s="5" t="s">
        <v>46</v>
      </c>
      <c r="X541" s="6"/>
      <c r="BB541" s="7" t="str">
        <v>Quarter 3</v>
      </c>
    </row>
    <row r="542" spans="1:54" ht="31.4" customHeight="1" x14ac:dyDescent="0.35">
      <c r="A542" s="210">
        <v>541</v>
      </c>
      <c r="B542" s="5" t="s">
        <v>6</v>
      </c>
      <c r="C542" s="5" t="s">
        <v>6</v>
      </c>
      <c r="D542" s="5" t="s">
        <v>746</v>
      </c>
      <c r="E542" s="149">
        <v>45946</v>
      </c>
      <c r="F542" s="149">
        <f t="shared" si="83"/>
        <v>45947</v>
      </c>
      <c r="G542" s="149">
        <f t="shared" si="84"/>
        <v>45960</v>
      </c>
      <c r="H542" s="149">
        <f t="shared" si="85"/>
        <v>45974</v>
      </c>
      <c r="I542" s="149" t="str">
        <f t="shared" si="79"/>
        <v>Oct</v>
      </c>
      <c r="J542" s="216" t="str">
        <f t="shared" ca="1" si="80"/>
        <v/>
      </c>
      <c r="K542" s="149" t="s">
        <v>3</v>
      </c>
      <c r="L542" s="149"/>
      <c r="M542" s="11">
        <v>45960</v>
      </c>
      <c r="N542" s="152">
        <f t="shared" si="81"/>
        <v>10</v>
      </c>
      <c r="O542" s="12" t="str">
        <f t="shared" si="82"/>
        <v>Yes</v>
      </c>
      <c r="P542" s="158"/>
      <c r="Q542" s="157"/>
      <c r="R542" s="11" t="s">
        <v>39</v>
      </c>
      <c r="S542" s="158"/>
      <c r="T542" s="5" t="s">
        <v>40</v>
      </c>
      <c r="U542" s="6"/>
      <c r="V542" s="5"/>
      <c r="W542" s="5"/>
      <c r="X542" s="6"/>
      <c r="BB542" s="7" t="str">
        <v>Quarter 3</v>
      </c>
    </row>
    <row r="543" spans="1:54" ht="31.4" customHeight="1" x14ac:dyDescent="0.35">
      <c r="A543" s="210">
        <v>542</v>
      </c>
      <c r="B543" s="5" t="s">
        <v>6</v>
      </c>
      <c r="C543" s="5" t="s">
        <v>6</v>
      </c>
      <c r="D543" s="5" t="s">
        <v>747</v>
      </c>
      <c r="E543" s="149">
        <v>45946</v>
      </c>
      <c r="F543" s="149">
        <f t="shared" si="83"/>
        <v>45947</v>
      </c>
      <c r="G543" s="149">
        <f t="shared" si="84"/>
        <v>45960</v>
      </c>
      <c r="H543" s="149">
        <f t="shared" si="85"/>
        <v>45974</v>
      </c>
      <c r="I543" s="149" t="str">
        <f t="shared" si="79"/>
        <v>Oct</v>
      </c>
      <c r="J543" s="216" t="str">
        <f t="shared" ca="1" si="80"/>
        <v/>
      </c>
      <c r="K543" s="149" t="s">
        <v>4</v>
      </c>
      <c r="L543" s="149"/>
      <c r="M543" s="11">
        <v>45947</v>
      </c>
      <c r="N543" s="152">
        <f t="shared" si="81"/>
        <v>1</v>
      </c>
      <c r="O543" s="12" t="str">
        <f t="shared" si="82"/>
        <v>Yes</v>
      </c>
      <c r="P543" s="158"/>
      <c r="Q543" s="157"/>
      <c r="R543" s="11" t="s">
        <v>39</v>
      </c>
      <c r="S543" s="158"/>
      <c r="T543" s="5" t="s">
        <v>40</v>
      </c>
      <c r="U543" s="6"/>
      <c r="V543" s="5"/>
      <c r="W543" s="5"/>
      <c r="X543" s="6"/>
      <c r="BB543" s="7" t="str">
        <v>Quarter 3</v>
      </c>
    </row>
    <row r="544" spans="1:54" ht="31.4" customHeight="1" x14ac:dyDescent="0.35">
      <c r="A544" s="210">
        <v>543</v>
      </c>
      <c r="B544" s="5" t="s">
        <v>6</v>
      </c>
      <c r="C544" s="5" t="s">
        <v>6</v>
      </c>
      <c r="D544" s="5" t="s">
        <v>748</v>
      </c>
      <c r="E544" s="149">
        <v>45946</v>
      </c>
      <c r="F544" s="149">
        <f t="shared" si="83"/>
        <v>45947</v>
      </c>
      <c r="G544" s="149">
        <f t="shared" si="84"/>
        <v>45960</v>
      </c>
      <c r="H544" s="149">
        <f t="shared" si="85"/>
        <v>45974</v>
      </c>
      <c r="I544" s="149" t="str">
        <f t="shared" si="79"/>
        <v>Oct</v>
      </c>
      <c r="J544" s="216" t="str">
        <f t="shared" ca="1" si="80"/>
        <v/>
      </c>
      <c r="K544" s="149" t="s">
        <v>4</v>
      </c>
      <c r="L544" s="149"/>
      <c r="M544" s="11">
        <v>45966</v>
      </c>
      <c r="N544" s="152">
        <f t="shared" si="81"/>
        <v>14</v>
      </c>
      <c r="O544" s="12" t="str">
        <f t="shared" si="82"/>
        <v>Yes</v>
      </c>
      <c r="P544" s="158"/>
      <c r="Q544" s="157"/>
      <c r="R544" s="11" t="s">
        <v>39</v>
      </c>
      <c r="S544" s="158"/>
      <c r="T544" s="5" t="s">
        <v>40</v>
      </c>
      <c r="U544" s="6"/>
      <c r="V544" s="5" t="s">
        <v>54</v>
      </c>
      <c r="W544" s="5"/>
      <c r="X544" s="6"/>
      <c r="BB544" s="7" t="str">
        <v>Quarter 3</v>
      </c>
    </row>
    <row r="545" spans="1:54" ht="31.4" customHeight="1" x14ac:dyDescent="0.35">
      <c r="A545" s="210">
        <v>544</v>
      </c>
      <c r="B545" s="5" t="s">
        <v>749</v>
      </c>
      <c r="C545" s="5" t="s">
        <v>16</v>
      </c>
      <c r="D545" s="5" t="s">
        <v>750</v>
      </c>
      <c r="E545" s="149">
        <v>45946</v>
      </c>
      <c r="F545" s="149">
        <f t="shared" si="83"/>
        <v>45947</v>
      </c>
      <c r="G545" s="149">
        <f t="shared" si="84"/>
        <v>45960</v>
      </c>
      <c r="H545" s="149">
        <f t="shared" si="85"/>
        <v>45974</v>
      </c>
      <c r="I545" s="149" t="str">
        <f t="shared" si="79"/>
        <v>Oct</v>
      </c>
      <c r="J545" s="216" t="str">
        <f t="shared" ca="1" si="80"/>
        <v/>
      </c>
      <c r="K545" s="149" t="s">
        <v>3</v>
      </c>
      <c r="L545" s="149"/>
      <c r="M545" s="11">
        <v>45973</v>
      </c>
      <c r="N545" s="152">
        <f t="shared" si="81"/>
        <v>19</v>
      </c>
      <c r="O545" s="12" t="str">
        <f t="shared" si="82"/>
        <v>Yes</v>
      </c>
      <c r="P545" s="158"/>
      <c r="Q545" s="157"/>
      <c r="R545" s="11" t="s">
        <v>39</v>
      </c>
      <c r="S545" s="158"/>
      <c r="T545" s="5" t="s">
        <v>40</v>
      </c>
      <c r="U545" s="6"/>
      <c r="V545" s="5"/>
      <c r="W545" s="5" t="s">
        <v>46</v>
      </c>
      <c r="X545" s="6"/>
      <c r="BB545" s="7" t="str">
        <v>Quarter 3</v>
      </c>
    </row>
    <row r="546" spans="1:54" ht="31.4" customHeight="1" x14ac:dyDescent="0.35">
      <c r="A546" s="210">
        <v>545</v>
      </c>
      <c r="B546" s="5" t="s">
        <v>6</v>
      </c>
      <c r="C546" s="5" t="s">
        <v>6</v>
      </c>
      <c r="D546" s="5" t="s">
        <v>160</v>
      </c>
      <c r="E546" s="149">
        <v>45947</v>
      </c>
      <c r="F546" s="149">
        <f t="shared" si="83"/>
        <v>45950</v>
      </c>
      <c r="G546" s="149">
        <f t="shared" si="84"/>
        <v>45961</v>
      </c>
      <c r="H546" s="149">
        <f t="shared" si="85"/>
        <v>45975</v>
      </c>
      <c r="I546" s="149" t="str">
        <f t="shared" si="79"/>
        <v>Oct</v>
      </c>
      <c r="J546" s="216" t="str">
        <f t="shared" ca="1" si="80"/>
        <v/>
      </c>
      <c r="K546" s="149" t="s">
        <v>43</v>
      </c>
      <c r="L546" s="149"/>
      <c r="M546" s="11">
        <v>45965</v>
      </c>
      <c r="N546" s="152">
        <f t="shared" si="81"/>
        <v>12</v>
      </c>
      <c r="O546" s="12" t="str">
        <f t="shared" si="82"/>
        <v>Yes</v>
      </c>
      <c r="P546" s="158"/>
      <c r="Q546" s="157"/>
      <c r="R546" s="11" t="s">
        <v>39</v>
      </c>
      <c r="S546" s="158"/>
      <c r="T546" s="5" t="s">
        <v>40</v>
      </c>
      <c r="U546" s="6"/>
      <c r="V546" s="5"/>
      <c r="W546" s="5" t="s">
        <v>46</v>
      </c>
      <c r="X546" s="6"/>
      <c r="BB546" s="7" t="str">
        <v>Quarter 3</v>
      </c>
    </row>
    <row r="547" spans="1:54" ht="31.4" customHeight="1" x14ac:dyDescent="0.35">
      <c r="A547" s="210">
        <v>546</v>
      </c>
      <c r="B547" s="5" t="s">
        <v>6</v>
      </c>
      <c r="C547" s="5" t="s">
        <v>6</v>
      </c>
      <c r="D547" s="5" t="s">
        <v>751</v>
      </c>
      <c r="E547" s="149">
        <v>45947</v>
      </c>
      <c r="F547" s="149">
        <f t="shared" si="83"/>
        <v>45950</v>
      </c>
      <c r="G547" s="149">
        <f t="shared" si="84"/>
        <v>45961</v>
      </c>
      <c r="H547" s="149">
        <f t="shared" si="85"/>
        <v>45975</v>
      </c>
      <c r="I547" s="149" t="str">
        <f t="shared" si="79"/>
        <v>Oct</v>
      </c>
      <c r="J547" s="216" t="str">
        <f t="shared" ca="1" si="80"/>
        <v/>
      </c>
      <c r="K547" s="149" t="s">
        <v>4</v>
      </c>
      <c r="L547" s="149"/>
      <c r="M547" s="11">
        <v>45974</v>
      </c>
      <c r="N547" s="152">
        <f t="shared" si="81"/>
        <v>19</v>
      </c>
      <c r="O547" s="12" t="str">
        <f t="shared" si="82"/>
        <v>Yes</v>
      </c>
      <c r="P547" s="158"/>
      <c r="Q547" s="157"/>
      <c r="R547" s="11" t="s">
        <v>39</v>
      </c>
      <c r="S547" s="158"/>
      <c r="T547" s="5" t="s">
        <v>51</v>
      </c>
      <c r="U547" s="6"/>
      <c r="V547" s="5" t="s">
        <v>54</v>
      </c>
      <c r="W547" s="5" t="s">
        <v>46</v>
      </c>
      <c r="X547" s="6"/>
      <c r="BB547" s="7" t="str">
        <v>Quarter 3</v>
      </c>
    </row>
    <row r="548" spans="1:54" ht="31.4" customHeight="1" x14ac:dyDescent="0.35">
      <c r="A548" s="210">
        <v>547</v>
      </c>
      <c r="B548" s="8" t="s">
        <v>752</v>
      </c>
      <c r="C548" s="8" t="s">
        <v>9</v>
      </c>
      <c r="D548" s="12" t="s">
        <v>753</v>
      </c>
      <c r="E548" s="149">
        <v>45947</v>
      </c>
      <c r="F548" s="149">
        <f t="shared" si="83"/>
        <v>45950</v>
      </c>
      <c r="G548" s="149">
        <f t="shared" si="84"/>
        <v>45961</v>
      </c>
      <c r="H548" s="149">
        <f t="shared" si="85"/>
        <v>45975</v>
      </c>
      <c r="I548" s="149" t="str">
        <f t="shared" si="79"/>
        <v>Oct</v>
      </c>
      <c r="J548" s="216" t="str">
        <f t="shared" ca="1" si="80"/>
        <v/>
      </c>
      <c r="K548" s="149" t="s">
        <v>7</v>
      </c>
      <c r="L548" s="149"/>
      <c r="M548" s="11">
        <v>45948</v>
      </c>
      <c r="N548" s="152">
        <f t="shared" si="81"/>
        <v>0</v>
      </c>
      <c r="O548" s="12" t="str">
        <f t="shared" si="82"/>
        <v>Yes</v>
      </c>
      <c r="P548" s="158"/>
      <c r="Q548" s="157"/>
      <c r="R548" s="11" t="s">
        <v>39</v>
      </c>
      <c r="S548" s="158"/>
      <c r="T548" s="5" t="s">
        <v>62</v>
      </c>
      <c r="U548" s="6"/>
      <c r="V548" s="5"/>
      <c r="W548" s="5"/>
      <c r="X548" s="6"/>
      <c r="BB548" s="7" t="str">
        <v>Quarter 3</v>
      </c>
    </row>
    <row r="549" spans="1:54" ht="31.4" customHeight="1" x14ac:dyDescent="0.35">
      <c r="A549" s="210">
        <v>548</v>
      </c>
      <c r="B549" s="5" t="s">
        <v>297</v>
      </c>
      <c r="C549" s="5" t="s">
        <v>5</v>
      </c>
      <c r="D549" s="5" t="s">
        <v>754</v>
      </c>
      <c r="E549" s="149">
        <v>45950</v>
      </c>
      <c r="F549" s="149">
        <f t="shared" si="83"/>
        <v>45951</v>
      </c>
      <c r="G549" s="149">
        <f t="shared" si="84"/>
        <v>45964</v>
      </c>
      <c r="H549" s="149">
        <f t="shared" si="85"/>
        <v>45978</v>
      </c>
      <c r="I549" s="149" t="str">
        <f t="shared" si="79"/>
        <v>Oct</v>
      </c>
      <c r="J549" s="216" t="str">
        <f t="shared" ca="1" si="80"/>
        <v/>
      </c>
      <c r="K549" s="149" t="s">
        <v>3</v>
      </c>
      <c r="L549" s="149"/>
      <c r="M549" s="11">
        <v>45951</v>
      </c>
      <c r="N549" s="152">
        <f t="shared" si="81"/>
        <v>1</v>
      </c>
      <c r="O549" s="12" t="str">
        <f t="shared" si="82"/>
        <v>Yes</v>
      </c>
      <c r="P549" s="158"/>
      <c r="Q549" s="157"/>
      <c r="R549" s="11" t="s">
        <v>39</v>
      </c>
      <c r="S549" s="158"/>
      <c r="T549" s="5" t="s">
        <v>40</v>
      </c>
      <c r="U549" s="6"/>
      <c r="V549" s="5"/>
      <c r="W549" s="5"/>
      <c r="X549" s="6"/>
      <c r="BB549" s="7" t="str">
        <v>Quarter 3</v>
      </c>
    </row>
    <row r="550" spans="1:54" ht="31.4" customHeight="1" x14ac:dyDescent="0.35">
      <c r="A550" s="210">
        <v>549</v>
      </c>
      <c r="B550" s="5" t="s">
        <v>6</v>
      </c>
      <c r="C550" s="5" t="s">
        <v>6</v>
      </c>
      <c r="D550" s="5" t="s">
        <v>755</v>
      </c>
      <c r="E550" s="149">
        <v>45950</v>
      </c>
      <c r="F550" s="149">
        <f t="shared" si="83"/>
        <v>45951</v>
      </c>
      <c r="G550" s="149">
        <f t="shared" si="84"/>
        <v>45964</v>
      </c>
      <c r="H550" s="149">
        <f t="shared" si="85"/>
        <v>45978</v>
      </c>
      <c r="I550" s="149" t="str">
        <f t="shared" si="79"/>
        <v>Oct</v>
      </c>
      <c r="J550" s="216" t="str">
        <f t="shared" ca="1" si="80"/>
        <v/>
      </c>
      <c r="K550" s="149" t="s">
        <v>3</v>
      </c>
      <c r="L550" s="149"/>
      <c r="M550" s="11">
        <v>45967</v>
      </c>
      <c r="N550" s="152">
        <f t="shared" si="81"/>
        <v>13</v>
      </c>
      <c r="O550" s="12" t="str">
        <f t="shared" si="82"/>
        <v>Yes</v>
      </c>
      <c r="P550" s="158"/>
      <c r="Q550" s="157"/>
      <c r="R550" s="11" t="s">
        <v>39</v>
      </c>
      <c r="S550" s="158"/>
      <c r="T550" s="5" t="s">
        <v>40</v>
      </c>
      <c r="U550" s="6"/>
      <c r="V550" s="5"/>
      <c r="W550" s="5" t="s">
        <v>756</v>
      </c>
      <c r="X550" s="6"/>
      <c r="BB550" s="7" t="str">
        <v>Quarter 3</v>
      </c>
    </row>
    <row r="551" spans="1:54" ht="31.4" customHeight="1" x14ac:dyDescent="0.35">
      <c r="A551" s="210">
        <v>550</v>
      </c>
      <c r="B551" s="5" t="s">
        <v>6</v>
      </c>
      <c r="C551" s="5" t="s">
        <v>6</v>
      </c>
      <c r="D551" s="5" t="s">
        <v>757</v>
      </c>
      <c r="E551" s="149">
        <v>45950</v>
      </c>
      <c r="F551" s="149">
        <f t="shared" si="83"/>
        <v>45951</v>
      </c>
      <c r="G551" s="149">
        <f t="shared" si="84"/>
        <v>45964</v>
      </c>
      <c r="H551" s="149">
        <f t="shared" si="85"/>
        <v>45978</v>
      </c>
      <c r="I551" s="149" t="str">
        <f t="shared" si="79"/>
        <v>Oct</v>
      </c>
      <c r="J551" s="216" t="str">
        <f t="shared" ca="1" si="80"/>
        <v/>
      </c>
      <c r="K551" s="149" t="s">
        <v>3</v>
      </c>
      <c r="L551" s="149"/>
      <c r="M551" s="11">
        <v>45953</v>
      </c>
      <c r="N551" s="152">
        <f t="shared" si="81"/>
        <v>3</v>
      </c>
      <c r="O551" s="12" t="str">
        <f t="shared" si="82"/>
        <v>Yes</v>
      </c>
      <c r="P551" s="158"/>
      <c r="Q551" s="157"/>
      <c r="R551" s="11" t="s">
        <v>39</v>
      </c>
      <c r="S551" s="158"/>
      <c r="T551" s="5" t="s">
        <v>40</v>
      </c>
      <c r="U551" s="6"/>
      <c r="V551" s="5"/>
      <c r="W551" s="5" t="s">
        <v>756</v>
      </c>
      <c r="X551" s="6"/>
      <c r="BB551" s="7" t="str">
        <v>Quarter 3</v>
      </c>
    </row>
    <row r="552" spans="1:54" ht="31.4" customHeight="1" x14ac:dyDescent="0.35">
      <c r="A552" s="210">
        <v>551</v>
      </c>
      <c r="B552" s="5" t="s">
        <v>758</v>
      </c>
      <c r="C552" s="5" t="s">
        <v>12</v>
      </c>
      <c r="D552" s="5" t="s">
        <v>759</v>
      </c>
      <c r="E552" s="149">
        <v>45950</v>
      </c>
      <c r="F552" s="149">
        <f t="shared" si="83"/>
        <v>45951</v>
      </c>
      <c r="G552" s="149">
        <f t="shared" si="84"/>
        <v>45964</v>
      </c>
      <c r="H552" s="149">
        <f t="shared" si="85"/>
        <v>45978</v>
      </c>
      <c r="I552" s="149" t="str">
        <f t="shared" si="79"/>
        <v>Oct</v>
      </c>
      <c r="J552" s="216" t="str">
        <f t="shared" ca="1" si="80"/>
        <v/>
      </c>
      <c r="K552" s="149" t="s">
        <v>43</v>
      </c>
      <c r="L552" s="149"/>
      <c r="M552" s="11">
        <v>45951</v>
      </c>
      <c r="N552" s="152">
        <f t="shared" si="81"/>
        <v>1</v>
      </c>
      <c r="O552" s="12" t="str">
        <f t="shared" si="82"/>
        <v>Yes</v>
      </c>
      <c r="P552" s="158"/>
      <c r="Q552" s="157"/>
      <c r="R552" s="11" t="s">
        <v>39</v>
      </c>
      <c r="S552" s="158"/>
      <c r="T552" s="5" t="s">
        <v>40</v>
      </c>
      <c r="U552" s="6"/>
      <c r="V552" s="5"/>
      <c r="W552" s="5"/>
      <c r="X552" s="6"/>
      <c r="BB552" s="7" t="str">
        <v>Quarter 3</v>
      </c>
    </row>
    <row r="553" spans="1:54" ht="31.4" customHeight="1" x14ac:dyDescent="0.35">
      <c r="A553" s="210">
        <v>552</v>
      </c>
      <c r="B553" s="8" t="s">
        <v>6</v>
      </c>
      <c r="C553" s="8" t="s">
        <v>6</v>
      </c>
      <c r="D553" s="8" t="s">
        <v>760</v>
      </c>
      <c r="E553" s="22">
        <v>45950</v>
      </c>
      <c r="F553" s="149">
        <f t="shared" si="83"/>
        <v>45951</v>
      </c>
      <c r="G553" s="149">
        <f t="shared" si="84"/>
        <v>45964</v>
      </c>
      <c r="H553" s="149">
        <f t="shared" si="85"/>
        <v>45978</v>
      </c>
      <c r="I553" s="149" t="str">
        <f t="shared" si="79"/>
        <v>Oct</v>
      </c>
      <c r="J553" s="216" t="str">
        <f t="shared" ca="1" si="80"/>
        <v/>
      </c>
      <c r="K553" s="22" t="s">
        <v>7</v>
      </c>
      <c r="L553" s="149"/>
      <c r="M553" s="11">
        <v>45966</v>
      </c>
      <c r="N553" s="152">
        <f t="shared" si="81"/>
        <v>12</v>
      </c>
      <c r="O553" s="12" t="str">
        <f t="shared" si="82"/>
        <v>Yes</v>
      </c>
      <c r="P553" s="158"/>
      <c r="Q553" s="157"/>
      <c r="R553" s="11" t="s">
        <v>39</v>
      </c>
      <c r="S553" s="158"/>
      <c r="T553" s="5" t="s">
        <v>40</v>
      </c>
      <c r="U553" s="6"/>
      <c r="V553" s="5"/>
      <c r="W553" s="5"/>
      <c r="X553" s="6"/>
      <c r="BB553" s="7" t="str">
        <v>Quarter 3</v>
      </c>
    </row>
    <row r="554" spans="1:54" ht="31.4" customHeight="1" x14ac:dyDescent="0.35">
      <c r="A554" s="210">
        <v>553</v>
      </c>
      <c r="B554" s="5" t="s">
        <v>549</v>
      </c>
      <c r="C554" s="5" t="s">
        <v>9</v>
      </c>
      <c r="D554" s="5" t="s">
        <v>550</v>
      </c>
      <c r="E554" s="149">
        <v>45950</v>
      </c>
      <c r="F554" s="149">
        <f t="shared" si="83"/>
        <v>45951</v>
      </c>
      <c r="G554" s="149">
        <f t="shared" si="84"/>
        <v>45964</v>
      </c>
      <c r="H554" s="149">
        <f t="shared" si="85"/>
        <v>45978</v>
      </c>
      <c r="I554" s="149" t="str">
        <f t="shared" si="79"/>
        <v>Oct</v>
      </c>
      <c r="J554" s="216" t="str">
        <f t="shared" ca="1" si="80"/>
        <v/>
      </c>
      <c r="K554" s="149" t="s">
        <v>4</v>
      </c>
      <c r="L554" s="149"/>
      <c r="M554" s="11">
        <v>45950</v>
      </c>
      <c r="N554" s="152">
        <f t="shared" si="81"/>
        <v>0</v>
      </c>
      <c r="O554" s="12" t="str">
        <f t="shared" si="82"/>
        <v>Yes</v>
      </c>
      <c r="P554" s="158"/>
      <c r="Q554" s="157"/>
      <c r="R554" s="11" t="s">
        <v>39</v>
      </c>
      <c r="S554" s="158"/>
      <c r="T554" s="5" t="s">
        <v>40</v>
      </c>
      <c r="U554" s="6"/>
      <c r="V554" s="5"/>
      <c r="W554" s="5"/>
      <c r="X554" s="6"/>
      <c r="BB554" s="7" t="str">
        <v>Quarter 3</v>
      </c>
    </row>
    <row r="555" spans="1:54" ht="31.4" customHeight="1" x14ac:dyDescent="0.35">
      <c r="A555" s="210">
        <v>554</v>
      </c>
      <c r="B555" s="5" t="s">
        <v>761</v>
      </c>
      <c r="C555" s="5" t="s">
        <v>9</v>
      </c>
      <c r="D555" s="5" t="s">
        <v>762</v>
      </c>
      <c r="E555" s="149">
        <v>45950</v>
      </c>
      <c r="F555" s="149">
        <f t="shared" si="83"/>
        <v>45951</v>
      </c>
      <c r="G555" s="149">
        <f t="shared" si="84"/>
        <v>45964</v>
      </c>
      <c r="H555" s="149">
        <f t="shared" si="85"/>
        <v>45978</v>
      </c>
      <c r="I555" s="149" t="str">
        <f t="shared" si="79"/>
        <v>Oct</v>
      </c>
      <c r="J555" s="216" t="str">
        <f t="shared" ca="1" si="80"/>
        <v/>
      </c>
      <c r="K555" s="149" t="s">
        <v>43</v>
      </c>
      <c r="L555" s="149"/>
      <c r="M555" s="11">
        <v>45954</v>
      </c>
      <c r="N555" s="152">
        <f t="shared" si="81"/>
        <v>4</v>
      </c>
      <c r="O555" s="12" t="str">
        <f t="shared" si="82"/>
        <v>Yes</v>
      </c>
      <c r="P555" s="158"/>
      <c r="Q555" s="157"/>
      <c r="R555" s="11" t="s">
        <v>39</v>
      </c>
      <c r="S555" s="158"/>
      <c r="T555" s="5" t="s">
        <v>40</v>
      </c>
      <c r="U555" s="6"/>
      <c r="V555" s="5"/>
      <c r="W555" s="5" t="s">
        <v>763</v>
      </c>
      <c r="X555" s="6"/>
      <c r="BB555" s="7" t="str">
        <v>Quarter 3</v>
      </c>
    </row>
    <row r="556" spans="1:54" ht="31.4" customHeight="1" x14ac:dyDescent="0.35">
      <c r="A556" s="210">
        <v>555</v>
      </c>
      <c r="B556" s="5" t="s">
        <v>55</v>
      </c>
      <c r="C556" s="5" t="s">
        <v>13</v>
      </c>
      <c r="D556" s="5" t="s">
        <v>764</v>
      </c>
      <c r="E556" s="149">
        <v>45985</v>
      </c>
      <c r="F556" s="149">
        <f t="shared" si="83"/>
        <v>45986</v>
      </c>
      <c r="G556" s="149">
        <f t="shared" si="84"/>
        <v>45999</v>
      </c>
      <c r="H556" s="149">
        <f t="shared" si="85"/>
        <v>46013</v>
      </c>
      <c r="I556" s="149" t="s">
        <v>765</v>
      </c>
      <c r="J556" s="216" t="str">
        <f t="shared" ca="1" si="80"/>
        <v/>
      </c>
      <c r="K556" s="149" t="s">
        <v>4</v>
      </c>
      <c r="L556" s="149"/>
      <c r="M556" s="11">
        <v>45986</v>
      </c>
      <c r="N556" s="152">
        <f t="shared" si="81"/>
        <v>1</v>
      </c>
      <c r="O556" s="12" t="str">
        <f t="shared" si="82"/>
        <v>Yes</v>
      </c>
      <c r="P556" s="158"/>
      <c r="Q556" s="157"/>
      <c r="R556" s="11" t="s">
        <v>39</v>
      </c>
      <c r="S556" s="158"/>
      <c r="T556" s="5" t="s">
        <v>45</v>
      </c>
      <c r="U556" s="6"/>
      <c r="V556" s="5" t="s">
        <v>80</v>
      </c>
      <c r="W556" s="5"/>
      <c r="X556" s="6"/>
      <c r="BB556" s="7" t="str">
        <v>Quarter 3</v>
      </c>
    </row>
    <row r="557" spans="1:54" ht="31.4" customHeight="1" x14ac:dyDescent="0.35">
      <c r="A557" s="210">
        <v>556</v>
      </c>
      <c r="B557" s="5" t="s">
        <v>6</v>
      </c>
      <c r="C557" s="5" t="s">
        <v>6</v>
      </c>
      <c r="D557" s="5" t="s">
        <v>766</v>
      </c>
      <c r="E557" s="149">
        <v>45951</v>
      </c>
      <c r="F557" s="149">
        <f t="shared" si="83"/>
        <v>45952</v>
      </c>
      <c r="G557" s="149">
        <f t="shared" si="84"/>
        <v>45965</v>
      </c>
      <c r="H557" s="149">
        <f t="shared" si="85"/>
        <v>45979</v>
      </c>
      <c r="I557" s="149" t="str">
        <f t="shared" si="79"/>
        <v>Oct</v>
      </c>
      <c r="J557" s="216" t="str">
        <f t="shared" ca="1" si="80"/>
        <v/>
      </c>
      <c r="K557" s="149" t="s">
        <v>43</v>
      </c>
      <c r="L557" s="149"/>
      <c r="M557" s="11">
        <v>45961</v>
      </c>
      <c r="N557" s="152">
        <f t="shared" si="81"/>
        <v>8</v>
      </c>
      <c r="O557" s="12" t="str">
        <f t="shared" si="82"/>
        <v>Yes</v>
      </c>
      <c r="P557" s="158"/>
      <c r="Q557" s="157"/>
      <c r="R557" s="11" t="s">
        <v>39</v>
      </c>
      <c r="S557" s="158"/>
      <c r="T557" s="5" t="s">
        <v>40</v>
      </c>
      <c r="U557" s="6"/>
      <c r="V557" s="5"/>
      <c r="W557" s="5"/>
      <c r="X557" s="6"/>
      <c r="BB557" s="7" t="str">
        <v>Quarter 3</v>
      </c>
    </row>
    <row r="558" spans="1:54" ht="31.4" customHeight="1" x14ac:dyDescent="0.35">
      <c r="A558" s="210">
        <v>557</v>
      </c>
      <c r="B558" s="5" t="s">
        <v>6</v>
      </c>
      <c r="C558" s="5" t="s">
        <v>6</v>
      </c>
      <c r="D558" s="5" t="s">
        <v>767</v>
      </c>
      <c r="E558" s="149">
        <v>45951</v>
      </c>
      <c r="F558" s="149">
        <f t="shared" si="83"/>
        <v>45952</v>
      </c>
      <c r="G558" s="149">
        <f t="shared" si="84"/>
        <v>45965</v>
      </c>
      <c r="H558" s="149">
        <f t="shared" si="85"/>
        <v>45979</v>
      </c>
      <c r="I558" s="149" t="str">
        <f t="shared" si="79"/>
        <v>Oct</v>
      </c>
      <c r="J558" s="216" t="str">
        <f t="shared" ca="1" si="80"/>
        <v/>
      </c>
      <c r="K558" s="149" t="s">
        <v>43</v>
      </c>
      <c r="L558" s="149"/>
      <c r="M558" s="11">
        <v>45979</v>
      </c>
      <c r="N558" s="152">
        <f t="shared" si="81"/>
        <v>20</v>
      </c>
      <c r="O558" s="12" t="str">
        <f t="shared" si="82"/>
        <v>Yes</v>
      </c>
      <c r="P558" s="158"/>
      <c r="Q558" s="157"/>
      <c r="R558" s="11" t="s">
        <v>39</v>
      </c>
      <c r="S558" s="158"/>
      <c r="T558" s="5" t="s">
        <v>40</v>
      </c>
      <c r="U558" s="6"/>
      <c r="V558" s="5" t="s">
        <v>87</v>
      </c>
      <c r="W558" s="5" t="s">
        <v>46</v>
      </c>
      <c r="X558" s="6"/>
      <c r="BB558" s="7" t="str">
        <v>Quarter 3</v>
      </c>
    </row>
    <row r="559" spans="1:54" ht="31.4" customHeight="1" x14ac:dyDescent="0.35">
      <c r="A559" s="210">
        <v>558</v>
      </c>
      <c r="B559" s="5" t="s">
        <v>6</v>
      </c>
      <c r="C559" s="5" t="s">
        <v>6</v>
      </c>
      <c r="D559" s="5" t="s">
        <v>1882</v>
      </c>
      <c r="E559" s="149">
        <v>45951</v>
      </c>
      <c r="F559" s="149">
        <f t="shared" si="83"/>
        <v>45952</v>
      </c>
      <c r="G559" s="149">
        <f t="shared" si="84"/>
        <v>45965</v>
      </c>
      <c r="H559" s="149">
        <f t="shared" si="85"/>
        <v>45979</v>
      </c>
      <c r="I559" s="149" t="str">
        <f t="shared" si="79"/>
        <v>Oct</v>
      </c>
      <c r="J559" s="216" t="str">
        <f t="shared" ca="1" si="80"/>
        <v/>
      </c>
      <c r="K559" s="149" t="s">
        <v>7</v>
      </c>
      <c r="L559" s="149"/>
      <c r="M559" s="11">
        <v>45967</v>
      </c>
      <c r="N559" s="152">
        <f t="shared" si="81"/>
        <v>12</v>
      </c>
      <c r="O559" s="12" t="str">
        <f t="shared" si="82"/>
        <v>Yes</v>
      </c>
      <c r="P559" s="158"/>
      <c r="Q559" s="157"/>
      <c r="R559" s="11" t="s">
        <v>39</v>
      </c>
      <c r="S559" s="158"/>
      <c r="T559" s="5" t="s">
        <v>40</v>
      </c>
      <c r="U559" s="6"/>
      <c r="V559" s="5"/>
      <c r="W559" s="5"/>
      <c r="X559" s="6"/>
      <c r="BB559" s="7" t="str">
        <v>Quarter 3</v>
      </c>
    </row>
    <row r="560" spans="1:54" ht="31.4" customHeight="1" x14ac:dyDescent="0.35">
      <c r="A560" s="210">
        <v>559</v>
      </c>
      <c r="B560" s="5" t="s">
        <v>6</v>
      </c>
      <c r="C560" s="5" t="s">
        <v>6</v>
      </c>
      <c r="D560" s="5" t="s">
        <v>686</v>
      </c>
      <c r="E560" s="149">
        <v>45952</v>
      </c>
      <c r="F560" s="149">
        <f t="shared" si="83"/>
        <v>45953</v>
      </c>
      <c r="G560" s="149">
        <f t="shared" si="84"/>
        <v>45966</v>
      </c>
      <c r="H560" s="149">
        <f t="shared" si="85"/>
        <v>45980</v>
      </c>
      <c r="I560" s="149" t="str">
        <f t="shared" ref="I560:I659" si="86">IF(ISBLANK($E560),"",TEXT($E560,"mmm"))</f>
        <v>Oct</v>
      </c>
      <c r="J560" s="216" t="str">
        <f t="shared" ca="1" si="80"/>
        <v/>
      </c>
      <c r="K560" s="149" t="s">
        <v>4</v>
      </c>
      <c r="L560" s="149"/>
      <c r="M560" s="11">
        <v>45952</v>
      </c>
      <c r="N560" s="152">
        <f t="shared" si="81"/>
        <v>0</v>
      </c>
      <c r="O560" s="12" t="str">
        <f t="shared" si="82"/>
        <v>Yes</v>
      </c>
      <c r="P560" s="158"/>
      <c r="Q560" s="157"/>
      <c r="R560" s="11" t="s">
        <v>39</v>
      </c>
      <c r="S560" s="158"/>
      <c r="T560" s="5" t="s">
        <v>51</v>
      </c>
      <c r="U560" s="6"/>
      <c r="V560" s="5" t="s">
        <v>87</v>
      </c>
      <c r="W560" s="5"/>
      <c r="X560" s="6"/>
      <c r="BB560" s="7" t="str">
        <v>Quarter 3</v>
      </c>
    </row>
    <row r="561" spans="1:54" ht="31.4" customHeight="1" x14ac:dyDescent="0.35">
      <c r="A561" s="210">
        <v>560</v>
      </c>
      <c r="B561" s="5" t="s">
        <v>55</v>
      </c>
      <c r="C561" s="5" t="s">
        <v>13</v>
      </c>
      <c r="D561" s="5" t="s">
        <v>768</v>
      </c>
      <c r="E561" s="149">
        <v>45952</v>
      </c>
      <c r="F561" s="149">
        <f t="shared" si="83"/>
        <v>45953</v>
      </c>
      <c r="G561" s="149">
        <f t="shared" si="84"/>
        <v>45966</v>
      </c>
      <c r="H561" s="149">
        <f t="shared" si="85"/>
        <v>45980</v>
      </c>
      <c r="I561" s="149" t="str">
        <f t="shared" si="86"/>
        <v>Oct</v>
      </c>
      <c r="J561" s="216" t="str">
        <f t="shared" ca="1" si="80"/>
        <v/>
      </c>
      <c r="K561" s="22" t="s">
        <v>4</v>
      </c>
      <c r="L561" s="149"/>
      <c r="M561" s="11">
        <v>45964</v>
      </c>
      <c r="N561" s="152">
        <f t="shared" si="81"/>
        <v>8</v>
      </c>
      <c r="O561" s="12" t="str">
        <f t="shared" si="82"/>
        <v>Yes</v>
      </c>
      <c r="P561" s="158"/>
      <c r="Q561" s="157"/>
      <c r="R561" s="11" t="s">
        <v>39</v>
      </c>
      <c r="S561" s="158"/>
      <c r="T561" s="5" t="s">
        <v>40</v>
      </c>
      <c r="U561" s="6"/>
      <c r="V561" s="5"/>
      <c r="W561" s="5" t="s">
        <v>46</v>
      </c>
      <c r="X561" s="6"/>
      <c r="BB561" s="7" t="str">
        <v>Quarter 3</v>
      </c>
    </row>
    <row r="562" spans="1:54" ht="31.4" customHeight="1" x14ac:dyDescent="0.35">
      <c r="A562" s="210">
        <v>561</v>
      </c>
      <c r="B562" s="8" t="s">
        <v>68</v>
      </c>
      <c r="C562" s="8" t="s">
        <v>9</v>
      </c>
      <c r="D562" s="8" t="s">
        <v>167</v>
      </c>
      <c r="E562" s="22">
        <v>45952</v>
      </c>
      <c r="F562" s="149">
        <f t="shared" si="83"/>
        <v>45953</v>
      </c>
      <c r="G562" s="149">
        <f t="shared" si="84"/>
        <v>45966</v>
      </c>
      <c r="H562" s="149">
        <f t="shared" si="85"/>
        <v>45980</v>
      </c>
      <c r="I562" s="149" t="str">
        <f t="shared" si="86"/>
        <v>Oct</v>
      </c>
      <c r="J562" s="216" t="str">
        <f t="shared" ca="1" si="80"/>
        <v/>
      </c>
      <c r="K562" s="22" t="s">
        <v>43</v>
      </c>
      <c r="L562" s="22"/>
      <c r="M562" s="11">
        <v>45953</v>
      </c>
      <c r="N562" s="152">
        <f t="shared" si="81"/>
        <v>1</v>
      </c>
      <c r="O562" s="12" t="str">
        <f t="shared" si="82"/>
        <v>Yes</v>
      </c>
      <c r="P562" s="158"/>
      <c r="Q562" s="157"/>
      <c r="R562" s="11" t="s">
        <v>39</v>
      </c>
      <c r="S562" s="158"/>
      <c r="T562" s="5" t="s">
        <v>40</v>
      </c>
      <c r="U562" s="6"/>
      <c r="V562" s="5" t="s">
        <v>54</v>
      </c>
      <c r="W562" s="5"/>
      <c r="X562" s="6"/>
      <c r="BB562" s="7" t="str">
        <v>Quarter 3</v>
      </c>
    </row>
    <row r="563" spans="1:54" ht="31.4" customHeight="1" x14ac:dyDescent="0.35">
      <c r="A563" s="210">
        <v>562</v>
      </c>
      <c r="B563" s="5" t="s">
        <v>769</v>
      </c>
      <c r="C563" s="5" t="s">
        <v>11</v>
      </c>
      <c r="D563" s="5" t="s">
        <v>770</v>
      </c>
      <c r="E563" s="149">
        <v>45953</v>
      </c>
      <c r="F563" s="149">
        <f t="shared" si="83"/>
        <v>45954</v>
      </c>
      <c r="G563" s="149">
        <f t="shared" si="84"/>
        <v>45967</v>
      </c>
      <c r="H563" s="149">
        <f t="shared" si="85"/>
        <v>45981</v>
      </c>
      <c r="I563" s="149" t="str">
        <f t="shared" si="86"/>
        <v>Oct</v>
      </c>
      <c r="J563" s="216" t="str">
        <f t="shared" ca="1" si="80"/>
        <v/>
      </c>
      <c r="K563" s="149" t="s">
        <v>4</v>
      </c>
      <c r="L563" s="149"/>
      <c r="M563" s="11">
        <v>45980</v>
      </c>
      <c r="N563" s="152">
        <f t="shared" si="81"/>
        <v>19</v>
      </c>
      <c r="O563" s="12" t="str">
        <f t="shared" si="82"/>
        <v>Yes</v>
      </c>
      <c r="P563" s="158"/>
      <c r="Q563" s="157"/>
      <c r="R563" s="11" t="s">
        <v>39</v>
      </c>
      <c r="S563" s="158"/>
      <c r="T563" s="5" t="s">
        <v>40</v>
      </c>
      <c r="U563" s="6"/>
      <c r="V563" s="5"/>
      <c r="W563" s="5"/>
      <c r="X563" s="6"/>
      <c r="BB563" s="7" t="str">
        <v>Quarter 3</v>
      </c>
    </row>
    <row r="564" spans="1:54" ht="31.4" customHeight="1" x14ac:dyDescent="0.35">
      <c r="A564" s="210">
        <v>563</v>
      </c>
      <c r="B564" s="5" t="s">
        <v>55</v>
      </c>
      <c r="C564" s="5" t="s">
        <v>13</v>
      </c>
      <c r="D564" s="5" t="s">
        <v>771</v>
      </c>
      <c r="E564" s="149">
        <v>45954</v>
      </c>
      <c r="F564" s="149">
        <f t="shared" si="83"/>
        <v>45957</v>
      </c>
      <c r="G564" s="149">
        <f t="shared" si="84"/>
        <v>45968</v>
      </c>
      <c r="H564" s="149">
        <f t="shared" si="85"/>
        <v>45982</v>
      </c>
      <c r="I564" s="149" t="str">
        <f t="shared" si="86"/>
        <v>Oct</v>
      </c>
      <c r="J564" s="216" t="str">
        <f t="shared" ca="1" si="80"/>
        <v/>
      </c>
      <c r="K564" s="149" t="s">
        <v>43</v>
      </c>
      <c r="L564" s="149"/>
      <c r="M564" s="11">
        <v>45968</v>
      </c>
      <c r="N564" s="152">
        <f t="shared" si="81"/>
        <v>10</v>
      </c>
      <c r="O564" s="12" t="str">
        <f t="shared" si="82"/>
        <v>Yes</v>
      </c>
      <c r="P564" s="158"/>
      <c r="Q564" s="157"/>
      <c r="R564" s="11" t="s">
        <v>39</v>
      </c>
      <c r="S564" s="158"/>
      <c r="T564" s="5" t="s">
        <v>40</v>
      </c>
      <c r="U564" s="6"/>
      <c r="V564" s="5"/>
      <c r="W564" s="5"/>
      <c r="X564" s="6"/>
      <c r="BB564" s="7" t="str">
        <v>Quarter 3</v>
      </c>
    </row>
    <row r="565" spans="1:54" ht="31.4" customHeight="1" x14ac:dyDescent="0.35">
      <c r="A565" s="210">
        <v>564</v>
      </c>
      <c r="B565" s="5" t="s">
        <v>6</v>
      </c>
      <c r="C565" s="5" t="s">
        <v>6</v>
      </c>
      <c r="D565" s="5" t="s">
        <v>772</v>
      </c>
      <c r="E565" s="149">
        <v>45954</v>
      </c>
      <c r="F565" s="149">
        <f t="shared" si="83"/>
        <v>45957</v>
      </c>
      <c r="G565" s="149">
        <f t="shared" si="84"/>
        <v>45968</v>
      </c>
      <c r="H565" s="149">
        <f t="shared" si="85"/>
        <v>45982</v>
      </c>
      <c r="I565" s="149" t="str">
        <f t="shared" si="86"/>
        <v>Oct</v>
      </c>
      <c r="J565" s="216" t="str">
        <f t="shared" ca="1" si="80"/>
        <v/>
      </c>
      <c r="K565" s="149" t="s">
        <v>4</v>
      </c>
      <c r="L565" s="149"/>
      <c r="M565" s="11">
        <v>45958</v>
      </c>
      <c r="N565" s="152">
        <f t="shared" si="81"/>
        <v>2</v>
      </c>
      <c r="O565" s="12" t="str">
        <f t="shared" si="82"/>
        <v>Yes</v>
      </c>
      <c r="P565" s="158"/>
      <c r="Q565" s="157"/>
      <c r="R565" s="11" t="s">
        <v>39</v>
      </c>
      <c r="S565" s="158"/>
      <c r="T565" s="5" t="s">
        <v>40</v>
      </c>
      <c r="U565" s="6"/>
      <c r="V565" s="5"/>
      <c r="W565" s="5"/>
      <c r="X565" s="6"/>
      <c r="BB565" s="7" t="str">
        <v>Quarter 3</v>
      </c>
    </row>
    <row r="566" spans="1:54" ht="31.4" customHeight="1" x14ac:dyDescent="0.35">
      <c r="A566" s="210">
        <v>565</v>
      </c>
      <c r="B566" s="5" t="s">
        <v>55</v>
      </c>
      <c r="C566" s="5" t="s">
        <v>13</v>
      </c>
      <c r="D566" s="5" t="s">
        <v>773</v>
      </c>
      <c r="E566" s="149">
        <v>45954</v>
      </c>
      <c r="F566" s="149">
        <f t="shared" si="83"/>
        <v>45957</v>
      </c>
      <c r="G566" s="149">
        <f t="shared" si="84"/>
        <v>45968</v>
      </c>
      <c r="H566" s="149">
        <f t="shared" si="85"/>
        <v>45982</v>
      </c>
      <c r="I566" s="149" t="str">
        <f t="shared" si="86"/>
        <v>Oct</v>
      </c>
      <c r="J566" s="216" t="str">
        <f t="shared" ca="1" si="80"/>
        <v/>
      </c>
      <c r="K566" s="149" t="s">
        <v>4</v>
      </c>
      <c r="L566" s="149"/>
      <c r="M566" s="11">
        <v>45974</v>
      </c>
      <c r="N566" s="152">
        <f t="shared" si="81"/>
        <v>14</v>
      </c>
      <c r="O566" s="12" t="str">
        <f t="shared" si="82"/>
        <v>Yes</v>
      </c>
      <c r="P566" s="158"/>
      <c r="Q566" s="157"/>
      <c r="R566" s="11" t="s">
        <v>39</v>
      </c>
      <c r="S566" s="158"/>
      <c r="T566" s="5" t="s">
        <v>40</v>
      </c>
      <c r="U566" s="6"/>
      <c r="V566" s="5"/>
      <c r="W566" s="5"/>
      <c r="X566" s="6"/>
      <c r="BB566" s="7" t="str">
        <v>Quarter 3</v>
      </c>
    </row>
    <row r="567" spans="1:54" ht="31.4" customHeight="1" x14ac:dyDescent="0.35">
      <c r="A567" s="210">
        <v>566</v>
      </c>
      <c r="B567" s="5" t="s">
        <v>162</v>
      </c>
      <c r="C567" s="5" t="s">
        <v>5</v>
      </c>
      <c r="D567" s="5" t="s">
        <v>774</v>
      </c>
      <c r="E567" s="149">
        <v>45957</v>
      </c>
      <c r="F567" s="149">
        <f t="shared" si="83"/>
        <v>45958</v>
      </c>
      <c r="G567" s="149">
        <f t="shared" si="84"/>
        <v>45971</v>
      </c>
      <c r="H567" s="149">
        <f t="shared" si="85"/>
        <v>45985</v>
      </c>
      <c r="I567" s="149" t="str">
        <f t="shared" si="86"/>
        <v>Oct</v>
      </c>
      <c r="J567" s="216" t="str">
        <f t="shared" ca="1" si="80"/>
        <v/>
      </c>
      <c r="K567" s="149" t="s">
        <v>4</v>
      </c>
      <c r="L567" s="149"/>
      <c r="M567" s="11">
        <v>45959</v>
      </c>
      <c r="N567" s="152">
        <f t="shared" si="81"/>
        <v>2</v>
      </c>
      <c r="O567" s="12" t="str">
        <f t="shared" si="82"/>
        <v>Yes</v>
      </c>
      <c r="P567" s="158"/>
      <c r="Q567" s="157"/>
      <c r="R567" s="11" t="s">
        <v>39</v>
      </c>
      <c r="S567" s="158"/>
      <c r="T567" s="5" t="s">
        <v>62</v>
      </c>
      <c r="U567" s="6"/>
      <c r="V567" s="5"/>
      <c r="W567" s="5"/>
      <c r="X567" s="6"/>
      <c r="BB567" s="7" t="str">
        <v>Quarter 3</v>
      </c>
    </row>
    <row r="568" spans="1:54" ht="31.4" customHeight="1" x14ac:dyDescent="0.35">
      <c r="A568" s="210">
        <v>567</v>
      </c>
      <c r="B568" s="5" t="s">
        <v>6</v>
      </c>
      <c r="C568" s="5" t="s">
        <v>6</v>
      </c>
      <c r="D568" s="5" t="s">
        <v>775</v>
      </c>
      <c r="E568" s="149">
        <v>45957</v>
      </c>
      <c r="F568" s="149">
        <f t="shared" si="83"/>
        <v>45958</v>
      </c>
      <c r="G568" s="149">
        <f t="shared" si="84"/>
        <v>45971</v>
      </c>
      <c r="H568" s="149">
        <f t="shared" si="85"/>
        <v>45985</v>
      </c>
      <c r="I568" s="149" t="str">
        <f t="shared" si="86"/>
        <v>Oct</v>
      </c>
      <c r="J568" s="216" t="str">
        <f t="shared" ca="1" si="80"/>
        <v/>
      </c>
      <c r="K568" s="149" t="s">
        <v>43</v>
      </c>
      <c r="L568" s="149"/>
      <c r="M568" s="11">
        <v>45968</v>
      </c>
      <c r="N568" s="152">
        <f t="shared" si="81"/>
        <v>9</v>
      </c>
      <c r="O568" s="12" t="str">
        <f t="shared" si="82"/>
        <v>Yes</v>
      </c>
      <c r="P568" s="158"/>
      <c r="Q568" s="157"/>
      <c r="R568" s="11" t="s">
        <v>39</v>
      </c>
      <c r="S568" s="158"/>
      <c r="T568" s="5" t="s">
        <v>45</v>
      </c>
      <c r="U568" s="6"/>
      <c r="V568" s="5" t="s">
        <v>80</v>
      </c>
      <c r="W568" s="5"/>
      <c r="X568" s="6"/>
      <c r="BB568" s="7" t="str">
        <v>Quarter 3</v>
      </c>
    </row>
    <row r="569" spans="1:54" ht="31.4" customHeight="1" x14ac:dyDescent="0.35">
      <c r="A569" s="210">
        <v>568</v>
      </c>
      <c r="B569" s="5" t="s">
        <v>6</v>
      </c>
      <c r="C569" s="5" t="s">
        <v>6</v>
      </c>
      <c r="D569" s="5" t="s">
        <v>776</v>
      </c>
      <c r="E569" s="149">
        <v>45957</v>
      </c>
      <c r="F569" s="149">
        <f t="shared" si="83"/>
        <v>45958</v>
      </c>
      <c r="G569" s="149">
        <f t="shared" si="84"/>
        <v>45971</v>
      </c>
      <c r="H569" s="149">
        <f t="shared" si="85"/>
        <v>45985</v>
      </c>
      <c r="I569" s="149" t="str">
        <f t="shared" si="86"/>
        <v>Oct</v>
      </c>
      <c r="J569" s="216" t="str">
        <f t="shared" ca="1" si="80"/>
        <v/>
      </c>
      <c r="K569" s="149" t="s">
        <v>43</v>
      </c>
      <c r="L569" s="149"/>
      <c r="M569" s="11">
        <v>45968</v>
      </c>
      <c r="N569" s="152">
        <f t="shared" si="81"/>
        <v>9</v>
      </c>
      <c r="O569" s="12" t="str">
        <f t="shared" si="82"/>
        <v>Yes</v>
      </c>
      <c r="P569" s="158"/>
      <c r="Q569" s="157"/>
      <c r="R569" s="11" t="s">
        <v>39</v>
      </c>
      <c r="S569" s="158"/>
      <c r="T569" s="5" t="s">
        <v>45</v>
      </c>
      <c r="U569" s="6"/>
      <c r="V569" s="5" t="s">
        <v>80</v>
      </c>
      <c r="W569" s="5"/>
      <c r="X569" s="6"/>
      <c r="BB569" s="7" t="str">
        <v>Quarter 3</v>
      </c>
    </row>
    <row r="570" spans="1:54" ht="31.4" customHeight="1" x14ac:dyDescent="0.35">
      <c r="A570" s="210">
        <v>569</v>
      </c>
      <c r="B570" s="5" t="s">
        <v>55</v>
      </c>
      <c r="C570" s="5" t="s">
        <v>13</v>
      </c>
      <c r="D570" s="5" t="s">
        <v>777</v>
      </c>
      <c r="E570" s="149">
        <v>45957</v>
      </c>
      <c r="F570" s="149">
        <f t="shared" si="83"/>
        <v>45958</v>
      </c>
      <c r="G570" s="149">
        <f t="shared" si="84"/>
        <v>45971</v>
      </c>
      <c r="H570" s="149">
        <f t="shared" si="85"/>
        <v>45985</v>
      </c>
      <c r="I570" s="149" t="str">
        <f t="shared" si="86"/>
        <v>Oct</v>
      </c>
      <c r="J570" s="216" t="str">
        <f t="shared" ca="1" si="80"/>
        <v/>
      </c>
      <c r="K570" s="149" t="s">
        <v>4</v>
      </c>
      <c r="L570" s="149"/>
      <c r="M570" s="11">
        <v>45957</v>
      </c>
      <c r="N570" s="152">
        <f t="shared" si="81"/>
        <v>0</v>
      </c>
      <c r="O570" s="12" t="str">
        <f t="shared" si="82"/>
        <v>Yes</v>
      </c>
      <c r="P570" s="158"/>
      <c r="Q570" s="157"/>
      <c r="R570" s="11" t="s">
        <v>39</v>
      </c>
      <c r="S570" s="158"/>
      <c r="T570" s="5" t="s">
        <v>62</v>
      </c>
      <c r="U570" s="6"/>
      <c r="V570" s="5"/>
      <c r="W570" s="5" t="s">
        <v>778</v>
      </c>
      <c r="X570" s="6"/>
      <c r="BB570" s="7" t="str">
        <v>Quarter 3</v>
      </c>
    </row>
    <row r="571" spans="1:54" ht="31.4" customHeight="1" x14ac:dyDescent="0.35">
      <c r="A571" s="210">
        <v>570</v>
      </c>
      <c r="B571" s="5" t="s">
        <v>6</v>
      </c>
      <c r="C571" s="5" t="s">
        <v>6</v>
      </c>
      <c r="D571" s="5" t="s">
        <v>779</v>
      </c>
      <c r="E571" s="149">
        <v>45957</v>
      </c>
      <c r="F571" s="149">
        <f t="shared" si="83"/>
        <v>45958</v>
      </c>
      <c r="G571" s="149">
        <f t="shared" si="84"/>
        <v>45971</v>
      </c>
      <c r="H571" s="149">
        <f t="shared" si="85"/>
        <v>45985</v>
      </c>
      <c r="I571" s="149" t="str">
        <f t="shared" si="86"/>
        <v>Oct</v>
      </c>
      <c r="J571" s="216" t="str">
        <f t="shared" ca="1" si="80"/>
        <v/>
      </c>
      <c r="K571" s="149" t="s">
        <v>43</v>
      </c>
      <c r="L571" s="149"/>
      <c r="M571" s="11">
        <v>45967</v>
      </c>
      <c r="N571" s="152">
        <f t="shared" si="81"/>
        <v>8</v>
      </c>
      <c r="O571" s="12" t="str">
        <f t="shared" si="82"/>
        <v>Yes</v>
      </c>
      <c r="P571" s="158"/>
      <c r="Q571" s="157"/>
      <c r="R571" s="11" t="s">
        <v>39</v>
      </c>
      <c r="S571" s="158"/>
      <c r="T571" s="5" t="s">
        <v>40</v>
      </c>
      <c r="U571" s="6"/>
      <c r="V571" s="5" t="s">
        <v>54</v>
      </c>
      <c r="W571" s="5"/>
      <c r="X571" s="6"/>
      <c r="BB571" s="7" t="str">
        <v>Quarter 3</v>
      </c>
    </row>
    <row r="572" spans="1:54" ht="31.4" customHeight="1" x14ac:dyDescent="0.35">
      <c r="A572" s="210">
        <v>571</v>
      </c>
      <c r="B572" s="5" t="s">
        <v>6</v>
      </c>
      <c r="C572" s="5" t="s">
        <v>6</v>
      </c>
      <c r="D572" s="5" t="s">
        <v>780</v>
      </c>
      <c r="E572" s="149">
        <v>45957</v>
      </c>
      <c r="F572" s="149">
        <f t="shared" si="83"/>
        <v>45958</v>
      </c>
      <c r="G572" s="149">
        <f t="shared" si="84"/>
        <v>45971</v>
      </c>
      <c r="H572" s="149">
        <f t="shared" si="85"/>
        <v>45985</v>
      </c>
      <c r="I572" s="149" t="str">
        <f t="shared" si="86"/>
        <v>Oct</v>
      </c>
      <c r="J572" s="216" t="str">
        <f t="shared" ca="1" si="80"/>
        <v/>
      </c>
      <c r="K572" s="149" t="s">
        <v>4</v>
      </c>
      <c r="L572" s="149"/>
      <c r="M572" s="11">
        <v>45959</v>
      </c>
      <c r="N572" s="152">
        <f t="shared" si="81"/>
        <v>2</v>
      </c>
      <c r="O572" s="12" t="str">
        <f t="shared" si="82"/>
        <v>Yes</v>
      </c>
      <c r="P572" s="158"/>
      <c r="Q572" s="157"/>
      <c r="R572" s="11" t="s">
        <v>39</v>
      </c>
      <c r="S572" s="158"/>
      <c r="T572" s="5" t="s">
        <v>51</v>
      </c>
      <c r="U572" s="6"/>
      <c r="V572" s="5" t="s">
        <v>53</v>
      </c>
      <c r="W572" s="5"/>
      <c r="X572" s="6"/>
      <c r="BB572" s="7" t="str">
        <v>Quarter 3</v>
      </c>
    </row>
    <row r="573" spans="1:54" ht="31.4" customHeight="1" x14ac:dyDescent="0.35">
      <c r="A573" s="210">
        <v>572</v>
      </c>
      <c r="B573" s="5" t="s">
        <v>55</v>
      </c>
      <c r="C573" s="5" t="s">
        <v>13</v>
      </c>
      <c r="D573" s="5" t="s">
        <v>781</v>
      </c>
      <c r="E573" s="149">
        <v>45957</v>
      </c>
      <c r="F573" s="149">
        <f t="shared" si="83"/>
        <v>45958</v>
      </c>
      <c r="G573" s="149">
        <f t="shared" si="84"/>
        <v>45971</v>
      </c>
      <c r="H573" s="149">
        <f t="shared" si="85"/>
        <v>45985</v>
      </c>
      <c r="I573" s="149" t="str">
        <f t="shared" si="86"/>
        <v>Oct</v>
      </c>
      <c r="J573" s="216" t="str">
        <f t="shared" ca="1" si="80"/>
        <v/>
      </c>
      <c r="K573" s="149" t="s">
        <v>7</v>
      </c>
      <c r="L573" s="149"/>
      <c r="M573" s="11">
        <v>45958</v>
      </c>
      <c r="N573" s="152">
        <f t="shared" si="81"/>
        <v>1</v>
      </c>
      <c r="O573" s="12" t="str">
        <f t="shared" si="82"/>
        <v>Yes</v>
      </c>
      <c r="P573" s="158"/>
      <c r="Q573" s="157"/>
      <c r="R573" s="11" t="s">
        <v>39</v>
      </c>
      <c r="S573" s="158"/>
      <c r="T573" s="5" t="s">
        <v>62</v>
      </c>
      <c r="U573" s="6"/>
      <c r="V573" s="5"/>
      <c r="W573" s="5"/>
      <c r="X573" s="6"/>
      <c r="BB573" s="7" t="str">
        <v>Quarter 3</v>
      </c>
    </row>
    <row r="574" spans="1:54" ht="31.4" customHeight="1" x14ac:dyDescent="0.35">
      <c r="A574" s="210">
        <v>573</v>
      </c>
      <c r="B574" s="5" t="s">
        <v>6</v>
      </c>
      <c r="C574" s="5" t="s">
        <v>6</v>
      </c>
      <c r="D574" s="5" t="s">
        <v>167</v>
      </c>
      <c r="E574" s="149">
        <v>45957</v>
      </c>
      <c r="F574" s="149">
        <f t="shared" si="83"/>
        <v>45958</v>
      </c>
      <c r="G574" s="149">
        <f t="shared" si="84"/>
        <v>45971</v>
      </c>
      <c r="H574" s="149">
        <f t="shared" si="85"/>
        <v>45985</v>
      </c>
      <c r="I574" s="149" t="str">
        <f t="shared" si="86"/>
        <v>Oct</v>
      </c>
      <c r="J574" s="216" t="str">
        <f t="shared" ca="1" si="80"/>
        <v/>
      </c>
      <c r="K574" s="149" t="s">
        <v>43</v>
      </c>
      <c r="L574" s="149"/>
      <c r="M574" s="11">
        <v>45971</v>
      </c>
      <c r="N574" s="152">
        <f t="shared" si="81"/>
        <v>10</v>
      </c>
      <c r="O574" s="12" t="str">
        <f t="shared" si="82"/>
        <v>Yes</v>
      </c>
      <c r="P574" s="158"/>
      <c r="Q574" s="157"/>
      <c r="R574" s="11" t="s">
        <v>39</v>
      </c>
      <c r="S574" s="158"/>
      <c r="T574" s="5" t="s">
        <v>40</v>
      </c>
      <c r="U574" s="6"/>
      <c r="V574" s="5" t="s">
        <v>54</v>
      </c>
      <c r="W574" s="5"/>
      <c r="X574" s="6"/>
      <c r="BB574" s="7" t="str">
        <v>Quarter 3</v>
      </c>
    </row>
    <row r="575" spans="1:54" ht="31.4" customHeight="1" x14ac:dyDescent="0.35">
      <c r="A575" s="210">
        <v>574</v>
      </c>
      <c r="B575" s="5" t="s">
        <v>55</v>
      </c>
      <c r="C575" s="5" t="s">
        <v>13</v>
      </c>
      <c r="D575" s="5" t="s">
        <v>782</v>
      </c>
      <c r="E575" s="149">
        <v>45957</v>
      </c>
      <c r="F575" s="149">
        <f t="shared" si="83"/>
        <v>45958</v>
      </c>
      <c r="G575" s="149">
        <f t="shared" si="84"/>
        <v>45971</v>
      </c>
      <c r="H575" s="149">
        <f t="shared" si="85"/>
        <v>45985</v>
      </c>
      <c r="I575" s="149" t="str">
        <f t="shared" si="86"/>
        <v>Oct</v>
      </c>
      <c r="J575" s="216" t="str">
        <f t="shared" ca="1" si="80"/>
        <v/>
      </c>
      <c r="K575" s="149" t="s">
        <v>43</v>
      </c>
      <c r="L575" s="149"/>
      <c r="M575" s="11">
        <v>45958</v>
      </c>
      <c r="N575" s="152">
        <f t="shared" si="81"/>
        <v>1</v>
      </c>
      <c r="O575" s="12" t="str">
        <f t="shared" si="82"/>
        <v>Yes</v>
      </c>
      <c r="P575" s="158"/>
      <c r="Q575" s="157"/>
      <c r="R575" s="11" t="s">
        <v>39</v>
      </c>
      <c r="S575" s="158"/>
      <c r="T575" s="5" t="s">
        <v>40</v>
      </c>
      <c r="U575" s="6"/>
      <c r="V575" s="5"/>
      <c r="W575" s="5"/>
      <c r="X575" s="6"/>
      <c r="BB575" s="7" t="str">
        <v>Quarter 3</v>
      </c>
    </row>
    <row r="576" spans="1:54" ht="31.4" customHeight="1" x14ac:dyDescent="0.35">
      <c r="A576" s="210">
        <v>575</v>
      </c>
      <c r="B576" s="5" t="s">
        <v>783</v>
      </c>
      <c r="C576" s="5" t="s">
        <v>9</v>
      </c>
      <c r="D576" s="5" t="s">
        <v>784</v>
      </c>
      <c r="E576" s="149">
        <v>45957</v>
      </c>
      <c r="F576" s="149">
        <f t="shared" si="83"/>
        <v>45958</v>
      </c>
      <c r="G576" s="149">
        <f t="shared" si="84"/>
        <v>45971</v>
      </c>
      <c r="H576" s="149">
        <f t="shared" si="85"/>
        <v>45985</v>
      </c>
      <c r="I576" s="149" t="str">
        <f t="shared" si="86"/>
        <v>Oct</v>
      </c>
      <c r="J576" s="216" t="str">
        <f t="shared" ca="1" si="80"/>
        <v/>
      </c>
      <c r="K576" s="149" t="s">
        <v>7</v>
      </c>
      <c r="L576" s="149"/>
      <c r="M576" s="11">
        <v>45968</v>
      </c>
      <c r="N576" s="152">
        <f t="shared" si="81"/>
        <v>9</v>
      </c>
      <c r="O576" s="12" t="str">
        <f t="shared" si="82"/>
        <v>Yes</v>
      </c>
      <c r="P576" s="158"/>
      <c r="Q576" s="157"/>
      <c r="R576" s="11" t="s">
        <v>39</v>
      </c>
      <c r="S576" s="158"/>
      <c r="T576" s="5" t="s">
        <v>40</v>
      </c>
      <c r="U576" s="6"/>
      <c r="V576" s="5"/>
      <c r="W576" s="5" t="s">
        <v>46</v>
      </c>
      <c r="X576" s="6"/>
      <c r="BB576" s="7" t="str">
        <v>Quarter 3</v>
      </c>
    </row>
    <row r="577" spans="1:54" ht="31.4" customHeight="1" x14ac:dyDescent="0.35">
      <c r="A577" s="210">
        <v>576</v>
      </c>
      <c r="B577" s="5" t="s">
        <v>237</v>
      </c>
      <c r="C577" s="5" t="s">
        <v>14</v>
      </c>
      <c r="D577" s="5" t="s">
        <v>785</v>
      </c>
      <c r="E577" s="149">
        <v>45957</v>
      </c>
      <c r="F577" s="149">
        <f t="shared" si="83"/>
        <v>45958</v>
      </c>
      <c r="G577" s="149">
        <f t="shared" si="84"/>
        <v>45971</v>
      </c>
      <c r="H577" s="149">
        <f t="shared" si="85"/>
        <v>45985</v>
      </c>
      <c r="I577" s="149" t="str">
        <f t="shared" si="86"/>
        <v>Oct</v>
      </c>
      <c r="J577" s="216" t="str">
        <f t="shared" ca="1" si="80"/>
        <v/>
      </c>
      <c r="K577" s="149" t="s">
        <v>4</v>
      </c>
      <c r="L577" s="149"/>
      <c r="M577" s="11">
        <v>45964</v>
      </c>
      <c r="N577" s="152">
        <f t="shared" si="81"/>
        <v>5</v>
      </c>
      <c r="O577" s="12" t="str">
        <f t="shared" si="82"/>
        <v>Yes</v>
      </c>
      <c r="P577" s="158"/>
      <c r="Q577" s="157"/>
      <c r="R577" s="11" t="s">
        <v>39</v>
      </c>
      <c r="S577" s="158"/>
      <c r="T577" s="5" t="s">
        <v>40</v>
      </c>
      <c r="U577" s="6"/>
      <c r="V577" s="5"/>
      <c r="W577" s="5"/>
      <c r="X577" s="6"/>
      <c r="BB577" s="7" t="str">
        <v>Quarter 3</v>
      </c>
    </row>
    <row r="578" spans="1:54" ht="31.4" customHeight="1" x14ac:dyDescent="0.35">
      <c r="A578" s="210">
        <v>577</v>
      </c>
      <c r="B578" s="5" t="s">
        <v>6</v>
      </c>
      <c r="C578" s="5" t="s">
        <v>6</v>
      </c>
      <c r="D578" s="5" t="s">
        <v>786</v>
      </c>
      <c r="E578" s="149">
        <v>45958</v>
      </c>
      <c r="F578" s="149">
        <f t="shared" si="83"/>
        <v>45959</v>
      </c>
      <c r="G578" s="149">
        <f t="shared" si="84"/>
        <v>45972</v>
      </c>
      <c r="H578" s="149">
        <f t="shared" si="85"/>
        <v>45986</v>
      </c>
      <c r="I578" s="149" t="str">
        <f t="shared" si="86"/>
        <v>Oct</v>
      </c>
      <c r="J578" s="216" t="str">
        <f t="shared" ref="J578:J641" ca="1" si="87">IF($E578="","",IF($M578="",$H578-TODAY(),""))</f>
        <v/>
      </c>
      <c r="K578" s="149" t="s">
        <v>3</v>
      </c>
      <c r="L578" s="149"/>
      <c r="M578" s="11">
        <v>45968</v>
      </c>
      <c r="N578" s="152">
        <f t="shared" ref="N578:N641" si="88">IF($M578="","",NETWORKDAYS($E578,$M578,$Z$33:$Z$47)-1)</f>
        <v>8</v>
      </c>
      <c r="O578" s="12" t="str">
        <f t="shared" si="82"/>
        <v>Yes</v>
      </c>
      <c r="P578" s="158"/>
      <c r="Q578" s="157"/>
      <c r="R578" s="11" t="s">
        <v>39</v>
      </c>
      <c r="S578" s="158"/>
      <c r="T578" s="5" t="s">
        <v>40</v>
      </c>
      <c r="U578" s="6"/>
      <c r="V578" s="5" t="s">
        <v>54</v>
      </c>
      <c r="W578" s="5"/>
      <c r="X578" s="6"/>
      <c r="BB578" s="7" t="str">
        <v>Quarter 3</v>
      </c>
    </row>
    <row r="579" spans="1:54" ht="31.4" customHeight="1" x14ac:dyDescent="0.35">
      <c r="A579" s="210">
        <v>578</v>
      </c>
      <c r="B579" s="5" t="s">
        <v>55</v>
      </c>
      <c r="C579" s="5" t="s">
        <v>13</v>
      </c>
      <c r="D579" s="5" t="s">
        <v>787</v>
      </c>
      <c r="E579" s="149">
        <v>45958</v>
      </c>
      <c r="F579" s="149">
        <f t="shared" si="83"/>
        <v>45959</v>
      </c>
      <c r="G579" s="149">
        <f t="shared" si="84"/>
        <v>45972</v>
      </c>
      <c r="H579" s="149">
        <f t="shared" si="85"/>
        <v>45986</v>
      </c>
      <c r="I579" s="149" t="str">
        <f t="shared" si="86"/>
        <v>Oct</v>
      </c>
      <c r="J579" s="216" t="str">
        <f t="shared" ca="1" si="87"/>
        <v/>
      </c>
      <c r="K579" s="149" t="s">
        <v>43</v>
      </c>
      <c r="L579" s="149"/>
      <c r="M579" s="11">
        <v>45964</v>
      </c>
      <c r="N579" s="152">
        <f t="shared" si="88"/>
        <v>4</v>
      </c>
      <c r="O579" s="12" t="str">
        <f t="shared" ref="O579:O642" si="89">IF(ISBLANK($M579),"",IF($N579&lt;21,"Yes","No"))</f>
        <v>Yes</v>
      </c>
      <c r="P579" s="158"/>
      <c r="Q579" s="157"/>
      <c r="R579" s="11" t="s">
        <v>39</v>
      </c>
      <c r="S579" s="158"/>
      <c r="T579" s="5" t="s">
        <v>40</v>
      </c>
      <c r="U579" s="6"/>
      <c r="V579" s="5"/>
      <c r="W579" s="5"/>
      <c r="X579" s="6"/>
      <c r="BB579" s="7" t="str">
        <v>Quarter 3</v>
      </c>
    </row>
    <row r="580" spans="1:54" ht="31.4" customHeight="1" x14ac:dyDescent="0.35">
      <c r="A580" s="210">
        <v>579</v>
      </c>
      <c r="B580" s="5" t="s">
        <v>297</v>
      </c>
      <c r="C580" s="5" t="s">
        <v>5</v>
      </c>
      <c r="D580" s="5" t="s">
        <v>580</v>
      </c>
      <c r="E580" s="149">
        <v>45958</v>
      </c>
      <c r="F580" s="149">
        <f t="shared" si="83"/>
        <v>45959</v>
      </c>
      <c r="G580" s="149">
        <f t="shared" si="84"/>
        <v>45972</v>
      </c>
      <c r="H580" s="149">
        <f t="shared" si="85"/>
        <v>45986</v>
      </c>
      <c r="I580" s="149" t="str">
        <f t="shared" si="86"/>
        <v>Oct</v>
      </c>
      <c r="J580" s="216" t="str">
        <f t="shared" ca="1" si="87"/>
        <v/>
      </c>
      <c r="K580" s="149" t="s">
        <v>43</v>
      </c>
      <c r="L580" s="149"/>
      <c r="M580" s="11">
        <v>45965</v>
      </c>
      <c r="N580" s="152">
        <f t="shared" si="88"/>
        <v>5</v>
      </c>
      <c r="O580" s="12" t="str">
        <f t="shared" si="89"/>
        <v>Yes</v>
      </c>
      <c r="P580" s="158"/>
      <c r="Q580" s="157"/>
      <c r="R580" s="11" t="s">
        <v>39</v>
      </c>
      <c r="S580" s="158"/>
      <c r="T580" s="5" t="s">
        <v>40</v>
      </c>
      <c r="U580" s="6"/>
      <c r="V580" s="5"/>
      <c r="W580" s="5"/>
      <c r="X580" s="6"/>
      <c r="BB580" s="7" t="str">
        <v>Quarter 3</v>
      </c>
    </row>
    <row r="581" spans="1:54" ht="31.4" customHeight="1" x14ac:dyDescent="0.35">
      <c r="A581" s="210">
        <v>580</v>
      </c>
      <c r="B581" s="5" t="s">
        <v>788</v>
      </c>
      <c r="C581" s="5" t="s">
        <v>9</v>
      </c>
      <c r="D581" s="5" t="s">
        <v>789</v>
      </c>
      <c r="E581" s="149">
        <v>45958</v>
      </c>
      <c r="F581" s="149">
        <f t="shared" si="83"/>
        <v>45959</v>
      </c>
      <c r="G581" s="149">
        <f t="shared" si="84"/>
        <v>45972</v>
      </c>
      <c r="H581" s="149">
        <f t="shared" si="85"/>
        <v>45986</v>
      </c>
      <c r="I581" s="149" t="str">
        <f t="shared" si="86"/>
        <v>Oct</v>
      </c>
      <c r="J581" s="216" t="str">
        <f t="shared" ca="1" si="87"/>
        <v/>
      </c>
      <c r="K581" s="149" t="s">
        <v>3</v>
      </c>
      <c r="L581" s="149"/>
      <c r="M581" s="11">
        <v>45986</v>
      </c>
      <c r="N581" s="152">
        <f t="shared" si="88"/>
        <v>20</v>
      </c>
      <c r="O581" s="12" t="str">
        <f t="shared" si="89"/>
        <v>Yes</v>
      </c>
      <c r="P581" s="158"/>
      <c r="Q581" s="157"/>
      <c r="R581" s="11" t="s">
        <v>39</v>
      </c>
      <c r="S581" s="158"/>
      <c r="T581" s="5" t="s">
        <v>40</v>
      </c>
      <c r="U581" s="6"/>
      <c r="V581" s="5"/>
      <c r="W581" s="5"/>
      <c r="X581" s="6"/>
      <c r="BB581" s="7" t="str">
        <v>Quarter 3</v>
      </c>
    </row>
    <row r="582" spans="1:54" ht="31.4" customHeight="1" x14ac:dyDescent="0.35">
      <c r="A582" s="210">
        <v>581</v>
      </c>
      <c r="B582" s="5" t="s">
        <v>790</v>
      </c>
      <c r="C582" s="5" t="s">
        <v>12</v>
      </c>
      <c r="D582" s="5" t="s">
        <v>791</v>
      </c>
      <c r="E582" s="149">
        <v>45958</v>
      </c>
      <c r="F582" s="149">
        <f t="shared" si="83"/>
        <v>45959</v>
      </c>
      <c r="G582" s="149">
        <f t="shared" si="84"/>
        <v>45972</v>
      </c>
      <c r="H582" s="149">
        <f t="shared" si="85"/>
        <v>45986</v>
      </c>
      <c r="I582" s="149" t="str">
        <f t="shared" si="86"/>
        <v>Oct</v>
      </c>
      <c r="J582" s="216" t="str">
        <f t="shared" ca="1" si="87"/>
        <v/>
      </c>
      <c r="K582" s="149" t="s">
        <v>43</v>
      </c>
      <c r="L582" s="149"/>
      <c r="M582" s="11">
        <v>45959</v>
      </c>
      <c r="N582" s="152">
        <f t="shared" si="88"/>
        <v>1</v>
      </c>
      <c r="O582" s="12" t="str">
        <f t="shared" si="89"/>
        <v>Yes</v>
      </c>
      <c r="P582" s="158"/>
      <c r="Q582" s="157"/>
      <c r="R582" s="11" t="s">
        <v>39</v>
      </c>
      <c r="S582" s="158"/>
      <c r="T582" s="5" t="s">
        <v>40</v>
      </c>
      <c r="U582" s="6"/>
      <c r="V582" s="5"/>
      <c r="W582" s="5"/>
      <c r="X582" s="6"/>
      <c r="BB582" s="7" t="str">
        <v>Quarter 3</v>
      </c>
    </row>
    <row r="583" spans="1:54" ht="31.4" customHeight="1" x14ac:dyDescent="0.35">
      <c r="A583" s="210">
        <v>582</v>
      </c>
      <c r="B583" s="5" t="s">
        <v>55</v>
      </c>
      <c r="C583" s="5" t="s">
        <v>13</v>
      </c>
      <c r="D583" s="5" t="s">
        <v>792</v>
      </c>
      <c r="E583" s="149">
        <v>45958</v>
      </c>
      <c r="F583" s="149">
        <f t="shared" si="83"/>
        <v>45959</v>
      </c>
      <c r="G583" s="149">
        <f t="shared" si="84"/>
        <v>45972</v>
      </c>
      <c r="H583" s="149">
        <f t="shared" si="85"/>
        <v>45986</v>
      </c>
      <c r="I583" s="149" t="str">
        <f t="shared" si="86"/>
        <v>Oct</v>
      </c>
      <c r="J583" s="216" t="str">
        <f t="shared" ca="1" si="87"/>
        <v/>
      </c>
      <c r="K583" s="149" t="s">
        <v>43</v>
      </c>
      <c r="L583" s="149"/>
      <c r="M583" s="11">
        <v>45960</v>
      </c>
      <c r="N583" s="152">
        <f t="shared" si="88"/>
        <v>2</v>
      </c>
      <c r="O583" s="12" t="str">
        <f t="shared" si="89"/>
        <v>Yes</v>
      </c>
      <c r="P583" s="158"/>
      <c r="Q583" s="157"/>
      <c r="R583" s="11" t="s">
        <v>39</v>
      </c>
      <c r="S583" s="158"/>
      <c r="T583" s="5" t="s">
        <v>40</v>
      </c>
      <c r="U583" s="6"/>
      <c r="V583" s="5"/>
      <c r="W583" s="5"/>
      <c r="X583" s="6"/>
      <c r="BB583" s="7" t="str">
        <v>Quarter 3</v>
      </c>
    </row>
    <row r="584" spans="1:54" ht="31.4" customHeight="1" x14ac:dyDescent="0.35">
      <c r="A584" s="210">
        <v>583</v>
      </c>
      <c r="B584" s="5" t="s">
        <v>6</v>
      </c>
      <c r="C584" s="5" t="s">
        <v>6</v>
      </c>
      <c r="D584" s="5" t="s">
        <v>793</v>
      </c>
      <c r="E584" s="149">
        <v>45958</v>
      </c>
      <c r="F584" s="149">
        <f t="shared" si="83"/>
        <v>45959</v>
      </c>
      <c r="G584" s="149">
        <f t="shared" si="84"/>
        <v>45972</v>
      </c>
      <c r="H584" s="149">
        <f t="shared" si="85"/>
        <v>45986</v>
      </c>
      <c r="I584" s="149" t="str">
        <f t="shared" si="86"/>
        <v>Oct</v>
      </c>
      <c r="J584" s="216" t="str">
        <f t="shared" ca="1" si="87"/>
        <v/>
      </c>
      <c r="K584" s="149" t="s">
        <v>7</v>
      </c>
      <c r="L584" s="149"/>
      <c r="M584" s="11">
        <v>45966</v>
      </c>
      <c r="N584" s="152">
        <f t="shared" si="88"/>
        <v>6</v>
      </c>
      <c r="O584" s="12" t="str">
        <f t="shared" si="89"/>
        <v>Yes</v>
      </c>
      <c r="P584" s="158"/>
      <c r="Q584" s="157"/>
      <c r="R584" s="11" t="s">
        <v>39</v>
      </c>
      <c r="S584" s="158"/>
      <c r="T584" s="5" t="s">
        <v>40</v>
      </c>
      <c r="U584" s="6"/>
      <c r="V584" s="5" t="s">
        <v>54</v>
      </c>
      <c r="W584" s="5"/>
      <c r="X584" s="6"/>
      <c r="BB584" s="7" t="str">
        <v>Quarter 3</v>
      </c>
    </row>
    <row r="585" spans="1:54" ht="31.4" customHeight="1" x14ac:dyDescent="0.35">
      <c r="A585" s="210">
        <v>584</v>
      </c>
      <c r="B585" s="5" t="s">
        <v>794</v>
      </c>
      <c r="C585" s="5" t="s">
        <v>9</v>
      </c>
      <c r="D585" s="5" t="s">
        <v>795</v>
      </c>
      <c r="E585" s="149"/>
      <c r="F585" s="149" t="str">
        <f t="shared" si="83"/>
        <v/>
      </c>
      <c r="G585" s="149" t="str">
        <f t="shared" si="84"/>
        <v/>
      </c>
      <c r="H585" s="149" t="str">
        <f t="shared" si="85"/>
        <v/>
      </c>
      <c r="I585" s="149" t="s">
        <v>765</v>
      </c>
      <c r="J585" s="216" t="str">
        <f t="shared" ca="1" si="87"/>
        <v/>
      </c>
      <c r="K585" s="149" t="s">
        <v>3</v>
      </c>
      <c r="L585" s="149"/>
      <c r="M585" s="11"/>
      <c r="N585" s="152" t="str">
        <f t="shared" si="88"/>
        <v/>
      </c>
      <c r="O585" s="12" t="str">
        <f t="shared" si="89"/>
        <v/>
      </c>
      <c r="P585" s="158"/>
      <c r="Q585" s="157"/>
      <c r="R585" s="11" t="s">
        <v>52</v>
      </c>
      <c r="S585" s="158"/>
      <c r="T585" s="5" t="s">
        <v>52</v>
      </c>
      <c r="U585" s="6"/>
      <c r="V585" s="5"/>
      <c r="W585" s="5"/>
      <c r="X585" s="6"/>
      <c r="BB585" s="7" t="str">
        <v>Quarter 3</v>
      </c>
    </row>
    <row r="586" spans="1:54" ht="31.4" customHeight="1" x14ac:dyDescent="0.35">
      <c r="A586" s="210">
        <v>585</v>
      </c>
      <c r="B586" s="5" t="s">
        <v>162</v>
      </c>
      <c r="C586" s="5" t="s">
        <v>5</v>
      </c>
      <c r="D586" s="5" t="s">
        <v>796</v>
      </c>
      <c r="E586" s="149">
        <v>45959</v>
      </c>
      <c r="F586" s="149">
        <f t="shared" si="83"/>
        <v>45960</v>
      </c>
      <c r="G586" s="149">
        <f t="shared" si="84"/>
        <v>45973</v>
      </c>
      <c r="H586" s="149">
        <f t="shared" si="85"/>
        <v>45987</v>
      </c>
      <c r="I586" s="149" t="str">
        <f t="shared" si="86"/>
        <v>Oct</v>
      </c>
      <c r="J586" s="216" t="str">
        <f t="shared" ca="1" si="87"/>
        <v/>
      </c>
      <c r="K586" s="149" t="s">
        <v>4</v>
      </c>
      <c r="L586" s="149"/>
      <c r="M586" s="11">
        <v>45959</v>
      </c>
      <c r="N586" s="152">
        <f t="shared" si="88"/>
        <v>0</v>
      </c>
      <c r="O586" s="12" t="str">
        <f t="shared" si="89"/>
        <v>Yes</v>
      </c>
      <c r="P586" s="158"/>
      <c r="Q586" s="157"/>
      <c r="R586" s="11" t="s">
        <v>39</v>
      </c>
      <c r="S586" s="158"/>
      <c r="T586" s="5" t="s">
        <v>62</v>
      </c>
      <c r="U586" s="6"/>
      <c r="V586" s="5"/>
      <c r="W586" s="5"/>
      <c r="X586" s="6"/>
      <c r="BB586" s="7" t="str">
        <v>Quarter 3</v>
      </c>
    </row>
    <row r="587" spans="1:54" ht="31.4" customHeight="1" x14ac:dyDescent="0.35">
      <c r="A587" s="210">
        <v>586</v>
      </c>
      <c r="B587" s="5" t="s">
        <v>6</v>
      </c>
      <c r="C587" s="65" t="s">
        <v>6</v>
      </c>
      <c r="D587" s="5" t="s">
        <v>797</v>
      </c>
      <c r="E587" s="149">
        <v>45959</v>
      </c>
      <c r="F587" s="149">
        <f t="shared" si="83"/>
        <v>45960</v>
      </c>
      <c r="G587" s="149">
        <f t="shared" si="84"/>
        <v>45973</v>
      </c>
      <c r="H587" s="149">
        <f t="shared" si="85"/>
        <v>45987</v>
      </c>
      <c r="I587" s="149" t="str">
        <f t="shared" si="86"/>
        <v>Oct</v>
      </c>
      <c r="J587" s="216" t="str">
        <f t="shared" ca="1" si="87"/>
        <v/>
      </c>
      <c r="K587" s="149" t="s">
        <v>4</v>
      </c>
      <c r="L587" s="149"/>
      <c r="M587" s="11">
        <v>45974</v>
      </c>
      <c r="N587" s="152">
        <f t="shared" si="88"/>
        <v>11</v>
      </c>
      <c r="O587" s="12" t="str">
        <f t="shared" si="89"/>
        <v>Yes</v>
      </c>
      <c r="P587" s="158"/>
      <c r="Q587" s="157"/>
      <c r="R587" s="11" t="s">
        <v>39</v>
      </c>
      <c r="S587" s="158"/>
      <c r="T587" s="5" t="s">
        <v>40</v>
      </c>
      <c r="U587" s="6"/>
      <c r="V587" s="5"/>
      <c r="W587" s="5"/>
      <c r="X587" s="6"/>
      <c r="BB587" s="7" t="str">
        <v>Quarter 3</v>
      </c>
    </row>
    <row r="588" spans="1:54" ht="31.4" customHeight="1" x14ac:dyDescent="0.35">
      <c r="A588" s="210">
        <v>587</v>
      </c>
      <c r="B588" s="5" t="s">
        <v>798</v>
      </c>
      <c r="C588" s="5" t="s">
        <v>5</v>
      </c>
      <c r="D588" s="5" t="s">
        <v>799</v>
      </c>
      <c r="E588" s="149">
        <v>45959</v>
      </c>
      <c r="F588" s="149">
        <f t="shared" si="83"/>
        <v>45960</v>
      </c>
      <c r="G588" s="149">
        <f t="shared" si="84"/>
        <v>45973</v>
      </c>
      <c r="H588" s="149">
        <f t="shared" si="85"/>
        <v>45987</v>
      </c>
      <c r="I588" s="149" t="str">
        <f t="shared" si="86"/>
        <v>Oct</v>
      </c>
      <c r="J588" s="216" t="str">
        <f t="shared" ca="1" si="87"/>
        <v/>
      </c>
      <c r="K588" s="149" t="s">
        <v>7</v>
      </c>
      <c r="L588" s="149"/>
      <c r="M588" s="11">
        <v>45959</v>
      </c>
      <c r="N588" s="152">
        <f t="shared" si="88"/>
        <v>0</v>
      </c>
      <c r="O588" s="12" t="str">
        <f t="shared" si="89"/>
        <v>Yes</v>
      </c>
      <c r="P588" s="158"/>
      <c r="Q588" s="157"/>
      <c r="R588" s="11" t="s">
        <v>39</v>
      </c>
      <c r="S588" s="158"/>
      <c r="T588" s="5" t="s">
        <v>40</v>
      </c>
      <c r="U588" s="6"/>
      <c r="V588" s="5"/>
      <c r="W588" s="5"/>
      <c r="X588" s="6"/>
      <c r="BB588" s="7" t="str">
        <v>Quarter 3</v>
      </c>
    </row>
    <row r="589" spans="1:54" ht="31.4" customHeight="1" x14ac:dyDescent="0.35">
      <c r="A589" s="210">
        <v>588</v>
      </c>
      <c r="B589" s="5" t="s">
        <v>6</v>
      </c>
      <c r="C589" s="5" t="s">
        <v>6</v>
      </c>
      <c r="D589" s="205" t="s">
        <v>800</v>
      </c>
      <c r="E589" s="149">
        <v>45959</v>
      </c>
      <c r="F589" s="149">
        <f t="shared" ref="F589:F652" si="90">IF($E589="","",WORKDAY($E589,1,$Z$33:$Z$47))</f>
        <v>45960</v>
      </c>
      <c r="G589" s="149">
        <f t="shared" ref="G589:G652" si="91">IF($E589="","",WORKDAY($E589,10,$Z$33:$Z$47))</f>
        <v>45973</v>
      </c>
      <c r="H589" s="149">
        <f t="shared" ref="H589:H652" si="92">IF($E589="","",WORKDAY($E589,20,$Z$33:$Z$47))</f>
        <v>45987</v>
      </c>
      <c r="I589" s="149" t="str">
        <f t="shared" si="86"/>
        <v>Oct</v>
      </c>
      <c r="J589" s="216" t="str">
        <f t="shared" ca="1" si="87"/>
        <v/>
      </c>
      <c r="K589" s="149" t="s">
        <v>43</v>
      </c>
      <c r="L589" s="149"/>
      <c r="M589" s="11">
        <v>45971</v>
      </c>
      <c r="N589" s="152">
        <f t="shared" si="88"/>
        <v>8</v>
      </c>
      <c r="O589" s="12" t="str">
        <f t="shared" si="89"/>
        <v>Yes</v>
      </c>
      <c r="P589" s="158"/>
      <c r="Q589" s="157"/>
      <c r="R589" s="11" t="s">
        <v>39</v>
      </c>
      <c r="S589" s="158"/>
      <c r="T589" s="5" t="s">
        <v>40</v>
      </c>
      <c r="U589" s="6"/>
      <c r="V589" s="5" t="s">
        <v>54</v>
      </c>
      <c r="W589" s="5"/>
      <c r="X589" s="6"/>
      <c r="BB589" s="7" t="str">
        <v>Quarter 3</v>
      </c>
    </row>
    <row r="590" spans="1:54" ht="31.4" customHeight="1" x14ac:dyDescent="0.35">
      <c r="A590" s="210">
        <v>589</v>
      </c>
      <c r="B590" s="5" t="s">
        <v>6</v>
      </c>
      <c r="C590" s="5" t="s">
        <v>6</v>
      </c>
      <c r="D590" s="5" t="s">
        <v>801</v>
      </c>
      <c r="E590" s="149">
        <v>45959</v>
      </c>
      <c r="F590" s="149">
        <f t="shared" si="90"/>
        <v>45960</v>
      </c>
      <c r="G590" s="149">
        <f t="shared" si="91"/>
        <v>45973</v>
      </c>
      <c r="H590" s="149">
        <f t="shared" si="92"/>
        <v>45987</v>
      </c>
      <c r="I590" s="149" t="str">
        <f t="shared" si="86"/>
        <v>Oct</v>
      </c>
      <c r="J590" s="216" t="str">
        <f t="shared" ca="1" si="87"/>
        <v/>
      </c>
      <c r="K590" s="149" t="s">
        <v>4</v>
      </c>
      <c r="L590" s="149"/>
      <c r="M590" s="11">
        <v>46001</v>
      </c>
      <c r="N590" s="152">
        <f t="shared" si="88"/>
        <v>30</v>
      </c>
      <c r="O590" s="12" t="str">
        <f t="shared" si="89"/>
        <v>No</v>
      </c>
      <c r="P590" s="158"/>
      <c r="Q590" s="157"/>
      <c r="R590" s="11" t="s">
        <v>39</v>
      </c>
      <c r="S590" s="158"/>
      <c r="T590" s="5" t="s">
        <v>40</v>
      </c>
      <c r="U590" s="6"/>
      <c r="V590" s="5"/>
      <c r="W590" s="5" t="s">
        <v>46</v>
      </c>
      <c r="X590" s="6"/>
      <c r="BB590" s="7" t="str">
        <v>Quarter 3</v>
      </c>
    </row>
    <row r="591" spans="1:54" ht="31.4" customHeight="1" x14ac:dyDescent="0.35">
      <c r="A591" s="210">
        <v>590</v>
      </c>
      <c r="B591" s="5" t="s">
        <v>55</v>
      </c>
      <c r="C591" s="5" t="s">
        <v>13</v>
      </c>
      <c r="D591" s="5" t="s">
        <v>802</v>
      </c>
      <c r="E591" s="149">
        <v>45959</v>
      </c>
      <c r="F591" s="149">
        <f t="shared" si="90"/>
        <v>45960</v>
      </c>
      <c r="G591" s="149">
        <f t="shared" si="91"/>
        <v>45973</v>
      </c>
      <c r="H591" s="149">
        <f t="shared" si="92"/>
        <v>45987</v>
      </c>
      <c r="I591" s="149" t="str">
        <f t="shared" si="86"/>
        <v>Oct</v>
      </c>
      <c r="J591" s="216" t="str">
        <f t="shared" ca="1" si="87"/>
        <v/>
      </c>
      <c r="K591" s="149" t="s">
        <v>43</v>
      </c>
      <c r="L591" s="149"/>
      <c r="M591" s="11">
        <v>45973</v>
      </c>
      <c r="N591" s="152">
        <f t="shared" si="88"/>
        <v>10</v>
      </c>
      <c r="O591" s="12" t="str">
        <f t="shared" si="89"/>
        <v>Yes</v>
      </c>
      <c r="P591" s="158"/>
      <c r="Q591" s="157"/>
      <c r="R591" s="11" t="s">
        <v>39</v>
      </c>
      <c r="S591" s="158"/>
      <c r="T591" s="5" t="s">
        <v>40</v>
      </c>
      <c r="U591" s="6"/>
      <c r="V591" s="5"/>
      <c r="W591" s="5"/>
      <c r="X591" s="6"/>
      <c r="BB591" s="7" t="str">
        <v>Quarter 3</v>
      </c>
    </row>
    <row r="592" spans="1:54" ht="31.4" customHeight="1" x14ac:dyDescent="0.35">
      <c r="A592" s="210">
        <v>591</v>
      </c>
      <c r="B592" s="5" t="s">
        <v>803</v>
      </c>
      <c r="C592" s="5" t="s">
        <v>9</v>
      </c>
      <c r="D592" s="5" t="s">
        <v>804</v>
      </c>
      <c r="E592" s="149">
        <v>45960</v>
      </c>
      <c r="F592" s="149">
        <f t="shared" si="90"/>
        <v>45961</v>
      </c>
      <c r="G592" s="149">
        <f t="shared" si="91"/>
        <v>45974</v>
      </c>
      <c r="H592" s="149">
        <f t="shared" si="92"/>
        <v>45988</v>
      </c>
      <c r="I592" s="149" t="str">
        <f t="shared" si="86"/>
        <v>Oct</v>
      </c>
      <c r="J592" s="216" t="str">
        <f t="shared" ca="1" si="87"/>
        <v/>
      </c>
      <c r="K592" s="149" t="s">
        <v>43</v>
      </c>
      <c r="L592" s="149"/>
      <c r="M592" s="11">
        <v>45961</v>
      </c>
      <c r="N592" s="152">
        <f t="shared" si="88"/>
        <v>1</v>
      </c>
      <c r="O592" s="12" t="str">
        <f t="shared" si="89"/>
        <v>Yes</v>
      </c>
      <c r="P592" s="158"/>
      <c r="Q592" s="157"/>
      <c r="R592" s="11" t="s">
        <v>39</v>
      </c>
      <c r="S592" s="158"/>
      <c r="T592" s="5" t="s">
        <v>40</v>
      </c>
      <c r="U592" s="6"/>
      <c r="V592" s="5"/>
      <c r="W592" s="5"/>
      <c r="X592" s="6"/>
      <c r="BB592" s="7" t="str">
        <v>Quarter 3</v>
      </c>
    </row>
    <row r="593" spans="1:54" ht="31.4" customHeight="1" x14ac:dyDescent="0.35">
      <c r="A593" s="210">
        <v>592</v>
      </c>
      <c r="B593" s="5" t="s">
        <v>319</v>
      </c>
      <c r="C593" s="5" t="s">
        <v>5</v>
      </c>
      <c r="D593" s="5" t="s">
        <v>805</v>
      </c>
      <c r="E593" s="149">
        <v>45960</v>
      </c>
      <c r="F593" s="149">
        <f t="shared" si="90"/>
        <v>45961</v>
      </c>
      <c r="G593" s="149">
        <f t="shared" si="91"/>
        <v>45974</v>
      </c>
      <c r="H593" s="149">
        <f t="shared" si="92"/>
        <v>45988</v>
      </c>
      <c r="I593" s="149" t="str">
        <f t="shared" si="86"/>
        <v>Oct</v>
      </c>
      <c r="J593" s="216" t="str">
        <f t="shared" ca="1" si="87"/>
        <v/>
      </c>
      <c r="K593" s="149" t="s">
        <v>43</v>
      </c>
      <c r="L593" s="149"/>
      <c r="M593" s="11">
        <v>45965</v>
      </c>
      <c r="N593" s="152">
        <f t="shared" si="88"/>
        <v>3</v>
      </c>
      <c r="O593" s="12" t="str">
        <f t="shared" si="89"/>
        <v>Yes</v>
      </c>
      <c r="P593" s="158"/>
      <c r="Q593" s="157"/>
      <c r="R593" s="11" t="s">
        <v>39</v>
      </c>
      <c r="S593" s="158"/>
      <c r="T593" s="5" t="s">
        <v>40</v>
      </c>
      <c r="U593" s="6"/>
      <c r="V593" s="5"/>
      <c r="W593" s="5"/>
      <c r="X593" s="6"/>
      <c r="BB593" s="7" t="str">
        <v>Quarter 3</v>
      </c>
    </row>
    <row r="594" spans="1:54" ht="31.4" customHeight="1" x14ac:dyDescent="0.35">
      <c r="A594" s="210">
        <v>593</v>
      </c>
      <c r="B594" s="5" t="s">
        <v>806</v>
      </c>
      <c r="C594" s="5" t="s">
        <v>9</v>
      </c>
      <c r="D594" s="5" t="s">
        <v>807</v>
      </c>
      <c r="E594" s="149">
        <v>45960</v>
      </c>
      <c r="F594" s="149">
        <f t="shared" si="90"/>
        <v>45961</v>
      </c>
      <c r="G594" s="149">
        <f t="shared" si="91"/>
        <v>45974</v>
      </c>
      <c r="H594" s="149">
        <f t="shared" si="92"/>
        <v>45988</v>
      </c>
      <c r="I594" s="149" t="str">
        <f t="shared" si="86"/>
        <v>Oct</v>
      </c>
      <c r="J594" s="216" t="str">
        <f t="shared" ca="1" si="87"/>
        <v/>
      </c>
      <c r="K594" s="149" t="s">
        <v>43</v>
      </c>
      <c r="L594" s="149"/>
      <c r="M594" s="11">
        <v>45973</v>
      </c>
      <c r="N594" s="152">
        <f t="shared" si="88"/>
        <v>9</v>
      </c>
      <c r="O594" s="12" t="str">
        <f t="shared" si="89"/>
        <v>Yes</v>
      </c>
      <c r="P594" s="158"/>
      <c r="Q594" s="157"/>
      <c r="R594" s="11" t="s">
        <v>39</v>
      </c>
      <c r="S594" s="158"/>
      <c r="T594" s="5" t="s">
        <v>40</v>
      </c>
      <c r="U594" s="6"/>
      <c r="V594" s="5"/>
      <c r="W594" s="5"/>
      <c r="X594" s="6"/>
      <c r="BB594" s="7" t="str">
        <v>Quarter 3</v>
      </c>
    </row>
    <row r="595" spans="1:54" ht="31.4" customHeight="1" x14ac:dyDescent="0.35">
      <c r="A595" s="210">
        <v>594</v>
      </c>
      <c r="B595" s="5" t="s">
        <v>6</v>
      </c>
      <c r="C595" s="5" t="s">
        <v>6</v>
      </c>
      <c r="D595" s="5" t="s">
        <v>808</v>
      </c>
      <c r="E595" s="149">
        <v>45961</v>
      </c>
      <c r="F595" s="149">
        <f t="shared" si="90"/>
        <v>45964</v>
      </c>
      <c r="G595" s="149">
        <f t="shared" si="91"/>
        <v>45975</v>
      </c>
      <c r="H595" s="149">
        <f t="shared" si="92"/>
        <v>45989</v>
      </c>
      <c r="I595" s="149" t="str">
        <f t="shared" si="86"/>
        <v>Oct</v>
      </c>
      <c r="J595" s="216" t="str">
        <f t="shared" ca="1" si="87"/>
        <v/>
      </c>
      <c r="K595" s="149" t="s">
        <v>4</v>
      </c>
      <c r="L595" s="149"/>
      <c r="M595" s="11">
        <v>45966</v>
      </c>
      <c r="N595" s="152">
        <f t="shared" si="88"/>
        <v>3</v>
      </c>
      <c r="O595" s="12" t="str">
        <f t="shared" si="89"/>
        <v>Yes</v>
      </c>
      <c r="P595" s="158"/>
      <c r="Q595" s="157"/>
      <c r="R595" s="11" t="s">
        <v>39</v>
      </c>
      <c r="S595" s="158"/>
      <c r="T595" s="5" t="s">
        <v>40</v>
      </c>
      <c r="U595" s="6"/>
      <c r="V595" s="5"/>
      <c r="W595" s="5"/>
      <c r="X595" s="6"/>
      <c r="BB595" s="7" t="str">
        <v>Quarter 3</v>
      </c>
    </row>
    <row r="596" spans="1:54" ht="31.4" customHeight="1" x14ac:dyDescent="0.35">
      <c r="A596" s="210">
        <v>595</v>
      </c>
      <c r="B596" s="5" t="s">
        <v>6</v>
      </c>
      <c r="C596" s="5" t="s">
        <v>6</v>
      </c>
      <c r="D596" s="5" t="s">
        <v>809</v>
      </c>
      <c r="E596" s="149">
        <v>45961</v>
      </c>
      <c r="F596" s="149">
        <f t="shared" si="90"/>
        <v>45964</v>
      </c>
      <c r="G596" s="149">
        <f t="shared" si="91"/>
        <v>45975</v>
      </c>
      <c r="H596" s="149">
        <f t="shared" si="92"/>
        <v>45989</v>
      </c>
      <c r="I596" s="149" t="str">
        <f t="shared" si="86"/>
        <v>Oct</v>
      </c>
      <c r="J596" s="216" t="str">
        <f t="shared" ca="1" si="87"/>
        <v/>
      </c>
      <c r="K596" s="149" t="s">
        <v>43</v>
      </c>
      <c r="L596" s="149"/>
      <c r="M596" s="11">
        <v>45973</v>
      </c>
      <c r="N596" s="152">
        <f t="shared" si="88"/>
        <v>8</v>
      </c>
      <c r="O596" s="12" t="str">
        <f t="shared" si="89"/>
        <v>Yes</v>
      </c>
      <c r="P596" s="158"/>
      <c r="Q596" s="157"/>
      <c r="R596" s="11" t="s">
        <v>39</v>
      </c>
      <c r="S596" s="158"/>
      <c r="T596" s="5" t="s">
        <v>40</v>
      </c>
      <c r="U596" s="6"/>
      <c r="V596" s="5" t="s">
        <v>54</v>
      </c>
      <c r="W596" s="5" t="s">
        <v>46</v>
      </c>
      <c r="X596" s="6"/>
      <c r="BB596" s="7" t="str">
        <v>Quarter 3</v>
      </c>
    </row>
    <row r="597" spans="1:54" ht="31.4" customHeight="1" x14ac:dyDescent="0.35">
      <c r="A597" s="210">
        <v>596</v>
      </c>
      <c r="B597" s="5" t="s">
        <v>6</v>
      </c>
      <c r="C597" s="5" t="s">
        <v>6</v>
      </c>
      <c r="D597" s="5" t="s">
        <v>810</v>
      </c>
      <c r="E597" s="149">
        <v>45961</v>
      </c>
      <c r="F597" s="149">
        <f t="shared" si="90"/>
        <v>45964</v>
      </c>
      <c r="G597" s="149">
        <f t="shared" si="91"/>
        <v>45975</v>
      </c>
      <c r="H597" s="149">
        <f t="shared" si="92"/>
        <v>45989</v>
      </c>
      <c r="I597" s="149" t="str">
        <f t="shared" si="86"/>
        <v>Oct</v>
      </c>
      <c r="J597" s="216" t="str">
        <f t="shared" ca="1" si="87"/>
        <v/>
      </c>
      <c r="K597" s="149" t="s">
        <v>4</v>
      </c>
      <c r="L597" s="149"/>
      <c r="M597" s="11">
        <v>45965</v>
      </c>
      <c r="N597" s="152">
        <f t="shared" si="88"/>
        <v>2</v>
      </c>
      <c r="O597" s="12" t="str">
        <f t="shared" si="89"/>
        <v>Yes</v>
      </c>
      <c r="P597" s="158"/>
      <c r="Q597" s="157"/>
      <c r="R597" s="11" t="s">
        <v>39</v>
      </c>
      <c r="S597" s="158"/>
      <c r="T597" s="5" t="s">
        <v>40</v>
      </c>
      <c r="U597" s="6"/>
      <c r="V597" s="5"/>
      <c r="W597" s="5"/>
      <c r="X597" s="6"/>
      <c r="BB597" s="7" t="str">
        <v>Quarter 3</v>
      </c>
    </row>
    <row r="598" spans="1:54" ht="31.4" customHeight="1" x14ac:dyDescent="0.35">
      <c r="A598" s="210">
        <v>597</v>
      </c>
      <c r="B598" s="5" t="s">
        <v>6</v>
      </c>
      <c r="C598" s="5" t="s">
        <v>6</v>
      </c>
      <c r="D598" s="5" t="s">
        <v>1865</v>
      </c>
      <c r="E598" s="149">
        <v>45964</v>
      </c>
      <c r="F598" s="149">
        <f t="shared" si="90"/>
        <v>45965</v>
      </c>
      <c r="G598" s="149">
        <f t="shared" si="91"/>
        <v>45978</v>
      </c>
      <c r="H598" s="149">
        <f t="shared" si="92"/>
        <v>45992</v>
      </c>
      <c r="I598" s="149" t="str">
        <f t="shared" si="86"/>
        <v>Nov</v>
      </c>
      <c r="J598" s="216" t="str">
        <f t="shared" ca="1" si="87"/>
        <v/>
      </c>
      <c r="K598" s="149" t="s">
        <v>7</v>
      </c>
      <c r="L598" s="149"/>
      <c r="M598" s="11">
        <v>45978</v>
      </c>
      <c r="N598" s="152">
        <f t="shared" si="88"/>
        <v>10</v>
      </c>
      <c r="O598" s="12" t="str">
        <f t="shared" si="89"/>
        <v>Yes</v>
      </c>
      <c r="P598" s="158"/>
      <c r="Q598" s="157"/>
      <c r="R598" s="11" t="s">
        <v>39</v>
      </c>
      <c r="S598" s="158"/>
      <c r="T598" s="5" t="s">
        <v>45</v>
      </c>
      <c r="U598" s="6"/>
      <c r="V598" s="5" t="s">
        <v>80</v>
      </c>
      <c r="W598" s="5"/>
      <c r="X598" s="6"/>
      <c r="BB598" s="7" t="str">
        <v>Quarter 3</v>
      </c>
    </row>
    <row r="599" spans="1:54" ht="31.4" customHeight="1" x14ac:dyDescent="0.35">
      <c r="A599" s="210">
        <v>598</v>
      </c>
      <c r="B599" s="5" t="s">
        <v>6</v>
      </c>
      <c r="C599" s="5" t="s">
        <v>6</v>
      </c>
      <c r="D599" s="5" t="s">
        <v>811</v>
      </c>
      <c r="E599" s="149">
        <v>45964</v>
      </c>
      <c r="F599" s="149">
        <f t="shared" si="90"/>
        <v>45965</v>
      </c>
      <c r="G599" s="149">
        <f t="shared" si="91"/>
        <v>45978</v>
      </c>
      <c r="H599" s="149">
        <f t="shared" si="92"/>
        <v>45992</v>
      </c>
      <c r="I599" s="149" t="str">
        <f t="shared" si="86"/>
        <v>Nov</v>
      </c>
      <c r="J599" s="216" t="str">
        <f t="shared" ca="1" si="87"/>
        <v/>
      </c>
      <c r="K599" s="149" t="s">
        <v>4</v>
      </c>
      <c r="L599" s="149"/>
      <c r="M599" s="11">
        <v>45964</v>
      </c>
      <c r="N599" s="152">
        <f t="shared" si="88"/>
        <v>0</v>
      </c>
      <c r="O599" s="12" t="str">
        <f t="shared" si="89"/>
        <v>Yes</v>
      </c>
      <c r="P599" s="158"/>
      <c r="Q599" s="157"/>
      <c r="R599" s="11" t="s">
        <v>39</v>
      </c>
      <c r="S599" s="158"/>
      <c r="T599" s="5" t="s">
        <v>40</v>
      </c>
      <c r="U599" s="6"/>
      <c r="V599" s="5" t="s">
        <v>54</v>
      </c>
      <c r="W599" s="5"/>
      <c r="X599" s="6"/>
      <c r="BB599" s="7" t="str">
        <v>Quarter 3</v>
      </c>
    </row>
    <row r="600" spans="1:54" ht="31.4" customHeight="1" x14ac:dyDescent="0.35">
      <c r="A600" s="210">
        <v>599</v>
      </c>
      <c r="B600" s="5" t="s">
        <v>6</v>
      </c>
      <c r="C600" s="5" t="s">
        <v>6</v>
      </c>
      <c r="D600" s="5" t="s">
        <v>812</v>
      </c>
      <c r="E600" s="149">
        <v>45964</v>
      </c>
      <c r="F600" s="149">
        <f t="shared" si="90"/>
        <v>45965</v>
      </c>
      <c r="G600" s="149">
        <f t="shared" si="91"/>
        <v>45978</v>
      </c>
      <c r="H600" s="149">
        <f t="shared" si="92"/>
        <v>45992</v>
      </c>
      <c r="I600" s="149" t="str">
        <f t="shared" si="86"/>
        <v>Nov</v>
      </c>
      <c r="J600" s="216" t="str">
        <f t="shared" ca="1" si="87"/>
        <v/>
      </c>
      <c r="K600" s="149" t="s">
        <v>43</v>
      </c>
      <c r="L600" s="149"/>
      <c r="M600" s="11">
        <v>45985</v>
      </c>
      <c r="N600" s="152">
        <f t="shared" si="88"/>
        <v>15</v>
      </c>
      <c r="O600" s="12" t="str">
        <f t="shared" si="89"/>
        <v>Yes</v>
      </c>
      <c r="P600" s="158"/>
      <c r="Q600" s="157"/>
      <c r="R600" s="11" t="s">
        <v>39</v>
      </c>
      <c r="S600" s="158"/>
      <c r="T600" s="5" t="s">
        <v>40</v>
      </c>
      <c r="U600" s="6"/>
      <c r="V600" s="5"/>
      <c r="W600" s="5"/>
      <c r="X600" s="6"/>
      <c r="BB600" s="7" t="str">
        <v>Quarter 3</v>
      </c>
    </row>
    <row r="601" spans="1:54" ht="31.4" customHeight="1" x14ac:dyDescent="0.35">
      <c r="A601" s="210">
        <v>600</v>
      </c>
      <c r="B601" s="5" t="s">
        <v>813</v>
      </c>
      <c r="C601" s="5" t="s">
        <v>9</v>
      </c>
      <c r="D601" s="5" t="s">
        <v>814</v>
      </c>
      <c r="E601" s="149">
        <v>45964</v>
      </c>
      <c r="F601" s="149">
        <f t="shared" si="90"/>
        <v>45965</v>
      </c>
      <c r="G601" s="149">
        <f t="shared" si="91"/>
        <v>45978</v>
      </c>
      <c r="H601" s="149">
        <f t="shared" si="92"/>
        <v>45992</v>
      </c>
      <c r="I601" s="149" t="str">
        <f t="shared" si="86"/>
        <v>Nov</v>
      </c>
      <c r="J601" s="216" t="str">
        <f t="shared" ca="1" si="87"/>
        <v/>
      </c>
      <c r="K601" s="149" t="s">
        <v>3</v>
      </c>
      <c r="L601" s="149"/>
      <c r="M601" s="11">
        <v>46036</v>
      </c>
      <c r="N601" s="152">
        <f t="shared" si="88"/>
        <v>49</v>
      </c>
      <c r="O601" s="12" t="str">
        <f t="shared" si="89"/>
        <v>No</v>
      </c>
      <c r="P601" s="158"/>
      <c r="Q601" s="157"/>
      <c r="R601" s="11" t="s">
        <v>39</v>
      </c>
      <c r="S601" s="158"/>
      <c r="T601" s="5" t="s">
        <v>40</v>
      </c>
      <c r="U601" s="6"/>
      <c r="V601" s="5"/>
      <c r="W601" s="5" t="s">
        <v>46</v>
      </c>
      <c r="X601" s="6"/>
      <c r="BB601" s="7" t="str">
        <v>Quarter 3</v>
      </c>
    </row>
    <row r="602" spans="1:54" ht="31.4" customHeight="1" x14ac:dyDescent="0.35">
      <c r="A602" s="210">
        <v>601</v>
      </c>
      <c r="B602" s="5" t="s">
        <v>815</v>
      </c>
      <c r="C602" s="5" t="s">
        <v>11</v>
      </c>
      <c r="D602" s="5" t="s">
        <v>816</v>
      </c>
      <c r="E602" s="149">
        <v>45964</v>
      </c>
      <c r="F602" s="149">
        <f t="shared" si="90"/>
        <v>45965</v>
      </c>
      <c r="G602" s="149">
        <f t="shared" si="91"/>
        <v>45978</v>
      </c>
      <c r="H602" s="149">
        <f t="shared" si="92"/>
        <v>45992</v>
      </c>
      <c r="I602" s="149" t="str">
        <f t="shared" si="86"/>
        <v>Nov</v>
      </c>
      <c r="J602" s="216" t="str">
        <f t="shared" ca="1" si="87"/>
        <v/>
      </c>
      <c r="K602" s="149" t="s">
        <v>43</v>
      </c>
      <c r="L602" s="149"/>
      <c r="M602" s="11">
        <v>45966</v>
      </c>
      <c r="N602" s="152">
        <f t="shared" si="88"/>
        <v>2</v>
      </c>
      <c r="O602" s="12" t="str">
        <f t="shared" si="89"/>
        <v>Yes</v>
      </c>
      <c r="P602" s="158"/>
      <c r="Q602" s="157"/>
      <c r="R602" s="11" t="s">
        <v>39</v>
      </c>
      <c r="S602" s="158"/>
      <c r="T602" s="5" t="s">
        <v>40</v>
      </c>
      <c r="U602" s="6"/>
      <c r="V602" s="5"/>
      <c r="W602" s="5"/>
      <c r="X602" s="6"/>
      <c r="BB602" s="7" t="str">
        <v>Quarter 3</v>
      </c>
    </row>
    <row r="603" spans="1:54" ht="31.4" customHeight="1" x14ac:dyDescent="0.35">
      <c r="A603" s="210">
        <v>602</v>
      </c>
      <c r="B603" s="5" t="s">
        <v>55</v>
      </c>
      <c r="C603" s="5" t="s">
        <v>13</v>
      </c>
      <c r="D603" s="5" t="s">
        <v>817</v>
      </c>
      <c r="E603" s="149">
        <v>45964</v>
      </c>
      <c r="F603" s="149">
        <f t="shared" si="90"/>
        <v>45965</v>
      </c>
      <c r="G603" s="149">
        <f t="shared" si="91"/>
        <v>45978</v>
      </c>
      <c r="H603" s="149">
        <f t="shared" si="92"/>
        <v>45992</v>
      </c>
      <c r="I603" s="149" t="str">
        <f t="shared" si="86"/>
        <v>Nov</v>
      </c>
      <c r="J603" s="216" t="str">
        <f t="shared" ca="1" si="87"/>
        <v/>
      </c>
      <c r="K603" s="149" t="s">
        <v>7</v>
      </c>
      <c r="L603" s="149"/>
      <c r="M603" s="11">
        <v>45993</v>
      </c>
      <c r="N603" s="152">
        <f t="shared" si="88"/>
        <v>21</v>
      </c>
      <c r="O603" s="12" t="str">
        <f t="shared" si="89"/>
        <v>No</v>
      </c>
      <c r="P603" s="158"/>
      <c r="Q603" s="157"/>
      <c r="R603" s="11" t="s">
        <v>39</v>
      </c>
      <c r="S603" s="158"/>
      <c r="T603" s="5" t="s">
        <v>40</v>
      </c>
      <c r="U603" s="6"/>
      <c r="V603" s="5"/>
      <c r="W603" s="5" t="s">
        <v>46</v>
      </c>
      <c r="X603" s="6"/>
      <c r="BB603" s="7" t="str">
        <v>Quarter 3</v>
      </c>
    </row>
    <row r="604" spans="1:54" ht="31.4" customHeight="1" x14ac:dyDescent="0.35">
      <c r="A604" s="210">
        <v>603</v>
      </c>
      <c r="B604" s="5" t="s">
        <v>818</v>
      </c>
      <c r="C604" s="5" t="s">
        <v>16</v>
      </c>
      <c r="D604" s="5" t="s">
        <v>819</v>
      </c>
      <c r="E604" s="149">
        <v>45964</v>
      </c>
      <c r="F604" s="149">
        <f t="shared" si="90"/>
        <v>45965</v>
      </c>
      <c r="G604" s="149">
        <f t="shared" si="91"/>
        <v>45978</v>
      </c>
      <c r="H604" s="149">
        <f t="shared" si="92"/>
        <v>45992</v>
      </c>
      <c r="I604" s="149" t="str">
        <f t="shared" si="86"/>
        <v>Nov</v>
      </c>
      <c r="J604" s="216" t="str">
        <f t="shared" ca="1" si="87"/>
        <v/>
      </c>
      <c r="K604" s="149" t="s">
        <v>3</v>
      </c>
      <c r="L604" s="149"/>
      <c r="M604" s="11">
        <v>45972</v>
      </c>
      <c r="N604" s="152">
        <f t="shared" si="88"/>
        <v>6</v>
      </c>
      <c r="O604" s="12" t="str">
        <f t="shared" si="89"/>
        <v>Yes</v>
      </c>
      <c r="P604" s="158"/>
      <c r="Q604" s="157"/>
      <c r="R604" s="11" t="s">
        <v>39</v>
      </c>
      <c r="S604" s="158"/>
      <c r="T604" s="5" t="s">
        <v>40</v>
      </c>
      <c r="U604" s="6"/>
      <c r="V604" s="5"/>
      <c r="W604" s="5"/>
      <c r="X604" s="6"/>
      <c r="BB604" s="7" t="str">
        <v>Quarter 3</v>
      </c>
    </row>
    <row r="605" spans="1:54" ht="31.4" customHeight="1" x14ac:dyDescent="0.35">
      <c r="A605" s="210">
        <v>604</v>
      </c>
      <c r="B605" s="5" t="s">
        <v>6</v>
      </c>
      <c r="C605" s="5" t="s">
        <v>6</v>
      </c>
      <c r="D605" s="5" t="s">
        <v>1866</v>
      </c>
      <c r="E605" s="149">
        <v>45964</v>
      </c>
      <c r="F605" s="149">
        <f t="shared" si="90"/>
        <v>45965</v>
      </c>
      <c r="G605" s="149">
        <f t="shared" si="91"/>
        <v>45978</v>
      </c>
      <c r="H605" s="149">
        <f t="shared" si="92"/>
        <v>45992</v>
      </c>
      <c r="I605" s="149" t="str">
        <f t="shared" si="86"/>
        <v>Nov</v>
      </c>
      <c r="J605" s="216" t="str">
        <f t="shared" ca="1" si="87"/>
        <v/>
      </c>
      <c r="K605" s="149" t="s">
        <v>7</v>
      </c>
      <c r="L605" s="149"/>
      <c r="M605" s="11">
        <v>45979</v>
      </c>
      <c r="N605" s="152">
        <f t="shared" si="88"/>
        <v>11</v>
      </c>
      <c r="O605" s="12" t="str">
        <f t="shared" si="89"/>
        <v>Yes</v>
      </c>
      <c r="P605" s="158"/>
      <c r="Q605" s="157"/>
      <c r="R605" s="11" t="s">
        <v>39</v>
      </c>
      <c r="S605" s="158"/>
      <c r="T605" s="5" t="s">
        <v>40</v>
      </c>
      <c r="U605" s="6"/>
      <c r="V605" s="5"/>
      <c r="W605" s="5"/>
      <c r="X605" s="6"/>
      <c r="BB605" s="7" t="str">
        <v>Quarter 3</v>
      </c>
    </row>
    <row r="606" spans="1:54" ht="31.4" customHeight="1" x14ac:dyDescent="0.35">
      <c r="A606" s="210">
        <v>605</v>
      </c>
      <c r="B606" s="5" t="s">
        <v>6</v>
      </c>
      <c r="C606" s="5" t="s">
        <v>6</v>
      </c>
      <c r="D606" s="5" t="s">
        <v>1867</v>
      </c>
      <c r="E606" s="149">
        <v>45964</v>
      </c>
      <c r="F606" s="149">
        <f t="shared" si="90"/>
        <v>45965</v>
      </c>
      <c r="G606" s="149">
        <f t="shared" si="91"/>
        <v>45978</v>
      </c>
      <c r="H606" s="149">
        <f t="shared" si="92"/>
        <v>45992</v>
      </c>
      <c r="I606" s="149" t="str">
        <f t="shared" si="86"/>
        <v>Nov</v>
      </c>
      <c r="J606" s="216" t="str">
        <f t="shared" ca="1" si="87"/>
        <v/>
      </c>
      <c r="K606" s="149" t="s">
        <v>7</v>
      </c>
      <c r="L606" s="149"/>
      <c r="M606" s="11">
        <v>45979</v>
      </c>
      <c r="N606" s="152">
        <f t="shared" si="88"/>
        <v>11</v>
      </c>
      <c r="O606" s="12" t="str">
        <f t="shared" si="89"/>
        <v>Yes</v>
      </c>
      <c r="P606" s="158"/>
      <c r="Q606" s="157"/>
      <c r="R606" s="11" t="s">
        <v>39</v>
      </c>
      <c r="S606" s="158"/>
      <c r="T606" s="5" t="s">
        <v>40</v>
      </c>
      <c r="U606" s="6"/>
      <c r="V606" s="5"/>
      <c r="W606" s="5"/>
      <c r="X606" s="6"/>
      <c r="BB606" s="7" t="str">
        <v>Quarter 3</v>
      </c>
    </row>
    <row r="607" spans="1:54" ht="31.4" customHeight="1" x14ac:dyDescent="0.35">
      <c r="A607" s="210">
        <v>606</v>
      </c>
      <c r="B607" s="5" t="s">
        <v>820</v>
      </c>
      <c r="C607" s="5" t="s">
        <v>5</v>
      </c>
      <c r="D607" s="5" t="s">
        <v>540</v>
      </c>
      <c r="E607" s="149">
        <v>45965</v>
      </c>
      <c r="F607" s="149">
        <f t="shared" si="90"/>
        <v>45966</v>
      </c>
      <c r="G607" s="149">
        <f t="shared" si="91"/>
        <v>45979</v>
      </c>
      <c r="H607" s="149">
        <f t="shared" si="92"/>
        <v>45993</v>
      </c>
      <c r="I607" s="149" t="str">
        <f t="shared" si="86"/>
        <v>Nov</v>
      </c>
      <c r="J607" s="216" t="str">
        <f t="shared" ca="1" si="87"/>
        <v/>
      </c>
      <c r="K607" s="149" t="s">
        <v>3</v>
      </c>
      <c r="L607" s="149"/>
      <c r="M607" s="11">
        <v>45992</v>
      </c>
      <c r="N607" s="152">
        <f t="shared" si="88"/>
        <v>19</v>
      </c>
      <c r="O607" s="12" t="str">
        <f t="shared" si="89"/>
        <v>Yes</v>
      </c>
      <c r="P607" s="158"/>
      <c r="Q607" s="157"/>
      <c r="R607" s="11" t="s">
        <v>39</v>
      </c>
      <c r="S607" s="158"/>
      <c r="T607" s="5" t="s">
        <v>40</v>
      </c>
      <c r="U607" s="6"/>
      <c r="V607" s="5"/>
      <c r="W607" s="5"/>
      <c r="X607" s="6"/>
      <c r="BB607" s="7" t="str">
        <v>Quarter 3</v>
      </c>
    </row>
    <row r="608" spans="1:54" ht="31.4" customHeight="1" x14ac:dyDescent="0.35">
      <c r="A608" s="210">
        <v>607</v>
      </c>
      <c r="B608" s="5" t="s">
        <v>330</v>
      </c>
      <c r="C608" s="5" t="s">
        <v>11</v>
      </c>
      <c r="D608" s="5" t="s">
        <v>821</v>
      </c>
      <c r="E608" s="149">
        <v>45965</v>
      </c>
      <c r="F608" s="149">
        <f t="shared" si="90"/>
        <v>45966</v>
      </c>
      <c r="G608" s="149">
        <f t="shared" si="91"/>
        <v>45979</v>
      </c>
      <c r="H608" s="149">
        <f t="shared" si="92"/>
        <v>45993</v>
      </c>
      <c r="I608" s="149" t="str">
        <f t="shared" si="86"/>
        <v>Nov</v>
      </c>
      <c r="J608" s="216" t="str">
        <f t="shared" ca="1" si="87"/>
        <v/>
      </c>
      <c r="K608" s="149" t="s">
        <v>4</v>
      </c>
      <c r="L608" s="149"/>
      <c r="M608" s="11">
        <v>45967</v>
      </c>
      <c r="N608" s="152">
        <f t="shared" si="88"/>
        <v>2</v>
      </c>
      <c r="O608" s="12" t="str">
        <f t="shared" si="89"/>
        <v>Yes</v>
      </c>
      <c r="P608" s="158"/>
      <c r="Q608" s="157"/>
      <c r="R608" s="11" t="s">
        <v>39</v>
      </c>
      <c r="S608" s="158"/>
      <c r="T608" s="5" t="s">
        <v>40</v>
      </c>
      <c r="U608" s="6"/>
      <c r="V608" s="5"/>
      <c r="W608" s="5"/>
      <c r="X608" s="6"/>
      <c r="BB608" s="7" t="str">
        <v>Quarter 3</v>
      </c>
    </row>
    <row r="609" spans="1:54" ht="31.4" customHeight="1" x14ac:dyDescent="0.35">
      <c r="A609" s="210">
        <v>608</v>
      </c>
      <c r="B609" s="5" t="s">
        <v>6</v>
      </c>
      <c r="C609" s="5" t="s">
        <v>6</v>
      </c>
      <c r="D609" s="5" t="s">
        <v>822</v>
      </c>
      <c r="E609" s="149">
        <v>45966</v>
      </c>
      <c r="F609" s="149">
        <f t="shared" si="90"/>
        <v>45967</v>
      </c>
      <c r="G609" s="149">
        <f t="shared" si="91"/>
        <v>45980</v>
      </c>
      <c r="H609" s="149">
        <f t="shared" si="92"/>
        <v>45994</v>
      </c>
      <c r="I609" s="149" t="str">
        <f t="shared" si="86"/>
        <v>Nov</v>
      </c>
      <c r="J609" s="216" t="str">
        <f t="shared" ca="1" si="87"/>
        <v/>
      </c>
      <c r="K609" s="149" t="s">
        <v>7</v>
      </c>
      <c r="L609" s="149"/>
      <c r="M609" s="11">
        <v>45966</v>
      </c>
      <c r="N609" s="152">
        <f t="shared" si="88"/>
        <v>0</v>
      </c>
      <c r="O609" s="12" t="str">
        <f t="shared" si="89"/>
        <v>Yes</v>
      </c>
      <c r="P609" s="158"/>
      <c r="Q609" s="157"/>
      <c r="R609" s="11" t="s">
        <v>39</v>
      </c>
      <c r="S609" s="158"/>
      <c r="T609" s="5" t="s">
        <v>62</v>
      </c>
      <c r="U609" s="6"/>
      <c r="V609" s="5"/>
      <c r="W609" s="5"/>
      <c r="X609" s="6"/>
      <c r="BB609" s="7" t="str">
        <v>Quarter 3</v>
      </c>
    </row>
    <row r="610" spans="1:54" ht="31.4" customHeight="1" x14ac:dyDescent="0.35">
      <c r="A610" s="210">
        <v>609</v>
      </c>
      <c r="B610" s="5" t="s">
        <v>823</v>
      </c>
      <c r="C610" s="5" t="s">
        <v>9</v>
      </c>
      <c r="D610" s="5" t="s">
        <v>824</v>
      </c>
      <c r="E610" s="149">
        <v>45966</v>
      </c>
      <c r="F610" s="149">
        <f t="shared" si="90"/>
        <v>45967</v>
      </c>
      <c r="G610" s="149">
        <f t="shared" si="91"/>
        <v>45980</v>
      </c>
      <c r="H610" s="149">
        <f t="shared" si="92"/>
        <v>45994</v>
      </c>
      <c r="I610" s="149" t="str">
        <f t="shared" si="86"/>
        <v>Nov</v>
      </c>
      <c r="J610" s="216" t="str">
        <f t="shared" ca="1" si="87"/>
        <v/>
      </c>
      <c r="K610" s="149" t="s">
        <v>3</v>
      </c>
      <c r="L610" s="149"/>
      <c r="M610" s="11">
        <v>46000</v>
      </c>
      <c r="N610" s="152">
        <f t="shared" si="88"/>
        <v>24</v>
      </c>
      <c r="O610" s="12" t="str">
        <f t="shared" si="89"/>
        <v>No</v>
      </c>
      <c r="P610" s="158"/>
      <c r="Q610" s="157"/>
      <c r="R610" s="11" t="s">
        <v>39</v>
      </c>
      <c r="S610" s="158"/>
      <c r="T610" s="5" t="s">
        <v>40</v>
      </c>
      <c r="U610" s="6"/>
      <c r="V610" s="5" t="s">
        <v>54</v>
      </c>
      <c r="W610" s="5"/>
      <c r="X610" s="6"/>
      <c r="BB610" s="7" t="str">
        <v>Quarter 3</v>
      </c>
    </row>
    <row r="611" spans="1:54" ht="31.4" customHeight="1" x14ac:dyDescent="0.35">
      <c r="A611" s="210">
        <v>610</v>
      </c>
      <c r="B611" s="5" t="s">
        <v>214</v>
      </c>
      <c r="C611" s="5" t="s">
        <v>5</v>
      </c>
      <c r="D611" s="5" t="s">
        <v>825</v>
      </c>
      <c r="E611" s="149">
        <v>45967</v>
      </c>
      <c r="F611" s="149">
        <f t="shared" si="90"/>
        <v>45968</v>
      </c>
      <c r="G611" s="149">
        <f t="shared" si="91"/>
        <v>45981</v>
      </c>
      <c r="H611" s="149">
        <f t="shared" si="92"/>
        <v>45995</v>
      </c>
      <c r="I611" s="149" t="str">
        <f t="shared" si="86"/>
        <v>Nov</v>
      </c>
      <c r="J611" s="216" t="str">
        <f t="shared" ca="1" si="87"/>
        <v/>
      </c>
      <c r="K611" s="149" t="s">
        <v>43</v>
      </c>
      <c r="L611" s="149"/>
      <c r="M611" s="11">
        <v>45971</v>
      </c>
      <c r="N611" s="152">
        <f t="shared" si="88"/>
        <v>2</v>
      </c>
      <c r="O611" s="12" t="str">
        <f t="shared" si="89"/>
        <v>Yes</v>
      </c>
      <c r="P611" s="158"/>
      <c r="Q611" s="157"/>
      <c r="R611" s="11" t="s">
        <v>39</v>
      </c>
      <c r="S611" s="158"/>
      <c r="T611" s="5" t="s">
        <v>40</v>
      </c>
      <c r="U611" s="6"/>
      <c r="V611" s="5"/>
      <c r="W611" s="5"/>
      <c r="X611" s="6"/>
      <c r="BB611" s="7" t="str">
        <v>Quarter 3</v>
      </c>
    </row>
    <row r="612" spans="1:54" ht="31.4" customHeight="1" x14ac:dyDescent="0.35">
      <c r="A612" s="210">
        <v>611</v>
      </c>
      <c r="B612" s="5" t="s">
        <v>826</v>
      </c>
      <c r="C612" s="5" t="s">
        <v>5</v>
      </c>
      <c r="D612" s="5" t="s">
        <v>827</v>
      </c>
      <c r="E612" s="149">
        <v>45967</v>
      </c>
      <c r="F612" s="149">
        <f t="shared" si="90"/>
        <v>45968</v>
      </c>
      <c r="G612" s="149">
        <f t="shared" si="91"/>
        <v>45981</v>
      </c>
      <c r="H612" s="149">
        <f t="shared" si="92"/>
        <v>45995</v>
      </c>
      <c r="I612" s="149" t="str">
        <f t="shared" si="86"/>
        <v>Nov</v>
      </c>
      <c r="J612" s="216" t="str">
        <f t="shared" ca="1" si="87"/>
        <v/>
      </c>
      <c r="K612" s="149" t="s">
        <v>4</v>
      </c>
      <c r="L612" s="149"/>
      <c r="M612" s="11">
        <v>45967</v>
      </c>
      <c r="N612" s="152">
        <f t="shared" si="88"/>
        <v>0</v>
      </c>
      <c r="O612" s="12" t="str">
        <f t="shared" si="89"/>
        <v>Yes</v>
      </c>
      <c r="P612" s="158"/>
      <c r="Q612" s="157"/>
      <c r="R612" s="11" t="s">
        <v>39</v>
      </c>
      <c r="S612" s="158"/>
      <c r="T612" s="5" t="s">
        <v>40</v>
      </c>
      <c r="U612" s="6"/>
      <c r="V612" s="5"/>
      <c r="W612" s="5"/>
      <c r="X612" s="6"/>
      <c r="BB612" s="7" t="str">
        <v>Quarter 3</v>
      </c>
    </row>
    <row r="613" spans="1:54" ht="31.4" customHeight="1" x14ac:dyDescent="0.35">
      <c r="A613" s="210">
        <v>612</v>
      </c>
      <c r="B613" s="5" t="s">
        <v>6</v>
      </c>
      <c r="C613" s="5" t="s">
        <v>6</v>
      </c>
      <c r="D613" s="5" t="s">
        <v>828</v>
      </c>
      <c r="E613" s="149">
        <v>45967</v>
      </c>
      <c r="F613" s="149">
        <f t="shared" si="90"/>
        <v>45968</v>
      </c>
      <c r="G613" s="149">
        <f t="shared" si="91"/>
        <v>45981</v>
      </c>
      <c r="H613" s="149">
        <f t="shared" si="92"/>
        <v>45995</v>
      </c>
      <c r="I613" s="149" t="str">
        <f t="shared" si="86"/>
        <v>Nov</v>
      </c>
      <c r="J613" s="216" t="str">
        <f t="shared" ca="1" si="87"/>
        <v/>
      </c>
      <c r="K613" s="149" t="s">
        <v>4</v>
      </c>
      <c r="L613" s="149"/>
      <c r="M613" s="11">
        <v>45989</v>
      </c>
      <c r="N613" s="152">
        <f t="shared" si="88"/>
        <v>16</v>
      </c>
      <c r="O613" s="12" t="str">
        <f t="shared" si="89"/>
        <v>Yes</v>
      </c>
      <c r="P613" s="158"/>
      <c r="Q613" s="157"/>
      <c r="R613" s="11" t="s">
        <v>39</v>
      </c>
      <c r="S613" s="158"/>
      <c r="T613" s="5" t="s">
        <v>40</v>
      </c>
      <c r="U613" s="6"/>
      <c r="V613" s="5"/>
      <c r="W613" s="5"/>
      <c r="X613" s="6"/>
      <c r="BB613" s="7" t="str">
        <v>Quarter 3</v>
      </c>
    </row>
    <row r="614" spans="1:54" ht="31.4" customHeight="1" x14ac:dyDescent="0.35">
      <c r="A614" s="210">
        <v>613</v>
      </c>
      <c r="B614" s="5" t="s">
        <v>6</v>
      </c>
      <c r="C614" s="5" t="s">
        <v>6</v>
      </c>
      <c r="D614" s="5" t="s">
        <v>829</v>
      </c>
      <c r="E614" s="149">
        <v>45964</v>
      </c>
      <c r="F614" s="149">
        <f t="shared" si="90"/>
        <v>45965</v>
      </c>
      <c r="G614" s="149">
        <f t="shared" si="91"/>
        <v>45978</v>
      </c>
      <c r="H614" s="149">
        <f t="shared" si="92"/>
        <v>45992</v>
      </c>
      <c r="I614" s="149" t="str">
        <f t="shared" si="86"/>
        <v>Nov</v>
      </c>
      <c r="J614" s="216" t="str">
        <f t="shared" ca="1" si="87"/>
        <v/>
      </c>
      <c r="K614" s="149" t="s">
        <v>4</v>
      </c>
      <c r="L614" s="149"/>
      <c r="M614" s="11">
        <v>45978</v>
      </c>
      <c r="N614" s="152">
        <f t="shared" si="88"/>
        <v>10</v>
      </c>
      <c r="O614" s="12" t="str">
        <f t="shared" si="89"/>
        <v>Yes</v>
      </c>
      <c r="P614" s="158"/>
      <c r="Q614" s="157"/>
      <c r="R614" s="11" t="s">
        <v>39</v>
      </c>
      <c r="S614" s="158"/>
      <c r="T614" s="5" t="s">
        <v>45</v>
      </c>
      <c r="U614" s="6"/>
      <c r="V614" s="5" t="s">
        <v>87</v>
      </c>
      <c r="W614" s="5" t="s">
        <v>830</v>
      </c>
      <c r="X614" s="6"/>
      <c r="BB614" s="7" t="str">
        <v>Quarter 3</v>
      </c>
    </row>
    <row r="615" spans="1:54" ht="31.4" customHeight="1" x14ac:dyDescent="0.35">
      <c r="A615" s="210">
        <v>614</v>
      </c>
      <c r="B615" s="5" t="s">
        <v>6</v>
      </c>
      <c r="C615" s="5" t="s">
        <v>6</v>
      </c>
      <c r="D615" s="5" t="s">
        <v>831</v>
      </c>
      <c r="E615" s="149">
        <v>45967</v>
      </c>
      <c r="F615" s="149">
        <f t="shared" si="90"/>
        <v>45968</v>
      </c>
      <c r="G615" s="149">
        <f t="shared" si="91"/>
        <v>45981</v>
      </c>
      <c r="H615" s="149">
        <f t="shared" si="92"/>
        <v>45995</v>
      </c>
      <c r="I615" s="149" t="str">
        <f t="shared" si="86"/>
        <v>Nov</v>
      </c>
      <c r="J615" s="216" t="str">
        <f t="shared" ca="1" si="87"/>
        <v/>
      </c>
      <c r="K615" s="149" t="s">
        <v>4</v>
      </c>
      <c r="L615" s="149"/>
      <c r="M615" s="11">
        <v>45968</v>
      </c>
      <c r="N615" s="152">
        <f t="shared" si="88"/>
        <v>1</v>
      </c>
      <c r="O615" s="12" t="str">
        <f t="shared" si="89"/>
        <v>Yes</v>
      </c>
      <c r="P615" s="158"/>
      <c r="Q615" s="157"/>
      <c r="R615" s="11" t="s">
        <v>39</v>
      </c>
      <c r="S615" s="158"/>
      <c r="T615" s="5" t="s">
        <v>45</v>
      </c>
      <c r="U615" s="6"/>
      <c r="V615" s="5" t="s">
        <v>87</v>
      </c>
      <c r="W615" s="5"/>
      <c r="X615" s="6"/>
      <c r="BB615" s="7" t="str">
        <v>Quarter 3</v>
      </c>
    </row>
    <row r="616" spans="1:54" ht="31.4" customHeight="1" x14ac:dyDescent="0.35">
      <c r="A616" s="210">
        <v>615</v>
      </c>
      <c r="B616" s="5" t="s">
        <v>6</v>
      </c>
      <c r="C616" s="5" t="s">
        <v>6</v>
      </c>
      <c r="D616" s="5" t="s">
        <v>832</v>
      </c>
      <c r="E616" s="149">
        <v>45968</v>
      </c>
      <c r="F616" s="149">
        <f t="shared" si="90"/>
        <v>45971</v>
      </c>
      <c r="G616" s="149">
        <f t="shared" si="91"/>
        <v>45982</v>
      </c>
      <c r="H616" s="149">
        <f t="shared" si="92"/>
        <v>45996</v>
      </c>
      <c r="I616" s="149" t="str">
        <f t="shared" si="86"/>
        <v>Nov</v>
      </c>
      <c r="J616" s="216" t="str">
        <f t="shared" ca="1" si="87"/>
        <v/>
      </c>
      <c r="K616" s="149" t="s">
        <v>4</v>
      </c>
      <c r="L616" s="149"/>
      <c r="M616" s="11">
        <v>45986</v>
      </c>
      <c r="N616" s="152">
        <f t="shared" si="88"/>
        <v>12</v>
      </c>
      <c r="O616" s="12" t="str">
        <f t="shared" si="89"/>
        <v>Yes</v>
      </c>
      <c r="P616" s="158"/>
      <c r="Q616" s="157"/>
      <c r="R616" s="11" t="s">
        <v>39</v>
      </c>
      <c r="S616" s="158"/>
      <c r="T616" s="5" t="s">
        <v>40</v>
      </c>
      <c r="U616" s="6"/>
      <c r="V616" s="5"/>
      <c r="W616" s="5" t="s">
        <v>46</v>
      </c>
      <c r="X616" s="6"/>
      <c r="BB616" s="7" t="str">
        <v>Quarter 3</v>
      </c>
    </row>
    <row r="617" spans="1:54" ht="31.4" customHeight="1" x14ac:dyDescent="0.35">
      <c r="A617" s="210">
        <v>616</v>
      </c>
      <c r="B617" s="8" t="s">
        <v>833</v>
      </c>
      <c r="C617" s="8" t="s">
        <v>5</v>
      </c>
      <c r="D617" s="8" t="s">
        <v>834</v>
      </c>
      <c r="E617" s="149">
        <v>45968</v>
      </c>
      <c r="F617" s="149">
        <f t="shared" si="90"/>
        <v>45971</v>
      </c>
      <c r="G617" s="149">
        <f t="shared" si="91"/>
        <v>45982</v>
      </c>
      <c r="H617" s="149">
        <f t="shared" si="92"/>
        <v>45996</v>
      </c>
      <c r="I617" s="149" t="str">
        <f t="shared" si="86"/>
        <v>Nov</v>
      </c>
      <c r="J617" s="216" t="str">
        <f t="shared" ca="1" si="87"/>
        <v/>
      </c>
      <c r="K617" s="149" t="s">
        <v>7</v>
      </c>
      <c r="L617" s="22"/>
      <c r="M617" s="11">
        <v>45980</v>
      </c>
      <c r="N617" s="152">
        <f t="shared" si="88"/>
        <v>8</v>
      </c>
      <c r="O617" s="12" t="str">
        <f t="shared" si="89"/>
        <v>Yes</v>
      </c>
      <c r="P617" s="158"/>
      <c r="Q617" s="157"/>
      <c r="R617" s="11" t="s">
        <v>39</v>
      </c>
      <c r="S617" s="158"/>
      <c r="T617" s="5" t="s">
        <v>62</v>
      </c>
      <c r="U617" s="6"/>
      <c r="V617" s="5"/>
      <c r="W617" s="5"/>
      <c r="X617" s="6"/>
      <c r="BB617" s="7" t="str">
        <v>Quarter 3</v>
      </c>
    </row>
    <row r="618" spans="1:54" ht="31.4" customHeight="1" x14ac:dyDescent="0.35">
      <c r="A618" s="210">
        <v>617</v>
      </c>
      <c r="B618" s="8" t="s">
        <v>835</v>
      </c>
      <c r="C618" s="8" t="s">
        <v>9</v>
      </c>
      <c r="D618" s="8" t="s">
        <v>836</v>
      </c>
      <c r="E618" s="149">
        <v>45968</v>
      </c>
      <c r="F618" s="149">
        <f t="shared" si="90"/>
        <v>45971</v>
      </c>
      <c r="G618" s="149">
        <f t="shared" si="91"/>
        <v>45982</v>
      </c>
      <c r="H618" s="149">
        <f t="shared" si="92"/>
        <v>45996</v>
      </c>
      <c r="I618" s="149" t="str">
        <f t="shared" si="86"/>
        <v>Nov</v>
      </c>
      <c r="J618" s="216" t="str">
        <f t="shared" ca="1" si="87"/>
        <v/>
      </c>
      <c r="K618" s="149" t="s">
        <v>43</v>
      </c>
      <c r="L618" s="149"/>
      <c r="M618" s="11">
        <v>45972</v>
      </c>
      <c r="N618" s="152">
        <f t="shared" si="88"/>
        <v>2</v>
      </c>
      <c r="O618" s="12" t="str">
        <f t="shared" si="89"/>
        <v>Yes</v>
      </c>
      <c r="P618" s="158"/>
      <c r="Q618" s="157"/>
      <c r="R618" s="11" t="s">
        <v>39</v>
      </c>
      <c r="S618" s="158"/>
      <c r="T618" s="5" t="s">
        <v>40</v>
      </c>
      <c r="U618" s="6"/>
      <c r="V618" s="5"/>
      <c r="W618" s="5"/>
      <c r="X618" s="6"/>
      <c r="BB618" s="7" t="str">
        <v>Quarter 3</v>
      </c>
    </row>
    <row r="619" spans="1:54" ht="31.4" customHeight="1" x14ac:dyDescent="0.35">
      <c r="A619" s="210">
        <v>618</v>
      </c>
      <c r="B619" s="5" t="s">
        <v>6</v>
      </c>
      <c r="C619" s="5" t="s">
        <v>6</v>
      </c>
      <c r="D619" s="5" t="s">
        <v>837</v>
      </c>
      <c r="E619" s="149">
        <v>45968</v>
      </c>
      <c r="F619" s="149">
        <f t="shared" si="90"/>
        <v>45971</v>
      </c>
      <c r="G619" s="149">
        <f t="shared" si="91"/>
        <v>45982</v>
      </c>
      <c r="H619" s="149">
        <f t="shared" si="92"/>
        <v>45996</v>
      </c>
      <c r="I619" s="149" t="str">
        <f t="shared" si="86"/>
        <v>Nov</v>
      </c>
      <c r="J619" s="216" t="str">
        <f t="shared" ca="1" si="87"/>
        <v/>
      </c>
      <c r="K619" s="149" t="s">
        <v>3</v>
      </c>
      <c r="L619" s="149"/>
      <c r="M619" s="11">
        <v>45994</v>
      </c>
      <c r="N619" s="152">
        <f t="shared" si="88"/>
        <v>18</v>
      </c>
      <c r="O619" s="12" t="str">
        <f t="shared" si="89"/>
        <v>Yes</v>
      </c>
      <c r="P619" s="158"/>
      <c r="Q619" s="157"/>
      <c r="R619" s="11" t="s">
        <v>39</v>
      </c>
      <c r="S619" s="158"/>
      <c r="T619" s="5" t="s">
        <v>45</v>
      </c>
      <c r="U619" s="6"/>
      <c r="V619" s="5" t="s">
        <v>87</v>
      </c>
      <c r="W619" s="5"/>
      <c r="X619" s="6"/>
      <c r="BB619" s="7" t="str">
        <v>Quarter 3</v>
      </c>
    </row>
    <row r="620" spans="1:54" ht="31.4" customHeight="1" x14ac:dyDescent="0.35">
      <c r="A620" s="210">
        <v>619</v>
      </c>
      <c r="B620" s="5" t="s">
        <v>319</v>
      </c>
      <c r="C620" s="5" t="s">
        <v>5</v>
      </c>
      <c r="D620" s="5" t="s">
        <v>838</v>
      </c>
      <c r="E620" s="149">
        <v>45971</v>
      </c>
      <c r="F620" s="149">
        <f t="shared" si="90"/>
        <v>45972</v>
      </c>
      <c r="G620" s="149">
        <f t="shared" si="91"/>
        <v>45985</v>
      </c>
      <c r="H620" s="149">
        <f t="shared" si="92"/>
        <v>45999</v>
      </c>
      <c r="I620" s="149" t="str">
        <f t="shared" si="86"/>
        <v>Nov</v>
      </c>
      <c r="J620" s="216" t="str">
        <f t="shared" ca="1" si="87"/>
        <v/>
      </c>
      <c r="K620" s="149" t="s">
        <v>7</v>
      </c>
      <c r="L620" s="149"/>
      <c r="M620" s="11">
        <v>45985</v>
      </c>
      <c r="N620" s="152">
        <f t="shared" si="88"/>
        <v>10</v>
      </c>
      <c r="O620" s="12" t="str">
        <f t="shared" si="89"/>
        <v>Yes</v>
      </c>
      <c r="P620" s="158"/>
      <c r="Q620" s="157"/>
      <c r="R620" s="11" t="s">
        <v>39</v>
      </c>
      <c r="S620" s="158"/>
      <c r="T620" s="5" t="s">
        <v>40</v>
      </c>
      <c r="U620" s="6"/>
      <c r="V620" s="5"/>
      <c r="W620" s="5"/>
      <c r="X620" s="6"/>
      <c r="BB620" s="7" t="str">
        <v>Quarter 3</v>
      </c>
    </row>
    <row r="621" spans="1:54" ht="31.4" customHeight="1" x14ac:dyDescent="0.35">
      <c r="A621" s="210">
        <v>620</v>
      </c>
      <c r="B621" s="5" t="s">
        <v>6</v>
      </c>
      <c r="C621" s="5" t="s">
        <v>6</v>
      </c>
      <c r="D621" s="5" t="s">
        <v>775</v>
      </c>
      <c r="E621" s="149">
        <v>45971</v>
      </c>
      <c r="F621" s="149">
        <f t="shared" si="90"/>
        <v>45972</v>
      </c>
      <c r="G621" s="149">
        <f t="shared" si="91"/>
        <v>45985</v>
      </c>
      <c r="H621" s="149">
        <f t="shared" si="92"/>
        <v>45999</v>
      </c>
      <c r="I621" s="149" t="str">
        <f t="shared" si="86"/>
        <v>Nov</v>
      </c>
      <c r="J621" s="216" t="str">
        <f t="shared" ca="1" si="87"/>
        <v/>
      </c>
      <c r="K621" s="149" t="s">
        <v>43</v>
      </c>
      <c r="L621" s="149"/>
      <c r="M621" s="11">
        <v>45979</v>
      </c>
      <c r="N621" s="152">
        <f t="shared" si="88"/>
        <v>6</v>
      </c>
      <c r="O621" s="12" t="str">
        <f t="shared" si="89"/>
        <v>Yes</v>
      </c>
      <c r="P621" s="158"/>
      <c r="Q621" s="157"/>
      <c r="R621" s="11" t="s">
        <v>39</v>
      </c>
      <c r="S621" s="158"/>
      <c r="T621" s="5" t="s">
        <v>51</v>
      </c>
      <c r="U621" s="6"/>
      <c r="V621" s="5" t="s">
        <v>80</v>
      </c>
      <c r="W621" s="5"/>
      <c r="X621" s="6"/>
      <c r="BB621" s="7" t="str">
        <v>Quarter 3</v>
      </c>
    </row>
    <row r="622" spans="1:54" ht="31.4" customHeight="1" x14ac:dyDescent="0.35">
      <c r="A622" s="210">
        <v>621</v>
      </c>
      <c r="B622" s="5" t="s">
        <v>6</v>
      </c>
      <c r="C622" s="5" t="s">
        <v>6</v>
      </c>
      <c r="D622" s="5" t="s">
        <v>776</v>
      </c>
      <c r="E622" s="149">
        <v>45971</v>
      </c>
      <c r="F622" s="149">
        <f t="shared" si="90"/>
        <v>45972</v>
      </c>
      <c r="G622" s="149">
        <f t="shared" si="91"/>
        <v>45985</v>
      </c>
      <c r="H622" s="149">
        <f t="shared" si="92"/>
        <v>45999</v>
      </c>
      <c r="I622" s="149" t="str">
        <f t="shared" si="86"/>
        <v>Nov</v>
      </c>
      <c r="J622" s="216" t="str">
        <f t="shared" ca="1" si="87"/>
        <v/>
      </c>
      <c r="K622" s="149" t="s">
        <v>43</v>
      </c>
      <c r="L622" s="149"/>
      <c r="M622" s="11">
        <v>45979</v>
      </c>
      <c r="N622" s="152">
        <f t="shared" si="88"/>
        <v>6</v>
      </c>
      <c r="O622" s="12" t="str">
        <f t="shared" si="89"/>
        <v>Yes</v>
      </c>
      <c r="P622" s="158"/>
      <c r="Q622" s="157"/>
      <c r="R622" s="11" t="s">
        <v>39</v>
      </c>
      <c r="S622" s="158"/>
      <c r="T622" s="5" t="s">
        <v>51</v>
      </c>
      <c r="U622" s="6"/>
      <c r="V622" s="5" t="s">
        <v>80</v>
      </c>
      <c r="W622" s="5"/>
      <c r="X622" s="6"/>
      <c r="BB622" s="7" t="str">
        <v>Quarter 3</v>
      </c>
    </row>
    <row r="623" spans="1:54" ht="31.4" customHeight="1" x14ac:dyDescent="0.35">
      <c r="A623" s="210">
        <v>622</v>
      </c>
      <c r="B623" s="5" t="s">
        <v>6</v>
      </c>
      <c r="C623" s="5" t="s">
        <v>6</v>
      </c>
      <c r="D623" s="5" t="s">
        <v>839</v>
      </c>
      <c r="E623" s="149">
        <v>45971</v>
      </c>
      <c r="F623" s="149">
        <f t="shared" si="90"/>
        <v>45972</v>
      </c>
      <c r="G623" s="149">
        <f t="shared" si="91"/>
        <v>45985</v>
      </c>
      <c r="H623" s="149">
        <f t="shared" si="92"/>
        <v>45999</v>
      </c>
      <c r="I623" s="149" t="str">
        <f t="shared" si="86"/>
        <v>Nov</v>
      </c>
      <c r="J623" s="216" t="str">
        <f t="shared" ca="1" si="87"/>
        <v/>
      </c>
      <c r="K623" s="149" t="s">
        <v>7</v>
      </c>
      <c r="L623" s="149"/>
      <c r="M623" s="11">
        <v>46034</v>
      </c>
      <c r="N623" s="152">
        <f t="shared" si="88"/>
        <v>42</v>
      </c>
      <c r="O623" s="12" t="str">
        <f t="shared" si="89"/>
        <v>No</v>
      </c>
      <c r="P623" s="158"/>
      <c r="Q623" s="157"/>
      <c r="R623" s="11" t="s">
        <v>39</v>
      </c>
      <c r="S623" s="158"/>
      <c r="T623" s="5" t="s">
        <v>40</v>
      </c>
      <c r="U623" s="6"/>
      <c r="V623" s="5" t="s">
        <v>54</v>
      </c>
      <c r="W623" s="5"/>
      <c r="X623" s="6"/>
      <c r="BB623" s="7" t="str">
        <v>Quarter 3</v>
      </c>
    </row>
    <row r="624" spans="1:54" ht="31.4" customHeight="1" x14ac:dyDescent="0.35">
      <c r="A624" s="210">
        <v>623</v>
      </c>
      <c r="B624" s="8" t="s">
        <v>6</v>
      </c>
      <c r="C624" s="8" t="s">
        <v>6</v>
      </c>
      <c r="D624" s="5" t="s">
        <v>840</v>
      </c>
      <c r="E624" s="149">
        <v>45971</v>
      </c>
      <c r="F624" s="149">
        <f t="shared" si="90"/>
        <v>45972</v>
      </c>
      <c r="G624" s="149">
        <f t="shared" si="91"/>
        <v>45985</v>
      </c>
      <c r="H624" s="149">
        <f t="shared" si="92"/>
        <v>45999</v>
      </c>
      <c r="I624" s="149" t="str">
        <f t="shared" si="86"/>
        <v>Nov</v>
      </c>
      <c r="J624" s="216" t="str">
        <f t="shared" ca="1" si="87"/>
        <v/>
      </c>
      <c r="K624" s="149" t="s">
        <v>7</v>
      </c>
      <c r="L624" s="149"/>
      <c r="M624" s="11">
        <v>45985</v>
      </c>
      <c r="N624" s="152">
        <f t="shared" si="88"/>
        <v>10</v>
      </c>
      <c r="O624" s="12" t="str">
        <f t="shared" si="89"/>
        <v>Yes</v>
      </c>
      <c r="P624" s="158"/>
      <c r="Q624" s="157"/>
      <c r="R624" s="11" t="s">
        <v>39</v>
      </c>
      <c r="S624" s="158"/>
      <c r="T624" s="5" t="s">
        <v>45</v>
      </c>
      <c r="U624" s="6"/>
      <c r="V624" s="5" t="s">
        <v>80</v>
      </c>
      <c r="W624" s="5"/>
      <c r="X624" s="6"/>
      <c r="BB624" s="7" t="str">
        <v>Quarter 3</v>
      </c>
    </row>
    <row r="625" spans="1:54" ht="31.4" customHeight="1" x14ac:dyDescent="0.35">
      <c r="A625" s="210">
        <v>624</v>
      </c>
      <c r="B625" s="8" t="s">
        <v>55</v>
      </c>
      <c r="C625" s="8" t="s">
        <v>13</v>
      </c>
      <c r="D625" s="8" t="s">
        <v>841</v>
      </c>
      <c r="E625" s="22">
        <v>45971</v>
      </c>
      <c r="F625" s="149">
        <f t="shared" si="90"/>
        <v>45972</v>
      </c>
      <c r="G625" s="149">
        <f t="shared" si="91"/>
        <v>45985</v>
      </c>
      <c r="H625" s="149">
        <f t="shared" si="92"/>
        <v>45999</v>
      </c>
      <c r="I625" s="149" t="str">
        <f t="shared" si="86"/>
        <v>Nov</v>
      </c>
      <c r="J625" s="216" t="str">
        <f t="shared" ca="1" si="87"/>
        <v/>
      </c>
      <c r="K625" s="22" t="s">
        <v>43</v>
      </c>
      <c r="L625" s="149"/>
      <c r="M625" s="11">
        <v>45974</v>
      </c>
      <c r="N625" s="152">
        <f t="shared" si="88"/>
        <v>3</v>
      </c>
      <c r="O625" s="12" t="str">
        <f t="shared" si="89"/>
        <v>Yes</v>
      </c>
      <c r="P625" s="158"/>
      <c r="Q625" s="157"/>
      <c r="R625" s="11" t="s">
        <v>39</v>
      </c>
      <c r="S625" s="158"/>
      <c r="T625" s="5" t="s">
        <v>40</v>
      </c>
      <c r="U625" s="6"/>
      <c r="V625" s="5"/>
      <c r="W625" s="5"/>
      <c r="X625" s="6"/>
      <c r="BB625" s="7" t="str">
        <v>Quarter 3</v>
      </c>
    </row>
    <row r="626" spans="1:54" ht="31.4" customHeight="1" x14ac:dyDescent="0.35">
      <c r="A626" s="210">
        <v>625</v>
      </c>
      <c r="B626" s="5" t="s">
        <v>55</v>
      </c>
      <c r="C626" s="5" t="s">
        <v>13</v>
      </c>
      <c r="D626" s="5" t="s">
        <v>842</v>
      </c>
      <c r="E626" s="149">
        <v>45971</v>
      </c>
      <c r="F626" s="149">
        <f t="shared" si="90"/>
        <v>45972</v>
      </c>
      <c r="G626" s="149">
        <f t="shared" si="91"/>
        <v>45985</v>
      </c>
      <c r="H626" s="149">
        <f t="shared" si="92"/>
        <v>45999</v>
      </c>
      <c r="I626" s="149" t="str">
        <f t="shared" si="86"/>
        <v>Nov</v>
      </c>
      <c r="J626" s="216" t="str">
        <f t="shared" ca="1" si="87"/>
        <v/>
      </c>
      <c r="K626" s="149" t="s">
        <v>43</v>
      </c>
      <c r="L626" s="149"/>
      <c r="M626" s="11">
        <v>45973</v>
      </c>
      <c r="N626" s="152">
        <f t="shared" si="88"/>
        <v>2</v>
      </c>
      <c r="O626" s="12" t="str">
        <f t="shared" si="89"/>
        <v>Yes</v>
      </c>
      <c r="P626" s="158"/>
      <c r="Q626" s="157"/>
      <c r="R626" s="11" t="s">
        <v>39</v>
      </c>
      <c r="S626" s="158"/>
      <c r="T626" s="5" t="s">
        <v>40</v>
      </c>
      <c r="U626" s="6"/>
      <c r="V626" s="5"/>
      <c r="W626" s="5"/>
      <c r="X626" s="6"/>
      <c r="BB626" s="7" t="str">
        <v>Quarter 3</v>
      </c>
    </row>
    <row r="627" spans="1:54" ht="31.4" customHeight="1" x14ac:dyDescent="0.35">
      <c r="A627" s="210">
        <v>626</v>
      </c>
      <c r="B627" s="5" t="s">
        <v>55</v>
      </c>
      <c r="C627" s="5" t="s">
        <v>13</v>
      </c>
      <c r="D627" s="5" t="s">
        <v>160</v>
      </c>
      <c r="E627" s="149">
        <v>45972</v>
      </c>
      <c r="F627" s="149">
        <f t="shared" si="90"/>
        <v>45973</v>
      </c>
      <c r="G627" s="149">
        <f t="shared" si="91"/>
        <v>45986</v>
      </c>
      <c r="H627" s="149">
        <f t="shared" si="92"/>
        <v>46000</v>
      </c>
      <c r="I627" s="149" t="str">
        <f t="shared" si="86"/>
        <v>Nov</v>
      </c>
      <c r="J627" s="216" t="str">
        <f t="shared" ca="1" si="87"/>
        <v/>
      </c>
      <c r="K627" s="149" t="s">
        <v>43</v>
      </c>
      <c r="L627" s="149"/>
      <c r="M627" s="11">
        <v>45996</v>
      </c>
      <c r="N627" s="152">
        <f t="shared" si="88"/>
        <v>18</v>
      </c>
      <c r="O627" s="12" t="str">
        <f t="shared" si="89"/>
        <v>Yes</v>
      </c>
      <c r="P627" s="158"/>
      <c r="Q627" s="157"/>
      <c r="R627" s="11" t="s">
        <v>39</v>
      </c>
      <c r="S627" s="158"/>
      <c r="T627" s="5" t="s">
        <v>45</v>
      </c>
      <c r="U627" s="6"/>
      <c r="V627" s="5" t="s">
        <v>53</v>
      </c>
      <c r="W627" s="5"/>
      <c r="X627" s="6"/>
      <c r="BB627" s="7" t="str">
        <v>Quarter 3</v>
      </c>
    </row>
    <row r="628" spans="1:54" ht="31.4" customHeight="1" x14ac:dyDescent="0.35">
      <c r="A628" s="210">
        <v>627</v>
      </c>
      <c r="B628" s="5" t="s">
        <v>6</v>
      </c>
      <c r="C628" s="5" t="s">
        <v>6</v>
      </c>
      <c r="D628" s="5" t="s">
        <v>843</v>
      </c>
      <c r="E628" s="149">
        <v>45972</v>
      </c>
      <c r="F628" s="149">
        <f t="shared" si="90"/>
        <v>45973</v>
      </c>
      <c r="G628" s="149">
        <f t="shared" si="91"/>
        <v>45986</v>
      </c>
      <c r="H628" s="149">
        <f t="shared" si="92"/>
        <v>46000</v>
      </c>
      <c r="I628" s="149" t="str">
        <f t="shared" si="86"/>
        <v>Nov</v>
      </c>
      <c r="J628" s="216" t="str">
        <f t="shared" ca="1" si="87"/>
        <v/>
      </c>
      <c r="K628" s="149" t="s">
        <v>7</v>
      </c>
      <c r="L628" s="149"/>
      <c r="M628" s="11">
        <v>46007</v>
      </c>
      <c r="N628" s="152">
        <f t="shared" si="88"/>
        <v>25</v>
      </c>
      <c r="O628" s="12" t="str">
        <f t="shared" si="89"/>
        <v>No</v>
      </c>
      <c r="P628" s="158"/>
      <c r="Q628" s="157"/>
      <c r="R628" s="11" t="s">
        <v>39</v>
      </c>
      <c r="S628" s="158"/>
      <c r="T628" s="5" t="s">
        <v>40</v>
      </c>
      <c r="U628" s="6"/>
      <c r="V628" s="5"/>
      <c r="W628" s="5"/>
      <c r="X628" s="6"/>
      <c r="BB628" s="7" t="str">
        <v>Quarter 3</v>
      </c>
    </row>
    <row r="629" spans="1:54" ht="31.4" customHeight="1" x14ac:dyDescent="0.35">
      <c r="A629" s="210">
        <v>628</v>
      </c>
      <c r="B629" s="5" t="s">
        <v>55</v>
      </c>
      <c r="C629" s="5" t="s">
        <v>13</v>
      </c>
      <c r="D629" s="5" t="s">
        <v>844</v>
      </c>
      <c r="E629" s="149">
        <v>45972</v>
      </c>
      <c r="F629" s="149">
        <f t="shared" si="90"/>
        <v>45973</v>
      </c>
      <c r="G629" s="149">
        <f t="shared" si="91"/>
        <v>45986</v>
      </c>
      <c r="H629" s="149">
        <f t="shared" si="92"/>
        <v>46000</v>
      </c>
      <c r="I629" s="149" t="str">
        <f t="shared" si="86"/>
        <v>Nov</v>
      </c>
      <c r="J629" s="216" t="str">
        <f t="shared" ca="1" si="87"/>
        <v/>
      </c>
      <c r="K629" s="149" t="s">
        <v>4</v>
      </c>
      <c r="L629" s="149"/>
      <c r="M629" s="11">
        <v>45979</v>
      </c>
      <c r="N629" s="152">
        <f t="shared" si="88"/>
        <v>5</v>
      </c>
      <c r="O629" s="12" t="str">
        <f t="shared" si="89"/>
        <v>Yes</v>
      </c>
      <c r="P629" s="158"/>
      <c r="Q629" s="157"/>
      <c r="R629" s="11" t="s">
        <v>39</v>
      </c>
      <c r="S629" s="158"/>
      <c r="T629" s="5" t="s">
        <v>51</v>
      </c>
      <c r="U629" s="6"/>
      <c r="V629" s="5" t="s">
        <v>41</v>
      </c>
      <c r="W629" s="5"/>
      <c r="X629" s="6"/>
      <c r="BB629" s="7" t="str">
        <v>Quarter 3</v>
      </c>
    </row>
    <row r="630" spans="1:54" ht="31.4" customHeight="1" x14ac:dyDescent="0.35">
      <c r="A630" s="210">
        <v>629</v>
      </c>
      <c r="B630" s="5" t="s">
        <v>845</v>
      </c>
      <c r="C630" s="5" t="s">
        <v>9</v>
      </c>
      <c r="D630" s="5" t="s">
        <v>1868</v>
      </c>
      <c r="E630" s="149">
        <v>45972</v>
      </c>
      <c r="F630" s="149">
        <f t="shared" si="90"/>
        <v>45973</v>
      </c>
      <c r="G630" s="149">
        <f t="shared" si="91"/>
        <v>45986</v>
      </c>
      <c r="H630" s="149">
        <f t="shared" si="92"/>
        <v>46000</v>
      </c>
      <c r="I630" s="149" t="str">
        <f t="shared" si="86"/>
        <v>Nov</v>
      </c>
      <c r="J630" s="216" t="str">
        <f t="shared" ca="1" si="87"/>
        <v/>
      </c>
      <c r="K630" s="149" t="s">
        <v>7</v>
      </c>
      <c r="L630" s="149"/>
      <c r="M630" s="11">
        <v>45974</v>
      </c>
      <c r="N630" s="152">
        <f t="shared" si="88"/>
        <v>2</v>
      </c>
      <c r="O630" s="12" t="str">
        <f t="shared" si="89"/>
        <v>Yes</v>
      </c>
      <c r="P630" s="158"/>
      <c r="Q630" s="157"/>
      <c r="R630" s="11" t="s">
        <v>39</v>
      </c>
      <c r="S630" s="158"/>
      <c r="T630" s="5" t="s">
        <v>51</v>
      </c>
      <c r="U630" s="6"/>
      <c r="V630" s="5" t="s">
        <v>87</v>
      </c>
      <c r="W630" s="5"/>
      <c r="X630" s="6"/>
      <c r="BB630" s="7" t="str">
        <v>Quarter 3</v>
      </c>
    </row>
    <row r="631" spans="1:54" ht="31.4" customHeight="1" x14ac:dyDescent="0.35">
      <c r="A631" s="210">
        <v>630</v>
      </c>
      <c r="B631" s="5" t="s">
        <v>846</v>
      </c>
      <c r="C631" s="5" t="s">
        <v>12</v>
      </c>
      <c r="D631" s="5" t="s">
        <v>847</v>
      </c>
      <c r="E631" s="149">
        <v>45972</v>
      </c>
      <c r="F631" s="149">
        <f t="shared" si="90"/>
        <v>45973</v>
      </c>
      <c r="G631" s="149">
        <f t="shared" si="91"/>
        <v>45986</v>
      </c>
      <c r="H631" s="149">
        <f t="shared" si="92"/>
        <v>46000</v>
      </c>
      <c r="I631" s="149" t="str">
        <f t="shared" si="86"/>
        <v>Nov</v>
      </c>
      <c r="J631" s="216" t="str">
        <f t="shared" ca="1" si="87"/>
        <v/>
      </c>
      <c r="K631" s="149" t="s">
        <v>7</v>
      </c>
      <c r="L631" s="149"/>
      <c r="M631" s="11">
        <v>45985</v>
      </c>
      <c r="N631" s="152">
        <f t="shared" si="88"/>
        <v>9</v>
      </c>
      <c r="O631" s="12" t="str">
        <f t="shared" si="89"/>
        <v>Yes</v>
      </c>
      <c r="P631" s="158"/>
      <c r="Q631" s="157"/>
      <c r="R631" s="11" t="s">
        <v>39</v>
      </c>
      <c r="S631" s="158"/>
      <c r="T631" s="5" t="s">
        <v>40</v>
      </c>
      <c r="U631" s="6"/>
      <c r="V631" s="5"/>
      <c r="W631" s="5"/>
      <c r="X631" s="6"/>
      <c r="BB631" s="7" t="str">
        <v>Quarter 3</v>
      </c>
    </row>
    <row r="632" spans="1:54" ht="31.4" customHeight="1" x14ac:dyDescent="0.35">
      <c r="A632" s="210">
        <v>631</v>
      </c>
      <c r="B632" s="5" t="s">
        <v>6</v>
      </c>
      <c r="C632" s="5" t="s">
        <v>6</v>
      </c>
      <c r="D632" s="5" t="s">
        <v>848</v>
      </c>
      <c r="E632" s="149">
        <v>45973</v>
      </c>
      <c r="F632" s="149">
        <f t="shared" si="90"/>
        <v>45974</v>
      </c>
      <c r="G632" s="149">
        <f t="shared" si="91"/>
        <v>45987</v>
      </c>
      <c r="H632" s="149">
        <f t="shared" si="92"/>
        <v>46001</v>
      </c>
      <c r="I632" s="149" t="str">
        <f t="shared" si="86"/>
        <v>Nov</v>
      </c>
      <c r="J632" s="216" t="str">
        <f t="shared" ca="1" si="87"/>
        <v/>
      </c>
      <c r="K632" s="149" t="s">
        <v>43</v>
      </c>
      <c r="L632" s="149"/>
      <c r="M632" s="11">
        <v>45973</v>
      </c>
      <c r="N632" s="152">
        <f t="shared" si="88"/>
        <v>0</v>
      </c>
      <c r="O632" s="12" t="str">
        <f t="shared" si="89"/>
        <v>Yes</v>
      </c>
      <c r="P632" s="158"/>
      <c r="Q632" s="157"/>
      <c r="R632" s="11" t="s">
        <v>39</v>
      </c>
      <c r="S632" s="158"/>
      <c r="T632" s="5" t="s">
        <v>62</v>
      </c>
      <c r="U632" s="6"/>
      <c r="V632" s="5"/>
      <c r="W632" s="5"/>
      <c r="X632" s="6"/>
      <c r="BB632" s="7" t="str">
        <v>Quarter 3</v>
      </c>
    </row>
    <row r="633" spans="1:54" ht="31.4" customHeight="1" x14ac:dyDescent="0.35">
      <c r="A633" s="210">
        <v>632</v>
      </c>
      <c r="B633" s="5" t="s">
        <v>6</v>
      </c>
      <c r="C633" s="5" t="s">
        <v>6</v>
      </c>
      <c r="D633" s="5" t="s">
        <v>849</v>
      </c>
      <c r="E633" s="149">
        <v>45973</v>
      </c>
      <c r="F633" s="149">
        <f t="shared" si="90"/>
        <v>45974</v>
      </c>
      <c r="G633" s="149">
        <f t="shared" si="91"/>
        <v>45987</v>
      </c>
      <c r="H633" s="149">
        <f t="shared" si="92"/>
        <v>46001</v>
      </c>
      <c r="I633" s="149" t="str">
        <f t="shared" si="86"/>
        <v>Nov</v>
      </c>
      <c r="J633" s="216" t="str">
        <f t="shared" ca="1" si="87"/>
        <v/>
      </c>
      <c r="K633" s="149" t="s">
        <v>4</v>
      </c>
      <c r="L633" s="149"/>
      <c r="M633" s="11">
        <v>45975</v>
      </c>
      <c r="N633" s="152">
        <f t="shared" si="88"/>
        <v>2</v>
      </c>
      <c r="O633" s="12" t="str">
        <f t="shared" si="89"/>
        <v>Yes</v>
      </c>
      <c r="P633" s="158"/>
      <c r="Q633" s="157"/>
      <c r="R633" s="11" t="s">
        <v>39</v>
      </c>
      <c r="S633" s="158"/>
      <c r="T633" s="5" t="s">
        <v>40</v>
      </c>
      <c r="U633" s="6"/>
      <c r="V633" s="5" t="s">
        <v>54</v>
      </c>
      <c r="W633" s="5" t="s">
        <v>657</v>
      </c>
      <c r="X633" s="6"/>
      <c r="BB633" s="7" t="str">
        <v>Quarter 3</v>
      </c>
    </row>
    <row r="634" spans="1:54" ht="31.4" customHeight="1" x14ac:dyDescent="0.35">
      <c r="A634" s="210">
        <v>633</v>
      </c>
      <c r="B634" s="5" t="s">
        <v>55</v>
      </c>
      <c r="C634" s="5" t="s">
        <v>13</v>
      </c>
      <c r="D634" s="5" t="s">
        <v>850</v>
      </c>
      <c r="E634" s="149">
        <v>45973</v>
      </c>
      <c r="F634" s="149">
        <f t="shared" si="90"/>
        <v>45974</v>
      </c>
      <c r="G634" s="149">
        <f t="shared" si="91"/>
        <v>45987</v>
      </c>
      <c r="H634" s="149">
        <f t="shared" si="92"/>
        <v>46001</v>
      </c>
      <c r="I634" s="149" t="str">
        <f t="shared" si="86"/>
        <v>Nov</v>
      </c>
      <c r="J634" s="216" t="str">
        <f t="shared" ca="1" si="87"/>
        <v/>
      </c>
      <c r="K634" s="149" t="s">
        <v>7</v>
      </c>
      <c r="L634" s="149"/>
      <c r="M634" s="11">
        <v>45987</v>
      </c>
      <c r="N634" s="152">
        <f t="shared" si="88"/>
        <v>10</v>
      </c>
      <c r="O634" s="12" t="str">
        <f t="shared" si="89"/>
        <v>Yes</v>
      </c>
      <c r="P634" s="158"/>
      <c r="Q634" s="157"/>
      <c r="R634" s="11" t="s">
        <v>39</v>
      </c>
      <c r="S634" s="158"/>
      <c r="T634" s="5" t="s">
        <v>40</v>
      </c>
      <c r="U634" s="6"/>
      <c r="V634" s="5"/>
      <c r="W634" s="5" t="s">
        <v>46</v>
      </c>
      <c r="X634" s="6"/>
      <c r="BB634" s="7" t="str">
        <v>Quarter 3</v>
      </c>
    </row>
    <row r="635" spans="1:54" ht="31.4" customHeight="1" x14ac:dyDescent="0.35">
      <c r="A635" s="210">
        <v>634</v>
      </c>
      <c r="B635" s="5" t="s">
        <v>6</v>
      </c>
      <c r="C635" s="5" t="s">
        <v>6</v>
      </c>
      <c r="D635" s="5" t="s">
        <v>851</v>
      </c>
      <c r="E635" s="149">
        <v>45974</v>
      </c>
      <c r="F635" s="149">
        <f t="shared" si="90"/>
        <v>45975</v>
      </c>
      <c r="G635" s="149">
        <f t="shared" si="91"/>
        <v>45988</v>
      </c>
      <c r="H635" s="149">
        <f t="shared" si="92"/>
        <v>46002</v>
      </c>
      <c r="I635" s="149" t="str">
        <f t="shared" si="86"/>
        <v>Nov</v>
      </c>
      <c r="J635" s="216" t="str">
        <f t="shared" ca="1" si="87"/>
        <v/>
      </c>
      <c r="K635" s="149" t="s">
        <v>43</v>
      </c>
      <c r="L635" s="149"/>
      <c r="M635" s="11">
        <v>46002</v>
      </c>
      <c r="N635" s="152">
        <f t="shared" si="88"/>
        <v>20</v>
      </c>
      <c r="O635" s="12" t="str">
        <f t="shared" si="89"/>
        <v>Yes</v>
      </c>
      <c r="P635" s="158"/>
      <c r="Q635" s="157"/>
      <c r="R635" s="11" t="s">
        <v>39</v>
      </c>
      <c r="S635" s="158"/>
      <c r="T635" s="5" t="s">
        <v>40</v>
      </c>
      <c r="U635" s="6"/>
      <c r="V635" s="5"/>
      <c r="W635" s="5"/>
      <c r="X635" s="6"/>
      <c r="BB635" s="7" t="str">
        <v>Quarter 3</v>
      </c>
    </row>
    <row r="636" spans="1:54" ht="31.4" customHeight="1" x14ac:dyDescent="0.35">
      <c r="A636" s="210">
        <v>635</v>
      </c>
      <c r="B636" s="5" t="s">
        <v>6</v>
      </c>
      <c r="C636" s="5" t="s">
        <v>6</v>
      </c>
      <c r="D636" s="5" t="s">
        <v>852</v>
      </c>
      <c r="E636" s="149">
        <v>45975</v>
      </c>
      <c r="F636" s="149">
        <f t="shared" si="90"/>
        <v>45978</v>
      </c>
      <c r="G636" s="149">
        <f t="shared" si="91"/>
        <v>45989</v>
      </c>
      <c r="H636" s="149">
        <f t="shared" si="92"/>
        <v>46003</v>
      </c>
      <c r="I636" s="149" t="str">
        <f t="shared" si="86"/>
        <v>Nov</v>
      </c>
      <c r="J636" s="216" t="str">
        <f t="shared" ca="1" si="87"/>
        <v/>
      </c>
      <c r="K636" s="149" t="s">
        <v>43</v>
      </c>
      <c r="L636" s="149"/>
      <c r="M636" s="11">
        <v>45975</v>
      </c>
      <c r="N636" s="152">
        <f t="shared" si="88"/>
        <v>0</v>
      </c>
      <c r="O636" s="12" t="str">
        <f t="shared" si="89"/>
        <v>Yes</v>
      </c>
      <c r="P636" s="158"/>
      <c r="Q636" s="157"/>
      <c r="R636" s="11" t="s">
        <v>39</v>
      </c>
      <c r="S636" s="158"/>
      <c r="T636" s="5" t="s">
        <v>62</v>
      </c>
      <c r="U636" s="6"/>
      <c r="V636" s="5"/>
      <c r="W636" s="5"/>
      <c r="X636" s="6"/>
      <c r="BB636" s="7" t="str">
        <v>Quarter 3</v>
      </c>
    </row>
    <row r="637" spans="1:54" ht="31.4" customHeight="1" x14ac:dyDescent="0.35">
      <c r="A637" s="210">
        <v>636</v>
      </c>
      <c r="B637" s="5" t="s">
        <v>55</v>
      </c>
      <c r="C637" s="5" t="s">
        <v>13</v>
      </c>
      <c r="D637" s="5" t="s">
        <v>853</v>
      </c>
      <c r="E637" s="149">
        <v>45975</v>
      </c>
      <c r="F637" s="149">
        <f t="shared" si="90"/>
        <v>45978</v>
      </c>
      <c r="G637" s="149">
        <f t="shared" si="91"/>
        <v>45989</v>
      </c>
      <c r="H637" s="149">
        <f t="shared" si="92"/>
        <v>46003</v>
      </c>
      <c r="I637" s="149" t="str">
        <f t="shared" si="86"/>
        <v>Nov</v>
      </c>
      <c r="J637" s="216" t="str">
        <f t="shared" ca="1" si="87"/>
        <v/>
      </c>
      <c r="K637" s="149" t="s">
        <v>43</v>
      </c>
      <c r="L637" s="149"/>
      <c r="M637" s="11">
        <v>45989</v>
      </c>
      <c r="N637" s="152">
        <f t="shared" si="88"/>
        <v>10</v>
      </c>
      <c r="O637" s="12" t="str">
        <f t="shared" si="89"/>
        <v>Yes</v>
      </c>
      <c r="P637" s="158"/>
      <c r="Q637" s="157"/>
      <c r="R637" s="11" t="s">
        <v>39</v>
      </c>
      <c r="S637" s="158"/>
      <c r="T637" s="5" t="s">
        <v>40</v>
      </c>
      <c r="U637" s="6"/>
      <c r="V637" s="5"/>
      <c r="W637" s="5"/>
      <c r="X637" s="6"/>
      <c r="BB637" s="7" t="str">
        <v>Quarter 3</v>
      </c>
    </row>
    <row r="638" spans="1:54" ht="31.4" customHeight="1" x14ac:dyDescent="0.35">
      <c r="A638" s="210">
        <v>637</v>
      </c>
      <c r="B638" s="5" t="s">
        <v>705</v>
      </c>
      <c r="C638" s="5" t="s">
        <v>9</v>
      </c>
      <c r="D638" s="5" t="s">
        <v>854</v>
      </c>
      <c r="E638" s="149">
        <v>45975</v>
      </c>
      <c r="F638" s="149">
        <f t="shared" si="90"/>
        <v>45978</v>
      </c>
      <c r="G638" s="149">
        <f t="shared" si="91"/>
        <v>45989</v>
      </c>
      <c r="H638" s="149">
        <f t="shared" si="92"/>
        <v>46003</v>
      </c>
      <c r="I638" s="149" t="str">
        <f t="shared" si="86"/>
        <v>Nov</v>
      </c>
      <c r="J638" s="216" t="str">
        <f t="shared" ca="1" si="87"/>
        <v/>
      </c>
      <c r="K638" s="149" t="s">
        <v>4</v>
      </c>
      <c r="L638" s="149"/>
      <c r="M638" s="11">
        <v>45978</v>
      </c>
      <c r="N638" s="152">
        <f t="shared" si="88"/>
        <v>1</v>
      </c>
      <c r="O638" s="12" t="str">
        <f t="shared" si="89"/>
        <v>Yes</v>
      </c>
      <c r="P638" s="158"/>
      <c r="Q638" s="157"/>
      <c r="R638" s="11" t="s">
        <v>39</v>
      </c>
      <c r="S638" s="158"/>
      <c r="T638" s="5" t="s">
        <v>40</v>
      </c>
      <c r="U638" s="6"/>
      <c r="V638" s="5"/>
      <c r="W638" s="5"/>
      <c r="X638" s="6"/>
      <c r="BB638" s="7" t="str">
        <v>Quarter 3</v>
      </c>
    </row>
    <row r="639" spans="1:54" ht="31.4" customHeight="1" x14ac:dyDescent="0.35">
      <c r="A639" s="210">
        <v>638</v>
      </c>
      <c r="B639" s="5" t="s">
        <v>6</v>
      </c>
      <c r="C639" s="5" t="s">
        <v>6</v>
      </c>
      <c r="D639" s="8" t="s">
        <v>855</v>
      </c>
      <c r="E639" s="149">
        <v>45975</v>
      </c>
      <c r="F639" s="149">
        <f t="shared" si="90"/>
        <v>45978</v>
      </c>
      <c r="G639" s="149">
        <f t="shared" si="91"/>
        <v>45989</v>
      </c>
      <c r="H639" s="149">
        <f t="shared" si="92"/>
        <v>46003</v>
      </c>
      <c r="I639" s="149" t="str">
        <f t="shared" si="86"/>
        <v>Nov</v>
      </c>
      <c r="J639" s="216" t="str">
        <f t="shared" ca="1" si="87"/>
        <v/>
      </c>
      <c r="K639" s="149" t="s">
        <v>43</v>
      </c>
      <c r="L639" s="149"/>
      <c r="M639" s="11">
        <v>45999</v>
      </c>
      <c r="N639" s="152">
        <f t="shared" si="88"/>
        <v>16</v>
      </c>
      <c r="O639" s="12" t="str">
        <f t="shared" si="89"/>
        <v>Yes</v>
      </c>
      <c r="P639" s="158"/>
      <c r="Q639" s="157"/>
      <c r="R639" s="11" t="s">
        <v>39</v>
      </c>
      <c r="S639" s="158"/>
      <c r="T639" s="5" t="s">
        <v>40</v>
      </c>
      <c r="U639" s="6"/>
      <c r="V639" s="5" t="s">
        <v>54</v>
      </c>
      <c r="W639" s="5"/>
      <c r="X639" s="6"/>
      <c r="BB639" s="7" t="str">
        <v>Quarter 3</v>
      </c>
    </row>
    <row r="640" spans="1:54" ht="31.4" customHeight="1" x14ac:dyDescent="0.35">
      <c r="A640" s="210">
        <v>639</v>
      </c>
      <c r="B640" s="8" t="s">
        <v>55</v>
      </c>
      <c r="C640" s="8" t="s">
        <v>13</v>
      </c>
      <c r="D640" s="8" t="s">
        <v>856</v>
      </c>
      <c r="E640" s="149">
        <v>45975</v>
      </c>
      <c r="F640" s="149">
        <f t="shared" si="90"/>
        <v>45978</v>
      </c>
      <c r="G640" s="149">
        <f t="shared" si="91"/>
        <v>45989</v>
      </c>
      <c r="H640" s="149">
        <f t="shared" si="92"/>
        <v>46003</v>
      </c>
      <c r="I640" s="149" t="str">
        <f t="shared" si="86"/>
        <v>Nov</v>
      </c>
      <c r="J640" s="216" t="str">
        <f t="shared" ca="1" si="87"/>
        <v/>
      </c>
      <c r="K640" s="149" t="s">
        <v>3</v>
      </c>
      <c r="L640" s="149"/>
      <c r="M640" s="11">
        <v>45986</v>
      </c>
      <c r="N640" s="152">
        <f t="shared" si="88"/>
        <v>7</v>
      </c>
      <c r="O640" s="12" t="str">
        <f t="shared" si="89"/>
        <v>Yes</v>
      </c>
      <c r="P640" s="158"/>
      <c r="Q640" s="157"/>
      <c r="R640" s="11" t="s">
        <v>39</v>
      </c>
      <c r="S640" s="158"/>
      <c r="T640" s="5" t="s">
        <v>40</v>
      </c>
      <c r="U640" s="6"/>
      <c r="V640" s="5"/>
      <c r="W640" s="5"/>
      <c r="X640" s="6"/>
      <c r="BB640" s="7" t="str">
        <v>Quarter 3</v>
      </c>
    </row>
    <row r="641" spans="1:54" ht="31.4" customHeight="1" x14ac:dyDescent="0.35">
      <c r="A641" s="210">
        <v>640</v>
      </c>
      <c r="B641" s="5" t="s">
        <v>6</v>
      </c>
      <c r="C641" s="5" t="s">
        <v>6</v>
      </c>
      <c r="D641" s="5" t="s">
        <v>857</v>
      </c>
      <c r="E641" s="149">
        <v>45975</v>
      </c>
      <c r="F641" s="149">
        <f t="shared" si="90"/>
        <v>45978</v>
      </c>
      <c r="G641" s="149">
        <f t="shared" si="91"/>
        <v>45989</v>
      </c>
      <c r="H641" s="149">
        <f t="shared" si="92"/>
        <v>46003</v>
      </c>
      <c r="I641" s="149" t="str">
        <f t="shared" si="86"/>
        <v>Nov</v>
      </c>
      <c r="J641" s="216" t="str">
        <f t="shared" ca="1" si="87"/>
        <v/>
      </c>
      <c r="K641" s="149" t="s">
        <v>7</v>
      </c>
      <c r="L641" s="149"/>
      <c r="M641" s="11">
        <v>45994</v>
      </c>
      <c r="N641" s="152">
        <f t="shared" si="88"/>
        <v>13</v>
      </c>
      <c r="O641" s="12" t="str">
        <f t="shared" si="89"/>
        <v>Yes</v>
      </c>
      <c r="P641" s="158"/>
      <c r="Q641" s="157"/>
      <c r="R641" s="11" t="s">
        <v>39</v>
      </c>
      <c r="S641" s="158"/>
      <c r="T641" s="5" t="s">
        <v>40</v>
      </c>
      <c r="U641" s="6"/>
      <c r="V641" s="5"/>
      <c r="W641" s="5" t="s">
        <v>46</v>
      </c>
      <c r="X641" s="6"/>
      <c r="BB641" s="7" t="str">
        <v>Quarter 3</v>
      </c>
    </row>
    <row r="642" spans="1:54" ht="31.4" customHeight="1" x14ac:dyDescent="0.35">
      <c r="A642" s="210">
        <v>641</v>
      </c>
      <c r="B642" s="5" t="s">
        <v>6</v>
      </c>
      <c r="C642" s="5" t="s">
        <v>6</v>
      </c>
      <c r="D642" s="5" t="s">
        <v>858</v>
      </c>
      <c r="E642" s="149">
        <v>45978</v>
      </c>
      <c r="F642" s="149">
        <f t="shared" si="90"/>
        <v>45979</v>
      </c>
      <c r="G642" s="149">
        <f t="shared" si="91"/>
        <v>45992</v>
      </c>
      <c r="H642" s="149">
        <f t="shared" si="92"/>
        <v>46006</v>
      </c>
      <c r="I642" s="149" t="str">
        <f t="shared" si="86"/>
        <v>Nov</v>
      </c>
      <c r="J642" s="216" t="str">
        <f t="shared" ref="J642:J705" ca="1" si="93">IF($E642="","",IF($M642="",$H642-TODAY(),""))</f>
        <v/>
      </c>
      <c r="K642" s="149" t="s">
        <v>4</v>
      </c>
      <c r="L642" s="149"/>
      <c r="M642" s="11">
        <v>45979</v>
      </c>
      <c r="N642" s="152">
        <f t="shared" ref="N642:N693" si="94">IF($M642="","",NETWORKDAYS($E642,$M642,$Z$33:$Z$47)-1)</f>
        <v>1</v>
      </c>
      <c r="O642" s="12" t="str">
        <f t="shared" si="89"/>
        <v>Yes</v>
      </c>
      <c r="P642" s="158"/>
      <c r="Q642" s="157"/>
      <c r="R642" s="11" t="s">
        <v>39</v>
      </c>
      <c r="S642" s="158"/>
      <c r="T642" s="5" t="s">
        <v>40</v>
      </c>
      <c r="U642" s="6"/>
      <c r="V642" s="5"/>
      <c r="W642" s="5"/>
      <c r="X642" s="6"/>
      <c r="BB642" s="7" t="str">
        <v>Quarter 3</v>
      </c>
    </row>
    <row r="643" spans="1:54" ht="31.4" customHeight="1" x14ac:dyDescent="0.35">
      <c r="A643" s="210">
        <v>642</v>
      </c>
      <c r="B643" s="5" t="s">
        <v>6</v>
      </c>
      <c r="C643" s="5" t="s">
        <v>6</v>
      </c>
      <c r="D643" s="5" t="s">
        <v>859</v>
      </c>
      <c r="E643" s="149">
        <v>45974</v>
      </c>
      <c r="F643" s="149">
        <f t="shared" si="90"/>
        <v>45975</v>
      </c>
      <c r="G643" s="149">
        <f t="shared" si="91"/>
        <v>45988</v>
      </c>
      <c r="H643" s="149">
        <f t="shared" si="92"/>
        <v>46002</v>
      </c>
      <c r="I643" s="149" t="str">
        <f t="shared" si="86"/>
        <v>Nov</v>
      </c>
      <c r="J643" s="216" t="str">
        <f t="shared" ca="1" si="93"/>
        <v/>
      </c>
      <c r="K643" s="149" t="s">
        <v>43</v>
      </c>
      <c r="L643" s="149"/>
      <c r="M643" s="11">
        <v>45999</v>
      </c>
      <c r="N643" s="152">
        <f t="shared" si="94"/>
        <v>17</v>
      </c>
      <c r="O643" s="12" t="str">
        <f t="shared" ref="O643:O705" si="95">IF(ISBLANK($M643),"",IF($N643&lt;21,"Yes","No"))</f>
        <v>Yes</v>
      </c>
      <c r="P643" s="158"/>
      <c r="Q643" s="157"/>
      <c r="R643" s="11" t="s">
        <v>39</v>
      </c>
      <c r="S643" s="158"/>
      <c r="T643" s="5" t="s">
        <v>40</v>
      </c>
      <c r="U643" s="6"/>
      <c r="V643" s="5"/>
      <c r="W643" s="5"/>
      <c r="X643" s="6"/>
      <c r="BB643" s="7" t="str">
        <v>Quarter 3</v>
      </c>
    </row>
    <row r="644" spans="1:54" ht="31.4" customHeight="1" x14ac:dyDescent="0.35">
      <c r="A644" s="210">
        <v>643</v>
      </c>
      <c r="B644" s="5" t="s">
        <v>332</v>
      </c>
      <c r="C644" s="5" t="s">
        <v>9</v>
      </c>
      <c r="D644" s="5" t="s">
        <v>854</v>
      </c>
      <c r="E644" s="149">
        <v>45978</v>
      </c>
      <c r="F644" s="149">
        <f t="shared" si="90"/>
        <v>45979</v>
      </c>
      <c r="G644" s="149">
        <f t="shared" si="91"/>
        <v>45992</v>
      </c>
      <c r="H644" s="149">
        <f t="shared" si="92"/>
        <v>46006</v>
      </c>
      <c r="I644" s="149" t="str">
        <f t="shared" si="86"/>
        <v>Nov</v>
      </c>
      <c r="J644" s="216" t="str">
        <f t="shared" ca="1" si="93"/>
        <v/>
      </c>
      <c r="K644" s="149" t="s">
        <v>4</v>
      </c>
      <c r="L644" s="149"/>
      <c r="M644" s="11">
        <v>45978</v>
      </c>
      <c r="N644" s="152">
        <f t="shared" si="94"/>
        <v>0</v>
      </c>
      <c r="O644" s="12" t="str">
        <f t="shared" si="95"/>
        <v>Yes</v>
      </c>
      <c r="P644" s="158"/>
      <c r="Q644" s="157"/>
      <c r="R644" s="11" t="s">
        <v>39</v>
      </c>
      <c r="S644" s="158"/>
      <c r="T644" s="5" t="s">
        <v>45</v>
      </c>
      <c r="U644" s="6"/>
      <c r="V644" s="5" t="s">
        <v>53</v>
      </c>
      <c r="W644" s="5"/>
      <c r="X644" s="6"/>
      <c r="BB644" s="7" t="str">
        <v>Quarter 3</v>
      </c>
    </row>
    <row r="645" spans="1:54" ht="31.4" customHeight="1" x14ac:dyDescent="0.35">
      <c r="A645" s="210">
        <v>644</v>
      </c>
      <c r="B645" s="5" t="s">
        <v>6</v>
      </c>
      <c r="C645" s="5" t="s">
        <v>6</v>
      </c>
      <c r="D645" s="5" t="s">
        <v>860</v>
      </c>
      <c r="E645" s="149">
        <v>45979</v>
      </c>
      <c r="F645" s="149">
        <f t="shared" si="90"/>
        <v>45980</v>
      </c>
      <c r="G645" s="149">
        <f t="shared" si="91"/>
        <v>45993</v>
      </c>
      <c r="H645" s="149">
        <f t="shared" si="92"/>
        <v>46007</v>
      </c>
      <c r="I645" s="149" t="str">
        <f t="shared" si="86"/>
        <v>Nov</v>
      </c>
      <c r="J645" s="216" t="str">
        <f t="shared" ca="1" si="93"/>
        <v/>
      </c>
      <c r="K645" s="149" t="s">
        <v>43</v>
      </c>
      <c r="L645" s="149"/>
      <c r="M645" s="11">
        <v>45994</v>
      </c>
      <c r="N645" s="152">
        <f t="shared" si="94"/>
        <v>11</v>
      </c>
      <c r="O645" s="12" t="str">
        <f t="shared" si="95"/>
        <v>Yes</v>
      </c>
      <c r="P645" s="158"/>
      <c r="Q645" s="157"/>
      <c r="R645" s="11" t="s">
        <v>39</v>
      </c>
      <c r="S645" s="158"/>
      <c r="T645" s="5" t="s">
        <v>40</v>
      </c>
      <c r="U645" s="6"/>
      <c r="V645" s="5"/>
      <c r="W645" s="5"/>
      <c r="X645" s="6"/>
      <c r="BB645" s="7" t="str">
        <v>Quarter 3</v>
      </c>
    </row>
    <row r="646" spans="1:54" ht="31.4" customHeight="1" x14ac:dyDescent="0.35">
      <c r="A646" s="210">
        <v>645</v>
      </c>
      <c r="B646" s="5" t="s">
        <v>6</v>
      </c>
      <c r="C646" s="5" t="s">
        <v>6</v>
      </c>
      <c r="D646" s="5" t="s">
        <v>861</v>
      </c>
      <c r="E646" s="149">
        <v>45979</v>
      </c>
      <c r="F646" s="149">
        <f t="shared" si="90"/>
        <v>45980</v>
      </c>
      <c r="G646" s="149">
        <f t="shared" si="91"/>
        <v>45993</v>
      </c>
      <c r="H646" s="149">
        <f t="shared" si="92"/>
        <v>46007</v>
      </c>
      <c r="I646" s="149" t="str">
        <f t="shared" si="86"/>
        <v>Nov</v>
      </c>
      <c r="J646" s="216" t="str">
        <f t="shared" ca="1" si="93"/>
        <v/>
      </c>
      <c r="K646" s="149" t="s">
        <v>7</v>
      </c>
      <c r="L646" s="149"/>
      <c r="M646" s="11">
        <v>45994</v>
      </c>
      <c r="N646" s="152">
        <f t="shared" si="94"/>
        <v>11</v>
      </c>
      <c r="O646" s="12" t="str">
        <f t="shared" si="95"/>
        <v>Yes</v>
      </c>
      <c r="P646" s="158"/>
      <c r="Q646" s="157"/>
      <c r="R646" s="11" t="s">
        <v>39</v>
      </c>
      <c r="S646" s="158"/>
      <c r="T646" s="5" t="s">
        <v>51</v>
      </c>
      <c r="U646" s="6"/>
      <c r="V646" s="5" t="s">
        <v>87</v>
      </c>
      <c r="W646" s="5"/>
      <c r="X646" s="6"/>
      <c r="BB646" s="7" t="str">
        <v>Quarter 3</v>
      </c>
    </row>
    <row r="647" spans="1:54" ht="31.4" customHeight="1" x14ac:dyDescent="0.35">
      <c r="A647" s="210">
        <v>646</v>
      </c>
      <c r="B647" s="5" t="s">
        <v>6</v>
      </c>
      <c r="C647" s="5" t="s">
        <v>6</v>
      </c>
      <c r="D647" s="5" t="s">
        <v>862</v>
      </c>
      <c r="E647" s="149">
        <v>45979</v>
      </c>
      <c r="F647" s="149">
        <f t="shared" si="90"/>
        <v>45980</v>
      </c>
      <c r="G647" s="149">
        <f t="shared" si="91"/>
        <v>45993</v>
      </c>
      <c r="H647" s="149">
        <f t="shared" si="92"/>
        <v>46007</v>
      </c>
      <c r="I647" s="149" t="str">
        <f t="shared" si="86"/>
        <v>Nov</v>
      </c>
      <c r="J647" s="216" t="str">
        <f t="shared" ca="1" si="93"/>
        <v/>
      </c>
      <c r="K647" s="149" t="s">
        <v>4</v>
      </c>
      <c r="L647" s="149"/>
      <c r="M647" s="11">
        <v>46002</v>
      </c>
      <c r="N647" s="152">
        <f t="shared" si="94"/>
        <v>17</v>
      </c>
      <c r="O647" s="12" t="str">
        <f t="shared" si="95"/>
        <v>Yes</v>
      </c>
      <c r="P647" s="158"/>
      <c r="Q647" s="157"/>
      <c r="R647" s="11" t="s">
        <v>39</v>
      </c>
      <c r="S647" s="158"/>
      <c r="T647" s="5" t="s">
        <v>40</v>
      </c>
      <c r="U647" s="6"/>
      <c r="V647" s="5"/>
      <c r="W647" s="5"/>
      <c r="X647" s="6"/>
      <c r="BB647" s="7" t="str">
        <v>Quarter 3</v>
      </c>
    </row>
    <row r="648" spans="1:54" ht="31.4" customHeight="1" x14ac:dyDescent="0.35">
      <c r="A648" s="210">
        <v>647</v>
      </c>
      <c r="B648" s="5" t="s">
        <v>863</v>
      </c>
      <c r="C648" s="5" t="s">
        <v>11</v>
      </c>
      <c r="D648" s="5" t="s">
        <v>864</v>
      </c>
      <c r="E648" s="149">
        <v>45979</v>
      </c>
      <c r="F648" s="149">
        <f t="shared" si="90"/>
        <v>45980</v>
      </c>
      <c r="G648" s="149">
        <f t="shared" si="91"/>
        <v>45993</v>
      </c>
      <c r="H648" s="149">
        <f t="shared" si="92"/>
        <v>46007</v>
      </c>
      <c r="I648" s="149" t="str">
        <f t="shared" si="86"/>
        <v>Nov</v>
      </c>
      <c r="J648" s="216" t="str">
        <f t="shared" ca="1" si="93"/>
        <v/>
      </c>
      <c r="K648" s="149" t="s">
        <v>7</v>
      </c>
      <c r="L648" s="149"/>
      <c r="M648" s="11">
        <v>45994</v>
      </c>
      <c r="N648" s="152">
        <f t="shared" si="94"/>
        <v>11</v>
      </c>
      <c r="O648" s="12" t="str">
        <f t="shared" si="95"/>
        <v>Yes</v>
      </c>
      <c r="P648" s="158"/>
      <c r="Q648" s="157"/>
      <c r="R648" s="11" t="s">
        <v>39</v>
      </c>
      <c r="S648" s="158"/>
      <c r="T648" s="5" t="s">
        <v>40</v>
      </c>
      <c r="U648" s="6"/>
      <c r="V648" s="5"/>
      <c r="W648" s="5"/>
      <c r="X648" s="6"/>
      <c r="BB648" s="7" t="str">
        <v>Quarter 3</v>
      </c>
    </row>
    <row r="649" spans="1:54" ht="31.4" customHeight="1" x14ac:dyDescent="0.35">
      <c r="A649" s="210">
        <v>648</v>
      </c>
      <c r="B649" s="5" t="s">
        <v>6</v>
      </c>
      <c r="C649" s="5" t="s">
        <v>6</v>
      </c>
      <c r="D649" s="5" t="s">
        <v>865</v>
      </c>
      <c r="E649" s="149">
        <v>45979</v>
      </c>
      <c r="F649" s="149">
        <f t="shared" si="90"/>
        <v>45980</v>
      </c>
      <c r="G649" s="149">
        <f t="shared" si="91"/>
        <v>45993</v>
      </c>
      <c r="H649" s="149">
        <f t="shared" si="92"/>
        <v>46007</v>
      </c>
      <c r="I649" s="149" t="str">
        <f t="shared" si="86"/>
        <v>Nov</v>
      </c>
      <c r="J649" s="216" t="str">
        <f t="shared" ca="1" si="93"/>
        <v/>
      </c>
      <c r="K649" s="149" t="s">
        <v>4</v>
      </c>
      <c r="L649" s="149"/>
      <c r="M649" s="11">
        <v>46001</v>
      </c>
      <c r="N649" s="152">
        <f t="shared" si="94"/>
        <v>16</v>
      </c>
      <c r="O649" s="12" t="str">
        <f t="shared" si="95"/>
        <v>Yes</v>
      </c>
      <c r="P649" s="158"/>
      <c r="Q649" s="157"/>
      <c r="R649" s="11" t="s">
        <v>39</v>
      </c>
      <c r="S649" s="158"/>
      <c r="T649" s="5" t="s">
        <v>40</v>
      </c>
      <c r="U649" s="6"/>
      <c r="V649" s="5"/>
      <c r="W649" s="5"/>
      <c r="X649" s="6"/>
      <c r="BB649" s="7" t="str">
        <v>Quarter 3</v>
      </c>
    </row>
    <row r="650" spans="1:54" ht="31.4" customHeight="1" x14ac:dyDescent="0.35">
      <c r="A650" s="210">
        <v>649</v>
      </c>
      <c r="B650" s="5" t="s">
        <v>6</v>
      </c>
      <c r="C650" s="5" t="s">
        <v>6</v>
      </c>
      <c r="D650" s="5" t="s">
        <v>866</v>
      </c>
      <c r="E650" s="149">
        <v>45980</v>
      </c>
      <c r="F650" s="149">
        <f t="shared" si="90"/>
        <v>45981</v>
      </c>
      <c r="G650" s="149">
        <f t="shared" si="91"/>
        <v>45994</v>
      </c>
      <c r="H650" s="149">
        <f t="shared" si="92"/>
        <v>46008</v>
      </c>
      <c r="I650" s="149" t="str">
        <f t="shared" si="86"/>
        <v>Nov</v>
      </c>
      <c r="J650" s="216" t="str">
        <f t="shared" ca="1" si="93"/>
        <v/>
      </c>
      <c r="K650" s="149" t="s">
        <v>4</v>
      </c>
      <c r="L650" s="149"/>
      <c r="M650" s="11">
        <v>45980</v>
      </c>
      <c r="N650" s="152">
        <f t="shared" si="94"/>
        <v>0</v>
      </c>
      <c r="O650" s="12" t="str">
        <f t="shared" si="95"/>
        <v>Yes</v>
      </c>
      <c r="P650" s="158"/>
      <c r="Q650" s="157"/>
      <c r="R650" s="11" t="s">
        <v>39</v>
      </c>
      <c r="S650" s="158"/>
      <c r="T650" s="5" t="s">
        <v>40</v>
      </c>
      <c r="U650" s="6"/>
      <c r="V650" s="5" t="s">
        <v>54</v>
      </c>
      <c r="W650" s="5"/>
      <c r="X650" s="6"/>
      <c r="BB650" s="7" t="str">
        <v>Quarter 3</v>
      </c>
    </row>
    <row r="651" spans="1:54" ht="31.4" customHeight="1" x14ac:dyDescent="0.35">
      <c r="A651" s="210">
        <v>650</v>
      </c>
      <c r="B651" s="5" t="s">
        <v>6</v>
      </c>
      <c r="C651" s="5" t="s">
        <v>6</v>
      </c>
      <c r="D651" s="5" t="s">
        <v>867</v>
      </c>
      <c r="E651" s="149">
        <v>45980</v>
      </c>
      <c r="F651" s="149">
        <f t="shared" si="90"/>
        <v>45981</v>
      </c>
      <c r="G651" s="149">
        <f t="shared" si="91"/>
        <v>45994</v>
      </c>
      <c r="H651" s="149">
        <f t="shared" si="92"/>
        <v>46008</v>
      </c>
      <c r="I651" s="149" t="str">
        <f t="shared" si="86"/>
        <v>Nov</v>
      </c>
      <c r="J651" s="216" t="str">
        <f t="shared" ca="1" si="93"/>
        <v/>
      </c>
      <c r="K651" s="149" t="s">
        <v>4</v>
      </c>
      <c r="L651" s="149"/>
      <c r="M651" s="11">
        <v>45980</v>
      </c>
      <c r="N651" s="152">
        <f t="shared" si="94"/>
        <v>0</v>
      </c>
      <c r="O651" s="12" t="str">
        <f t="shared" si="95"/>
        <v>Yes</v>
      </c>
      <c r="P651" s="158"/>
      <c r="Q651" s="157"/>
      <c r="R651" s="11" t="s">
        <v>39</v>
      </c>
      <c r="S651" s="158"/>
      <c r="T651" s="5" t="s">
        <v>51</v>
      </c>
      <c r="U651" s="6"/>
      <c r="V651" s="5" t="s">
        <v>41</v>
      </c>
      <c r="W651" s="5"/>
      <c r="X651" s="6"/>
      <c r="BB651" s="7" t="str">
        <v>Quarter 3</v>
      </c>
    </row>
    <row r="652" spans="1:54" ht="31.4" customHeight="1" x14ac:dyDescent="0.35">
      <c r="A652" s="210">
        <v>651</v>
      </c>
      <c r="B652" s="5" t="s">
        <v>6</v>
      </c>
      <c r="C652" s="5" t="s">
        <v>6</v>
      </c>
      <c r="D652" s="5" t="s">
        <v>868</v>
      </c>
      <c r="E652" s="149">
        <v>45980</v>
      </c>
      <c r="F652" s="149">
        <f t="shared" si="90"/>
        <v>45981</v>
      </c>
      <c r="G652" s="149">
        <f t="shared" si="91"/>
        <v>45994</v>
      </c>
      <c r="H652" s="149">
        <f t="shared" si="92"/>
        <v>46008</v>
      </c>
      <c r="I652" s="149" t="str">
        <f t="shared" si="86"/>
        <v>Nov</v>
      </c>
      <c r="J652" s="216" t="str">
        <f t="shared" ca="1" si="93"/>
        <v/>
      </c>
      <c r="K652" s="149" t="s">
        <v>4</v>
      </c>
      <c r="L652" s="149"/>
      <c r="M652" s="11">
        <v>45980</v>
      </c>
      <c r="N652" s="152">
        <f t="shared" si="94"/>
        <v>0</v>
      </c>
      <c r="O652" s="12" t="str">
        <f t="shared" si="95"/>
        <v>Yes</v>
      </c>
      <c r="P652" s="158"/>
      <c r="Q652" s="157"/>
      <c r="R652" s="11" t="s">
        <v>39</v>
      </c>
      <c r="S652" s="158"/>
      <c r="T652" s="5" t="s">
        <v>62</v>
      </c>
      <c r="U652" s="6"/>
      <c r="V652" s="5"/>
      <c r="W652" s="5"/>
      <c r="X652" s="6"/>
      <c r="BB652" s="7" t="str">
        <v>Quarter 3</v>
      </c>
    </row>
    <row r="653" spans="1:54" ht="31.4" customHeight="1" x14ac:dyDescent="0.35">
      <c r="A653" s="210">
        <v>652</v>
      </c>
      <c r="B653" s="8" t="s">
        <v>6</v>
      </c>
      <c r="C653" s="8" t="s">
        <v>6</v>
      </c>
      <c r="D653" s="5" t="s">
        <v>869</v>
      </c>
      <c r="E653" s="149">
        <v>45980</v>
      </c>
      <c r="F653" s="149">
        <f t="shared" ref="F653:F669" si="96">IF($E653="","",WORKDAY($E653,1,$Z$33:$Z$47))</f>
        <v>45981</v>
      </c>
      <c r="G653" s="149">
        <f t="shared" ref="G653:G669" si="97">IF($E653="","",WORKDAY($E653,10,$Z$33:$Z$47))</f>
        <v>45994</v>
      </c>
      <c r="H653" s="149">
        <f t="shared" ref="H653:H669" si="98">IF($E653="","",WORKDAY($E653,20,$Z$33:$Z$47))</f>
        <v>46008</v>
      </c>
      <c r="I653" s="149" t="str">
        <f t="shared" si="86"/>
        <v>Nov</v>
      </c>
      <c r="J653" s="216" t="str">
        <f t="shared" ca="1" si="93"/>
        <v/>
      </c>
      <c r="K653" s="149" t="s">
        <v>4</v>
      </c>
      <c r="L653" s="149"/>
      <c r="M653" s="11">
        <v>45980</v>
      </c>
      <c r="N653" s="152">
        <f t="shared" si="94"/>
        <v>0</v>
      </c>
      <c r="O653" s="12" t="str">
        <f t="shared" si="95"/>
        <v>Yes</v>
      </c>
      <c r="P653" s="158"/>
      <c r="Q653" s="157"/>
      <c r="R653" s="11" t="s">
        <v>39</v>
      </c>
      <c r="S653" s="158"/>
      <c r="T653" s="5" t="s">
        <v>62</v>
      </c>
      <c r="U653" s="6"/>
      <c r="V653" s="5"/>
      <c r="W653" s="5"/>
      <c r="X653" s="6"/>
      <c r="BB653" s="7" t="str">
        <v>Quarter 3</v>
      </c>
    </row>
    <row r="654" spans="1:54" ht="31.4" customHeight="1" x14ac:dyDescent="0.35">
      <c r="A654" s="210">
        <v>653</v>
      </c>
      <c r="B654" s="5" t="s">
        <v>6</v>
      </c>
      <c r="C654" s="5" t="s">
        <v>6</v>
      </c>
      <c r="D654" s="5" t="s">
        <v>870</v>
      </c>
      <c r="E654" s="149">
        <v>45980</v>
      </c>
      <c r="F654" s="149">
        <f t="shared" si="96"/>
        <v>45981</v>
      </c>
      <c r="G654" s="149">
        <f t="shared" si="97"/>
        <v>45994</v>
      </c>
      <c r="H654" s="149">
        <f t="shared" si="98"/>
        <v>46008</v>
      </c>
      <c r="I654" s="149" t="str">
        <f t="shared" si="86"/>
        <v>Nov</v>
      </c>
      <c r="J654" s="216" t="str">
        <f t="shared" ca="1" si="93"/>
        <v/>
      </c>
      <c r="K654" s="149" t="s">
        <v>4</v>
      </c>
      <c r="L654" s="149"/>
      <c r="M654" s="11">
        <v>45985</v>
      </c>
      <c r="N654" s="152">
        <f t="shared" si="94"/>
        <v>3</v>
      </c>
      <c r="O654" s="12" t="str">
        <f t="shared" si="95"/>
        <v>Yes</v>
      </c>
      <c r="P654" s="158"/>
      <c r="Q654" s="157"/>
      <c r="R654" s="11" t="s">
        <v>39</v>
      </c>
      <c r="S654" s="158"/>
      <c r="T654" s="5" t="s">
        <v>51</v>
      </c>
      <c r="U654" s="6"/>
      <c r="V654" s="5" t="s">
        <v>41</v>
      </c>
      <c r="W654" s="5"/>
      <c r="X654" s="6"/>
      <c r="BB654" s="7" t="str">
        <v>Quarter 3</v>
      </c>
    </row>
    <row r="655" spans="1:54" ht="31.4" customHeight="1" x14ac:dyDescent="0.35">
      <c r="A655" s="210">
        <v>654</v>
      </c>
      <c r="B655" s="5" t="s">
        <v>6</v>
      </c>
      <c r="C655" s="5" t="s">
        <v>6</v>
      </c>
      <c r="D655" s="5" t="s">
        <v>871</v>
      </c>
      <c r="E655" s="149">
        <v>45980</v>
      </c>
      <c r="F655" s="149">
        <f t="shared" si="96"/>
        <v>45981</v>
      </c>
      <c r="G655" s="149">
        <f t="shared" si="97"/>
        <v>45994</v>
      </c>
      <c r="H655" s="149">
        <f t="shared" si="98"/>
        <v>46008</v>
      </c>
      <c r="I655" s="149" t="str">
        <f t="shared" si="86"/>
        <v>Nov</v>
      </c>
      <c r="J655" s="216" t="str">
        <f t="shared" ca="1" si="93"/>
        <v/>
      </c>
      <c r="K655" s="149" t="s">
        <v>4</v>
      </c>
      <c r="L655" s="149"/>
      <c r="M655" s="11">
        <v>45985</v>
      </c>
      <c r="N655" s="152">
        <f t="shared" si="94"/>
        <v>3</v>
      </c>
      <c r="O655" s="12" t="str">
        <f t="shared" si="95"/>
        <v>Yes</v>
      </c>
      <c r="P655" s="158"/>
      <c r="Q655" s="157"/>
      <c r="R655" s="11" t="s">
        <v>39</v>
      </c>
      <c r="S655" s="158"/>
      <c r="T655" s="5" t="s">
        <v>51</v>
      </c>
      <c r="U655" s="6"/>
      <c r="V655" s="5" t="s">
        <v>41</v>
      </c>
      <c r="W655" s="5"/>
      <c r="X655" s="6"/>
      <c r="BB655" s="7" t="str">
        <v>Quarter 3</v>
      </c>
    </row>
    <row r="656" spans="1:54" ht="31.4" customHeight="1" x14ac:dyDescent="0.35">
      <c r="A656" s="210">
        <v>655</v>
      </c>
      <c r="B656" s="5" t="s">
        <v>6</v>
      </c>
      <c r="C656" s="5" t="s">
        <v>6</v>
      </c>
      <c r="D656" s="5" t="s">
        <v>872</v>
      </c>
      <c r="E656" s="149">
        <v>45980</v>
      </c>
      <c r="F656" s="149">
        <f t="shared" si="96"/>
        <v>45981</v>
      </c>
      <c r="G656" s="149">
        <f t="shared" si="97"/>
        <v>45994</v>
      </c>
      <c r="H656" s="149">
        <f t="shared" si="98"/>
        <v>46008</v>
      </c>
      <c r="I656" s="149" t="str">
        <f t="shared" si="86"/>
        <v>Nov</v>
      </c>
      <c r="J656" s="216" t="str">
        <f t="shared" ca="1" si="93"/>
        <v/>
      </c>
      <c r="K656" s="149" t="s">
        <v>7</v>
      </c>
      <c r="L656" s="149"/>
      <c r="M656" s="11">
        <v>45996</v>
      </c>
      <c r="N656" s="152">
        <f t="shared" si="94"/>
        <v>12</v>
      </c>
      <c r="O656" s="12" t="str">
        <f t="shared" si="95"/>
        <v>Yes</v>
      </c>
      <c r="P656" s="158"/>
      <c r="Q656" s="157"/>
      <c r="R656" s="11" t="s">
        <v>39</v>
      </c>
      <c r="S656" s="158"/>
      <c r="T656" s="5" t="s">
        <v>51</v>
      </c>
      <c r="U656" s="6"/>
      <c r="V656" s="5" t="s">
        <v>41</v>
      </c>
      <c r="W656" s="5"/>
      <c r="X656" s="6"/>
      <c r="BB656" s="7" t="str">
        <v>Quarter 3</v>
      </c>
    </row>
    <row r="657" spans="1:54" ht="31.4" customHeight="1" x14ac:dyDescent="0.35">
      <c r="A657" s="210">
        <v>656</v>
      </c>
      <c r="B657" s="5" t="s">
        <v>6</v>
      </c>
      <c r="C657" s="5" t="s">
        <v>6</v>
      </c>
      <c r="D657" s="5" t="s">
        <v>873</v>
      </c>
      <c r="E657" s="149">
        <v>45980</v>
      </c>
      <c r="F657" s="149">
        <f t="shared" si="96"/>
        <v>45981</v>
      </c>
      <c r="G657" s="149">
        <f t="shared" si="97"/>
        <v>45994</v>
      </c>
      <c r="H657" s="149">
        <f t="shared" si="98"/>
        <v>46008</v>
      </c>
      <c r="I657" s="149" t="str">
        <f t="shared" si="86"/>
        <v>Nov</v>
      </c>
      <c r="J657" s="216" t="str">
        <f t="shared" ca="1" si="93"/>
        <v/>
      </c>
      <c r="K657" s="149" t="s">
        <v>4</v>
      </c>
      <c r="L657" s="149"/>
      <c r="M657" s="11">
        <v>45980</v>
      </c>
      <c r="N657" s="152">
        <f t="shared" si="94"/>
        <v>0</v>
      </c>
      <c r="O657" s="12" t="str">
        <f t="shared" si="95"/>
        <v>Yes</v>
      </c>
      <c r="P657" s="158"/>
      <c r="Q657" s="157"/>
      <c r="R657" s="11" t="s">
        <v>39</v>
      </c>
      <c r="S657" s="158"/>
      <c r="T657" s="5" t="s">
        <v>51</v>
      </c>
      <c r="U657" s="6"/>
      <c r="V657" s="5" t="s">
        <v>41</v>
      </c>
      <c r="W657" s="5"/>
      <c r="X657" s="6"/>
      <c r="BB657" s="7" t="str">
        <v>Quarter 3</v>
      </c>
    </row>
    <row r="658" spans="1:54" ht="31.4" customHeight="1" x14ac:dyDescent="0.35">
      <c r="A658" s="210">
        <v>657</v>
      </c>
      <c r="B658" s="5" t="s">
        <v>874</v>
      </c>
      <c r="C658" s="5" t="s">
        <v>5</v>
      </c>
      <c r="D658" s="5" t="s">
        <v>875</v>
      </c>
      <c r="E658" s="149">
        <v>45980</v>
      </c>
      <c r="F658" s="149">
        <f t="shared" si="96"/>
        <v>45981</v>
      </c>
      <c r="G658" s="149">
        <f t="shared" si="97"/>
        <v>45994</v>
      </c>
      <c r="H658" s="149">
        <f t="shared" si="98"/>
        <v>46008</v>
      </c>
      <c r="I658" s="149" t="str">
        <f t="shared" si="86"/>
        <v>Nov</v>
      </c>
      <c r="J658" s="216" t="str">
        <f t="shared" ca="1" si="93"/>
        <v/>
      </c>
      <c r="K658" s="149" t="s">
        <v>43</v>
      </c>
      <c r="L658" s="149"/>
      <c r="M658" s="11">
        <v>45985</v>
      </c>
      <c r="N658" s="152">
        <f t="shared" si="94"/>
        <v>3</v>
      </c>
      <c r="O658" s="12" t="str">
        <f t="shared" si="95"/>
        <v>Yes</v>
      </c>
      <c r="P658" s="158"/>
      <c r="Q658" s="157"/>
      <c r="R658" s="11" t="s">
        <v>39</v>
      </c>
      <c r="S658" s="158"/>
      <c r="T658" s="5" t="s">
        <v>40</v>
      </c>
      <c r="U658" s="6"/>
      <c r="V658" s="5"/>
      <c r="W658" s="5"/>
      <c r="X658" s="6"/>
      <c r="BB658" s="7" t="str">
        <v>Quarter 3</v>
      </c>
    </row>
    <row r="659" spans="1:54" ht="31.4" customHeight="1" x14ac:dyDescent="0.35">
      <c r="A659" s="210">
        <v>658</v>
      </c>
      <c r="B659" s="5" t="s">
        <v>6</v>
      </c>
      <c r="C659" s="5" t="s">
        <v>6</v>
      </c>
      <c r="D659" s="5" t="s">
        <v>876</v>
      </c>
      <c r="E659" s="149">
        <v>45980</v>
      </c>
      <c r="F659" s="149">
        <f t="shared" si="96"/>
        <v>45981</v>
      </c>
      <c r="G659" s="149">
        <f t="shared" si="97"/>
        <v>45994</v>
      </c>
      <c r="H659" s="149">
        <f t="shared" si="98"/>
        <v>46008</v>
      </c>
      <c r="I659" s="149" t="str">
        <f t="shared" si="86"/>
        <v>Nov</v>
      </c>
      <c r="J659" s="216" t="str">
        <f t="shared" ca="1" si="93"/>
        <v/>
      </c>
      <c r="K659" s="149" t="s">
        <v>43</v>
      </c>
      <c r="L659" s="149"/>
      <c r="M659" s="11">
        <v>45985</v>
      </c>
      <c r="N659" s="152">
        <f t="shared" si="94"/>
        <v>3</v>
      </c>
      <c r="O659" s="12" t="str">
        <f t="shared" si="95"/>
        <v>Yes</v>
      </c>
      <c r="P659" s="158"/>
      <c r="Q659" s="157"/>
      <c r="R659" s="11" t="s">
        <v>39</v>
      </c>
      <c r="S659" s="158"/>
      <c r="T659" s="5" t="s">
        <v>40</v>
      </c>
      <c r="U659" s="6"/>
      <c r="V659" s="5"/>
      <c r="W659" s="5" t="s">
        <v>46</v>
      </c>
      <c r="X659" s="6"/>
      <c r="BB659" s="7" t="str">
        <v>Quarter 3</v>
      </c>
    </row>
    <row r="660" spans="1:54" ht="31.4" customHeight="1" x14ac:dyDescent="0.35">
      <c r="A660" s="210">
        <v>659</v>
      </c>
      <c r="B660" s="5" t="s">
        <v>6</v>
      </c>
      <c r="C660" s="5" t="s">
        <v>6</v>
      </c>
      <c r="D660" s="5" t="s">
        <v>877</v>
      </c>
      <c r="E660" s="149">
        <v>45981</v>
      </c>
      <c r="F660" s="149">
        <f t="shared" si="96"/>
        <v>45982</v>
      </c>
      <c r="G660" s="149">
        <f t="shared" si="97"/>
        <v>45995</v>
      </c>
      <c r="H660" s="149">
        <f t="shared" si="98"/>
        <v>46009</v>
      </c>
      <c r="I660" s="149" t="str">
        <f t="shared" ref="I660:I691" si="99">IF(ISBLANK($E660),"",TEXT($E660,"mmm"))</f>
        <v>Nov</v>
      </c>
      <c r="J660" s="216" t="str">
        <f t="shared" ca="1" si="93"/>
        <v/>
      </c>
      <c r="K660" s="149" t="s">
        <v>4</v>
      </c>
      <c r="L660" s="149"/>
      <c r="M660" s="11">
        <v>45996</v>
      </c>
      <c r="N660" s="152">
        <f t="shared" si="94"/>
        <v>11</v>
      </c>
      <c r="O660" s="12" t="str">
        <f t="shared" si="95"/>
        <v>Yes</v>
      </c>
      <c r="P660" s="158"/>
      <c r="Q660" s="157"/>
      <c r="R660" s="11" t="s">
        <v>39</v>
      </c>
      <c r="S660" s="158"/>
      <c r="T660" s="5" t="s">
        <v>51</v>
      </c>
      <c r="U660" s="6"/>
      <c r="V660" s="5" t="s">
        <v>41</v>
      </c>
      <c r="W660" s="5"/>
      <c r="X660" s="6"/>
      <c r="BB660" s="7" t="str">
        <v>Quarter 3</v>
      </c>
    </row>
    <row r="661" spans="1:54" ht="31.4" customHeight="1" x14ac:dyDescent="0.35">
      <c r="A661" s="210">
        <v>660</v>
      </c>
      <c r="B661" s="5" t="s">
        <v>6</v>
      </c>
      <c r="C661" s="5" t="s">
        <v>6</v>
      </c>
      <c r="D661" s="5" t="s">
        <v>878</v>
      </c>
      <c r="E661" s="149">
        <v>45981</v>
      </c>
      <c r="F661" s="149">
        <f t="shared" si="96"/>
        <v>45982</v>
      </c>
      <c r="G661" s="149">
        <f t="shared" si="97"/>
        <v>45995</v>
      </c>
      <c r="H661" s="149">
        <f t="shared" si="98"/>
        <v>46009</v>
      </c>
      <c r="I661" s="149" t="str">
        <f t="shared" si="99"/>
        <v>Nov</v>
      </c>
      <c r="J661" s="216" t="str">
        <f t="shared" ca="1" si="93"/>
        <v/>
      </c>
      <c r="K661" s="149" t="s">
        <v>43</v>
      </c>
      <c r="L661" s="149"/>
      <c r="M661" s="11">
        <v>45981</v>
      </c>
      <c r="N661" s="152">
        <f t="shared" si="94"/>
        <v>0</v>
      </c>
      <c r="O661" s="12" t="str">
        <f t="shared" si="95"/>
        <v>Yes</v>
      </c>
      <c r="P661" s="158"/>
      <c r="Q661" s="157"/>
      <c r="R661" s="11" t="s">
        <v>39</v>
      </c>
      <c r="S661" s="158"/>
      <c r="T661" s="5" t="s">
        <v>62</v>
      </c>
      <c r="U661" s="6"/>
      <c r="V661" s="5"/>
      <c r="W661" s="5"/>
      <c r="X661" s="6"/>
      <c r="BB661" s="7" t="str">
        <v>Quarter 3</v>
      </c>
    </row>
    <row r="662" spans="1:54" ht="31.4" customHeight="1" x14ac:dyDescent="0.35">
      <c r="A662" s="210">
        <v>661</v>
      </c>
      <c r="B662" s="5" t="s">
        <v>879</v>
      </c>
      <c r="C662" s="5" t="s">
        <v>9</v>
      </c>
      <c r="D662" s="5" t="s">
        <v>880</v>
      </c>
      <c r="E662" s="149">
        <v>45981</v>
      </c>
      <c r="F662" s="149">
        <f t="shared" si="96"/>
        <v>45982</v>
      </c>
      <c r="G662" s="149">
        <f t="shared" si="97"/>
        <v>45995</v>
      </c>
      <c r="H662" s="149">
        <f t="shared" si="98"/>
        <v>46009</v>
      </c>
      <c r="I662" s="149" t="str">
        <f t="shared" si="99"/>
        <v>Nov</v>
      </c>
      <c r="J662" s="216" t="str">
        <f t="shared" ca="1" si="93"/>
        <v/>
      </c>
      <c r="K662" s="149" t="s">
        <v>43</v>
      </c>
      <c r="L662" s="149"/>
      <c r="M662" s="11">
        <v>45995</v>
      </c>
      <c r="N662" s="152">
        <f t="shared" si="94"/>
        <v>10</v>
      </c>
      <c r="O662" s="12" t="str">
        <f t="shared" si="95"/>
        <v>Yes</v>
      </c>
      <c r="P662" s="158"/>
      <c r="Q662" s="157"/>
      <c r="R662" s="11" t="s">
        <v>39</v>
      </c>
      <c r="S662" s="158"/>
      <c r="T662" s="5" t="s">
        <v>40</v>
      </c>
      <c r="U662" s="6"/>
      <c r="V662" s="5"/>
      <c r="W662" s="5"/>
      <c r="X662" s="6"/>
      <c r="BB662" s="7" t="str">
        <v>Quarter 3</v>
      </c>
    </row>
    <row r="663" spans="1:54" ht="31.4" customHeight="1" x14ac:dyDescent="0.35">
      <c r="A663" s="210">
        <v>662</v>
      </c>
      <c r="B663" s="5" t="s">
        <v>881</v>
      </c>
      <c r="C663" s="5" t="s">
        <v>9</v>
      </c>
      <c r="D663" s="5" t="s">
        <v>882</v>
      </c>
      <c r="E663" s="149">
        <v>45981</v>
      </c>
      <c r="F663" s="149">
        <f t="shared" si="96"/>
        <v>45982</v>
      </c>
      <c r="G663" s="149">
        <f t="shared" si="97"/>
        <v>45995</v>
      </c>
      <c r="H663" s="149">
        <f t="shared" si="98"/>
        <v>46009</v>
      </c>
      <c r="I663" s="149" t="str">
        <f t="shared" si="99"/>
        <v>Nov</v>
      </c>
      <c r="J663" s="216" t="str">
        <f t="shared" ca="1" si="93"/>
        <v/>
      </c>
      <c r="K663" s="149" t="s">
        <v>3</v>
      </c>
      <c r="L663" s="149"/>
      <c r="M663" s="11">
        <v>45985</v>
      </c>
      <c r="N663" s="152">
        <f t="shared" si="94"/>
        <v>2</v>
      </c>
      <c r="O663" s="12" t="str">
        <f t="shared" si="95"/>
        <v>Yes</v>
      </c>
      <c r="P663" s="158"/>
      <c r="Q663" s="157"/>
      <c r="R663" s="11" t="s">
        <v>39</v>
      </c>
      <c r="S663" s="158"/>
      <c r="T663" s="5" t="s">
        <v>62</v>
      </c>
      <c r="U663" s="6"/>
      <c r="V663" s="5"/>
      <c r="W663" s="5"/>
      <c r="X663" s="6"/>
      <c r="BB663" s="7" t="str">
        <v>Quarter 3</v>
      </c>
    </row>
    <row r="664" spans="1:54" ht="31.4" customHeight="1" x14ac:dyDescent="0.35">
      <c r="A664" s="210">
        <v>663</v>
      </c>
      <c r="B664" s="5" t="s">
        <v>6</v>
      </c>
      <c r="C664" s="5" t="s">
        <v>6</v>
      </c>
      <c r="D664" s="5" t="s">
        <v>883</v>
      </c>
      <c r="E664" s="149">
        <v>45973</v>
      </c>
      <c r="F664" s="149">
        <f t="shared" si="96"/>
        <v>45974</v>
      </c>
      <c r="G664" s="149">
        <f t="shared" si="97"/>
        <v>45987</v>
      </c>
      <c r="H664" s="149">
        <f t="shared" si="98"/>
        <v>46001</v>
      </c>
      <c r="I664" s="149" t="str">
        <f t="shared" si="99"/>
        <v>Nov</v>
      </c>
      <c r="J664" s="216" t="str">
        <f t="shared" ca="1" si="93"/>
        <v/>
      </c>
      <c r="K664" s="149" t="s">
        <v>4</v>
      </c>
      <c r="L664" s="149"/>
      <c r="M664" s="11">
        <v>45993</v>
      </c>
      <c r="N664" s="152">
        <f t="shared" si="94"/>
        <v>14</v>
      </c>
      <c r="O664" s="12" t="str">
        <f t="shared" si="95"/>
        <v>Yes</v>
      </c>
      <c r="P664" s="158"/>
      <c r="Q664" s="157"/>
      <c r="R664" s="11" t="s">
        <v>39</v>
      </c>
      <c r="S664" s="158"/>
      <c r="T664" s="5" t="s">
        <v>40</v>
      </c>
      <c r="U664" s="6"/>
      <c r="V664" s="5"/>
      <c r="W664" s="5" t="s">
        <v>46</v>
      </c>
      <c r="X664" s="6"/>
      <c r="BB664" s="7" t="str">
        <v>Quarter 3</v>
      </c>
    </row>
    <row r="665" spans="1:54" ht="31.4" customHeight="1" x14ac:dyDescent="0.35">
      <c r="A665" s="210">
        <v>664</v>
      </c>
      <c r="B665" s="5" t="s">
        <v>6</v>
      </c>
      <c r="C665" s="5" t="s">
        <v>6</v>
      </c>
      <c r="D665" s="5" t="s">
        <v>884</v>
      </c>
      <c r="E665" s="149">
        <v>45981</v>
      </c>
      <c r="F665" s="149">
        <f t="shared" si="96"/>
        <v>45982</v>
      </c>
      <c r="G665" s="149">
        <f t="shared" si="97"/>
        <v>45995</v>
      </c>
      <c r="H665" s="149">
        <f t="shared" si="98"/>
        <v>46009</v>
      </c>
      <c r="I665" s="149" t="str">
        <f t="shared" si="99"/>
        <v>Nov</v>
      </c>
      <c r="J665" s="216" t="str">
        <f t="shared" ca="1" si="93"/>
        <v/>
      </c>
      <c r="K665" s="149" t="s">
        <v>43</v>
      </c>
      <c r="L665" s="149"/>
      <c r="M665" s="11">
        <v>45986</v>
      </c>
      <c r="N665" s="152">
        <f t="shared" si="94"/>
        <v>3</v>
      </c>
      <c r="O665" s="12" t="str">
        <f t="shared" si="95"/>
        <v>Yes</v>
      </c>
      <c r="P665" s="158"/>
      <c r="Q665" s="157"/>
      <c r="R665" s="11" t="s">
        <v>39</v>
      </c>
      <c r="S665" s="158"/>
      <c r="T665" s="5" t="s">
        <v>40</v>
      </c>
      <c r="U665" s="6"/>
      <c r="V665" s="5"/>
      <c r="W665" s="5"/>
      <c r="X665" s="6"/>
      <c r="BB665" s="7" t="str">
        <v>Quarter 3</v>
      </c>
    </row>
    <row r="666" spans="1:54" ht="31.4" customHeight="1" x14ac:dyDescent="0.35">
      <c r="A666" s="210">
        <v>665</v>
      </c>
      <c r="B666" s="5" t="s">
        <v>501</v>
      </c>
      <c r="C666" s="5" t="s">
        <v>5</v>
      </c>
      <c r="D666" s="5" t="s">
        <v>885</v>
      </c>
      <c r="E666" s="149">
        <v>45980</v>
      </c>
      <c r="F666" s="149">
        <f t="shared" si="96"/>
        <v>45981</v>
      </c>
      <c r="G666" s="149">
        <f t="shared" si="97"/>
        <v>45994</v>
      </c>
      <c r="H666" s="149">
        <f t="shared" si="98"/>
        <v>46008</v>
      </c>
      <c r="I666" s="149" t="str">
        <f t="shared" si="99"/>
        <v>Nov</v>
      </c>
      <c r="J666" s="216" t="str">
        <f t="shared" ca="1" si="93"/>
        <v/>
      </c>
      <c r="K666" s="149" t="s">
        <v>4</v>
      </c>
      <c r="L666" s="149"/>
      <c r="M666" s="11">
        <v>45985</v>
      </c>
      <c r="N666" s="152">
        <f t="shared" si="94"/>
        <v>3</v>
      </c>
      <c r="O666" s="12" t="str">
        <f t="shared" si="95"/>
        <v>Yes</v>
      </c>
      <c r="P666" s="158"/>
      <c r="Q666" s="157"/>
      <c r="R666" s="11" t="s">
        <v>39</v>
      </c>
      <c r="S666" s="158"/>
      <c r="T666" s="5" t="s">
        <v>40</v>
      </c>
      <c r="U666" s="6"/>
      <c r="V666" s="5"/>
      <c r="W666" s="5"/>
      <c r="X666" s="6"/>
      <c r="BB666" s="7" t="str">
        <v>Quarter 3</v>
      </c>
    </row>
    <row r="667" spans="1:54" ht="31.4" customHeight="1" x14ac:dyDescent="0.35">
      <c r="A667" s="210">
        <v>666</v>
      </c>
      <c r="B667" s="5" t="s">
        <v>886</v>
      </c>
      <c r="C667" s="5" t="s">
        <v>12</v>
      </c>
      <c r="D667" s="5" t="s">
        <v>887</v>
      </c>
      <c r="E667" s="149">
        <v>45981</v>
      </c>
      <c r="F667" s="149">
        <f t="shared" si="96"/>
        <v>45982</v>
      </c>
      <c r="G667" s="149">
        <f t="shared" si="97"/>
        <v>45995</v>
      </c>
      <c r="H667" s="149">
        <f t="shared" si="98"/>
        <v>46009</v>
      </c>
      <c r="I667" s="149" t="str">
        <f t="shared" si="99"/>
        <v>Nov</v>
      </c>
      <c r="J667" s="216" t="str">
        <f t="shared" ca="1" si="93"/>
        <v/>
      </c>
      <c r="K667" s="149" t="s">
        <v>7</v>
      </c>
      <c r="L667" s="149"/>
      <c r="M667" s="11">
        <v>46006</v>
      </c>
      <c r="N667" s="152">
        <f t="shared" si="94"/>
        <v>17</v>
      </c>
      <c r="O667" s="12" t="str">
        <f t="shared" si="95"/>
        <v>Yes</v>
      </c>
      <c r="P667" s="158"/>
      <c r="Q667" s="157"/>
      <c r="R667" s="11" t="s">
        <v>39</v>
      </c>
      <c r="S667" s="158"/>
      <c r="T667" s="5" t="s">
        <v>40</v>
      </c>
      <c r="U667" s="6"/>
      <c r="V667" s="5"/>
      <c r="W667" s="5" t="s">
        <v>46</v>
      </c>
      <c r="X667" s="6"/>
      <c r="BB667" s="7" t="str">
        <v>Quarter 3</v>
      </c>
    </row>
    <row r="668" spans="1:54" ht="31.4" customHeight="1" x14ac:dyDescent="0.35">
      <c r="A668" s="210">
        <v>667</v>
      </c>
      <c r="B668" s="5" t="s">
        <v>888</v>
      </c>
      <c r="C668" s="5" t="s">
        <v>9</v>
      </c>
      <c r="D668" s="5" t="s">
        <v>889</v>
      </c>
      <c r="E668" s="149">
        <v>45981</v>
      </c>
      <c r="F668" s="149">
        <f t="shared" si="96"/>
        <v>45982</v>
      </c>
      <c r="G668" s="149">
        <f t="shared" si="97"/>
        <v>45995</v>
      </c>
      <c r="H668" s="149">
        <f t="shared" si="98"/>
        <v>46009</v>
      </c>
      <c r="I668" s="149" t="str">
        <f t="shared" si="99"/>
        <v>Nov</v>
      </c>
      <c r="J668" s="216" t="str">
        <f t="shared" ca="1" si="93"/>
        <v/>
      </c>
      <c r="K668" s="149" t="s">
        <v>4</v>
      </c>
      <c r="L668" s="149"/>
      <c r="M668" s="11">
        <v>45994</v>
      </c>
      <c r="N668" s="152">
        <f t="shared" si="94"/>
        <v>9</v>
      </c>
      <c r="O668" s="12" t="str">
        <f t="shared" si="95"/>
        <v>Yes</v>
      </c>
      <c r="P668" s="158"/>
      <c r="Q668" s="157"/>
      <c r="R668" s="11" t="s">
        <v>39</v>
      </c>
      <c r="S668" s="158"/>
      <c r="T668" s="5" t="s">
        <v>40</v>
      </c>
      <c r="U668" s="6"/>
      <c r="V668" s="5"/>
      <c r="W668" s="5"/>
      <c r="X668" s="6"/>
      <c r="BB668" s="7" t="str">
        <v>Quarter 3</v>
      </c>
    </row>
    <row r="669" spans="1:54" ht="31.4" customHeight="1" x14ac:dyDescent="0.35">
      <c r="A669" s="210">
        <v>668</v>
      </c>
      <c r="B669" s="5" t="s">
        <v>890</v>
      </c>
      <c r="C669" s="5" t="s">
        <v>9</v>
      </c>
      <c r="D669" s="5" t="s">
        <v>891</v>
      </c>
      <c r="E669" s="149">
        <v>45981</v>
      </c>
      <c r="F669" s="149">
        <f t="shared" si="96"/>
        <v>45982</v>
      </c>
      <c r="G669" s="149">
        <f t="shared" si="97"/>
        <v>45995</v>
      </c>
      <c r="H669" s="149">
        <f t="shared" si="98"/>
        <v>46009</v>
      </c>
      <c r="I669" s="149" t="str">
        <f t="shared" si="99"/>
        <v>Nov</v>
      </c>
      <c r="J669" s="216" t="str">
        <f t="shared" ca="1" si="93"/>
        <v/>
      </c>
      <c r="K669" s="149" t="s">
        <v>43</v>
      </c>
      <c r="L669" s="149"/>
      <c r="M669" s="11">
        <v>46006</v>
      </c>
      <c r="N669" s="152">
        <f t="shared" si="94"/>
        <v>17</v>
      </c>
      <c r="O669" s="12" t="str">
        <f t="shared" si="95"/>
        <v>Yes</v>
      </c>
      <c r="P669" s="158"/>
      <c r="Q669" s="157"/>
      <c r="R669" s="11" t="s">
        <v>39</v>
      </c>
      <c r="S669" s="158"/>
      <c r="T669" s="5" t="s">
        <v>40</v>
      </c>
      <c r="U669" s="6"/>
      <c r="V669" s="5"/>
      <c r="W669" s="5"/>
      <c r="X669" s="6"/>
      <c r="BB669" s="7" t="str">
        <v>Quarter 3</v>
      </c>
    </row>
    <row r="670" spans="1:54" ht="31.4" customHeight="1" x14ac:dyDescent="0.35">
      <c r="A670" s="210">
        <v>669</v>
      </c>
      <c r="B670" s="5" t="s">
        <v>6</v>
      </c>
      <c r="C670" s="5" t="s">
        <v>6</v>
      </c>
      <c r="D670" s="5" t="s">
        <v>892</v>
      </c>
      <c r="E670" s="149"/>
      <c r="F670" s="149"/>
      <c r="G670" s="149"/>
      <c r="H670" s="149"/>
      <c r="I670" s="149" t="s">
        <v>893</v>
      </c>
      <c r="J670" s="216" t="str">
        <f t="shared" ca="1" si="93"/>
        <v/>
      </c>
      <c r="K670" s="149" t="s">
        <v>7</v>
      </c>
      <c r="L670" s="149"/>
      <c r="M670" s="11"/>
      <c r="N670" s="152" t="str">
        <f t="shared" si="94"/>
        <v/>
      </c>
      <c r="O670" s="12" t="str">
        <f t="shared" si="95"/>
        <v/>
      </c>
      <c r="P670" s="158"/>
      <c r="Q670" s="157"/>
      <c r="R670" s="11" t="s">
        <v>52</v>
      </c>
      <c r="S670" s="158"/>
      <c r="T670" s="5" t="s">
        <v>52</v>
      </c>
      <c r="U670" s="6"/>
      <c r="V670" s="5"/>
      <c r="W670" s="5"/>
      <c r="X670" s="6"/>
      <c r="BB670" s="7" t="str">
        <v>Quarter 3</v>
      </c>
    </row>
    <row r="671" spans="1:54" ht="31.4" customHeight="1" x14ac:dyDescent="0.35">
      <c r="A671" s="210">
        <v>670</v>
      </c>
      <c r="B671" s="5" t="s">
        <v>214</v>
      </c>
      <c r="C671" s="5" t="s">
        <v>5</v>
      </c>
      <c r="D671" s="5" t="s">
        <v>894</v>
      </c>
      <c r="E671" s="149">
        <v>45982</v>
      </c>
      <c r="F671" s="149">
        <f t="shared" ref="F671:F679" si="100">IF($E671="","",WORKDAY($E671,1,$Z$33:$Z$47))</f>
        <v>45985</v>
      </c>
      <c r="G671" s="149">
        <f t="shared" ref="G671:G679" si="101">IF($E671="","",WORKDAY($E671,10,$Z$33:$Z$47))</f>
        <v>45996</v>
      </c>
      <c r="H671" s="149">
        <f t="shared" ref="H671:H679" si="102">IF($E671="","",WORKDAY($E671,20,$Z$33:$Z$47))</f>
        <v>46010</v>
      </c>
      <c r="I671" s="149" t="str">
        <f t="shared" si="99"/>
        <v>Nov</v>
      </c>
      <c r="J671" s="216" t="str">
        <f t="shared" ca="1" si="93"/>
        <v/>
      </c>
      <c r="K671" s="149" t="s">
        <v>4</v>
      </c>
      <c r="L671" s="149"/>
      <c r="M671" s="11">
        <v>45993</v>
      </c>
      <c r="N671" s="152">
        <f t="shared" si="94"/>
        <v>7</v>
      </c>
      <c r="O671" s="12" t="str">
        <f t="shared" si="95"/>
        <v>Yes</v>
      </c>
      <c r="P671" s="158"/>
      <c r="Q671" s="157"/>
      <c r="R671" s="11" t="s">
        <v>39</v>
      </c>
      <c r="S671" s="158"/>
      <c r="T671" s="5" t="s">
        <v>40</v>
      </c>
      <c r="U671" s="6"/>
      <c r="V671" s="5"/>
      <c r="W671" s="5"/>
      <c r="X671" s="6"/>
      <c r="BB671" s="7" t="str">
        <v>Quarter 3</v>
      </c>
    </row>
    <row r="672" spans="1:54" ht="31.4" customHeight="1" x14ac:dyDescent="0.35">
      <c r="A672" s="210">
        <v>671</v>
      </c>
      <c r="B672" s="5" t="s">
        <v>6</v>
      </c>
      <c r="C672" s="5" t="s">
        <v>6</v>
      </c>
      <c r="D672" s="5" t="s">
        <v>895</v>
      </c>
      <c r="E672" s="149">
        <v>45982</v>
      </c>
      <c r="F672" s="149">
        <f t="shared" si="100"/>
        <v>45985</v>
      </c>
      <c r="G672" s="149">
        <f t="shared" si="101"/>
        <v>45996</v>
      </c>
      <c r="H672" s="149">
        <f t="shared" si="102"/>
        <v>46010</v>
      </c>
      <c r="I672" s="149" t="str">
        <f t="shared" si="99"/>
        <v>Nov</v>
      </c>
      <c r="J672" s="216" t="str">
        <f t="shared" ca="1" si="93"/>
        <v/>
      </c>
      <c r="K672" s="149" t="s">
        <v>4</v>
      </c>
      <c r="L672" s="149"/>
      <c r="M672" s="11">
        <v>45986</v>
      </c>
      <c r="N672" s="152">
        <f t="shared" si="94"/>
        <v>2</v>
      </c>
      <c r="O672" s="12" t="str">
        <f t="shared" si="95"/>
        <v>Yes</v>
      </c>
      <c r="P672" s="158"/>
      <c r="Q672" s="157"/>
      <c r="R672" s="11" t="s">
        <v>39</v>
      </c>
      <c r="S672" s="158"/>
      <c r="T672" s="5" t="s">
        <v>40</v>
      </c>
      <c r="U672" s="6"/>
      <c r="V672" s="5"/>
      <c r="W672" s="5"/>
      <c r="X672" s="6"/>
      <c r="BB672" s="7" t="str">
        <v>Quarter 3</v>
      </c>
    </row>
    <row r="673" spans="1:54" ht="31.4" customHeight="1" x14ac:dyDescent="0.35">
      <c r="A673" s="210">
        <v>672</v>
      </c>
      <c r="B673" s="5" t="s">
        <v>896</v>
      </c>
      <c r="C673" s="5" t="s">
        <v>5</v>
      </c>
      <c r="D673" s="5" t="s">
        <v>897</v>
      </c>
      <c r="E673" s="149">
        <v>45982</v>
      </c>
      <c r="F673" s="149">
        <f t="shared" si="100"/>
        <v>45985</v>
      </c>
      <c r="G673" s="149">
        <f t="shared" si="101"/>
        <v>45996</v>
      </c>
      <c r="H673" s="149">
        <f t="shared" si="102"/>
        <v>46010</v>
      </c>
      <c r="I673" s="149" t="str">
        <f t="shared" si="99"/>
        <v>Nov</v>
      </c>
      <c r="J673" s="216" t="str">
        <f t="shared" ca="1" si="93"/>
        <v/>
      </c>
      <c r="K673" s="149" t="s">
        <v>43</v>
      </c>
      <c r="L673" s="149"/>
      <c r="M673" s="11">
        <v>46010</v>
      </c>
      <c r="N673" s="152">
        <f t="shared" si="94"/>
        <v>20</v>
      </c>
      <c r="O673" s="12" t="str">
        <f t="shared" si="95"/>
        <v>Yes</v>
      </c>
      <c r="P673" s="158"/>
      <c r="Q673" s="157"/>
      <c r="R673" s="11" t="s">
        <v>39</v>
      </c>
      <c r="S673" s="158"/>
      <c r="T673" s="5" t="s">
        <v>40</v>
      </c>
      <c r="U673" s="6"/>
      <c r="V673" s="5"/>
      <c r="W673" s="5"/>
      <c r="X673" s="6"/>
      <c r="BB673" s="7" t="str">
        <v>Quarter 3</v>
      </c>
    </row>
    <row r="674" spans="1:54" ht="31.4" customHeight="1" x14ac:dyDescent="0.35">
      <c r="A674" s="210">
        <v>673</v>
      </c>
      <c r="B674" s="5" t="s">
        <v>898</v>
      </c>
      <c r="C674" s="5" t="s">
        <v>9</v>
      </c>
      <c r="D674" s="5" t="s">
        <v>899</v>
      </c>
      <c r="E674" s="149">
        <v>45982</v>
      </c>
      <c r="F674" s="149">
        <f t="shared" si="100"/>
        <v>45985</v>
      </c>
      <c r="G674" s="149">
        <f t="shared" si="101"/>
        <v>45996</v>
      </c>
      <c r="H674" s="149">
        <f t="shared" si="102"/>
        <v>46010</v>
      </c>
      <c r="I674" s="149" t="str">
        <f t="shared" si="99"/>
        <v>Nov</v>
      </c>
      <c r="J674" s="216" t="str">
        <f t="shared" ca="1" si="93"/>
        <v/>
      </c>
      <c r="K674" s="149" t="s">
        <v>7</v>
      </c>
      <c r="L674" s="149"/>
      <c r="M674" s="11">
        <v>46010</v>
      </c>
      <c r="N674" s="152">
        <f t="shared" si="94"/>
        <v>20</v>
      </c>
      <c r="O674" s="12" t="str">
        <f t="shared" si="95"/>
        <v>Yes</v>
      </c>
      <c r="P674" s="158"/>
      <c r="Q674" s="157"/>
      <c r="R674" s="11" t="s">
        <v>39</v>
      </c>
      <c r="S674" s="158"/>
      <c r="T674" s="5" t="s">
        <v>40</v>
      </c>
      <c r="U674" s="6"/>
      <c r="V674" s="5"/>
      <c r="W674" s="5"/>
      <c r="X674" s="6"/>
      <c r="BB674" s="7" t="str">
        <v>Quarter 3</v>
      </c>
    </row>
    <row r="675" spans="1:54" ht="31.4" customHeight="1" x14ac:dyDescent="0.35">
      <c r="A675" s="210">
        <v>674</v>
      </c>
      <c r="B675" s="5" t="s">
        <v>6</v>
      </c>
      <c r="C675" s="5" t="s">
        <v>6</v>
      </c>
      <c r="D675" s="5" t="s">
        <v>900</v>
      </c>
      <c r="E675" s="149">
        <v>45982</v>
      </c>
      <c r="F675" s="149">
        <f t="shared" si="100"/>
        <v>45985</v>
      </c>
      <c r="G675" s="149">
        <f t="shared" si="101"/>
        <v>45996</v>
      </c>
      <c r="H675" s="149">
        <f t="shared" si="102"/>
        <v>46010</v>
      </c>
      <c r="I675" s="149" t="str">
        <f t="shared" si="99"/>
        <v>Nov</v>
      </c>
      <c r="J675" s="216" t="str">
        <f t="shared" ca="1" si="93"/>
        <v/>
      </c>
      <c r="K675" s="149" t="s">
        <v>4</v>
      </c>
      <c r="L675" s="149"/>
      <c r="M675" s="11">
        <v>45986</v>
      </c>
      <c r="N675" s="152">
        <f t="shared" si="94"/>
        <v>2</v>
      </c>
      <c r="O675" s="12" t="str">
        <f t="shared" si="95"/>
        <v>Yes</v>
      </c>
      <c r="P675" s="158"/>
      <c r="Q675" s="157"/>
      <c r="R675" s="11" t="s">
        <v>39</v>
      </c>
      <c r="S675" s="158"/>
      <c r="T675" s="5" t="s">
        <v>40</v>
      </c>
      <c r="U675" s="6"/>
      <c r="V675" s="5" t="s">
        <v>54</v>
      </c>
      <c r="W675" s="5"/>
      <c r="X675" s="6"/>
      <c r="BB675" s="7" t="str">
        <v>Quarter 3</v>
      </c>
    </row>
    <row r="676" spans="1:54" ht="31.4" customHeight="1" x14ac:dyDescent="0.35">
      <c r="A676" s="210">
        <v>675</v>
      </c>
      <c r="B676" s="5" t="s">
        <v>6</v>
      </c>
      <c r="C676" s="5" t="s">
        <v>6</v>
      </c>
      <c r="D676" s="5" t="s">
        <v>901</v>
      </c>
      <c r="E676" s="149">
        <v>45982</v>
      </c>
      <c r="F676" s="149">
        <f t="shared" si="100"/>
        <v>45985</v>
      </c>
      <c r="G676" s="149">
        <f t="shared" si="101"/>
        <v>45996</v>
      </c>
      <c r="H676" s="149">
        <f t="shared" si="102"/>
        <v>46010</v>
      </c>
      <c r="I676" s="149" t="str">
        <f t="shared" si="99"/>
        <v>Nov</v>
      </c>
      <c r="J676" s="216" t="str">
        <f t="shared" ca="1" si="93"/>
        <v/>
      </c>
      <c r="K676" s="149" t="s">
        <v>3</v>
      </c>
      <c r="L676" s="22"/>
      <c r="M676" s="11">
        <v>46056</v>
      </c>
      <c r="N676" s="152">
        <f t="shared" si="94"/>
        <v>49</v>
      </c>
      <c r="O676" s="12" t="str">
        <f t="shared" si="95"/>
        <v>No</v>
      </c>
      <c r="P676" s="158"/>
      <c r="Q676" s="157"/>
      <c r="R676" s="11" t="s">
        <v>39</v>
      </c>
      <c r="S676" s="158"/>
      <c r="T676" s="5" t="s">
        <v>40</v>
      </c>
      <c r="U676" s="6"/>
      <c r="V676" s="5"/>
      <c r="W676" s="5" t="s">
        <v>46</v>
      </c>
      <c r="X676" s="6"/>
      <c r="BB676" s="7" t="str">
        <v>Quarter 3</v>
      </c>
    </row>
    <row r="677" spans="1:54" ht="31.4" customHeight="1" x14ac:dyDescent="0.35">
      <c r="A677" s="210">
        <v>676</v>
      </c>
      <c r="B677" s="5" t="s">
        <v>6</v>
      </c>
      <c r="C677" s="5" t="s">
        <v>6</v>
      </c>
      <c r="D677" s="5" t="s">
        <v>902</v>
      </c>
      <c r="E677" s="149">
        <v>45982</v>
      </c>
      <c r="F677" s="149">
        <f t="shared" si="100"/>
        <v>45985</v>
      </c>
      <c r="G677" s="149">
        <f t="shared" si="101"/>
        <v>45996</v>
      </c>
      <c r="H677" s="149">
        <f t="shared" si="102"/>
        <v>46010</v>
      </c>
      <c r="I677" s="149" t="str">
        <f t="shared" si="99"/>
        <v>Nov</v>
      </c>
      <c r="J677" s="216" t="str">
        <f t="shared" ca="1" si="93"/>
        <v/>
      </c>
      <c r="K677" s="149" t="s">
        <v>4</v>
      </c>
      <c r="L677" s="149"/>
      <c r="M677" s="11">
        <v>46024</v>
      </c>
      <c r="N677" s="152">
        <f t="shared" si="94"/>
        <v>27</v>
      </c>
      <c r="O677" s="12" t="str">
        <f t="shared" si="95"/>
        <v>No</v>
      </c>
      <c r="P677" s="158"/>
      <c r="Q677" s="157"/>
      <c r="R677" s="11" t="s">
        <v>39</v>
      </c>
      <c r="S677" s="158"/>
      <c r="T677" s="5" t="s">
        <v>40</v>
      </c>
      <c r="U677" s="6"/>
      <c r="V677" s="5"/>
      <c r="W677" s="5"/>
      <c r="X677" s="6"/>
      <c r="BB677" s="7" t="str">
        <v>Quarter 3</v>
      </c>
    </row>
    <row r="678" spans="1:54" ht="31.4" customHeight="1" x14ac:dyDescent="0.35">
      <c r="A678" s="210">
        <v>677</v>
      </c>
      <c r="B678" s="5" t="s">
        <v>237</v>
      </c>
      <c r="C678" s="5" t="s">
        <v>14</v>
      </c>
      <c r="D678" s="5" t="s">
        <v>903</v>
      </c>
      <c r="E678" s="149">
        <v>45985</v>
      </c>
      <c r="F678" s="149">
        <f t="shared" si="100"/>
        <v>45986</v>
      </c>
      <c r="G678" s="149">
        <f t="shared" si="101"/>
        <v>45999</v>
      </c>
      <c r="H678" s="149">
        <f t="shared" si="102"/>
        <v>46013</v>
      </c>
      <c r="I678" s="149" t="str">
        <f t="shared" si="99"/>
        <v>Nov</v>
      </c>
      <c r="J678" s="216" t="str">
        <f t="shared" ca="1" si="93"/>
        <v/>
      </c>
      <c r="K678" s="149" t="s">
        <v>43</v>
      </c>
      <c r="L678" s="149"/>
      <c r="M678" s="11">
        <v>45986</v>
      </c>
      <c r="N678" s="152">
        <f t="shared" si="94"/>
        <v>1</v>
      </c>
      <c r="O678" s="12" t="str">
        <f t="shared" si="95"/>
        <v>Yes</v>
      </c>
      <c r="P678" s="158"/>
      <c r="Q678" s="157"/>
      <c r="R678" s="11" t="s">
        <v>39</v>
      </c>
      <c r="S678" s="158"/>
      <c r="T678" s="5" t="s">
        <v>40</v>
      </c>
      <c r="U678" s="6"/>
      <c r="V678" s="5"/>
      <c r="W678" s="5" t="s">
        <v>46</v>
      </c>
      <c r="X678" s="6"/>
      <c r="BB678" s="7" t="str">
        <v>Quarter 3</v>
      </c>
    </row>
    <row r="679" spans="1:54" ht="31.4" customHeight="1" x14ac:dyDescent="0.35">
      <c r="A679" s="210">
        <v>678</v>
      </c>
      <c r="B679" s="5" t="s">
        <v>904</v>
      </c>
      <c r="C679" s="5" t="s">
        <v>9</v>
      </c>
      <c r="D679" s="5" t="s">
        <v>905</v>
      </c>
      <c r="E679" s="149">
        <v>45985</v>
      </c>
      <c r="F679" s="149">
        <f t="shared" si="100"/>
        <v>45986</v>
      </c>
      <c r="G679" s="149">
        <f t="shared" si="101"/>
        <v>45999</v>
      </c>
      <c r="H679" s="149">
        <f t="shared" si="102"/>
        <v>46013</v>
      </c>
      <c r="I679" s="149" t="str">
        <f t="shared" si="99"/>
        <v>Nov</v>
      </c>
      <c r="J679" s="216" t="str">
        <f t="shared" ca="1" si="93"/>
        <v/>
      </c>
      <c r="K679" s="149" t="s">
        <v>3</v>
      </c>
      <c r="L679" s="149"/>
      <c r="M679" s="11">
        <v>45987</v>
      </c>
      <c r="N679" s="152">
        <f t="shared" si="94"/>
        <v>2</v>
      </c>
      <c r="O679" s="12" t="str">
        <f t="shared" si="95"/>
        <v>Yes</v>
      </c>
      <c r="P679" s="158"/>
      <c r="Q679" s="157"/>
      <c r="R679" s="11" t="s">
        <v>39</v>
      </c>
      <c r="S679" s="158"/>
      <c r="T679" s="5" t="s">
        <v>40</v>
      </c>
      <c r="U679" s="6"/>
      <c r="V679" s="5"/>
      <c r="W679" s="5"/>
      <c r="X679" s="6"/>
      <c r="BB679" s="7" t="str">
        <v>Quarter 3</v>
      </c>
    </row>
    <row r="680" spans="1:54" ht="31.4" customHeight="1" x14ac:dyDescent="0.35">
      <c r="A680" s="210">
        <v>679</v>
      </c>
      <c r="B680" s="5" t="s">
        <v>55</v>
      </c>
      <c r="C680" s="5" t="s">
        <v>13</v>
      </c>
      <c r="D680" s="5" t="s">
        <v>906</v>
      </c>
      <c r="E680" s="149"/>
      <c r="F680" s="149"/>
      <c r="G680" s="149"/>
      <c r="H680" s="149"/>
      <c r="I680" s="149" t="s">
        <v>893</v>
      </c>
      <c r="J680" s="216" t="str">
        <f t="shared" ca="1" si="93"/>
        <v/>
      </c>
      <c r="K680" s="149" t="s">
        <v>4</v>
      </c>
      <c r="L680" s="149"/>
      <c r="M680" s="11"/>
      <c r="N680" s="152" t="str">
        <f t="shared" si="94"/>
        <v/>
      </c>
      <c r="O680" s="12" t="str">
        <f t="shared" si="95"/>
        <v/>
      </c>
      <c r="P680" s="158"/>
      <c r="Q680" s="157"/>
      <c r="R680" s="11" t="s">
        <v>52</v>
      </c>
      <c r="S680" s="158"/>
      <c r="T680" s="5" t="s">
        <v>52</v>
      </c>
      <c r="U680" s="6"/>
      <c r="V680" s="5"/>
      <c r="W680" s="5"/>
      <c r="X680" s="6"/>
      <c r="BB680" s="7" t="str">
        <v>Quarter 3</v>
      </c>
    </row>
    <row r="681" spans="1:54" ht="31.4" customHeight="1" x14ac:dyDescent="0.35">
      <c r="A681" s="210">
        <v>680</v>
      </c>
      <c r="B681" s="5" t="s">
        <v>907</v>
      </c>
      <c r="C681" s="5" t="s">
        <v>9</v>
      </c>
      <c r="D681" s="5" t="s">
        <v>854</v>
      </c>
      <c r="E681" s="149">
        <v>45986</v>
      </c>
      <c r="F681" s="149">
        <f>IF($E681="","",WORKDAY($E681,1,$Z$33:$Z$47))</f>
        <v>45987</v>
      </c>
      <c r="G681" s="149">
        <f>IF($E681="","",WORKDAY($E681,10,$Z$33:$Z$47))</f>
        <v>46000</v>
      </c>
      <c r="H681" s="149">
        <f>IF($E681="","",WORKDAY($E681,20,$Z$33:$Z$47))</f>
        <v>46014</v>
      </c>
      <c r="I681" s="149" t="str">
        <f t="shared" si="99"/>
        <v>Nov</v>
      </c>
      <c r="J681" s="216" t="str">
        <f t="shared" ca="1" si="93"/>
        <v/>
      </c>
      <c r="K681" s="149" t="s">
        <v>4</v>
      </c>
      <c r="L681" s="149"/>
      <c r="M681" s="11">
        <v>45986</v>
      </c>
      <c r="N681" s="152">
        <f t="shared" si="94"/>
        <v>0</v>
      </c>
      <c r="O681" s="12" t="str">
        <f t="shared" si="95"/>
        <v>Yes</v>
      </c>
      <c r="P681" s="158"/>
      <c r="Q681" s="157"/>
      <c r="R681" s="11" t="s">
        <v>39</v>
      </c>
      <c r="S681" s="158"/>
      <c r="T681" s="5" t="s">
        <v>40</v>
      </c>
      <c r="U681" s="6"/>
      <c r="V681" s="5" t="s">
        <v>54</v>
      </c>
      <c r="W681" s="5" t="s">
        <v>46</v>
      </c>
      <c r="X681" s="6"/>
      <c r="BB681" s="7" t="str">
        <v>Quarter 3</v>
      </c>
    </row>
    <row r="682" spans="1:54" ht="31.4" customHeight="1" x14ac:dyDescent="0.35">
      <c r="A682" s="210">
        <v>681</v>
      </c>
      <c r="B682" s="5" t="s">
        <v>6</v>
      </c>
      <c r="C682" s="5" t="s">
        <v>6</v>
      </c>
      <c r="D682" s="5" t="s">
        <v>908</v>
      </c>
      <c r="E682" s="149">
        <v>45985</v>
      </c>
      <c r="F682" s="149">
        <f>IF($E682="","",WORKDAY($E682,1,$Z$33:$Z$47))</f>
        <v>45986</v>
      </c>
      <c r="G682" s="149">
        <f>IF($E682="","",WORKDAY($E682,10,$Z$33:$Z$47))</f>
        <v>45999</v>
      </c>
      <c r="H682" s="149">
        <f>IF($E682="","",WORKDAY($E682,20,$Z$33:$Z$47))</f>
        <v>46013</v>
      </c>
      <c r="I682" s="149" t="str">
        <f t="shared" si="99"/>
        <v>Nov</v>
      </c>
      <c r="J682" s="216" t="str">
        <f t="shared" ca="1" si="93"/>
        <v/>
      </c>
      <c r="K682" s="149" t="s">
        <v>43</v>
      </c>
      <c r="L682" s="149"/>
      <c r="M682" s="11">
        <v>45986</v>
      </c>
      <c r="N682" s="152">
        <f t="shared" si="94"/>
        <v>1</v>
      </c>
      <c r="O682" s="12" t="str">
        <f t="shared" si="95"/>
        <v>Yes</v>
      </c>
      <c r="P682" s="158"/>
      <c r="Q682" s="157"/>
      <c r="R682" s="11" t="s">
        <v>39</v>
      </c>
      <c r="S682" s="158"/>
      <c r="T682" s="5" t="s">
        <v>62</v>
      </c>
      <c r="U682" s="6"/>
      <c r="V682" s="5"/>
      <c r="W682" s="5"/>
      <c r="X682" s="6"/>
      <c r="BB682" s="7" t="str">
        <v>Quarter 3</v>
      </c>
    </row>
    <row r="683" spans="1:54" ht="31.4" customHeight="1" x14ac:dyDescent="0.35">
      <c r="A683" s="210">
        <v>682</v>
      </c>
      <c r="B683" s="5" t="s">
        <v>6</v>
      </c>
      <c r="C683" s="5" t="s">
        <v>6</v>
      </c>
      <c r="D683" s="199" t="s">
        <v>909</v>
      </c>
      <c r="E683" s="149"/>
      <c r="F683" s="149"/>
      <c r="G683" s="149"/>
      <c r="H683" s="149"/>
      <c r="I683" s="149" t="s">
        <v>893</v>
      </c>
      <c r="J683" s="216" t="str">
        <f t="shared" ca="1" si="93"/>
        <v/>
      </c>
      <c r="K683" s="149" t="s">
        <v>4</v>
      </c>
      <c r="L683" s="149"/>
      <c r="M683" s="11"/>
      <c r="N683" s="152" t="str">
        <f t="shared" si="94"/>
        <v/>
      </c>
      <c r="O683" s="12" t="str">
        <f t="shared" si="95"/>
        <v/>
      </c>
      <c r="P683" s="158"/>
      <c r="Q683" s="157"/>
      <c r="R683" s="11" t="s">
        <v>52</v>
      </c>
      <c r="S683" s="158"/>
      <c r="T683" s="5" t="s">
        <v>52</v>
      </c>
      <c r="U683" s="6"/>
      <c r="V683" s="5"/>
      <c r="W683" s="5"/>
      <c r="X683" s="6"/>
      <c r="BB683" s="7" t="str">
        <v>Quarter 3</v>
      </c>
    </row>
    <row r="684" spans="1:54" ht="31.4" customHeight="1" x14ac:dyDescent="0.35">
      <c r="A684" s="210">
        <v>683</v>
      </c>
      <c r="B684" s="5" t="s">
        <v>6</v>
      </c>
      <c r="C684" s="5" t="s">
        <v>6</v>
      </c>
      <c r="D684" s="5" t="s">
        <v>884</v>
      </c>
      <c r="E684" s="149">
        <v>45986</v>
      </c>
      <c r="F684" s="149">
        <f t="shared" ref="F684:F715" si="103">IF($E684="","",WORKDAY($E684,1,$Z$33:$Z$47))</f>
        <v>45987</v>
      </c>
      <c r="G684" s="149">
        <f t="shared" ref="G684:G715" si="104">IF($E684="","",WORKDAY($E684,10,$Z$33:$Z$47))</f>
        <v>46000</v>
      </c>
      <c r="H684" s="149">
        <f t="shared" ref="H684:H715" si="105">IF($E684="","",WORKDAY($E684,20,$Z$33:$Z$47))</f>
        <v>46014</v>
      </c>
      <c r="I684" s="149" t="str">
        <f t="shared" si="99"/>
        <v>Nov</v>
      </c>
      <c r="J684" s="216" t="str">
        <f t="shared" ca="1" si="93"/>
        <v/>
      </c>
      <c r="K684" s="149" t="s">
        <v>43</v>
      </c>
      <c r="L684" s="149"/>
      <c r="M684" s="11">
        <v>45994</v>
      </c>
      <c r="N684" s="152">
        <f t="shared" si="94"/>
        <v>6</v>
      </c>
      <c r="O684" s="12" t="str">
        <f t="shared" si="95"/>
        <v>Yes</v>
      </c>
      <c r="P684" s="158"/>
      <c r="Q684" s="157"/>
      <c r="R684" s="11" t="s">
        <v>39</v>
      </c>
      <c r="S684" s="158"/>
      <c r="T684" s="5" t="s">
        <v>40</v>
      </c>
      <c r="U684" s="6"/>
      <c r="V684" s="5"/>
      <c r="W684" s="5"/>
      <c r="X684" s="6"/>
      <c r="BB684" s="7" t="str">
        <v>Quarter 3</v>
      </c>
    </row>
    <row r="685" spans="1:54" ht="31.4" customHeight="1" x14ac:dyDescent="0.35">
      <c r="A685" s="210">
        <v>684</v>
      </c>
      <c r="B685" s="5" t="s">
        <v>6</v>
      </c>
      <c r="C685" s="5" t="s">
        <v>6</v>
      </c>
      <c r="D685" s="5" t="s">
        <v>910</v>
      </c>
      <c r="E685" s="149">
        <v>45986</v>
      </c>
      <c r="F685" s="149">
        <f t="shared" si="103"/>
        <v>45987</v>
      </c>
      <c r="G685" s="149">
        <f t="shared" si="104"/>
        <v>46000</v>
      </c>
      <c r="H685" s="149">
        <f t="shared" si="105"/>
        <v>46014</v>
      </c>
      <c r="I685" s="149" t="str">
        <f t="shared" si="99"/>
        <v>Nov</v>
      </c>
      <c r="J685" s="216" t="str">
        <f t="shared" ca="1" si="93"/>
        <v/>
      </c>
      <c r="K685" s="149" t="s">
        <v>43</v>
      </c>
      <c r="L685" s="22"/>
      <c r="M685" s="11">
        <v>46006</v>
      </c>
      <c r="N685" s="152">
        <f t="shared" si="94"/>
        <v>14</v>
      </c>
      <c r="O685" s="12" t="str">
        <f t="shared" si="95"/>
        <v>Yes</v>
      </c>
      <c r="P685" s="158"/>
      <c r="Q685" s="157"/>
      <c r="R685" s="11" t="s">
        <v>39</v>
      </c>
      <c r="S685" s="158"/>
      <c r="T685" s="5" t="s">
        <v>40</v>
      </c>
      <c r="U685" s="6"/>
      <c r="V685" s="5"/>
      <c r="W685" s="5"/>
      <c r="X685" s="6"/>
      <c r="BB685" s="7" t="str">
        <v>Quarter 3</v>
      </c>
    </row>
    <row r="686" spans="1:54" ht="31.4" customHeight="1" x14ac:dyDescent="0.35">
      <c r="A686" s="210">
        <v>685</v>
      </c>
      <c r="B686" s="5" t="s">
        <v>55</v>
      </c>
      <c r="C686" s="5" t="s">
        <v>13</v>
      </c>
      <c r="D686" s="5" t="s">
        <v>911</v>
      </c>
      <c r="E686" s="149">
        <v>45987</v>
      </c>
      <c r="F686" s="149">
        <f t="shared" si="103"/>
        <v>45988</v>
      </c>
      <c r="G686" s="149">
        <f t="shared" si="104"/>
        <v>46001</v>
      </c>
      <c r="H686" s="149">
        <f t="shared" si="105"/>
        <v>46015</v>
      </c>
      <c r="I686" s="149" t="str">
        <f t="shared" si="99"/>
        <v>Nov</v>
      </c>
      <c r="J686" s="216" t="str">
        <f t="shared" ca="1" si="93"/>
        <v/>
      </c>
      <c r="K686" s="149" t="s">
        <v>7</v>
      </c>
      <c r="L686" s="149"/>
      <c r="M686" s="11">
        <v>45994</v>
      </c>
      <c r="N686" s="152">
        <f t="shared" si="94"/>
        <v>5</v>
      </c>
      <c r="O686" s="12" t="str">
        <f t="shared" si="95"/>
        <v>Yes</v>
      </c>
      <c r="P686" s="158"/>
      <c r="Q686" s="157"/>
      <c r="R686" s="11" t="s">
        <v>39</v>
      </c>
      <c r="S686" s="158"/>
      <c r="T686" s="5" t="s">
        <v>40</v>
      </c>
      <c r="U686" s="6"/>
      <c r="V686" s="5"/>
      <c r="W686" s="5"/>
      <c r="X686" s="6"/>
      <c r="BB686" s="7" t="str">
        <v>Quarter 3</v>
      </c>
    </row>
    <row r="687" spans="1:54" ht="31.4" customHeight="1" x14ac:dyDescent="0.35">
      <c r="A687" s="210">
        <v>686</v>
      </c>
      <c r="B687" s="5" t="s">
        <v>912</v>
      </c>
      <c r="C687" s="5" t="s">
        <v>11</v>
      </c>
      <c r="D687" s="5" t="s">
        <v>913</v>
      </c>
      <c r="E687" s="149">
        <v>45987</v>
      </c>
      <c r="F687" s="149">
        <f t="shared" si="103"/>
        <v>45988</v>
      </c>
      <c r="G687" s="149">
        <f t="shared" si="104"/>
        <v>46001</v>
      </c>
      <c r="H687" s="149">
        <f t="shared" si="105"/>
        <v>46015</v>
      </c>
      <c r="I687" s="149" t="str">
        <f t="shared" si="99"/>
        <v>Nov</v>
      </c>
      <c r="J687" s="216" t="str">
        <f t="shared" ca="1" si="93"/>
        <v/>
      </c>
      <c r="K687" s="149" t="s">
        <v>4</v>
      </c>
      <c r="L687" s="149"/>
      <c r="M687" s="11">
        <v>45987</v>
      </c>
      <c r="N687" s="152">
        <f t="shared" si="94"/>
        <v>0</v>
      </c>
      <c r="O687" s="12" t="str">
        <f t="shared" si="95"/>
        <v>Yes</v>
      </c>
      <c r="P687" s="158"/>
      <c r="Q687" s="157"/>
      <c r="R687" s="11" t="s">
        <v>39</v>
      </c>
      <c r="S687" s="158"/>
      <c r="T687" s="5" t="s">
        <v>40</v>
      </c>
      <c r="U687" s="6"/>
      <c r="V687" s="5" t="s">
        <v>54</v>
      </c>
      <c r="W687" s="5"/>
      <c r="X687" s="6"/>
      <c r="BB687" s="7" t="str">
        <v>Quarter 3</v>
      </c>
    </row>
    <row r="688" spans="1:54" ht="31.4" customHeight="1" x14ac:dyDescent="0.35">
      <c r="A688" s="210">
        <v>687</v>
      </c>
      <c r="B688" s="5" t="s">
        <v>914</v>
      </c>
      <c r="C688" s="5" t="s">
        <v>9</v>
      </c>
      <c r="D688" s="5" t="s">
        <v>915</v>
      </c>
      <c r="E688" s="149">
        <v>45987</v>
      </c>
      <c r="F688" s="149">
        <f t="shared" si="103"/>
        <v>45988</v>
      </c>
      <c r="G688" s="149">
        <f t="shared" si="104"/>
        <v>46001</v>
      </c>
      <c r="H688" s="149">
        <f t="shared" si="105"/>
        <v>46015</v>
      </c>
      <c r="I688" s="149" t="str">
        <f t="shared" si="99"/>
        <v>Nov</v>
      </c>
      <c r="J688" s="216" t="str">
        <f t="shared" ca="1" si="93"/>
        <v/>
      </c>
      <c r="K688" s="149" t="s">
        <v>4</v>
      </c>
      <c r="L688" s="149"/>
      <c r="M688" s="11">
        <v>45994</v>
      </c>
      <c r="N688" s="152">
        <f t="shared" si="94"/>
        <v>5</v>
      </c>
      <c r="O688" s="12" t="str">
        <f t="shared" si="95"/>
        <v>Yes</v>
      </c>
      <c r="P688" s="158"/>
      <c r="Q688" s="157"/>
      <c r="R688" s="11" t="s">
        <v>39</v>
      </c>
      <c r="S688" s="158"/>
      <c r="T688" s="5" t="s">
        <v>40</v>
      </c>
      <c r="U688" s="6"/>
      <c r="V688" s="5" t="s">
        <v>54</v>
      </c>
      <c r="W688" s="5"/>
      <c r="X688" s="6"/>
      <c r="BB688" s="7" t="str">
        <v>Quarter 3</v>
      </c>
    </row>
    <row r="689" spans="1:54" ht="31.4" customHeight="1" x14ac:dyDescent="0.35">
      <c r="A689" s="210">
        <v>688</v>
      </c>
      <c r="B689" s="5" t="s">
        <v>6</v>
      </c>
      <c r="C689" s="5" t="s">
        <v>6</v>
      </c>
      <c r="D689" s="5" t="s">
        <v>686</v>
      </c>
      <c r="E689" s="149">
        <v>45988</v>
      </c>
      <c r="F689" s="149">
        <f t="shared" si="103"/>
        <v>45989</v>
      </c>
      <c r="G689" s="149">
        <f t="shared" si="104"/>
        <v>46002</v>
      </c>
      <c r="H689" s="149">
        <f t="shared" si="105"/>
        <v>46020</v>
      </c>
      <c r="I689" s="149" t="str">
        <f t="shared" si="99"/>
        <v>Nov</v>
      </c>
      <c r="J689" s="216" t="str">
        <f t="shared" ca="1" si="93"/>
        <v/>
      </c>
      <c r="K689" s="149" t="s">
        <v>43</v>
      </c>
      <c r="L689" s="149"/>
      <c r="M689" s="11">
        <v>46006</v>
      </c>
      <c r="N689" s="152">
        <f t="shared" si="94"/>
        <v>12</v>
      </c>
      <c r="O689" s="12" t="str">
        <f t="shared" si="95"/>
        <v>Yes</v>
      </c>
      <c r="P689" s="158"/>
      <c r="Q689" s="157"/>
      <c r="R689" s="11" t="s">
        <v>39</v>
      </c>
      <c r="S689" s="158"/>
      <c r="T689" s="5" t="s">
        <v>45</v>
      </c>
      <c r="U689" s="6"/>
      <c r="V689" s="5" t="s">
        <v>54</v>
      </c>
      <c r="W689" s="5" t="s">
        <v>46</v>
      </c>
      <c r="X689" s="6"/>
      <c r="BB689" s="7" t="str">
        <v>Quarter 3</v>
      </c>
    </row>
    <row r="690" spans="1:54" ht="31.4" customHeight="1" x14ac:dyDescent="0.35">
      <c r="A690" s="210">
        <v>689</v>
      </c>
      <c r="B690" s="5" t="s">
        <v>916</v>
      </c>
      <c r="C690" s="5" t="s">
        <v>16</v>
      </c>
      <c r="D690" s="5" t="s">
        <v>917</v>
      </c>
      <c r="E690" s="149">
        <v>45987</v>
      </c>
      <c r="F690" s="149">
        <f t="shared" si="103"/>
        <v>45988</v>
      </c>
      <c r="G690" s="149">
        <f t="shared" si="104"/>
        <v>46001</v>
      </c>
      <c r="H690" s="149">
        <f t="shared" si="105"/>
        <v>46015</v>
      </c>
      <c r="I690" s="149" t="str">
        <f t="shared" si="99"/>
        <v>Nov</v>
      </c>
      <c r="J690" s="216" t="str">
        <f t="shared" ca="1" si="93"/>
        <v/>
      </c>
      <c r="K690" s="149" t="s">
        <v>4</v>
      </c>
      <c r="L690" s="149"/>
      <c r="M690" s="11">
        <v>45999</v>
      </c>
      <c r="N690" s="152">
        <f t="shared" si="94"/>
        <v>8</v>
      </c>
      <c r="O690" s="12" t="str">
        <f t="shared" si="95"/>
        <v>Yes</v>
      </c>
      <c r="P690" s="158"/>
      <c r="Q690" s="157"/>
      <c r="R690" s="11" t="s">
        <v>39</v>
      </c>
      <c r="S690" s="158"/>
      <c r="T690" s="5" t="s">
        <v>51</v>
      </c>
      <c r="U690" s="6"/>
      <c r="V690" s="5" t="s">
        <v>41</v>
      </c>
      <c r="W690" s="5"/>
      <c r="X690" s="6"/>
      <c r="BB690" s="7" t="str">
        <v>Quarter 3</v>
      </c>
    </row>
    <row r="691" spans="1:54" ht="31.4" customHeight="1" x14ac:dyDescent="0.35">
      <c r="A691" s="210">
        <v>690</v>
      </c>
      <c r="B691" s="5" t="s">
        <v>918</v>
      </c>
      <c r="C691" s="5" t="s">
        <v>9</v>
      </c>
      <c r="D691" s="5" t="s">
        <v>854</v>
      </c>
      <c r="E691" s="149">
        <v>45987</v>
      </c>
      <c r="F691" s="149">
        <f t="shared" si="103"/>
        <v>45988</v>
      </c>
      <c r="G691" s="149">
        <f t="shared" si="104"/>
        <v>46001</v>
      </c>
      <c r="H691" s="149">
        <f t="shared" si="105"/>
        <v>46015</v>
      </c>
      <c r="I691" s="149" t="str">
        <f t="shared" si="99"/>
        <v>Nov</v>
      </c>
      <c r="J691" s="216" t="str">
        <f t="shared" ca="1" si="93"/>
        <v/>
      </c>
      <c r="K691" s="149" t="s">
        <v>4</v>
      </c>
      <c r="L691" s="149"/>
      <c r="M691" s="11">
        <v>45989</v>
      </c>
      <c r="N691" s="152">
        <f t="shared" si="94"/>
        <v>2</v>
      </c>
      <c r="O691" s="12" t="str">
        <f t="shared" si="95"/>
        <v>Yes</v>
      </c>
      <c r="P691" s="158"/>
      <c r="Q691" s="157"/>
      <c r="R691" s="11" t="s">
        <v>39</v>
      </c>
      <c r="S691" s="158"/>
      <c r="T691" s="5" t="s">
        <v>45</v>
      </c>
      <c r="U691" s="6"/>
      <c r="V691" s="5" t="s">
        <v>53</v>
      </c>
      <c r="W691" s="5"/>
      <c r="X691" s="6"/>
      <c r="BB691" s="7" t="str">
        <v>Quarter 3</v>
      </c>
    </row>
    <row r="692" spans="1:54" ht="31.4" customHeight="1" x14ac:dyDescent="0.35">
      <c r="A692" s="210">
        <v>691</v>
      </c>
      <c r="B692" s="5" t="s">
        <v>55</v>
      </c>
      <c r="C692" s="5" t="s">
        <v>13</v>
      </c>
      <c r="D692" s="5" t="s">
        <v>919</v>
      </c>
      <c r="E692" s="149">
        <v>45987</v>
      </c>
      <c r="F692" s="149">
        <f t="shared" si="103"/>
        <v>45988</v>
      </c>
      <c r="G692" s="149">
        <f t="shared" si="104"/>
        <v>46001</v>
      </c>
      <c r="H692" s="149">
        <f t="shared" si="105"/>
        <v>46015</v>
      </c>
      <c r="I692" s="149" t="str">
        <f t="shared" ref="I692:I755" si="106">IF(ISBLANK($E692),"",TEXT($E692,"mmm"))</f>
        <v>Nov</v>
      </c>
      <c r="J692" s="216" t="str">
        <f t="shared" ca="1" si="93"/>
        <v/>
      </c>
      <c r="K692" s="149" t="s">
        <v>43</v>
      </c>
      <c r="L692" s="149"/>
      <c r="M692" s="11">
        <v>46106</v>
      </c>
      <c r="N692" s="152">
        <f t="shared" si="94"/>
        <v>82</v>
      </c>
      <c r="O692" s="12" t="str">
        <f t="shared" si="95"/>
        <v>No</v>
      </c>
      <c r="P692" s="158"/>
      <c r="Q692" s="157"/>
      <c r="R692" s="11" t="s">
        <v>39</v>
      </c>
      <c r="S692" s="158"/>
      <c r="T692" s="5" t="s">
        <v>40</v>
      </c>
      <c r="U692" s="6"/>
      <c r="V692" s="5"/>
      <c r="W692" s="5"/>
      <c r="X692" s="6"/>
      <c r="BB692" s="7" t="str">
        <v>Quarter 3</v>
      </c>
    </row>
    <row r="693" spans="1:54" ht="31.4" customHeight="1" x14ac:dyDescent="0.35">
      <c r="A693" s="210">
        <v>692</v>
      </c>
      <c r="B693" s="5" t="s">
        <v>6</v>
      </c>
      <c r="C693" s="5" t="s">
        <v>6</v>
      </c>
      <c r="D693" s="5" t="s">
        <v>920</v>
      </c>
      <c r="E693" s="149">
        <v>45988</v>
      </c>
      <c r="F693" s="149">
        <f t="shared" si="103"/>
        <v>45989</v>
      </c>
      <c r="G693" s="149">
        <f t="shared" si="104"/>
        <v>46002</v>
      </c>
      <c r="H693" s="149">
        <f t="shared" si="105"/>
        <v>46020</v>
      </c>
      <c r="I693" s="149" t="str">
        <f t="shared" si="106"/>
        <v>Nov</v>
      </c>
      <c r="J693" s="216" t="str">
        <f t="shared" ca="1" si="93"/>
        <v/>
      </c>
      <c r="K693" s="149" t="s">
        <v>4</v>
      </c>
      <c r="L693" s="149"/>
      <c r="M693" s="11">
        <v>46001</v>
      </c>
      <c r="N693" s="152">
        <f t="shared" si="94"/>
        <v>9</v>
      </c>
      <c r="O693" s="12" t="str">
        <f t="shared" si="95"/>
        <v>Yes</v>
      </c>
      <c r="P693" s="158"/>
      <c r="Q693" s="157"/>
      <c r="R693" s="11" t="s">
        <v>39</v>
      </c>
      <c r="S693" s="158"/>
      <c r="T693" s="5" t="s">
        <v>40</v>
      </c>
      <c r="U693" s="6"/>
      <c r="V693" s="5"/>
      <c r="W693" s="5"/>
      <c r="X693" s="6"/>
      <c r="BB693" s="7" t="str">
        <v>Quarter 3</v>
      </c>
    </row>
    <row r="694" spans="1:54" ht="31.4" customHeight="1" x14ac:dyDescent="0.35">
      <c r="A694" s="210">
        <v>693</v>
      </c>
      <c r="B694" s="5" t="s">
        <v>6</v>
      </c>
      <c r="C694" s="5" t="s">
        <v>6</v>
      </c>
      <c r="D694" s="5" t="s">
        <v>921</v>
      </c>
      <c r="E694" s="149">
        <v>45988</v>
      </c>
      <c r="F694" s="149">
        <f t="shared" si="103"/>
        <v>45989</v>
      </c>
      <c r="G694" s="149">
        <f t="shared" si="104"/>
        <v>46002</v>
      </c>
      <c r="H694" s="149">
        <f t="shared" si="105"/>
        <v>46020</v>
      </c>
      <c r="I694" s="149" t="str">
        <f t="shared" si="106"/>
        <v>Nov</v>
      </c>
      <c r="J694" s="216" t="str">
        <f t="shared" ca="1" si="93"/>
        <v/>
      </c>
      <c r="K694" s="149" t="s">
        <v>43</v>
      </c>
      <c r="L694" s="149"/>
      <c r="M694" s="11">
        <v>45992</v>
      </c>
      <c r="N694" s="152">
        <f>IF($M694="","",NETWORKDAYS($E695,$M694,$Z$33:$Z$47)-1)</f>
        <v>2</v>
      </c>
      <c r="O694" s="12" t="str">
        <f t="shared" si="95"/>
        <v>Yes</v>
      </c>
      <c r="P694" s="158"/>
      <c r="Q694" s="157"/>
      <c r="R694" s="11" t="s">
        <v>39</v>
      </c>
      <c r="S694" s="158"/>
      <c r="T694" s="5" t="s">
        <v>51</v>
      </c>
      <c r="U694" s="6"/>
      <c r="V694" s="5" t="s">
        <v>87</v>
      </c>
      <c r="W694" s="5"/>
      <c r="X694" s="6"/>
      <c r="BB694" s="7" t="str">
        <v>Quarter 3</v>
      </c>
    </row>
    <row r="695" spans="1:54" ht="31.4" customHeight="1" x14ac:dyDescent="0.35">
      <c r="A695" s="210">
        <v>694</v>
      </c>
      <c r="B695" s="5" t="s">
        <v>922</v>
      </c>
      <c r="C695" s="5" t="s">
        <v>9</v>
      </c>
      <c r="D695" s="5" t="s">
        <v>923</v>
      </c>
      <c r="E695" s="149">
        <v>45988</v>
      </c>
      <c r="F695" s="149">
        <f t="shared" si="103"/>
        <v>45989</v>
      </c>
      <c r="G695" s="149">
        <f t="shared" si="104"/>
        <v>46002</v>
      </c>
      <c r="H695" s="149">
        <f t="shared" si="105"/>
        <v>46020</v>
      </c>
      <c r="I695" s="149" t="str">
        <f>IF(ISBLANK($E695),"",TEXT($E695,"mmm"))</f>
        <v>Nov</v>
      </c>
      <c r="J695" s="216" t="str">
        <f t="shared" ca="1" si="93"/>
        <v/>
      </c>
      <c r="K695" s="22" t="s">
        <v>7</v>
      </c>
      <c r="L695" s="149"/>
      <c r="M695" s="11">
        <v>45994</v>
      </c>
      <c r="N695" s="152">
        <f>IF($M695="","",NETWORKDAYS($E696,$M695,$Z$33:$Z$47)-1)</f>
        <v>4</v>
      </c>
      <c r="O695" s="12" t="str">
        <f t="shared" si="95"/>
        <v>Yes</v>
      </c>
      <c r="P695" s="158"/>
      <c r="Q695" s="157"/>
      <c r="R695" s="11" t="s">
        <v>39</v>
      </c>
      <c r="S695" s="158"/>
      <c r="T695" s="5" t="s">
        <v>40</v>
      </c>
      <c r="U695" s="6"/>
      <c r="V695" s="5"/>
      <c r="W695" s="5"/>
      <c r="X695" s="6"/>
      <c r="BB695" s="7" t="str">
        <v>Quarter 3</v>
      </c>
    </row>
    <row r="696" spans="1:54" ht="31.4" customHeight="1" x14ac:dyDescent="0.35">
      <c r="A696" s="210">
        <v>695</v>
      </c>
      <c r="B696" s="5" t="s">
        <v>924</v>
      </c>
      <c r="C696" s="5" t="s">
        <v>9</v>
      </c>
      <c r="D696" s="5" t="s">
        <v>925</v>
      </c>
      <c r="E696" s="149">
        <v>45988</v>
      </c>
      <c r="F696" s="149">
        <f t="shared" si="103"/>
        <v>45989</v>
      </c>
      <c r="G696" s="149">
        <f t="shared" si="104"/>
        <v>46002</v>
      </c>
      <c r="H696" s="149">
        <f t="shared" si="105"/>
        <v>46020</v>
      </c>
      <c r="I696" s="149" t="str">
        <f>IF(ISBLANK($E696),"",TEXT($E696,"mmm"))</f>
        <v>Nov</v>
      </c>
      <c r="J696" s="216" t="str">
        <f t="shared" ca="1" si="93"/>
        <v/>
      </c>
      <c r="K696" s="149" t="s">
        <v>4</v>
      </c>
      <c r="L696" s="149"/>
      <c r="M696" s="11">
        <v>46014</v>
      </c>
      <c r="N696" s="152">
        <f>IF($M696="","",NETWORKDAYS($E697,$M696,$Z$33:$Z$47)-1)</f>
        <v>16</v>
      </c>
      <c r="O696" s="12" t="str">
        <f t="shared" si="95"/>
        <v>Yes</v>
      </c>
      <c r="P696" s="158"/>
      <c r="Q696" s="157"/>
      <c r="R696" s="11" t="s">
        <v>39</v>
      </c>
      <c r="S696" s="158"/>
      <c r="T696" s="5" t="s">
        <v>40</v>
      </c>
      <c r="U696" s="6"/>
      <c r="V696" s="5" t="s">
        <v>54</v>
      </c>
      <c r="W696" s="5"/>
      <c r="X696" s="6"/>
      <c r="BB696" s="7" t="str">
        <v>Quarter 3</v>
      </c>
    </row>
    <row r="697" spans="1:54" ht="31.4" customHeight="1" x14ac:dyDescent="0.35">
      <c r="A697" s="210">
        <v>696</v>
      </c>
      <c r="B697" s="5" t="s">
        <v>6</v>
      </c>
      <c r="C697" s="5" t="s">
        <v>6</v>
      </c>
      <c r="D697" s="5" t="s">
        <v>926</v>
      </c>
      <c r="E697" s="149">
        <v>45992</v>
      </c>
      <c r="F697" s="149">
        <f t="shared" si="103"/>
        <v>45993</v>
      </c>
      <c r="G697" s="149">
        <f t="shared" si="104"/>
        <v>46006</v>
      </c>
      <c r="H697" s="149">
        <f t="shared" si="105"/>
        <v>46022</v>
      </c>
      <c r="I697" s="149" t="str">
        <f t="shared" si="106"/>
        <v>Dec</v>
      </c>
      <c r="J697" s="216" t="str">
        <f t="shared" ca="1" si="93"/>
        <v/>
      </c>
      <c r="K697" s="149" t="s">
        <v>4</v>
      </c>
      <c r="L697" s="149"/>
      <c r="M697" s="11">
        <v>45992</v>
      </c>
      <c r="N697" s="152">
        <f t="shared" ref="N697:N760" si="107">IF($M697="","",NETWORKDAYS($E697,$M697,$Z$33:$Z$47)-1)</f>
        <v>0</v>
      </c>
      <c r="O697" s="12" t="str">
        <f t="shared" si="95"/>
        <v>Yes</v>
      </c>
      <c r="P697" s="158"/>
      <c r="Q697" s="157"/>
      <c r="R697" s="11" t="s">
        <v>39</v>
      </c>
      <c r="S697" s="158"/>
      <c r="T697" s="5" t="s">
        <v>40</v>
      </c>
      <c r="U697" s="6"/>
      <c r="V697" s="5" t="s">
        <v>54</v>
      </c>
      <c r="W697" s="5"/>
      <c r="X697" s="6"/>
      <c r="BB697" s="7" t="str">
        <v>Quarter 3</v>
      </c>
    </row>
    <row r="698" spans="1:54" ht="31.4" customHeight="1" x14ac:dyDescent="0.35">
      <c r="A698" s="210">
        <v>697</v>
      </c>
      <c r="B698" s="5" t="s">
        <v>55</v>
      </c>
      <c r="C698" s="5" t="s">
        <v>13</v>
      </c>
      <c r="D698" s="5" t="s">
        <v>927</v>
      </c>
      <c r="E698" s="149">
        <v>45992</v>
      </c>
      <c r="F698" s="149">
        <f t="shared" si="103"/>
        <v>45993</v>
      </c>
      <c r="G698" s="149">
        <f t="shared" si="104"/>
        <v>46006</v>
      </c>
      <c r="H698" s="149">
        <f t="shared" si="105"/>
        <v>46022</v>
      </c>
      <c r="I698" s="149" t="str">
        <f t="shared" si="106"/>
        <v>Dec</v>
      </c>
      <c r="J698" s="216" t="str">
        <f t="shared" ca="1" si="93"/>
        <v/>
      </c>
      <c r="K698" s="149" t="s">
        <v>4</v>
      </c>
      <c r="L698" s="149"/>
      <c r="M698" s="11">
        <v>45992</v>
      </c>
      <c r="N698" s="152">
        <f t="shared" si="107"/>
        <v>0</v>
      </c>
      <c r="O698" s="12" t="str">
        <f t="shared" si="95"/>
        <v>Yes</v>
      </c>
      <c r="P698" s="158"/>
      <c r="Q698" s="157"/>
      <c r="R698" s="11" t="s">
        <v>39</v>
      </c>
      <c r="S698" s="158"/>
      <c r="T698" s="5" t="s">
        <v>51</v>
      </c>
      <c r="U698" s="6"/>
      <c r="V698" s="5" t="s">
        <v>41</v>
      </c>
      <c r="W698" s="5"/>
      <c r="X698" s="6"/>
      <c r="BB698" s="7" t="str">
        <v>Quarter 3</v>
      </c>
    </row>
    <row r="699" spans="1:54" ht="31.4" customHeight="1" x14ac:dyDescent="0.35">
      <c r="A699" s="210">
        <v>698</v>
      </c>
      <c r="B699" s="5" t="s">
        <v>6</v>
      </c>
      <c r="C699" s="5" t="s">
        <v>6</v>
      </c>
      <c r="D699" s="5" t="s">
        <v>1877</v>
      </c>
      <c r="E699" s="149">
        <v>45992</v>
      </c>
      <c r="F699" s="149">
        <f t="shared" si="103"/>
        <v>45993</v>
      </c>
      <c r="G699" s="149">
        <f t="shared" si="104"/>
        <v>46006</v>
      </c>
      <c r="H699" s="149">
        <f t="shared" si="105"/>
        <v>46022</v>
      </c>
      <c r="I699" s="149" t="str">
        <f t="shared" si="106"/>
        <v>Dec</v>
      </c>
      <c r="J699" s="216" t="str">
        <f t="shared" ca="1" si="93"/>
        <v/>
      </c>
      <c r="K699" s="149" t="s">
        <v>7</v>
      </c>
      <c r="L699" s="149"/>
      <c r="M699" s="11">
        <v>46001</v>
      </c>
      <c r="N699" s="152">
        <f t="shared" si="107"/>
        <v>7</v>
      </c>
      <c r="O699" s="12" t="str">
        <f t="shared" si="95"/>
        <v>Yes</v>
      </c>
      <c r="P699" s="158"/>
      <c r="Q699" s="157"/>
      <c r="R699" s="11" t="s">
        <v>39</v>
      </c>
      <c r="S699" s="158"/>
      <c r="T699" s="5" t="s">
        <v>40</v>
      </c>
      <c r="U699" s="6"/>
      <c r="V699" s="5"/>
      <c r="W699" s="5"/>
      <c r="X699" s="6"/>
      <c r="BB699" s="7" t="str">
        <v>Quarter 3</v>
      </c>
    </row>
    <row r="700" spans="1:54" ht="31.4" customHeight="1" x14ac:dyDescent="0.35">
      <c r="A700" s="210">
        <v>699</v>
      </c>
      <c r="B700" s="5" t="s">
        <v>55</v>
      </c>
      <c r="C700" s="5" t="s">
        <v>13</v>
      </c>
      <c r="D700" s="5" t="s">
        <v>724</v>
      </c>
      <c r="E700" s="149">
        <v>45993</v>
      </c>
      <c r="F700" s="149">
        <f t="shared" si="103"/>
        <v>45994</v>
      </c>
      <c r="G700" s="149">
        <f t="shared" si="104"/>
        <v>46007</v>
      </c>
      <c r="H700" s="149">
        <f t="shared" si="105"/>
        <v>46024</v>
      </c>
      <c r="I700" s="149" t="str">
        <f t="shared" si="106"/>
        <v>Dec</v>
      </c>
      <c r="J700" s="216" t="str">
        <f t="shared" ca="1" si="93"/>
        <v/>
      </c>
      <c r="K700" s="149" t="s">
        <v>4</v>
      </c>
      <c r="L700" s="149"/>
      <c r="M700" s="11">
        <v>46007</v>
      </c>
      <c r="N700" s="152">
        <f t="shared" si="107"/>
        <v>10</v>
      </c>
      <c r="O700" s="12" t="str">
        <f t="shared" si="95"/>
        <v>Yes</v>
      </c>
      <c r="P700" s="158"/>
      <c r="Q700" s="157"/>
      <c r="R700" s="11" t="s">
        <v>39</v>
      </c>
      <c r="S700" s="158"/>
      <c r="T700" s="5" t="s">
        <v>40</v>
      </c>
      <c r="U700" s="6"/>
      <c r="V700" s="5"/>
      <c r="W700" s="5"/>
      <c r="X700" s="6"/>
      <c r="BB700" s="7" t="str">
        <v>Quarter 3</v>
      </c>
    </row>
    <row r="701" spans="1:54" ht="31.4" customHeight="1" x14ac:dyDescent="0.35">
      <c r="A701" s="210">
        <v>700</v>
      </c>
      <c r="B701" s="5" t="s">
        <v>342</v>
      </c>
      <c r="C701" s="5" t="s">
        <v>9</v>
      </c>
      <c r="D701" s="5" t="s">
        <v>928</v>
      </c>
      <c r="E701" s="149">
        <v>45993</v>
      </c>
      <c r="F701" s="149">
        <f t="shared" si="103"/>
        <v>45994</v>
      </c>
      <c r="G701" s="149">
        <f t="shared" si="104"/>
        <v>46007</v>
      </c>
      <c r="H701" s="149">
        <f t="shared" si="105"/>
        <v>46024</v>
      </c>
      <c r="I701" s="149" t="str">
        <f t="shared" si="106"/>
        <v>Dec</v>
      </c>
      <c r="J701" s="216" t="str">
        <f t="shared" ca="1" si="93"/>
        <v/>
      </c>
      <c r="K701" s="149" t="s">
        <v>43</v>
      </c>
      <c r="L701" s="149"/>
      <c r="M701" s="11">
        <v>45994</v>
      </c>
      <c r="N701" s="152">
        <f t="shared" si="107"/>
        <v>1</v>
      </c>
      <c r="O701" s="12" t="str">
        <f t="shared" si="95"/>
        <v>Yes</v>
      </c>
      <c r="P701" s="158"/>
      <c r="Q701" s="157"/>
      <c r="R701" s="11" t="s">
        <v>39</v>
      </c>
      <c r="S701" s="158"/>
      <c r="T701" s="5" t="s">
        <v>40</v>
      </c>
      <c r="U701" s="6"/>
      <c r="V701" s="5"/>
      <c r="W701" s="5"/>
      <c r="X701" s="6"/>
      <c r="BB701" s="7" t="str">
        <v>Quarter 3</v>
      </c>
    </row>
    <row r="702" spans="1:54" ht="31.4" customHeight="1" x14ac:dyDescent="0.35">
      <c r="A702" s="210">
        <v>701</v>
      </c>
      <c r="B702" s="5" t="s">
        <v>6</v>
      </c>
      <c r="C702" s="5" t="s">
        <v>6</v>
      </c>
      <c r="D702" s="5" t="s">
        <v>929</v>
      </c>
      <c r="E702" s="149">
        <v>45993</v>
      </c>
      <c r="F702" s="149">
        <f t="shared" si="103"/>
        <v>45994</v>
      </c>
      <c r="G702" s="149">
        <f t="shared" si="104"/>
        <v>46007</v>
      </c>
      <c r="H702" s="149">
        <f t="shared" si="105"/>
        <v>46024</v>
      </c>
      <c r="I702" s="149" t="str">
        <f t="shared" si="106"/>
        <v>Dec</v>
      </c>
      <c r="J702" s="216" t="str">
        <f t="shared" ca="1" si="93"/>
        <v/>
      </c>
      <c r="K702" s="149" t="s">
        <v>43</v>
      </c>
      <c r="L702" s="149"/>
      <c r="M702" s="11">
        <v>46048</v>
      </c>
      <c r="N702" s="152">
        <f t="shared" si="107"/>
        <v>36</v>
      </c>
      <c r="O702" s="12" t="str">
        <f t="shared" si="95"/>
        <v>No</v>
      </c>
      <c r="P702" s="158"/>
      <c r="Q702" s="157"/>
      <c r="R702" s="11" t="s">
        <v>39</v>
      </c>
      <c r="S702" s="158"/>
      <c r="T702" s="5" t="s">
        <v>40</v>
      </c>
      <c r="U702" s="6"/>
      <c r="V702" s="5" t="s">
        <v>54</v>
      </c>
      <c r="W702" s="5" t="s">
        <v>930</v>
      </c>
      <c r="X702" s="6"/>
      <c r="BB702" s="7" t="str">
        <v>Quarter 3</v>
      </c>
    </row>
    <row r="703" spans="1:54" ht="31.4" customHeight="1" x14ac:dyDescent="0.35">
      <c r="A703" s="210">
        <v>702</v>
      </c>
      <c r="B703" s="5" t="s">
        <v>931</v>
      </c>
      <c r="C703" s="5" t="s">
        <v>9</v>
      </c>
      <c r="D703" s="5" t="s">
        <v>932</v>
      </c>
      <c r="E703" s="149">
        <v>45993</v>
      </c>
      <c r="F703" s="149">
        <f t="shared" si="103"/>
        <v>45994</v>
      </c>
      <c r="G703" s="149">
        <f t="shared" si="104"/>
        <v>46007</v>
      </c>
      <c r="H703" s="149">
        <f t="shared" si="105"/>
        <v>46024</v>
      </c>
      <c r="I703" s="149" t="str">
        <f t="shared" si="106"/>
        <v>Dec</v>
      </c>
      <c r="J703" s="216" t="str">
        <f t="shared" ca="1" si="93"/>
        <v/>
      </c>
      <c r="K703" s="149" t="s">
        <v>7</v>
      </c>
      <c r="L703" s="149"/>
      <c r="M703" s="11">
        <v>46001</v>
      </c>
      <c r="N703" s="152">
        <f t="shared" si="107"/>
        <v>6</v>
      </c>
      <c r="O703" s="12" t="str">
        <f t="shared" si="95"/>
        <v>Yes</v>
      </c>
      <c r="P703" s="158"/>
      <c r="Q703" s="157"/>
      <c r="R703" s="11" t="s">
        <v>39</v>
      </c>
      <c r="S703" s="158"/>
      <c r="T703" s="5" t="s">
        <v>40</v>
      </c>
      <c r="U703" s="6"/>
      <c r="V703" s="5"/>
      <c r="W703" s="5"/>
      <c r="X703" s="6"/>
      <c r="BB703" s="7" t="str">
        <v>Quarter 3</v>
      </c>
    </row>
    <row r="704" spans="1:54" ht="31.4" customHeight="1" x14ac:dyDescent="0.35">
      <c r="A704" s="210">
        <v>703</v>
      </c>
      <c r="B704" s="5" t="s">
        <v>6</v>
      </c>
      <c r="C704" s="5" t="s">
        <v>6</v>
      </c>
      <c r="D704" s="5" t="s">
        <v>933</v>
      </c>
      <c r="E704" s="149">
        <v>45994</v>
      </c>
      <c r="F704" s="149">
        <f t="shared" si="103"/>
        <v>45995</v>
      </c>
      <c r="G704" s="149">
        <f t="shared" si="104"/>
        <v>46008</v>
      </c>
      <c r="H704" s="149">
        <f t="shared" si="105"/>
        <v>46027</v>
      </c>
      <c r="I704" s="149" t="str">
        <f t="shared" si="106"/>
        <v>Dec</v>
      </c>
      <c r="J704" s="216" t="str">
        <f t="shared" ca="1" si="93"/>
        <v/>
      </c>
      <c r="K704" s="149" t="s">
        <v>4</v>
      </c>
      <c r="L704" s="149"/>
      <c r="M704" s="11">
        <v>46024</v>
      </c>
      <c r="N704" s="152">
        <f t="shared" si="107"/>
        <v>19</v>
      </c>
      <c r="O704" s="12" t="str">
        <f t="shared" si="95"/>
        <v>Yes</v>
      </c>
      <c r="P704" s="158"/>
      <c r="Q704" s="157"/>
      <c r="R704" s="11" t="s">
        <v>39</v>
      </c>
      <c r="S704" s="158"/>
      <c r="T704" s="5" t="s">
        <v>40</v>
      </c>
      <c r="U704" s="6"/>
      <c r="V704" s="5" t="s">
        <v>87</v>
      </c>
      <c r="W704" s="5"/>
      <c r="X704" s="6"/>
      <c r="BB704" s="7" t="str">
        <v>Quarter 3</v>
      </c>
    </row>
    <row r="705" spans="1:54" ht="31.4" customHeight="1" x14ac:dyDescent="0.35">
      <c r="A705" s="210">
        <v>704</v>
      </c>
      <c r="B705" s="5" t="s">
        <v>934</v>
      </c>
      <c r="C705" s="5" t="s">
        <v>5</v>
      </c>
      <c r="D705" s="5" t="s">
        <v>935</v>
      </c>
      <c r="E705" s="149">
        <v>45994</v>
      </c>
      <c r="F705" s="149">
        <f t="shared" si="103"/>
        <v>45995</v>
      </c>
      <c r="G705" s="149">
        <f t="shared" si="104"/>
        <v>46008</v>
      </c>
      <c r="H705" s="149">
        <f t="shared" si="105"/>
        <v>46027</v>
      </c>
      <c r="I705" s="149" t="str">
        <f t="shared" si="106"/>
        <v>Dec</v>
      </c>
      <c r="J705" s="216" t="str">
        <f t="shared" ca="1" si="93"/>
        <v/>
      </c>
      <c r="K705" s="149" t="s">
        <v>43</v>
      </c>
      <c r="L705" s="22"/>
      <c r="M705" s="11">
        <v>45996</v>
      </c>
      <c r="N705" s="152">
        <f t="shared" si="107"/>
        <v>2</v>
      </c>
      <c r="O705" s="12" t="str">
        <f t="shared" si="95"/>
        <v>Yes</v>
      </c>
      <c r="P705" s="158"/>
      <c r="Q705" s="157"/>
      <c r="R705" s="11" t="s">
        <v>39</v>
      </c>
      <c r="S705" s="158"/>
      <c r="T705" s="5" t="s">
        <v>40</v>
      </c>
      <c r="U705" s="6"/>
      <c r="V705" s="5"/>
      <c r="W705" s="5"/>
      <c r="X705" s="6"/>
      <c r="BB705" s="7" t="str">
        <v>Quarter 3</v>
      </c>
    </row>
    <row r="706" spans="1:54" ht="31.4" customHeight="1" x14ac:dyDescent="0.35">
      <c r="A706" s="210">
        <v>705</v>
      </c>
      <c r="B706" s="5" t="s">
        <v>936</v>
      </c>
      <c r="C706" s="5" t="s">
        <v>9</v>
      </c>
      <c r="D706" s="5" t="s">
        <v>937</v>
      </c>
      <c r="E706" s="149">
        <v>45994</v>
      </c>
      <c r="F706" s="149">
        <f t="shared" si="103"/>
        <v>45995</v>
      </c>
      <c r="G706" s="149">
        <f t="shared" si="104"/>
        <v>46008</v>
      </c>
      <c r="H706" s="149">
        <f t="shared" si="105"/>
        <v>46027</v>
      </c>
      <c r="I706" s="149" t="str">
        <f t="shared" si="106"/>
        <v>Dec</v>
      </c>
      <c r="J706" s="216" t="str">
        <f t="shared" ref="J706:J769" ca="1" si="108">IF($E706="","",IF($M706="",$H706-TODAY(),""))</f>
        <v/>
      </c>
      <c r="K706" s="22" t="s">
        <v>3</v>
      </c>
      <c r="L706" s="22"/>
      <c r="M706" s="11">
        <v>46071</v>
      </c>
      <c r="N706" s="152">
        <f t="shared" si="107"/>
        <v>52</v>
      </c>
      <c r="O706" s="12" t="str">
        <f t="shared" ref="O706" si="109">IF(ISBLANK($M706),"",IF($N706&lt;21,"Yes","No"))</f>
        <v>No</v>
      </c>
      <c r="P706" s="158"/>
      <c r="Q706" s="157"/>
      <c r="R706" s="11" t="s">
        <v>39</v>
      </c>
      <c r="S706" s="158"/>
      <c r="T706" s="5" t="s">
        <v>40</v>
      </c>
      <c r="U706" s="6"/>
      <c r="V706" s="5" t="s">
        <v>54</v>
      </c>
      <c r="W706" s="5"/>
      <c r="X706" s="6"/>
      <c r="BB706" s="7" t="str">
        <v>Quarter 3</v>
      </c>
    </row>
    <row r="707" spans="1:54" ht="31.4" customHeight="1" x14ac:dyDescent="0.35">
      <c r="A707" s="210">
        <v>706</v>
      </c>
      <c r="B707" s="5" t="s">
        <v>938</v>
      </c>
      <c r="C707" s="5" t="s">
        <v>9</v>
      </c>
      <c r="D707" s="5" t="s">
        <v>939</v>
      </c>
      <c r="E707" s="149">
        <v>45994</v>
      </c>
      <c r="F707" s="149">
        <f t="shared" si="103"/>
        <v>45995</v>
      </c>
      <c r="G707" s="149">
        <f t="shared" si="104"/>
        <v>46008</v>
      </c>
      <c r="H707" s="149">
        <f t="shared" si="105"/>
        <v>46027</v>
      </c>
      <c r="I707" s="149" t="str">
        <f t="shared" si="106"/>
        <v>Dec</v>
      </c>
      <c r="J707" s="216" t="str">
        <f t="shared" ca="1" si="108"/>
        <v/>
      </c>
      <c r="K707" s="149" t="s">
        <v>4</v>
      </c>
      <c r="L707" s="149"/>
      <c r="M707" s="11">
        <v>46024</v>
      </c>
      <c r="N707" s="152">
        <f t="shared" si="107"/>
        <v>19</v>
      </c>
      <c r="O707" s="12" t="str">
        <f t="shared" ref="O707:O770" si="110">IF(ISBLANK($M707),"",IF($N707&lt;21,"Yes","No"))</f>
        <v>Yes</v>
      </c>
      <c r="P707" s="158"/>
      <c r="Q707" s="157"/>
      <c r="R707" s="11" t="s">
        <v>39</v>
      </c>
      <c r="S707" s="158"/>
      <c r="T707" s="5" t="s">
        <v>40</v>
      </c>
      <c r="U707" s="6"/>
      <c r="V707" s="5"/>
      <c r="W707" s="5"/>
      <c r="X707" s="6"/>
      <c r="BB707" s="7" t="str">
        <v>Quarter 3</v>
      </c>
    </row>
    <row r="708" spans="1:54" ht="31.4" customHeight="1" x14ac:dyDescent="0.35">
      <c r="A708" s="210">
        <v>707</v>
      </c>
      <c r="B708" s="5" t="s">
        <v>6</v>
      </c>
      <c r="C708" s="5" t="s">
        <v>6</v>
      </c>
      <c r="D708" s="5" t="s">
        <v>940</v>
      </c>
      <c r="E708" s="149">
        <v>45994</v>
      </c>
      <c r="F708" s="149">
        <f t="shared" si="103"/>
        <v>45995</v>
      </c>
      <c r="G708" s="149">
        <f t="shared" si="104"/>
        <v>46008</v>
      </c>
      <c r="H708" s="149">
        <f t="shared" si="105"/>
        <v>46027</v>
      </c>
      <c r="I708" s="149" t="str">
        <f t="shared" si="106"/>
        <v>Dec</v>
      </c>
      <c r="J708" s="216" t="str">
        <f t="shared" ca="1" si="108"/>
        <v/>
      </c>
      <c r="K708" s="149" t="s">
        <v>43</v>
      </c>
      <c r="L708" s="149"/>
      <c r="M708" s="11">
        <v>45996</v>
      </c>
      <c r="N708" s="152">
        <f t="shared" si="107"/>
        <v>2</v>
      </c>
      <c r="O708" s="12" t="str">
        <f t="shared" si="110"/>
        <v>Yes</v>
      </c>
      <c r="P708" s="158"/>
      <c r="Q708" s="157"/>
      <c r="R708" s="11" t="s">
        <v>39</v>
      </c>
      <c r="S708" s="158"/>
      <c r="T708" s="5" t="s">
        <v>45</v>
      </c>
      <c r="U708" s="6"/>
      <c r="V708" s="5" t="s">
        <v>53</v>
      </c>
      <c r="W708" s="5"/>
      <c r="X708" s="6"/>
      <c r="BB708" s="7" t="str">
        <v>Quarter 3</v>
      </c>
    </row>
    <row r="709" spans="1:54" ht="31.4" customHeight="1" x14ac:dyDescent="0.35">
      <c r="A709" s="210">
        <v>708</v>
      </c>
      <c r="B709" s="5" t="s">
        <v>6</v>
      </c>
      <c r="C709" s="5" t="s">
        <v>6</v>
      </c>
      <c r="D709" s="5" t="s">
        <v>941</v>
      </c>
      <c r="E709" s="149">
        <v>45995</v>
      </c>
      <c r="F709" s="149">
        <f t="shared" si="103"/>
        <v>45996</v>
      </c>
      <c r="G709" s="149">
        <f t="shared" si="104"/>
        <v>46009</v>
      </c>
      <c r="H709" s="149">
        <f t="shared" si="105"/>
        <v>46028</v>
      </c>
      <c r="I709" s="149" t="str">
        <f t="shared" si="106"/>
        <v>Dec</v>
      </c>
      <c r="J709" s="216" t="str">
        <f t="shared" ca="1" si="108"/>
        <v/>
      </c>
      <c r="K709" s="149" t="s">
        <v>43</v>
      </c>
      <c r="L709" s="149"/>
      <c r="M709" s="11">
        <v>46027</v>
      </c>
      <c r="N709" s="152">
        <f t="shared" si="107"/>
        <v>19</v>
      </c>
      <c r="O709" s="12" t="str">
        <f t="shared" si="110"/>
        <v>Yes</v>
      </c>
      <c r="P709" s="158"/>
      <c r="Q709" s="157"/>
      <c r="R709" s="11" t="s">
        <v>39</v>
      </c>
      <c r="S709" s="158"/>
      <c r="T709" s="5" t="s">
        <v>40</v>
      </c>
      <c r="U709" s="6"/>
      <c r="V709" s="5"/>
      <c r="W709" s="5"/>
      <c r="X709" s="6"/>
      <c r="BB709" s="7" t="str">
        <v>Quarter 3</v>
      </c>
    </row>
    <row r="710" spans="1:54" ht="31.4" customHeight="1" x14ac:dyDescent="0.35">
      <c r="A710" s="210">
        <v>709</v>
      </c>
      <c r="B710" s="5" t="s">
        <v>833</v>
      </c>
      <c r="C710" s="5" t="s">
        <v>9</v>
      </c>
      <c r="D710" s="5" t="s">
        <v>1854</v>
      </c>
      <c r="E710" s="149">
        <v>45995</v>
      </c>
      <c r="F710" s="149">
        <f t="shared" si="103"/>
        <v>45996</v>
      </c>
      <c r="G710" s="149">
        <f t="shared" si="104"/>
        <v>46009</v>
      </c>
      <c r="H710" s="149">
        <f t="shared" si="105"/>
        <v>46028</v>
      </c>
      <c r="I710" s="149" t="str">
        <f t="shared" si="106"/>
        <v>Dec</v>
      </c>
      <c r="J710" s="216" t="str">
        <f t="shared" ca="1" si="108"/>
        <v/>
      </c>
      <c r="K710" s="149" t="s">
        <v>7</v>
      </c>
      <c r="L710" s="149"/>
      <c r="M710" s="11">
        <v>45996</v>
      </c>
      <c r="N710" s="152">
        <f t="shared" si="107"/>
        <v>1</v>
      </c>
      <c r="O710" s="12" t="str">
        <f t="shared" si="110"/>
        <v>Yes</v>
      </c>
      <c r="P710" s="158"/>
      <c r="Q710" s="157"/>
      <c r="R710" s="11" t="s">
        <v>39</v>
      </c>
      <c r="S710" s="158"/>
      <c r="T710" s="5" t="s">
        <v>62</v>
      </c>
      <c r="U710" s="6"/>
      <c r="V710" s="5"/>
      <c r="W710" s="5"/>
      <c r="X710" s="6"/>
      <c r="BB710" s="7" t="str">
        <v>Quarter 3</v>
      </c>
    </row>
    <row r="711" spans="1:54" ht="31.4" customHeight="1" x14ac:dyDescent="0.35">
      <c r="A711" s="210">
        <v>710</v>
      </c>
      <c r="B711" s="5" t="s">
        <v>942</v>
      </c>
      <c r="C711" s="5" t="s">
        <v>9</v>
      </c>
      <c r="D711" s="5" t="s">
        <v>1855</v>
      </c>
      <c r="E711" s="149">
        <v>45995</v>
      </c>
      <c r="F711" s="149">
        <f t="shared" si="103"/>
        <v>45996</v>
      </c>
      <c r="G711" s="149">
        <f t="shared" si="104"/>
        <v>46009</v>
      </c>
      <c r="H711" s="149">
        <f t="shared" si="105"/>
        <v>46028</v>
      </c>
      <c r="I711" s="149" t="str">
        <f t="shared" si="106"/>
        <v>Dec</v>
      </c>
      <c r="J711" s="216" t="str">
        <f t="shared" ca="1" si="108"/>
        <v/>
      </c>
      <c r="K711" s="149" t="s">
        <v>43</v>
      </c>
      <c r="L711" s="149"/>
      <c r="M711" s="11">
        <v>45995</v>
      </c>
      <c r="N711" s="152">
        <f t="shared" si="107"/>
        <v>0</v>
      </c>
      <c r="O711" s="12" t="str">
        <f t="shared" si="110"/>
        <v>Yes</v>
      </c>
      <c r="P711" s="158"/>
      <c r="Q711" s="157"/>
      <c r="R711" s="11" t="s">
        <v>39</v>
      </c>
      <c r="S711" s="158"/>
      <c r="T711" s="5" t="s">
        <v>40</v>
      </c>
      <c r="U711" s="6"/>
      <c r="V711" s="5"/>
      <c r="W711" s="5"/>
      <c r="X711" s="6"/>
      <c r="BB711" s="7" t="str">
        <v>Quarter 3</v>
      </c>
    </row>
    <row r="712" spans="1:54" ht="31.4" customHeight="1" x14ac:dyDescent="0.35">
      <c r="A712" s="210">
        <v>711</v>
      </c>
      <c r="B712" s="5" t="s">
        <v>6</v>
      </c>
      <c r="C712" s="5" t="s">
        <v>6</v>
      </c>
      <c r="D712" s="8" t="s">
        <v>944</v>
      </c>
      <c r="E712" s="149">
        <v>45995</v>
      </c>
      <c r="F712" s="149">
        <f t="shared" si="103"/>
        <v>45996</v>
      </c>
      <c r="G712" s="149">
        <f t="shared" si="104"/>
        <v>46009</v>
      </c>
      <c r="H712" s="149">
        <f t="shared" si="105"/>
        <v>46028</v>
      </c>
      <c r="I712" s="149" t="str">
        <f t="shared" si="106"/>
        <v>Dec</v>
      </c>
      <c r="J712" s="216" t="str">
        <f t="shared" ca="1" si="108"/>
        <v/>
      </c>
      <c r="K712" s="22" t="s">
        <v>43</v>
      </c>
      <c r="L712" s="22"/>
      <c r="M712" s="11">
        <v>46002</v>
      </c>
      <c r="N712" s="152">
        <f t="shared" si="107"/>
        <v>5</v>
      </c>
      <c r="O712" s="12" t="str">
        <f t="shared" si="110"/>
        <v>Yes</v>
      </c>
      <c r="P712" s="17"/>
      <c r="Q712" s="17"/>
      <c r="R712" s="11" t="s">
        <v>39</v>
      </c>
      <c r="S712" s="17"/>
      <c r="T712" s="8" t="s">
        <v>40</v>
      </c>
      <c r="U712" s="8"/>
      <c r="V712" s="8"/>
      <c r="W712" s="8" t="s">
        <v>46</v>
      </c>
      <c r="X712" s="6"/>
      <c r="BB712" s="7" t="str">
        <v>Quarter 3</v>
      </c>
    </row>
    <row r="713" spans="1:54" ht="31.4" customHeight="1" x14ac:dyDescent="0.35">
      <c r="A713" s="210">
        <v>712</v>
      </c>
      <c r="B713" s="5" t="s">
        <v>6</v>
      </c>
      <c r="C713" s="5" t="s">
        <v>6</v>
      </c>
      <c r="D713" s="5" t="s">
        <v>945</v>
      </c>
      <c r="E713" s="149">
        <v>45995</v>
      </c>
      <c r="F713" s="149">
        <f t="shared" si="103"/>
        <v>45996</v>
      </c>
      <c r="G713" s="149">
        <f t="shared" si="104"/>
        <v>46009</v>
      </c>
      <c r="H713" s="149">
        <f t="shared" si="105"/>
        <v>46028</v>
      </c>
      <c r="I713" s="149" t="str">
        <f t="shared" si="106"/>
        <v>Dec</v>
      </c>
      <c r="J713" s="216" t="str">
        <f t="shared" ca="1" si="108"/>
        <v/>
      </c>
      <c r="K713" s="149" t="s">
        <v>4</v>
      </c>
      <c r="L713" s="149"/>
      <c r="M713" s="11">
        <v>45995</v>
      </c>
      <c r="N713" s="152">
        <f t="shared" si="107"/>
        <v>0</v>
      </c>
      <c r="O713" s="12" t="str">
        <f t="shared" si="110"/>
        <v>Yes</v>
      </c>
      <c r="P713" s="158"/>
      <c r="Q713" s="157"/>
      <c r="R713" s="11" t="s">
        <v>39</v>
      </c>
      <c r="S713" s="17"/>
      <c r="T713" s="8" t="s">
        <v>51</v>
      </c>
      <c r="U713" s="6"/>
      <c r="V713" s="5" t="s">
        <v>87</v>
      </c>
      <c r="W713" s="20"/>
      <c r="X713" s="6"/>
      <c r="BB713" s="7" t="str">
        <v>Quarter 3</v>
      </c>
    </row>
    <row r="714" spans="1:54" ht="31.4" customHeight="1" x14ac:dyDescent="0.35">
      <c r="A714" s="210">
        <v>713</v>
      </c>
      <c r="B714" s="5" t="s">
        <v>55</v>
      </c>
      <c r="C714" s="5" t="s">
        <v>13</v>
      </c>
      <c r="D714" s="5" t="s">
        <v>946</v>
      </c>
      <c r="E714" s="149">
        <v>45995</v>
      </c>
      <c r="F714" s="149">
        <f t="shared" si="103"/>
        <v>45996</v>
      </c>
      <c r="G714" s="149">
        <f t="shared" si="104"/>
        <v>46009</v>
      </c>
      <c r="H714" s="149">
        <f t="shared" si="105"/>
        <v>46028</v>
      </c>
      <c r="I714" s="149" t="str">
        <f t="shared" si="106"/>
        <v>Dec</v>
      </c>
      <c r="J714" s="216" t="str">
        <f t="shared" ca="1" si="108"/>
        <v/>
      </c>
      <c r="K714" s="149" t="s">
        <v>4</v>
      </c>
      <c r="L714" s="149"/>
      <c r="M714" s="11">
        <v>46001</v>
      </c>
      <c r="N714" s="152">
        <f t="shared" si="107"/>
        <v>4</v>
      </c>
      <c r="O714" s="12" t="str">
        <f t="shared" si="110"/>
        <v>Yes</v>
      </c>
      <c r="P714" s="158"/>
      <c r="Q714" s="157"/>
      <c r="R714" s="11" t="s">
        <v>39</v>
      </c>
      <c r="S714" s="17"/>
      <c r="T714" s="8" t="s">
        <v>62</v>
      </c>
      <c r="U714" s="6"/>
      <c r="V714" s="5"/>
      <c r="W714" s="5"/>
      <c r="X714" s="6"/>
      <c r="BB714" s="7" t="str">
        <v>Quarter 3</v>
      </c>
    </row>
    <row r="715" spans="1:54" ht="31.4" customHeight="1" x14ac:dyDescent="0.35">
      <c r="A715" s="210">
        <v>714</v>
      </c>
      <c r="B715" s="5" t="s">
        <v>947</v>
      </c>
      <c r="C715" s="5" t="s">
        <v>11</v>
      </c>
      <c r="D715" s="5" t="s">
        <v>948</v>
      </c>
      <c r="E715" s="149">
        <v>45995</v>
      </c>
      <c r="F715" s="149">
        <f t="shared" si="103"/>
        <v>45996</v>
      </c>
      <c r="G715" s="149">
        <f t="shared" si="104"/>
        <v>46009</v>
      </c>
      <c r="H715" s="149">
        <f t="shared" si="105"/>
        <v>46028</v>
      </c>
      <c r="I715" s="149" t="str">
        <f t="shared" si="106"/>
        <v>Dec</v>
      </c>
      <c r="J715" s="216" t="str">
        <f t="shared" ca="1" si="108"/>
        <v/>
      </c>
      <c r="K715" s="149" t="s">
        <v>43</v>
      </c>
      <c r="L715" s="149"/>
      <c r="M715" s="11">
        <v>45996</v>
      </c>
      <c r="N715" s="152">
        <f t="shared" si="107"/>
        <v>1</v>
      </c>
      <c r="O715" s="12" t="str">
        <f t="shared" si="110"/>
        <v>Yes</v>
      </c>
      <c r="P715" s="158"/>
      <c r="Q715" s="157"/>
      <c r="R715" s="11" t="s">
        <v>39</v>
      </c>
      <c r="S715" s="158"/>
      <c r="T715" s="5" t="s">
        <v>40</v>
      </c>
      <c r="U715" s="6"/>
      <c r="V715" s="5"/>
      <c r="W715" s="5"/>
      <c r="X715" s="6"/>
      <c r="BB715" s="7" t="str">
        <v>Quarter 3</v>
      </c>
    </row>
    <row r="716" spans="1:54" ht="31.4" customHeight="1" x14ac:dyDescent="0.35">
      <c r="A716" s="210">
        <v>715</v>
      </c>
      <c r="B716" s="5" t="s">
        <v>949</v>
      </c>
      <c r="C716" s="5" t="s">
        <v>12</v>
      </c>
      <c r="D716" s="5" t="s">
        <v>950</v>
      </c>
      <c r="E716" s="149">
        <v>45996</v>
      </c>
      <c r="F716" s="149">
        <f t="shared" ref="F716:F747" si="111">IF($E716="","",WORKDAY($E716,1,$Z$33:$Z$47))</f>
        <v>45999</v>
      </c>
      <c r="G716" s="149">
        <f t="shared" ref="G716:G747" si="112">IF($E716="","",WORKDAY($E716,10,$Z$33:$Z$47))</f>
        <v>46010</v>
      </c>
      <c r="H716" s="149">
        <f t="shared" ref="H716:H747" si="113">IF($E716="","",WORKDAY($E716,20,$Z$33:$Z$47))</f>
        <v>46029</v>
      </c>
      <c r="I716" s="149" t="str">
        <f t="shared" si="106"/>
        <v>Dec</v>
      </c>
      <c r="J716" s="216" t="str">
        <f t="shared" ca="1" si="108"/>
        <v/>
      </c>
      <c r="K716" s="22" t="s">
        <v>43</v>
      </c>
      <c r="L716" s="22"/>
      <c r="M716" s="11">
        <v>46014</v>
      </c>
      <c r="N716" s="152">
        <f t="shared" si="107"/>
        <v>12</v>
      </c>
      <c r="O716" s="12" t="str">
        <f t="shared" si="110"/>
        <v>Yes</v>
      </c>
      <c r="P716" s="158"/>
      <c r="Q716" s="157"/>
      <c r="R716" s="11" t="s">
        <v>39</v>
      </c>
      <c r="S716" s="158"/>
      <c r="T716" s="5" t="s">
        <v>40</v>
      </c>
      <c r="U716" s="6"/>
      <c r="V716" s="5"/>
      <c r="W716" s="5"/>
      <c r="X716" s="6"/>
      <c r="BB716" s="7" t="str">
        <v>Quarter 3</v>
      </c>
    </row>
    <row r="717" spans="1:54" ht="31.4" customHeight="1" x14ac:dyDescent="0.35">
      <c r="A717" s="210">
        <v>716</v>
      </c>
      <c r="B717" s="5" t="s">
        <v>951</v>
      </c>
      <c r="C717" s="5" t="s">
        <v>12</v>
      </c>
      <c r="D717" s="5" t="s">
        <v>952</v>
      </c>
      <c r="E717" s="149">
        <v>45999</v>
      </c>
      <c r="F717" s="149">
        <f t="shared" si="111"/>
        <v>46000</v>
      </c>
      <c r="G717" s="149">
        <f t="shared" si="112"/>
        <v>46013</v>
      </c>
      <c r="H717" s="149">
        <f t="shared" si="113"/>
        <v>46030</v>
      </c>
      <c r="I717" s="149" t="str">
        <f t="shared" si="106"/>
        <v>Dec</v>
      </c>
      <c r="J717" s="216" t="str">
        <f t="shared" ca="1" si="108"/>
        <v/>
      </c>
      <c r="K717" s="149" t="s">
        <v>4</v>
      </c>
      <c r="L717" s="149"/>
      <c r="M717" s="11">
        <v>46000</v>
      </c>
      <c r="N717" s="152">
        <f t="shared" si="107"/>
        <v>1</v>
      </c>
      <c r="O717" s="12" t="str">
        <f t="shared" si="110"/>
        <v>Yes</v>
      </c>
      <c r="P717" s="158"/>
      <c r="Q717" s="157"/>
      <c r="R717" s="11" t="s">
        <v>39</v>
      </c>
      <c r="S717" s="158"/>
      <c r="T717" s="5" t="s">
        <v>51</v>
      </c>
      <c r="U717" s="6"/>
      <c r="V717" s="5" t="s">
        <v>53</v>
      </c>
      <c r="W717" s="5"/>
      <c r="X717" s="6"/>
      <c r="BB717" s="7" t="str">
        <v>Quarter 3</v>
      </c>
    </row>
    <row r="718" spans="1:54" ht="31.4" customHeight="1" x14ac:dyDescent="0.35">
      <c r="A718" s="210">
        <v>717</v>
      </c>
      <c r="B718" s="5" t="s">
        <v>55</v>
      </c>
      <c r="C718" s="5" t="s">
        <v>13</v>
      </c>
      <c r="D718" s="5" t="s">
        <v>953</v>
      </c>
      <c r="E718" s="149">
        <v>45999</v>
      </c>
      <c r="F718" s="149">
        <f t="shared" si="111"/>
        <v>46000</v>
      </c>
      <c r="G718" s="149">
        <f t="shared" si="112"/>
        <v>46013</v>
      </c>
      <c r="H718" s="149">
        <f t="shared" si="113"/>
        <v>46030</v>
      </c>
      <c r="I718" s="149" t="str">
        <f t="shared" si="106"/>
        <v>Dec</v>
      </c>
      <c r="J718" s="216" t="str">
        <f t="shared" ca="1" si="108"/>
        <v/>
      </c>
      <c r="K718" s="149" t="s">
        <v>7</v>
      </c>
      <c r="L718" s="149"/>
      <c r="M718" s="11">
        <v>46024</v>
      </c>
      <c r="N718" s="152">
        <f t="shared" si="107"/>
        <v>16</v>
      </c>
      <c r="O718" s="12" t="str">
        <f t="shared" si="110"/>
        <v>Yes</v>
      </c>
      <c r="P718" s="158"/>
      <c r="Q718" s="157"/>
      <c r="R718" s="11" t="s">
        <v>39</v>
      </c>
      <c r="S718" s="158"/>
      <c r="T718" s="5" t="s">
        <v>45</v>
      </c>
      <c r="U718" s="6"/>
      <c r="V718" s="5" t="s">
        <v>102</v>
      </c>
      <c r="W718" s="5"/>
      <c r="X718" s="6"/>
      <c r="BB718" s="7" t="str">
        <v>Quarter 3</v>
      </c>
    </row>
    <row r="719" spans="1:54" ht="31.4" customHeight="1" x14ac:dyDescent="0.35">
      <c r="A719" s="210">
        <v>718</v>
      </c>
      <c r="B719" s="5" t="s">
        <v>954</v>
      </c>
      <c r="C719" s="5" t="s">
        <v>9</v>
      </c>
      <c r="D719" s="5" t="s">
        <v>955</v>
      </c>
      <c r="E719" s="149">
        <v>45999</v>
      </c>
      <c r="F719" s="149">
        <f t="shared" si="111"/>
        <v>46000</v>
      </c>
      <c r="G719" s="149">
        <f t="shared" si="112"/>
        <v>46013</v>
      </c>
      <c r="H719" s="149">
        <f t="shared" si="113"/>
        <v>46030</v>
      </c>
      <c r="I719" s="149" t="str">
        <f t="shared" si="106"/>
        <v>Dec</v>
      </c>
      <c r="J719" s="216" t="str">
        <f t="shared" ca="1" si="108"/>
        <v/>
      </c>
      <c r="K719" s="149" t="s">
        <v>3</v>
      </c>
      <c r="L719" s="149"/>
      <c r="M719" s="11">
        <v>46029</v>
      </c>
      <c r="N719" s="152">
        <f t="shared" si="107"/>
        <v>19</v>
      </c>
      <c r="O719" s="12" t="str">
        <f t="shared" si="110"/>
        <v>Yes</v>
      </c>
      <c r="P719" s="158"/>
      <c r="Q719" s="157"/>
      <c r="R719" s="11" t="s">
        <v>39</v>
      </c>
      <c r="S719" s="158"/>
      <c r="T719" s="5" t="s">
        <v>40</v>
      </c>
      <c r="U719" s="6"/>
      <c r="V719" s="5" t="s">
        <v>54</v>
      </c>
      <c r="W719" s="5"/>
      <c r="X719" s="6"/>
      <c r="BB719" s="7" t="str">
        <v>Quarter 3</v>
      </c>
    </row>
    <row r="720" spans="1:54" ht="31.4" customHeight="1" x14ac:dyDescent="0.35">
      <c r="A720" s="210">
        <v>719</v>
      </c>
      <c r="B720" s="5" t="s">
        <v>6</v>
      </c>
      <c r="C720" s="5" t="s">
        <v>6</v>
      </c>
      <c r="D720" s="5" t="s">
        <v>953</v>
      </c>
      <c r="E720" s="149">
        <v>45999</v>
      </c>
      <c r="F720" s="149">
        <f t="shared" si="111"/>
        <v>46000</v>
      </c>
      <c r="G720" s="149">
        <f t="shared" si="112"/>
        <v>46013</v>
      </c>
      <c r="H720" s="149">
        <f t="shared" si="113"/>
        <v>46030</v>
      </c>
      <c r="I720" s="149" t="str">
        <f t="shared" si="106"/>
        <v>Dec</v>
      </c>
      <c r="J720" s="216" t="str">
        <f t="shared" ca="1" si="108"/>
        <v/>
      </c>
      <c r="K720" s="149" t="s">
        <v>7</v>
      </c>
      <c r="L720" s="149"/>
      <c r="M720" s="11">
        <v>46024</v>
      </c>
      <c r="N720" s="152">
        <f t="shared" si="107"/>
        <v>16</v>
      </c>
      <c r="O720" s="12" t="str">
        <f t="shared" si="110"/>
        <v>Yes</v>
      </c>
      <c r="P720" s="158"/>
      <c r="Q720" s="157"/>
      <c r="R720" s="11" t="s">
        <v>39</v>
      </c>
      <c r="S720" s="158"/>
      <c r="T720" s="5" t="s">
        <v>40</v>
      </c>
      <c r="U720" s="6"/>
      <c r="V720" s="5"/>
      <c r="W720" s="5"/>
      <c r="X720" s="6"/>
      <c r="BB720" s="7" t="str">
        <v>Quarter 3</v>
      </c>
    </row>
    <row r="721" spans="1:54" ht="31.4" customHeight="1" x14ac:dyDescent="0.35">
      <c r="A721" s="210">
        <v>720</v>
      </c>
      <c r="B721" s="5" t="s">
        <v>55</v>
      </c>
      <c r="C721" s="5" t="s">
        <v>13</v>
      </c>
      <c r="D721" s="5" t="s">
        <v>956</v>
      </c>
      <c r="E721" s="149">
        <v>45999</v>
      </c>
      <c r="F721" s="149">
        <f t="shared" si="111"/>
        <v>46000</v>
      </c>
      <c r="G721" s="149">
        <f t="shared" si="112"/>
        <v>46013</v>
      </c>
      <c r="H721" s="149">
        <f t="shared" si="113"/>
        <v>46030</v>
      </c>
      <c r="I721" s="149" t="str">
        <f t="shared" si="106"/>
        <v>Dec</v>
      </c>
      <c r="J721" s="216" t="str">
        <f t="shared" ca="1" si="108"/>
        <v/>
      </c>
      <c r="K721" s="149" t="s">
        <v>43</v>
      </c>
      <c r="L721" s="149"/>
      <c r="M721" s="11">
        <v>46013</v>
      </c>
      <c r="N721" s="152">
        <f t="shared" si="107"/>
        <v>10</v>
      </c>
      <c r="O721" s="12" t="str">
        <f t="shared" si="110"/>
        <v>Yes</v>
      </c>
      <c r="P721" s="158"/>
      <c r="Q721" s="157"/>
      <c r="R721" s="11" t="s">
        <v>39</v>
      </c>
      <c r="S721" s="158"/>
      <c r="T721" s="5" t="s">
        <v>40</v>
      </c>
      <c r="U721" s="6"/>
      <c r="V721" s="5"/>
      <c r="W721" s="5"/>
      <c r="X721" s="6"/>
      <c r="BB721" s="7" t="str">
        <v>Quarter 3</v>
      </c>
    </row>
    <row r="722" spans="1:54" ht="31.4" customHeight="1" x14ac:dyDescent="0.35">
      <c r="A722" s="210">
        <v>721</v>
      </c>
      <c r="B722" s="5" t="s">
        <v>55</v>
      </c>
      <c r="C722" s="5" t="s">
        <v>13</v>
      </c>
      <c r="D722" s="5" t="s">
        <v>957</v>
      </c>
      <c r="E722" s="149">
        <v>45999</v>
      </c>
      <c r="F722" s="149">
        <f t="shared" si="111"/>
        <v>46000</v>
      </c>
      <c r="G722" s="149">
        <f t="shared" si="112"/>
        <v>46013</v>
      </c>
      <c r="H722" s="149">
        <f t="shared" si="113"/>
        <v>46030</v>
      </c>
      <c r="I722" s="149" t="str">
        <f t="shared" si="106"/>
        <v>Dec</v>
      </c>
      <c r="J722" s="216" t="str">
        <f t="shared" ca="1" si="108"/>
        <v/>
      </c>
      <c r="K722" s="149" t="s">
        <v>43</v>
      </c>
      <c r="L722" s="149"/>
      <c r="M722" s="11">
        <v>46027</v>
      </c>
      <c r="N722" s="152">
        <f t="shared" si="107"/>
        <v>17</v>
      </c>
      <c r="O722" s="12" t="str">
        <f t="shared" si="110"/>
        <v>Yes</v>
      </c>
      <c r="P722" s="158"/>
      <c r="Q722" s="157"/>
      <c r="R722" s="11" t="s">
        <v>39</v>
      </c>
      <c r="S722" s="158"/>
      <c r="T722" s="5" t="s">
        <v>40</v>
      </c>
      <c r="U722" s="6"/>
      <c r="V722" s="5"/>
      <c r="W722" s="5" t="s">
        <v>46</v>
      </c>
      <c r="X722" s="6"/>
      <c r="BB722" s="7" t="str">
        <v>Quarter 3</v>
      </c>
    </row>
    <row r="723" spans="1:54" ht="31.4" customHeight="1" x14ac:dyDescent="0.35">
      <c r="A723" s="210">
        <v>722</v>
      </c>
      <c r="B723" s="5" t="s">
        <v>6</v>
      </c>
      <c r="C723" s="5" t="s">
        <v>6</v>
      </c>
      <c r="D723" s="5" t="s">
        <v>958</v>
      </c>
      <c r="E723" s="149">
        <v>45999</v>
      </c>
      <c r="F723" s="149">
        <f t="shared" si="111"/>
        <v>46000</v>
      </c>
      <c r="G723" s="149">
        <f t="shared" si="112"/>
        <v>46013</v>
      </c>
      <c r="H723" s="149">
        <f t="shared" si="113"/>
        <v>46030</v>
      </c>
      <c r="I723" s="149" t="str">
        <f t="shared" si="106"/>
        <v>Dec</v>
      </c>
      <c r="J723" s="216" t="str">
        <f t="shared" ca="1" si="108"/>
        <v/>
      </c>
      <c r="K723" s="149" t="s">
        <v>7</v>
      </c>
      <c r="L723" s="149"/>
      <c r="M723" s="11">
        <v>46009</v>
      </c>
      <c r="N723" s="152">
        <f t="shared" si="107"/>
        <v>8</v>
      </c>
      <c r="O723" s="12" t="str">
        <f t="shared" si="110"/>
        <v>Yes</v>
      </c>
      <c r="P723" s="158"/>
      <c r="Q723" s="157"/>
      <c r="R723" s="11" t="s">
        <v>39</v>
      </c>
      <c r="S723" s="158"/>
      <c r="T723" s="5" t="s">
        <v>40</v>
      </c>
      <c r="U723" s="6"/>
      <c r="V723" s="5"/>
      <c r="W723" s="5"/>
      <c r="X723" s="6"/>
      <c r="BB723" s="7" t="str">
        <v>Quarter 3</v>
      </c>
    </row>
    <row r="724" spans="1:54" ht="31.4" customHeight="1" x14ac:dyDescent="0.35">
      <c r="A724" s="210">
        <v>723</v>
      </c>
      <c r="B724" s="5" t="s">
        <v>6</v>
      </c>
      <c r="C724" s="5" t="s">
        <v>6</v>
      </c>
      <c r="D724" s="5" t="s">
        <v>959</v>
      </c>
      <c r="E724" s="149">
        <v>46000</v>
      </c>
      <c r="F724" s="149">
        <f t="shared" si="111"/>
        <v>46001</v>
      </c>
      <c r="G724" s="149">
        <f t="shared" si="112"/>
        <v>46014</v>
      </c>
      <c r="H724" s="149">
        <f t="shared" si="113"/>
        <v>46031</v>
      </c>
      <c r="I724" s="149" t="str">
        <f t="shared" si="106"/>
        <v>Dec</v>
      </c>
      <c r="J724" s="216" t="str">
        <f t="shared" ca="1" si="108"/>
        <v/>
      </c>
      <c r="K724" s="149" t="s">
        <v>4</v>
      </c>
      <c r="L724" s="149"/>
      <c r="M724" s="11">
        <v>46001</v>
      </c>
      <c r="N724" s="152">
        <f t="shared" si="107"/>
        <v>1</v>
      </c>
      <c r="O724" s="12" t="str">
        <f t="shared" si="110"/>
        <v>Yes</v>
      </c>
      <c r="P724" s="158"/>
      <c r="Q724" s="157"/>
      <c r="R724" s="11" t="s">
        <v>39</v>
      </c>
      <c r="S724" s="158"/>
      <c r="T724" s="5" t="s">
        <v>40</v>
      </c>
      <c r="U724" s="6"/>
      <c r="V724" s="5"/>
      <c r="W724" s="5"/>
      <c r="X724" s="6"/>
      <c r="BB724" s="7" t="str">
        <v>Quarter 3</v>
      </c>
    </row>
    <row r="725" spans="1:54" ht="31.4" customHeight="1" x14ac:dyDescent="0.35">
      <c r="A725" s="210">
        <v>724</v>
      </c>
      <c r="B725" s="5" t="s">
        <v>949</v>
      </c>
      <c r="C725" s="5" t="s">
        <v>12</v>
      </c>
      <c r="D725" s="5" t="s">
        <v>960</v>
      </c>
      <c r="E725" s="149">
        <v>46001</v>
      </c>
      <c r="F725" s="149">
        <f t="shared" si="111"/>
        <v>46002</v>
      </c>
      <c r="G725" s="149">
        <f t="shared" si="112"/>
        <v>46015</v>
      </c>
      <c r="H725" s="149">
        <f t="shared" si="113"/>
        <v>46034</v>
      </c>
      <c r="I725" s="149" t="str">
        <f t="shared" si="106"/>
        <v>Dec</v>
      </c>
      <c r="J725" s="216" t="str">
        <f t="shared" ca="1" si="108"/>
        <v/>
      </c>
      <c r="K725" s="149" t="s">
        <v>43</v>
      </c>
      <c r="L725" s="149"/>
      <c r="M725" s="11">
        <v>46002</v>
      </c>
      <c r="N725" s="152">
        <f t="shared" si="107"/>
        <v>1</v>
      </c>
      <c r="O725" s="12" t="str">
        <f t="shared" si="110"/>
        <v>Yes</v>
      </c>
      <c r="P725" s="158"/>
      <c r="Q725" s="157"/>
      <c r="R725" s="11" t="s">
        <v>39</v>
      </c>
      <c r="S725" s="158"/>
      <c r="T725" s="5" t="s">
        <v>40</v>
      </c>
      <c r="U725" s="6"/>
      <c r="V725" s="5"/>
      <c r="W725" s="5"/>
      <c r="X725" s="6"/>
      <c r="BB725" s="7" t="str">
        <v>Quarter 3</v>
      </c>
    </row>
    <row r="726" spans="1:54" ht="31.4" customHeight="1" x14ac:dyDescent="0.35">
      <c r="A726" s="210">
        <v>725</v>
      </c>
      <c r="B726" s="5" t="s">
        <v>961</v>
      </c>
      <c r="C726" s="5" t="s">
        <v>9</v>
      </c>
      <c r="D726" s="5" t="s">
        <v>962</v>
      </c>
      <c r="E726" s="149">
        <v>46001</v>
      </c>
      <c r="F726" s="149">
        <f t="shared" si="111"/>
        <v>46002</v>
      </c>
      <c r="G726" s="149">
        <f t="shared" si="112"/>
        <v>46015</v>
      </c>
      <c r="H726" s="149">
        <f t="shared" si="113"/>
        <v>46034</v>
      </c>
      <c r="I726" s="149" t="str">
        <f t="shared" si="106"/>
        <v>Dec</v>
      </c>
      <c r="J726" s="216" t="str">
        <f t="shared" ca="1" si="108"/>
        <v/>
      </c>
      <c r="K726" s="149" t="s">
        <v>3</v>
      </c>
      <c r="L726" s="149"/>
      <c r="M726" s="11">
        <v>46024</v>
      </c>
      <c r="N726" s="152">
        <f t="shared" si="107"/>
        <v>14</v>
      </c>
      <c r="O726" s="12" t="str">
        <f t="shared" si="110"/>
        <v>Yes</v>
      </c>
      <c r="P726" s="158"/>
      <c r="Q726" s="157"/>
      <c r="R726" s="11" t="s">
        <v>39</v>
      </c>
      <c r="S726" s="158"/>
      <c r="T726" s="5" t="s">
        <v>40</v>
      </c>
      <c r="U726" s="6"/>
      <c r="V726" s="5" t="s">
        <v>54</v>
      </c>
      <c r="W726" s="5"/>
      <c r="X726" s="6"/>
      <c r="BB726" s="7" t="str">
        <v>Quarter 3</v>
      </c>
    </row>
    <row r="727" spans="1:54" ht="31.4" customHeight="1" x14ac:dyDescent="0.35">
      <c r="A727" s="210">
        <v>726</v>
      </c>
      <c r="B727" s="5" t="s">
        <v>705</v>
      </c>
      <c r="C727" s="5" t="s">
        <v>9</v>
      </c>
      <c r="D727" s="5" t="s">
        <v>854</v>
      </c>
      <c r="E727" s="149">
        <v>46001</v>
      </c>
      <c r="F727" s="149">
        <f t="shared" si="111"/>
        <v>46002</v>
      </c>
      <c r="G727" s="149">
        <f t="shared" si="112"/>
        <v>46015</v>
      </c>
      <c r="H727" s="149">
        <f t="shared" si="113"/>
        <v>46034</v>
      </c>
      <c r="I727" s="149" t="str">
        <f t="shared" si="106"/>
        <v>Dec</v>
      </c>
      <c r="J727" s="216" t="str">
        <f t="shared" ca="1" si="108"/>
        <v/>
      </c>
      <c r="K727" s="149" t="s">
        <v>4</v>
      </c>
      <c r="L727" s="149"/>
      <c r="M727" s="11">
        <v>46013</v>
      </c>
      <c r="N727" s="152">
        <f t="shared" si="107"/>
        <v>8</v>
      </c>
      <c r="O727" s="12" t="str">
        <f t="shared" si="110"/>
        <v>Yes</v>
      </c>
      <c r="P727" s="158"/>
      <c r="Q727" s="157"/>
      <c r="R727" s="11" t="s">
        <v>39</v>
      </c>
      <c r="S727" s="158"/>
      <c r="T727" s="5" t="s">
        <v>40</v>
      </c>
      <c r="U727" s="6"/>
      <c r="V727" s="5"/>
      <c r="W727" s="5"/>
      <c r="X727" s="6"/>
      <c r="BB727" s="7" t="str">
        <v>Quarter 3</v>
      </c>
    </row>
    <row r="728" spans="1:54" ht="31.4" customHeight="1" x14ac:dyDescent="0.35">
      <c r="A728" s="210">
        <v>727</v>
      </c>
      <c r="B728" s="5" t="s">
        <v>963</v>
      </c>
      <c r="C728" s="5" t="s">
        <v>9</v>
      </c>
      <c r="D728" s="5" t="s">
        <v>964</v>
      </c>
      <c r="E728" s="149">
        <v>46001</v>
      </c>
      <c r="F728" s="149">
        <f t="shared" si="111"/>
        <v>46002</v>
      </c>
      <c r="G728" s="149">
        <f t="shared" si="112"/>
        <v>46015</v>
      </c>
      <c r="H728" s="149">
        <f t="shared" si="113"/>
        <v>46034</v>
      </c>
      <c r="I728" s="149" t="str">
        <f t="shared" si="106"/>
        <v>Dec</v>
      </c>
      <c r="J728" s="216" t="str">
        <f t="shared" ca="1" si="108"/>
        <v/>
      </c>
      <c r="K728" s="149" t="s">
        <v>43</v>
      </c>
      <c r="L728" s="149"/>
      <c r="M728" s="11">
        <v>46002</v>
      </c>
      <c r="N728" s="152">
        <f t="shared" si="107"/>
        <v>1</v>
      </c>
      <c r="O728" s="12" t="str">
        <f t="shared" si="110"/>
        <v>Yes</v>
      </c>
      <c r="P728" s="158"/>
      <c r="Q728" s="157"/>
      <c r="R728" s="11" t="s">
        <v>39</v>
      </c>
      <c r="S728" s="158"/>
      <c r="T728" s="5" t="s">
        <v>40</v>
      </c>
      <c r="U728" s="6"/>
      <c r="V728" s="5"/>
      <c r="W728" s="5"/>
      <c r="X728" s="6"/>
      <c r="BB728" s="7" t="str">
        <v>Quarter 3</v>
      </c>
    </row>
    <row r="729" spans="1:54" ht="31.4" customHeight="1" x14ac:dyDescent="0.35">
      <c r="A729" s="210">
        <v>728</v>
      </c>
      <c r="B729" s="5" t="s">
        <v>965</v>
      </c>
      <c r="C729" s="5" t="s">
        <v>12</v>
      </c>
      <c r="D729" s="5" t="s">
        <v>966</v>
      </c>
      <c r="E729" s="149">
        <v>46001</v>
      </c>
      <c r="F729" s="149">
        <f t="shared" si="111"/>
        <v>46002</v>
      </c>
      <c r="G729" s="149">
        <f t="shared" si="112"/>
        <v>46015</v>
      </c>
      <c r="H729" s="149">
        <f t="shared" si="113"/>
        <v>46034</v>
      </c>
      <c r="I729" s="149" t="str">
        <f t="shared" si="106"/>
        <v>Dec</v>
      </c>
      <c r="J729" s="216" t="str">
        <f t="shared" ca="1" si="108"/>
        <v/>
      </c>
      <c r="K729" s="149" t="s">
        <v>7</v>
      </c>
      <c r="L729" s="149"/>
      <c r="M729" s="11">
        <v>46027</v>
      </c>
      <c r="N729" s="152">
        <f t="shared" si="107"/>
        <v>15</v>
      </c>
      <c r="O729" s="12" t="str">
        <f t="shared" si="110"/>
        <v>Yes</v>
      </c>
      <c r="P729" s="158"/>
      <c r="Q729" s="157"/>
      <c r="R729" s="11" t="s">
        <v>39</v>
      </c>
      <c r="S729" s="158"/>
      <c r="T729" s="5" t="s">
        <v>40</v>
      </c>
      <c r="U729" s="6"/>
      <c r="V729" s="5"/>
      <c r="W729" s="5"/>
      <c r="X729" s="6"/>
      <c r="BB729" s="7" t="str">
        <v>Quarter 3</v>
      </c>
    </row>
    <row r="730" spans="1:54" ht="31.4" customHeight="1" x14ac:dyDescent="0.35">
      <c r="A730" s="210">
        <v>729</v>
      </c>
      <c r="B730" s="5" t="s">
        <v>967</v>
      </c>
      <c r="C730" s="5" t="s">
        <v>5</v>
      </c>
      <c r="D730" s="5" t="s">
        <v>968</v>
      </c>
      <c r="E730" s="149">
        <v>46002</v>
      </c>
      <c r="F730" s="149">
        <f t="shared" si="111"/>
        <v>46003</v>
      </c>
      <c r="G730" s="149">
        <f t="shared" si="112"/>
        <v>46020</v>
      </c>
      <c r="H730" s="149">
        <f t="shared" si="113"/>
        <v>46035</v>
      </c>
      <c r="I730" s="149" t="str">
        <f t="shared" si="106"/>
        <v>Dec</v>
      </c>
      <c r="J730" s="216" t="str">
        <f t="shared" ca="1" si="108"/>
        <v/>
      </c>
      <c r="K730" s="149" t="s">
        <v>43</v>
      </c>
      <c r="L730" s="149"/>
      <c r="M730" s="11">
        <v>46076</v>
      </c>
      <c r="N730" s="152">
        <f t="shared" si="107"/>
        <v>49</v>
      </c>
      <c r="O730" s="12" t="str">
        <f t="shared" si="110"/>
        <v>No</v>
      </c>
      <c r="P730" s="158"/>
      <c r="Q730" s="157"/>
      <c r="R730" s="11" t="s">
        <v>39</v>
      </c>
      <c r="S730" s="158"/>
      <c r="T730" s="5" t="s">
        <v>40</v>
      </c>
      <c r="U730" s="6"/>
      <c r="V730" s="5"/>
      <c r="W730" s="5"/>
      <c r="X730" s="6"/>
      <c r="BB730" s="7" t="str">
        <v>Quarter 3</v>
      </c>
    </row>
    <row r="731" spans="1:54" ht="31.4" customHeight="1" x14ac:dyDescent="0.35">
      <c r="A731" s="210">
        <v>730</v>
      </c>
      <c r="B731" s="5" t="s">
        <v>6</v>
      </c>
      <c r="C731" s="5" t="s">
        <v>6</v>
      </c>
      <c r="D731" s="5" t="s">
        <v>940</v>
      </c>
      <c r="E731" s="149">
        <v>46002</v>
      </c>
      <c r="F731" s="149">
        <f t="shared" si="111"/>
        <v>46003</v>
      </c>
      <c r="G731" s="149">
        <f t="shared" si="112"/>
        <v>46020</v>
      </c>
      <c r="H731" s="149">
        <f t="shared" si="113"/>
        <v>46035</v>
      </c>
      <c r="I731" s="149" t="str">
        <f t="shared" si="106"/>
        <v>Dec</v>
      </c>
      <c r="J731" s="216" t="str">
        <f t="shared" ca="1" si="108"/>
        <v/>
      </c>
      <c r="K731" s="149" t="s">
        <v>43</v>
      </c>
      <c r="L731" s="149"/>
      <c r="M731" s="11">
        <v>46013</v>
      </c>
      <c r="N731" s="152">
        <f t="shared" si="107"/>
        <v>7</v>
      </c>
      <c r="O731" s="12" t="str">
        <f t="shared" si="110"/>
        <v>Yes</v>
      </c>
      <c r="P731" s="158"/>
      <c r="Q731" s="157"/>
      <c r="R731" s="11" t="s">
        <v>39</v>
      </c>
      <c r="S731" s="158"/>
      <c r="T731" s="5" t="s">
        <v>45</v>
      </c>
      <c r="U731" s="6"/>
      <c r="V731" s="5" t="s">
        <v>53</v>
      </c>
      <c r="W731" s="5"/>
      <c r="X731" s="6"/>
      <c r="BB731" s="7" t="str">
        <v>Quarter 3</v>
      </c>
    </row>
    <row r="732" spans="1:54" ht="31.4" customHeight="1" x14ac:dyDescent="0.35">
      <c r="A732" s="210">
        <v>731</v>
      </c>
      <c r="B732" s="5" t="s">
        <v>6</v>
      </c>
      <c r="C732" s="5" t="s">
        <v>6</v>
      </c>
      <c r="D732" s="5" t="s">
        <v>969</v>
      </c>
      <c r="E732" s="149">
        <v>46006</v>
      </c>
      <c r="F732" s="149">
        <f t="shared" si="111"/>
        <v>46007</v>
      </c>
      <c r="G732" s="149">
        <f t="shared" si="112"/>
        <v>46022</v>
      </c>
      <c r="H732" s="149">
        <f t="shared" si="113"/>
        <v>46037</v>
      </c>
      <c r="I732" s="149" t="str">
        <f t="shared" si="106"/>
        <v>Dec</v>
      </c>
      <c r="J732" s="216" t="str">
        <f t="shared" ca="1" si="108"/>
        <v/>
      </c>
      <c r="K732" s="149" t="s">
        <v>4</v>
      </c>
      <c r="L732" s="149"/>
      <c r="M732" s="11">
        <v>46007</v>
      </c>
      <c r="N732" s="152">
        <f t="shared" si="107"/>
        <v>1</v>
      </c>
      <c r="O732" s="12" t="str">
        <f t="shared" si="110"/>
        <v>Yes</v>
      </c>
      <c r="P732" s="158"/>
      <c r="Q732" s="157"/>
      <c r="R732" s="11" t="s">
        <v>39</v>
      </c>
      <c r="S732" s="158"/>
      <c r="T732" s="5" t="s">
        <v>40</v>
      </c>
      <c r="U732" s="6"/>
      <c r="V732" s="5"/>
      <c r="W732" s="5"/>
      <c r="X732" s="6"/>
      <c r="BB732" s="7" t="str">
        <v>Quarter 3</v>
      </c>
    </row>
    <row r="733" spans="1:54" ht="31.4" customHeight="1" x14ac:dyDescent="0.35">
      <c r="A733" s="210">
        <v>732</v>
      </c>
      <c r="B733" s="5" t="s">
        <v>6</v>
      </c>
      <c r="C733" s="5" t="s">
        <v>6</v>
      </c>
      <c r="D733" s="5" t="s">
        <v>970</v>
      </c>
      <c r="E733" s="149">
        <v>46006</v>
      </c>
      <c r="F733" s="149">
        <f t="shared" si="111"/>
        <v>46007</v>
      </c>
      <c r="G733" s="149">
        <f t="shared" si="112"/>
        <v>46022</v>
      </c>
      <c r="H733" s="149">
        <f t="shared" si="113"/>
        <v>46037</v>
      </c>
      <c r="I733" s="69" t="str">
        <f t="shared" si="106"/>
        <v>Dec</v>
      </c>
      <c r="J733" s="216">
        <f t="shared" ca="1" si="108"/>
        <v>-106</v>
      </c>
      <c r="K733" s="149" t="s">
        <v>43</v>
      </c>
      <c r="L733" s="149"/>
      <c r="M733" s="11"/>
      <c r="N733" s="152" t="str">
        <f t="shared" si="107"/>
        <v/>
      </c>
      <c r="O733" s="12" t="str">
        <f t="shared" si="110"/>
        <v/>
      </c>
      <c r="P733" s="158"/>
      <c r="Q733" s="157"/>
      <c r="R733" s="11" t="s">
        <v>44</v>
      </c>
      <c r="S733" s="158"/>
      <c r="T733" s="5"/>
      <c r="U733" s="6"/>
      <c r="V733" s="5"/>
      <c r="W733" s="5"/>
      <c r="X733" s="6"/>
      <c r="BB733" s="7" t="str">
        <v>Quarter 3</v>
      </c>
    </row>
    <row r="734" spans="1:54" ht="31.4" customHeight="1" x14ac:dyDescent="0.35">
      <c r="A734" s="210">
        <v>733</v>
      </c>
      <c r="B734" s="5" t="s">
        <v>6</v>
      </c>
      <c r="C734" s="5" t="s">
        <v>6</v>
      </c>
      <c r="D734" s="5" t="s">
        <v>971</v>
      </c>
      <c r="E734" s="149">
        <v>46006</v>
      </c>
      <c r="F734" s="149">
        <f t="shared" si="111"/>
        <v>46007</v>
      </c>
      <c r="G734" s="149">
        <f t="shared" si="112"/>
        <v>46022</v>
      </c>
      <c r="H734" s="149">
        <f t="shared" si="113"/>
        <v>46037</v>
      </c>
      <c r="I734" s="69" t="str">
        <f t="shared" si="106"/>
        <v>Dec</v>
      </c>
      <c r="J734" s="216">
        <f t="shared" ca="1" si="108"/>
        <v>-106</v>
      </c>
      <c r="K734" s="149" t="s">
        <v>43</v>
      </c>
      <c r="L734" s="149"/>
      <c r="M734" s="11"/>
      <c r="N734" s="152" t="str">
        <f t="shared" si="107"/>
        <v/>
      </c>
      <c r="O734" s="12" t="str">
        <f t="shared" si="110"/>
        <v/>
      </c>
      <c r="P734" s="158"/>
      <c r="Q734" s="157"/>
      <c r="R734" s="11" t="s">
        <v>44</v>
      </c>
      <c r="S734" s="158"/>
      <c r="T734" s="5"/>
      <c r="U734" s="6"/>
      <c r="V734" s="5"/>
      <c r="W734" s="5"/>
      <c r="X734" s="6"/>
      <c r="BB734" s="7" t="str">
        <v>Quarter 3</v>
      </c>
    </row>
    <row r="735" spans="1:54" ht="31.4" customHeight="1" x14ac:dyDescent="0.35">
      <c r="A735" s="210">
        <v>734</v>
      </c>
      <c r="B735" s="5" t="s">
        <v>6</v>
      </c>
      <c r="C735" s="5" t="s">
        <v>6</v>
      </c>
      <c r="D735" s="5" t="s">
        <v>972</v>
      </c>
      <c r="E735" s="149">
        <v>46006</v>
      </c>
      <c r="F735" s="149">
        <f t="shared" si="111"/>
        <v>46007</v>
      </c>
      <c r="G735" s="149">
        <f t="shared" si="112"/>
        <v>46022</v>
      </c>
      <c r="H735" s="149">
        <f t="shared" si="113"/>
        <v>46037</v>
      </c>
      <c r="I735" s="69" t="str">
        <f t="shared" si="106"/>
        <v>Dec</v>
      </c>
      <c r="J735" s="216">
        <f t="shared" ca="1" si="108"/>
        <v>-106</v>
      </c>
      <c r="K735" s="149" t="s">
        <v>43</v>
      </c>
      <c r="L735" s="149"/>
      <c r="M735" s="11"/>
      <c r="N735" s="152" t="str">
        <f t="shared" si="107"/>
        <v/>
      </c>
      <c r="O735" s="12" t="str">
        <f t="shared" si="110"/>
        <v/>
      </c>
      <c r="P735" s="158"/>
      <c r="Q735" s="157"/>
      <c r="R735" s="11" t="s">
        <v>44</v>
      </c>
      <c r="S735" s="158"/>
      <c r="T735" s="5"/>
      <c r="U735" s="6"/>
      <c r="V735" s="5"/>
      <c r="W735" s="5"/>
      <c r="X735" s="6"/>
      <c r="BB735" s="7" t="str">
        <v>Quarter 3</v>
      </c>
    </row>
    <row r="736" spans="1:54" ht="31.4" customHeight="1" x14ac:dyDescent="0.35">
      <c r="A736" s="210">
        <v>735</v>
      </c>
      <c r="B736" s="5" t="s">
        <v>6</v>
      </c>
      <c r="C736" s="5" t="s">
        <v>6</v>
      </c>
      <c r="D736" s="5" t="s">
        <v>973</v>
      </c>
      <c r="E736" s="149">
        <v>46006</v>
      </c>
      <c r="F736" s="149">
        <f t="shared" si="111"/>
        <v>46007</v>
      </c>
      <c r="G736" s="149">
        <f t="shared" si="112"/>
        <v>46022</v>
      </c>
      <c r="H736" s="149">
        <f t="shared" si="113"/>
        <v>46037</v>
      </c>
      <c r="I736" s="69" t="str">
        <f t="shared" si="106"/>
        <v>Dec</v>
      </c>
      <c r="J736" s="216">
        <f t="shared" ca="1" si="108"/>
        <v>-106</v>
      </c>
      <c r="K736" s="149" t="s">
        <v>43</v>
      </c>
      <c r="L736" s="149"/>
      <c r="M736" s="11"/>
      <c r="N736" s="152" t="str">
        <f t="shared" si="107"/>
        <v/>
      </c>
      <c r="O736" s="12" t="str">
        <f t="shared" si="110"/>
        <v/>
      </c>
      <c r="P736" s="158"/>
      <c r="Q736" s="157"/>
      <c r="R736" s="11" t="s">
        <v>44</v>
      </c>
      <c r="S736" s="158"/>
      <c r="T736" s="5"/>
      <c r="U736" s="6"/>
      <c r="V736" s="5"/>
      <c r="W736" s="5"/>
      <c r="X736" s="6"/>
      <c r="BB736" s="7" t="str">
        <v>Quarter 3</v>
      </c>
    </row>
    <row r="737" spans="1:54" ht="31.4" customHeight="1" x14ac:dyDescent="0.35">
      <c r="A737" s="210">
        <v>736</v>
      </c>
      <c r="B737" s="5" t="s">
        <v>974</v>
      </c>
      <c r="C737" s="5" t="s">
        <v>9</v>
      </c>
      <c r="D737" s="5" t="s">
        <v>975</v>
      </c>
      <c r="E737" s="149">
        <v>46006</v>
      </c>
      <c r="F737" s="149">
        <f t="shared" si="111"/>
        <v>46007</v>
      </c>
      <c r="G737" s="149">
        <f t="shared" si="112"/>
        <v>46022</v>
      </c>
      <c r="H737" s="149">
        <f t="shared" si="113"/>
        <v>46037</v>
      </c>
      <c r="I737" s="149" t="str">
        <f t="shared" si="106"/>
        <v>Dec</v>
      </c>
      <c r="J737" s="216" t="str">
        <f t="shared" ca="1" si="108"/>
        <v/>
      </c>
      <c r="K737" s="149" t="s">
        <v>4</v>
      </c>
      <c r="L737" s="149"/>
      <c r="M737" s="11">
        <v>46031</v>
      </c>
      <c r="N737" s="152">
        <f t="shared" si="107"/>
        <v>16</v>
      </c>
      <c r="O737" s="12" t="str">
        <f t="shared" si="110"/>
        <v>Yes</v>
      </c>
      <c r="P737" s="158"/>
      <c r="Q737" s="157"/>
      <c r="R737" s="11" t="s">
        <v>39</v>
      </c>
      <c r="S737" s="158"/>
      <c r="T737" s="5" t="s">
        <v>40</v>
      </c>
      <c r="U737" s="6"/>
      <c r="V737" s="5" t="s">
        <v>54</v>
      </c>
      <c r="W737" s="5"/>
      <c r="X737" s="6"/>
      <c r="BB737" s="7" t="str">
        <v>Quarter 3</v>
      </c>
    </row>
    <row r="738" spans="1:54" ht="31.4" customHeight="1" x14ac:dyDescent="0.35">
      <c r="A738" s="210">
        <v>737</v>
      </c>
      <c r="B738" s="5" t="s">
        <v>6</v>
      </c>
      <c r="C738" s="5" t="s">
        <v>6</v>
      </c>
      <c r="D738" s="5" t="s">
        <v>976</v>
      </c>
      <c r="E738" s="149">
        <v>46006</v>
      </c>
      <c r="F738" s="149">
        <f t="shared" si="111"/>
        <v>46007</v>
      </c>
      <c r="G738" s="149">
        <f t="shared" si="112"/>
        <v>46022</v>
      </c>
      <c r="H738" s="149">
        <f t="shared" si="113"/>
        <v>46037</v>
      </c>
      <c r="I738" s="149" t="str">
        <f t="shared" si="106"/>
        <v>Dec</v>
      </c>
      <c r="J738" s="216" t="str">
        <f t="shared" ca="1" si="108"/>
        <v/>
      </c>
      <c r="K738" s="149" t="s">
        <v>4</v>
      </c>
      <c r="L738" s="149"/>
      <c r="M738" s="11">
        <v>46007</v>
      </c>
      <c r="N738" s="152">
        <f t="shared" si="107"/>
        <v>1</v>
      </c>
      <c r="O738" s="12" t="str">
        <f t="shared" si="110"/>
        <v>Yes</v>
      </c>
      <c r="P738" s="158"/>
      <c r="Q738" s="157"/>
      <c r="R738" s="11" t="s">
        <v>39</v>
      </c>
      <c r="S738" s="158"/>
      <c r="T738" s="5" t="s">
        <v>40</v>
      </c>
      <c r="U738" s="6"/>
      <c r="V738" s="5"/>
      <c r="W738" s="5" t="s">
        <v>46</v>
      </c>
      <c r="X738" s="6"/>
      <c r="BB738" s="7" t="str">
        <v>Quarter 3</v>
      </c>
    </row>
    <row r="739" spans="1:54" ht="31.4" customHeight="1" x14ac:dyDescent="0.35">
      <c r="A739" s="210">
        <v>738</v>
      </c>
      <c r="B739" s="5" t="s">
        <v>237</v>
      </c>
      <c r="C739" s="5" t="s">
        <v>14</v>
      </c>
      <c r="D739" s="5" t="s">
        <v>977</v>
      </c>
      <c r="E739" s="149">
        <v>46006</v>
      </c>
      <c r="F739" s="149">
        <f t="shared" si="111"/>
        <v>46007</v>
      </c>
      <c r="G739" s="149">
        <f t="shared" si="112"/>
        <v>46022</v>
      </c>
      <c r="H739" s="149">
        <f t="shared" si="113"/>
        <v>46037</v>
      </c>
      <c r="I739" s="149" t="str">
        <f t="shared" si="106"/>
        <v>Dec</v>
      </c>
      <c r="J739" s="216" t="str">
        <f t="shared" ca="1" si="108"/>
        <v/>
      </c>
      <c r="K739" s="149" t="s">
        <v>7</v>
      </c>
      <c r="L739" s="149"/>
      <c r="M739" s="11">
        <v>46036</v>
      </c>
      <c r="N739" s="152">
        <f t="shared" si="107"/>
        <v>19</v>
      </c>
      <c r="O739" s="12" t="str">
        <f t="shared" si="110"/>
        <v>Yes</v>
      </c>
      <c r="P739" s="158"/>
      <c r="Q739" s="157"/>
      <c r="R739" s="11" t="s">
        <v>39</v>
      </c>
      <c r="S739" s="158"/>
      <c r="T739" s="5" t="s">
        <v>40</v>
      </c>
      <c r="U739" s="6"/>
      <c r="V739" s="5" t="s">
        <v>54</v>
      </c>
      <c r="W739" s="5" t="s">
        <v>46</v>
      </c>
      <c r="X739" s="6"/>
      <c r="BB739" s="7" t="str">
        <v>Quarter 3</v>
      </c>
    </row>
    <row r="740" spans="1:54" ht="31.4" customHeight="1" x14ac:dyDescent="0.35">
      <c r="A740" s="210">
        <v>739</v>
      </c>
      <c r="B740" s="5" t="s">
        <v>237</v>
      </c>
      <c r="C740" s="5" t="s">
        <v>14</v>
      </c>
      <c r="D740" s="5" t="s">
        <v>978</v>
      </c>
      <c r="E740" s="149">
        <v>46006</v>
      </c>
      <c r="F740" s="149">
        <f t="shared" si="111"/>
        <v>46007</v>
      </c>
      <c r="G740" s="149">
        <f t="shared" si="112"/>
        <v>46022</v>
      </c>
      <c r="H740" s="149">
        <f t="shared" si="113"/>
        <v>46037</v>
      </c>
      <c r="I740" s="149" t="str">
        <f t="shared" si="106"/>
        <v>Dec</v>
      </c>
      <c r="J740" s="216" t="str">
        <f t="shared" ca="1" si="108"/>
        <v/>
      </c>
      <c r="K740" s="149" t="s">
        <v>43</v>
      </c>
      <c r="L740" s="149"/>
      <c r="M740" s="11">
        <v>46015</v>
      </c>
      <c r="N740" s="152">
        <f t="shared" si="107"/>
        <v>7</v>
      </c>
      <c r="O740" s="12" t="str">
        <f t="shared" si="110"/>
        <v>Yes</v>
      </c>
      <c r="P740" s="158"/>
      <c r="Q740" s="157"/>
      <c r="R740" s="11" t="s">
        <v>39</v>
      </c>
      <c r="S740" s="158"/>
      <c r="T740" s="5" t="s">
        <v>40</v>
      </c>
      <c r="U740" s="6"/>
      <c r="V740" s="5"/>
      <c r="W740" s="5" t="s">
        <v>46</v>
      </c>
      <c r="X740" s="6"/>
      <c r="BB740" s="7" t="str">
        <v>Quarter 3</v>
      </c>
    </row>
    <row r="741" spans="1:54" ht="31.4" customHeight="1" x14ac:dyDescent="0.35">
      <c r="A741" s="210">
        <v>740</v>
      </c>
      <c r="B741" s="5" t="s">
        <v>237</v>
      </c>
      <c r="C741" s="5" t="s">
        <v>14</v>
      </c>
      <c r="D741" s="5" t="s">
        <v>979</v>
      </c>
      <c r="E741" s="149">
        <v>46007</v>
      </c>
      <c r="F741" s="149">
        <f t="shared" si="111"/>
        <v>46008</v>
      </c>
      <c r="G741" s="149">
        <f t="shared" si="112"/>
        <v>46024</v>
      </c>
      <c r="H741" s="149">
        <f t="shared" si="113"/>
        <v>46038</v>
      </c>
      <c r="I741" s="149" t="str">
        <f t="shared" si="106"/>
        <v>Dec</v>
      </c>
      <c r="J741" s="216" t="str">
        <f t="shared" ca="1" si="108"/>
        <v/>
      </c>
      <c r="K741" s="149" t="s">
        <v>7</v>
      </c>
      <c r="L741" s="149"/>
      <c r="M741" s="11">
        <v>46027</v>
      </c>
      <c r="N741" s="152">
        <f t="shared" si="107"/>
        <v>11</v>
      </c>
      <c r="O741" s="12" t="str">
        <f t="shared" si="110"/>
        <v>Yes</v>
      </c>
      <c r="P741" s="158"/>
      <c r="Q741" s="157"/>
      <c r="R741" s="11" t="s">
        <v>39</v>
      </c>
      <c r="S741" s="158"/>
      <c r="T741" s="5" t="s">
        <v>40</v>
      </c>
      <c r="U741" s="6"/>
      <c r="V741" s="5"/>
      <c r="W741" s="5" t="s">
        <v>46</v>
      </c>
      <c r="X741" s="6"/>
      <c r="BB741" s="7" t="str">
        <v>Quarter 3</v>
      </c>
    </row>
    <row r="742" spans="1:54" ht="31.4" customHeight="1" x14ac:dyDescent="0.35">
      <c r="A742" s="210">
        <v>741</v>
      </c>
      <c r="B742" s="5" t="s">
        <v>6</v>
      </c>
      <c r="C742" s="5" t="s">
        <v>6</v>
      </c>
      <c r="D742" s="5" t="s">
        <v>980</v>
      </c>
      <c r="E742" s="149">
        <v>46007</v>
      </c>
      <c r="F742" s="149">
        <f t="shared" si="111"/>
        <v>46008</v>
      </c>
      <c r="G742" s="149">
        <f t="shared" si="112"/>
        <v>46024</v>
      </c>
      <c r="H742" s="149">
        <f t="shared" si="113"/>
        <v>46038</v>
      </c>
      <c r="I742" s="149" t="str">
        <f t="shared" si="106"/>
        <v>Dec</v>
      </c>
      <c r="J742" s="216" t="str">
        <f t="shared" ca="1" si="108"/>
        <v/>
      </c>
      <c r="K742" s="149" t="s">
        <v>4</v>
      </c>
      <c r="L742" s="149"/>
      <c r="M742" s="11">
        <v>46036</v>
      </c>
      <c r="N742" s="152">
        <f t="shared" si="107"/>
        <v>18</v>
      </c>
      <c r="O742" s="12" t="str">
        <f t="shared" si="110"/>
        <v>Yes</v>
      </c>
      <c r="P742" s="158"/>
      <c r="Q742" s="157"/>
      <c r="R742" s="11" t="s">
        <v>39</v>
      </c>
      <c r="S742" s="158"/>
      <c r="T742" s="5" t="s">
        <v>40</v>
      </c>
      <c r="U742" s="6"/>
      <c r="V742" s="5"/>
      <c r="W742" s="5"/>
      <c r="X742" s="6"/>
      <c r="BB742" s="7" t="str">
        <v>Quarter 3</v>
      </c>
    </row>
    <row r="743" spans="1:54" ht="31.4" customHeight="1" x14ac:dyDescent="0.35">
      <c r="A743" s="210">
        <v>742</v>
      </c>
      <c r="B743" s="5" t="s">
        <v>981</v>
      </c>
      <c r="C743" s="5" t="s">
        <v>9</v>
      </c>
      <c r="D743" s="229" t="s">
        <v>982</v>
      </c>
      <c r="E743" s="149">
        <v>46007</v>
      </c>
      <c r="F743" s="149">
        <f t="shared" si="111"/>
        <v>46008</v>
      </c>
      <c r="G743" s="149">
        <f t="shared" si="112"/>
        <v>46024</v>
      </c>
      <c r="H743" s="149">
        <f t="shared" si="113"/>
        <v>46038</v>
      </c>
      <c r="I743" s="149" t="str">
        <f t="shared" si="106"/>
        <v>Dec</v>
      </c>
      <c r="J743" s="216" t="str">
        <f t="shared" ca="1" si="108"/>
        <v/>
      </c>
      <c r="K743" s="149" t="s">
        <v>43</v>
      </c>
      <c r="L743" s="149"/>
      <c r="M743" s="11">
        <v>46008</v>
      </c>
      <c r="N743" s="152">
        <f t="shared" si="107"/>
        <v>1</v>
      </c>
      <c r="O743" s="12" t="str">
        <f t="shared" si="110"/>
        <v>Yes</v>
      </c>
      <c r="P743" s="158"/>
      <c r="Q743" s="157"/>
      <c r="R743" s="11" t="s">
        <v>39</v>
      </c>
      <c r="S743" s="158"/>
      <c r="T743" s="5" t="s">
        <v>45</v>
      </c>
      <c r="U743" s="6"/>
      <c r="V743" s="5" t="s">
        <v>54</v>
      </c>
      <c r="W743" s="5"/>
      <c r="X743" s="6"/>
      <c r="BB743" s="7" t="str">
        <v>Quarter 3</v>
      </c>
    </row>
    <row r="744" spans="1:54" ht="31.4" customHeight="1" x14ac:dyDescent="0.35">
      <c r="A744" s="210">
        <v>743</v>
      </c>
      <c r="B744" s="5" t="s">
        <v>55</v>
      </c>
      <c r="C744" s="5" t="s">
        <v>13</v>
      </c>
      <c r="D744" s="5" t="s">
        <v>983</v>
      </c>
      <c r="E744" s="149">
        <v>46008</v>
      </c>
      <c r="F744" s="149">
        <f t="shared" si="111"/>
        <v>46009</v>
      </c>
      <c r="G744" s="149">
        <f t="shared" si="112"/>
        <v>46027</v>
      </c>
      <c r="H744" s="149">
        <f t="shared" si="113"/>
        <v>46041</v>
      </c>
      <c r="I744" s="149" t="str">
        <f t="shared" si="106"/>
        <v>Dec</v>
      </c>
      <c r="J744" s="216" t="str">
        <f t="shared" ca="1" si="108"/>
        <v/>
      </c>
      <c r="K744" s="149" t="s">
        <v>7</v>
      </c>
      <c r="L744" s="149"/>
      <c r="M744" s="11">
        <v>46029</v>
      </c>
      <c r="N744" s="152">
        <f t="shared" si="107"/>
        <v>12</v>
      </c>
      <c r="O744" s="12" t="str">
        <f t="shared" si="110"/>
        <v>Yes</v>
      </c>
      <c r="P744" s="158"/>
      <c r="Q744" s="157"/>
      <c r="R744" s="11" t="s">
        <v>39</v>
      </c>
      <c r="S744" s="158"/>
      <c r="T744" s="5" t="s">
        <v>40</v>
      </c>
      <c r="U744" s="6"/>
      <c r="V744" s="5"/>
      <c r="W744" s="5"/>
      <c r="X744" s="6"/>
      <c r="BB744" s="7" t="str">
        <v>Quarter 3</v>
      </c>
    </row>
    <row r="745" spans="1:54" ht="31.4" customHeight="1" x14ac:dyDescent="0.35">
      <c r="A745" s="210">
        <v>744</v>
      </c>
      <c r="B745" s="5" t="s">
        <v>55</v>
      </c>
      <c r="C745" s="5" t="s">
        <v>13</v>
      </c>
      <c r="D745" s="5" t="s">
        <v>1869</v>
      </c>
      <c r="E745" s="149">
        <v>46008</v>
      </c>
      <c r="F745" s="149">
        <f t="shared" si="111"/>
        <v>46009</v>
      </c>
      <c r="G745" s="149">
        <f t="shared" si="112"/>
        <v>46027</v>
      </c>
      <c r="H745" s="149">
        <f t="shared" si="113"/>
        <v>46041</v>
      </c>
      <c r="I745" s="149" t="str">
        <f t="shared" si="106"/>
        <v>Dec</v>
      </c>
      <c r="J745" s="216" t="str">
        <f t="shared" ca="1" si="108"/>
        <v/>
      </c>
      <c r="K745" s="149" t="s">
        <v>7</v>
      </c>
      <c r="L745" s="149"/>
      <c r="M745" s="11">
        <v>46008</v>
      </c>
      <c r="N745" s="152">
        <f t="shared" si="107"/>
        <v>0</v>
      </c>
      <c r="O745" s="12" t="str">
        <f t="shared" si="110"/>
        <v>Yes</v>
      </c>
      <c r="P745" s="158"/>
      <c r="Q745" s="157"/>
      <c r="R745" s="11" t="s">
        <v>39</v>
      </c>
      <c r="S745" s="158"/>
      <c r="T745" s="5" t="s">
        <v>62</v>
      </c>
      <c r="U745" s="6"/>
      <c r="V745" s="5"/>
      <c r="W745" s="5"/>
      <c r="X745" s="6"/>
      <c r="BB745" s="7" t="str">
        <v>Quarter 3</v>
      </c>
    </row>
    <row r="746" spans="1:54" ht="31.4" customHeight="1" x14ac:dyDescent="0.35">
      <c r="A746" s="210">
        <v>745</v>
      </c>
      <c r="B746" s="5" t="s">
        <v>55</v>
      </c>
      <c r="C746" s="5" t="s">
        <v>13</v>
      </c>
      <c r="D746" s="5" t="s">
        <v>1876</v>
      </c>
      <c r="E746" s="149">
        <v>46008</v>
      </c>
      <c r="F746" s="149">
        <f t="shared" si="111"/>
        <v>46009</v>
      </c>
      <c r="G746" s="149">
        <f t="shared" si="112"/>
        <v>46027</v>
      </c>
      <c r="H746" s="149">
        <f t="shared" si="113"/>
        <v>46041</v>
      </c>
      <c r="I746" s="149" t="str">
        <f t="shared" si="106"/>
        <v>Dec</v>
      </c>
      <c r="J746" s="216" t="str">
        <f t="shared" ca="1" si="108"/>
        <v/>
      </c>
      <c r="K746" s="149" t="s">
        <v>7</v>
      </c>
      <c r="L746" s="149"/>
      <c r="M746" s="11">
        <v>46024</v>
      </c>
      <c r="N746" s="152">
        <f t="shared" si="107"/>
        <v>9</v>
      </c>
      <c r="O746" s="12" t="str">
        <f t="shared" si="110"/>
        <v>Yes</v>
      </c>
      <c r="P746" s="158"/>
      <c r="Q746" s="157"/>
      <c r="R746" s="11" t="s">
        <v>39</v>
      </c>
      <c r="S746" s="158"/>
      <c r="T746" s="5" t="s">
        <v>40</v>
      </c>
      <c r="U746" s="6"/>
      <c r="V746" s="5"/>
      <c r="W746" s="5"/>
      <c r="X746" s="6"/>
      <c r="BB746" s="7" t="str">
        <v>Quarter 3</v>
      </c>
    </row>
    <row r="747" spans="1:54" ht="31.4" customHeight="1" x14ac:dyDescent="0.35">
      <c r="A747" s="210">
        <v>746</v>
      </c>
      <c r="B747" s="5" t="s">
        <v>984</v>
      </c>
      <c r="C747" s="5" t="s">
        <v>9</v>
      </c>
      <c r="D747" s="5" t="s">
        <v>985</v>
      </c>
      <c r="E747" s="149">
        <v>46008</v>
      </c>
      <c r="F747" s="149">
        <f t="shared" si="111"/>
        <v>46009</v>
      </c>
      <c r="G747" s="149">
        <f t="shared" si="112"/>
        <v>46027</v>
      </c>
      <c r="H747" s="149">
        <f t="shared" si="113"/>
        <v>46041</v>
      </c>
      <c r="I747" s="149" t="str">
        <f t="shared" si="106"/>
        <v>Dec</v>
      </c>
      <c r="J747" s="216" t="str">
        <f t="shared" ca="1" si="108"/>
        <v/>
      </c>
      <c r="K747" s="149" t="s">
        <v>4</v>
      </c>
      <c r="L747" s="149"/>
      <c r="M747" s="11">
        <v>46008</v>
      </c>
      <c r="N747" s="152">
        <f t="shared" si="107"/>
        <v>0</v>
      </c>
      <c r="O747" s="12" t="str">
        <f t="shared" si="110"/>
        <v>Yes</v>
      </c>
      <c r="P747" s="158"/>
      <c r="Q747" s="157"/>
      <c r="R747" s="11" t="s">
        <v>39</v>
      </c>
      <c r="S747" s="158"/>
      <c r="T747" s="5" t="s">
        <v>40</v>
      </c>
      <c r="U747" s="6"/>
      <c r="V747" s="5" t="s">
        <v>54</v>
      </c>
      <c r="W747" s="5"/>
      <c r="X747" s="6"/>
      <c r="BB747" s="7" t="str">
        <v>Quarter 3</v>
      </c>
    </row>
    <row r="748" spans="1:54" ht="31.4" customHeight="1" x14ac:dyDescent="0.35">
      <c r="A748" s="210">
        <v>747</v>
      </c>
      <c r="B748" s="5" t="s">
        <v>6</v>
      </c>
      <c r="C748" s="5" t="s">
        <v>6</v>
      </c>
      <c r="D748" s="5" t="s">
        <v>986</v>
      </c>
      <c r="E748" s="149">
        <v>46008</v>
      </c>
      <c r="F748" s="149">
        <f t="shared" ref="F748:F779" si="114">IF($E748="","",WORKDAY($E748,1,$Z$33:$Z$47))</f>
        <v>46009</v>
      </c>
      <c r="G748" s="149">
        <f t="shared" ref="G748:G779" si="115">IF($E748="","",WORKDAY($E748,10,$Z$33:$Z$47))</f>
        <v>46027</v>
      </c>
      <c r="H748" s="149">
        <f t="shared" ref="H748:H779" si="116">IF($E748="","",WORKDAY($E748,20,$Z$33:$Z$47))</f>
        <v>46041</v>
      </c>
      <c r="I748" s="149" t="str">
        <f t="shared" si="106"/>
        <v>Dec</v>
      </c>
      <c r="J748" s="216" t="str">
        <f t="shared" ca="1" si="108"/>
        <v/>
      </c>
      <c r="K748" s="149" t="s">
        <v>43</v>
      </c>
      <c r="L748" s="149"/>
      <c r="M748" s="11">
        <v>46029</v>
      </c>
      <c r="N748" s="152">
        <f t="shared" si="107"/>
        <v>12</v>
      </c>
      <c r="O748" s="12" t="str">
        <f t="shared" si="110"/>
        <v>Yes</v>
      </c>
      <c r="P748" s="158"/>
      <c r="Q748" s="157"/>
      <c r="R748" s="11" t="s">
        <v>39</v>
      </c>
      <c r="S748" s="158"/>
      <c r="T748" s="5" t="s">
        <v>40</v>
      </c>
      <c r="U748" s="6"/>
      <c r="V748" s="5" t="s">
        <v>54</v>
      </c>
      <c r="W748" s="5"/>
      <c r="X748" s="6"/>
      <c r="BB748" s="7" t="str">
        <v>Quarter 3</v>
      </c>
    </row>
    <row r="749" spans="1:54" ht="31.4" customHeight="1" x14ac:dyDescent="0.35">
      <c r="A749" s="210">
        <v>748</v>
      </c>
      <c r="B749" s="5" t="s">
        <v>931</v>
      </c>
      <c r="C749" s="5" t="s">
        <v>5</v>
      </c>
      <c r="D749" s="5" t="s">
        <v>987</v>
      </c>
      <c r="E749" s="149">
        <v>46008</v>
      </c>
      <c r="F749" s="149">
        <f t="shared" si="114"/>
        <v>46009</v>
      </c>
      <c r="G749" s="149">
        <f t="shared" si="115"/>
        <v>46027</v>
      </c>
      <c r="H749" s="149">
        <f t="shared" si="116"/>
        <v>46041</v>
      </c>
      <c r="I749" s="149" t="str">
        <f t="shared" si="106"/>
        <v>Dec</v>
      </c>
      <c r="J749" s="216" t="str">
        <f t="shared" ca="1" si="108"/>
        <v/>
      </c>
      <c r="K749" s="149" t="s">
        <v>4</v>
      </c>
      <c r="L749" s="149"/>
      <c r="M749" s="11">
        <v>46041</v>
      </c>
      <c r="N749" s="152">
        <f t="shared" si="107"/>
        <v>20</v>
      </c>
      <c r="O749" s="12" t="str">
        <f t="shared" si="110"/>
        <v>Yes</v>
      </c>
      <c r="P749" s="158"/>
      <c r="Q749" s="157"/>
      <c r="R749" s="11" t="s">
        <v>39</v>
      </c>
      <c r="S749" s="158"/>
      <c r="T749" s="5" t="s">
        <v>40</v>
      </c>
      <c r="U749" s="6"/>
      <c r="V749" s="5"/>
      <c r="W749" s="5"/>
      <c r="X749" s="6"/>
      <c r="BB749" s="7" t="str">
        <v>Quarter 3</v>
      </c>
    </row>
    <row r="750" spans="1:54" ht="31.4" customHeight="1" x14ac:dyDescent="0.35">
      <c r="A750" s="210">
        <v>749</v>
      </c>
      <c r="B750" s="5" t="s">
        <v>988</v>
      </c>
      <c r="C750" s="5" t="s">
        <v>12</v>
      </c>
      <c r="D750" s="5" t="s">
        <v>989</v>
      </c>
      <c r="E750" s="149">
        <v>46009</v>
      </c>
      <c r="F750" s="149">
        <f t="shared" si="114"/>
        <v>46010</v>
      </c>
      <c r="G750" s="149">
        <f t="shared" si="115"/>
        <v>46028</v>
      </c>
      <c r="H750" s="149">
        <f t="shared" si="116"/>
        <v>46042</v>
      </c>
      <c r="I750" s="149" t="str">
        <f t="shared" si="106"/>
        <v>Dec</v>
      </c>
      <c r="J750" s="216" t="str">
        <f t="shared" ca="1" si="108"/>
        <v/>
      </c>
      <c r="K750" s="149" t="s">
        <v>7</v>
      </c>
      <c r="L750" s="149"/>
      <c r="M750" s="11">
        <v>46041</v>
      </c>
      <c r="N750" s="152">
        <f t="shared" si="107"/>
        <v>19</v>
      </c>
      <c r="O750" s="12" t="str">
        <f t="shared" si="110"/>
        <v>Yes</v>
      </c>
      <c r="P750" s="158"/>
      <c r="Q750" s="157"/>
      <c r="R750" s="11" t="s">
        <v>39</v>
      </c>
      <c r="S750" s="158"/>
      <c r="T750" s="5" t="s">
        <v>40</v>
      </c>
      <c r="U750" s="6"/>
      <c r="V750" s="5" t="s">
        <v>54</v>
      </c>
      <c r="W750" s="5" t="s">
        <v>46</v>
      </c>
      <c r="X750" s="6"/>
      <c r="BB750" s="7" t="str">
        <v>Quarter 3</v>
      </c>
    </row>
    <row r="751" spans="1:54" ht="31.4" customHeight="1" x14ac:dyDescent="0.35">
      <c r="A751" s="210">
        <v>750</v>
      </c>
      <c r="B751" s="5" t="s">
        <v>6</v>
      </c>
      <c r="C751" s="5" t="s">
        <v>6</v>
      </c>
      <c r="D751" s="199" t="s">
        <v>990</v>
      </c>
      <c r="E751" s="149">
        <v>46009</v>
      </c>
      <c r="F751" s="149">
        <f t="shared" si="114"/>
        <v>46010</v>
      </c>
      <c r="G751" s="149">
        <f t="shared" si="115"/>
        <v>46028</v>
      </c>
      <c r="H751" s="149">
        <f t="shared" si="116"/>
        <v>46042</v>
      </c>
      <c r="I751" s="149" t="str">
        <f t="shared" si="106"/>
        <v>Dec</v>
      </c>
      <c r="J751" s="216" t="str">
        <f t="shared" ca="1" si="108"/>
        <v/>
      </c>
      <c r="K751" s="149" t="s">
        <v>3</v>
      </c>
      <c r="L751" s="149"/>
      <c r="M751" s="11">
        <v>46042</v>
      </c>
      <c r="N751" s="152">
        <f t="shared" si="107"/>
        <v>20</v>
      </c>
      <c r="O751" s="12" t="str">
        <f t="shared" si="110"/>
        <v>Yes</v>
      </c>
      <c r="P751" s="158"/>
      <c r="Q751" s="157"/>
      <c r="R751" s="11" t="s">
        <v>39</v>
      </c>
      <c r="S751" s="158"/>
      <c r="T751" s="5" t="s">
        <v>40</v>
      </c>
      <c r="U751" s="6"/>
      <c r="V751" s="5"/>
      <c r="W751" s="5" t="s">
        <v>46</v>
      </c>
      <c r="X751" s="6"/>
      <c r="BB751" s="7" t="str">
        <v>Quarter 3</v>
      </c>
    </row>
    <row r="752" spans="1:54" ht="31.4" customHeight="1" x14ac:dyDescent="0.35">
      <c r="A752" s="210">
        <v>751</v>
      </c>
      <c r="B752" s="5" t="s">
        <v>55</v>
      </c>
      <c r="C752" s="5" t="s">
        <v>13</v>
      </c>
      <c r="D752" s="5" t="s">
        <v>991</v>
      </c>
      <c r="E752" s="149">
        <v>46009</v>
      </c>
      <c r="F752" s="149">
        <f t="shared" si="114"/>
        <v>46010</v>
      </c>
      <c r="G752" s="149">
        <f t="shared" si="115"/>
        <v>46028</v>
      </c>
      <c r="H752" s="149">
        <f t="shared" si="116"/>
        <v>46042</v>
      </c>
      <c r="I752" s="149" t="str">
        <f t="shared" si="106"/>
        <v>Dec</v>
      </c>
      <c r="J752" s="216" t="str">
        <f t="shared" ca="1" si="108"/>
        <v/>
      </c>
      <c r="K752" s="149" t="s">
        <v>43</v>
      </c>
      <c r="L752" s="149"/>
      <c r="M752" s="11">
        <v>46013</v>
      </c>
      <c r="N752" s="152">
        <f t="shared" si="107"/>
        <v>2</v>
      </c>
      <c r="O752" s="12" t="str">
        <f t="shared" si="110"/>
        <v>Yes</v>
      </c>
      <c r="P752" s="158"/>
      <c r="Q752" s="157"/>
      <c r="R752" s="11" t="s">
        <v>39</v>
      </c>
      <c r="S752" s="158"/>
      <c r="T752" s="5" t="s">
        <v>40</v>
      </c>
      <c r="U752" s="6"/>
      <c r="V752" s="5" t="s">
        <v>54</v>
      </c>
      <c r="W752" s="5"/>
      <c r="X752" s="6"/>
      <c r="BB752" s="7" t="str">
        <v>Quarter 3</v>
      </c>
    </row>
    <row r="753" spans="1:54" ht="31.4" customHeight="1" x14ac:dyDescent="0.35">
      <c r="A753" s="210">
        <v>752</v>
      </c>
      <c r="B753" s="5" t="s">
        <v>55</v>
      </c>
      <c r="C753" s="5" t="s">
        <v>13</v>
      </c>
      <c r="D753" s="5" t="s">
        <v>992</v>
      </c>
      <c r="E753" s="149">
        <v>46010</v>
      </c>
      <c r="F753" s="149">
        <f t="shared" si="114"/>
        <v>46013</v>
      </c>
      <c r="G753" s="149">
        <f t="shared" si="115"/>
        <v>46029</v>
      </c>
      <c r="H753" s="149">
        <f t="shared" si="116"/>
        <v>46043</v>
      </c>
      <c r="I753" s="149" t="str">
        <f t="shared" si="106"/>
        <v>Dec</v>
      </c>
      <c r="J753" s="216" t="str">
        <f t="shared" ca="1" si="108"/>
        <v/>
      </c>
      <c r="K753" s="149" t="s">
        <v>4</v>
      </c>
      <c r="L753" s="149"/>
      <c r="M753" s="11">
        <v>46015</v>
      </c>
      <c r="N753" s="152">
        <f t="shared" si="107"/>
        <v>3</v>
      </c>
      <c r="O753" s="12" t="str">
        <f t="shared" si="110"/>
        <v>Yes</v>
      </c>
      <c r="P753" s="158"/>
      <c r="Q753" s="157"/>
      <c r="R753" s="11" t="s">
        <v>39</v>
      </c>
      <c r="S753" s="5"/>
      <c r="T753" s="5" t="s">
        <v>40</v>
      </c>
      <c r="U753" s="6"/>
      <c r="V753" s="5"/>
      <c r="W753" s="5"/>
      <c r="X753" s="6"/>
      <c r="BB753" s="7" t="str">
        <v>Quarter 3</v>
      </c>
    </row>
    <row r="754" spans="1:54" ht="31.4" customHeight="1" x14ac:dyDescent="0.35">
      <c r="A754" s="210">
        <v>753</v>
      </c>
      <c r="B754" s="5" t="s">
        <v>55</v>
      </c>
      <c r="C754" s="5" t="s">
        <v>13</v>
      </c>
      <c r="D754" s="5" t="s">
        <v>1875</v>
      </c>
      <c r="E754" s="149">
        <v>46010</v>
      </c>
      <c r="F754" s="149">
        <f t="shared" si="114"/>
        <v>46013</v>
      </c>
      <c r="G754" s="149">
        <f t="shared" si="115"/>
        <v>46029</v>
      </c>
      <c r="H754" s="149">
        <f t="shared" si="116"/>
        <v>46043</v>
      </c>
      <c r="I754" s="149" t="str">
        <f t="shared" si="106"/>
        <v>Dec</v>
      </c>
      <c r="J754" s="216" t="str">
        <f t="shared" ca="1" si="108"/>
        <v/>
      </c>
      <c r="K754" s="149" t="s">
        <v>7</v>
      </c>
      <c r="L754" s="149"/>
      <c r="M754" s="11">
        <v>46024</v>
      </c>
      <c r="N754" s="152">
        <f t="shared" si="107"/>
        <v>7</v>
      </c>
      <c r="O754" s="12" t="str">
        <f t="shared" si="110"/>
        <v>Yes</v>
      </c>
      <c r="P754" s="158"/>
      <c r="Q754" s="157"/>
      <c r="R754" s="11" t="s">
        <v>39</v>
      </c>
      <c r="S754" s="158"/>
      <c r="T754" s="5" t="s">
        <v>40</v>
      </c>
      <c r="U754" s="6"/>
      <c r="V754" s="5"/>
      <c r="W754" s="5"/>
      <c r="X754" s="6"/>
      <c r="BB754" s="7" t="str">
        <v>Quarter 3</v>
      </c>
    </row>
    <row r="755" spans="1:54" ht="31.4" customHeight="1" x14ac:dyDescent="0.35">
      <c r="A755" s="210">
        <v>754</v>
      </c>
      <c r="B755" s="5" t="s">
        <v>55</v>
      </c>
      <c r="C755" s="5" t="s">
        <v>13</v>
      </c>
      <c r="D755" s="5" t="s">
        <v>993</v>
      </c>
      <c r="E755" s="149">
        <v>46010</v>
      </c>
      <c r="F755" s="149">
        <f t="shared" si="114"/>
        <v>46013</v>
      </c>
      <c r="G755" s="149">
        <f t="shared" si="115"/>
        <v>46029</v>
      </c>
      <c r="H755" s="149">
        <f t="shared" si="116"/>
        <v>46043</v>
      </c>
      <c r="I755" s="149" t="str">
        <f t="shared" si="106"/>
        <v>Dec</v>
      </c>
      <c r="J755" s="216" t="str">
        <f t="shared" ca="1" si="108"/>
        <v/>
      </c>
      <c r="K755" s="149" t="s">
        <v>3</v>
      </c>
      <c r="L755" s="149"/>
      <c r="M755" s="11">
        <v>46034</v>
      </c>
      <c r="N755" s="152">
        <f t="shared" si="107"/>
        <v>13</v>
      </c>
      <c r="O755" s="12" t="str">
        <f t="shared" si="110"/>
        <v>Yes</v>
      </c>
      <c r="P755" s="158"/>
      <c r="Q755" s="157"/>
      <c r="R755" s="11" t="s">
        <v>39</v>
      </c>
      <c r="S755" s="158"/>
      <c r="T755" s="5" t="s">
        <v>40</v>
      </c>
      <c r="U755" s="6"/>
      <c r="V755" s="5"/>
      <c r="W755" s="5"/>
      <c r="X755" s="6"/>
      <c r="BB755" s="7" t="str">
        <v>Quarter 3</v>
      </c>
    </row>
    <row r="756" spans="1:54" ht="31.4" customHeight="1" x14ac:dyDescent="0.35">
      <c r="A756" s="210">
        <v>755</v>
      </c>
      <c r="B756" s="5" t="s">
        <v>994</v>
      </c>
      <c r="C756" s="5" t="s">
        <v>9</v>
      </c>
      <c r="D756" s="5" t="s">
        <v>995</v>
      </c>
      <c r="E756" s="149">
        <v>46010</v>
      </c>
      <c r="F756" s="149">
        <f t="shared" si="114"/>
        <v>46013</v>
      </c>
      <c r="G756" s="149">
        <f t="shared" si="115"/>
        <v>46029</v>
      </c>
      <c r="H756" s="149">
        <f t="shared" si="116"/>
        <v>46043</v>
      </c>
      <c r="I756" s="149" t="str">
        <f t="shared" ref="I756:I819" si="117">IF(ISBLANK($E756),"",TEXT($E756,"mmm"))</f>
        <v>Dec</v>
      </c>
      <c r="J756" s="216" t="str">
        <f t="shared" ca="1" si="108"/>
        <v/>
      </c>
      <c r="K756" s="149" t="s">
        <v>7</v>
      </c>
      <c r="L756" s="149"/>
      <c r="M756" s="11">
        <v>46042</v>
      </c>
      <c r="N756" s="152">
        <f t="shared" si="107"/>
        <v>19</v>
      </c>
      <c r="O756" s="12" t="str">
        <f t="shared" si="110"/>
        <v>Yes</v>
      </c>
      <c r="P756" s="158"/>
      <c r="Q756" s="157"/>
      <c r="R756" s="11" t="s">
        <v>39</v>
      </c>
      <c r="S756" s="158"/>
      <c r="T756" s="5" t="s">
        <v>40</v>
      </c>
      <c r="U756" s="6"/>
      <c r="V756" s="5"/>
      <c r="W756" s="5"/>
      <c r="X756" s="6"/>
      <c r="BB756" s="7" t="str">
        <v>Quarter 3</v>
      </c>
    </row>
    <row r="757" spans="1:54" ht="31.4" customHeight="1" x14ac:dyDescent="0.35">
      <c r="A757" s="210">
        <v>756</v>
      </c>
      <c r="B757" s="5" t="s">
        <v>996</v>
      </c>
      <c r="C757" s="5" t="s">
        <v>9</v>
      </c>
      <c r="D757" s="5" t="s">
        <v>997</v>
      </c>
      <c r="E757" s="149">
        <v>46010</v>
      </c>
      <c r="F757" s="149">
        <f t="shared" si="114"/>
        <v>46013</v>
      </c>
      <c r="G757" s="149">
        <f t="shared" si="115"/>
        <v>46029</v>
      </c>
      <c r="H757" s="149">
        <f t="shared" si="116"/>
        <v>46043</v>
      </c>
      <c r="I757" s="149" t="str">
        <f t="shared" si="117"/>
        <v>Dec</v>
      </c>
      <c r="J757" s="216" t="str">
        <f t="shared" ca="1" si="108"/>
        <v/>
      </c>
      <c r="K757" s="149" t="s">
        <v>3</v>
      </c>
      <c r="L757" s="149"/>
      <c r="M757" s="11">
        <v>46071</v>
      </c>
      <c r="N757" s="152">
        <f t="shared" si="107"/>
        <v>40</v>
      </c>
      <c r="O757" s="12" t="str">
        <f t="shared" si="110"/>
        <v>No</v>
      </c>
      <c r="P757" s="158"/>
      <c r="Q757" s="157"/>
      <c r="R757" s="11" t="s">
        <v>39</v>
      </c>
      <c r="S757" s="158"/>
      <c r="T757" s="5" t="s">
        <v>40</v>
      </c>
      <c r="U757" s="6"/>
      <c r="V757" s="5"/>
      <c r="W757" s="5" t="s">
        <v>46</v>
      </c>
      <c r="X757" s="6"/>
      <c r="BB757" s="7" t="str">
        <v>Quarter 3</v>
      </c>
    </row>
    <row r="758" spans="1:54" ht="31.4" customHeight="1" x14ac:dyDescent="0.35">
      <c r="A758" s="210">
        <v>757</v>
      </c>
      <c r="B758" s="5" t="s">
        <v>264</v>
      </c>
      <c r="C758" s="5" t="s">
        <v>12</v>
      </c>
      <c r="D758" s="5" t="s">
        <v>998</v>
      </c>
      <c r="E758" s="149">
        <v>46011</v>
      </c>
      <c r="F758" s="149">
        <f t="shared" si="114"/>
        <v>46013</v>
      </c>
      <c r="G758" s="149">
        <f t="shared" si="115"/>
        <v>46029</v>
      </c>
      <c r="H758" s="149">
        <f t="shared" si="116"/>
        <v>46043</v>
      </c>
      <c r="I758" s="149" t="str">
        <f t="shared" si="117"/>
        <v>Dec</v>
      </c>
      <c r="J758" s="216" t="str">
        <f t="shared" ca="1" si="108"/>
        <v/>
      </c>
      <c r="K758" s="149" t="s">
        <v>7</v>
      </c>
      <c r="L758" s="149"/>
      <c r="M758" s="11">
        <v>46028</v>
      </c>
      <c r="N758" s="152">
        <f t="shared" si="107"/>
        <v>8</v>
      </c>
      <c r="O758" s="12" t="str">
        <f t="shared" si="110"/>
        <v>Yes</v>
      </c>
      <c r="P758" s="158"/>
      <c r="Q758" s="157"/>
      <c r="R758" s="11" t="s">
        <v>39</v>
      </c>
      <c r="S758" s="158"/>
      <c r="T758" s="5" t="s">
        <v>40</v>
      </c>
      <c r="U758" s="6"/>
      <c r="V758" s="5"/>
      <c r="W758" s="5"/>
      <c r="X758" s="6"/>
      <c r="BB758" s="7" t="str">
        <v>Quarter 3</v>
      </c>
    </row>
    <row r="759" spans="1:54" ht="31.4" customHeight="1" x14ac:dyDescent="0.35">
      <c r="A759" s="210">
        <v>758</v>
      </c>
      <c r="B759" s="5" t="s">
        <v>55</v>
      </c>
      <c r="C759" s="5" t="s">
        <v>13</v>
      </c>
      <c r="D759" s="5" t="s">
        <v>999</v>
      </c>
      <c r="E759" s="149">
        <v>46012</v>
      </c>
      <c r="F759" s="149">
        <f t="shared" si="114"/>
        <v>46013</v>
      </c>
      <c r="G759" s="149">
        <f t="shared" si="115"/>
        <v>46029</v>
      </c>
      <c r="H759" s="149">
        <f t="shared" si="116"/>
        <v>46043</v>
      </c>
      <c r="I759" s="149" t="str">
        <f t="shared" si="117"/>
        <v>Dec</v>
      </c>
      <c r="J759" s="216" t="str">
        <f t="shared" ca="1" si="108"/>
        <v/>
      </c>
      <c r="K759" s="149" t="s">
        <v>4</v>
      </c>
      <c r="L759" s="149"/>
      <c r="M759" s="11">
        <v>46013</v>
      </c>
      <c r="N759" s="152">
        <f t="shared" si="107"/>
        <v>0</v>
      </c>
      <c r="O759" s="12" t="str">
        <f t="shared" si="110"/>
        <v>Yes</v>
      </c>
      <c r="P759" s="158"/>
      <c r="Q759" s="157"/>
      <c r="R759" s="11" t="s">
        <v>39</v>
      </c>
      <c r="S759" s="158"/>
      <c r="T759" s="5" t="s">
        <v>62</v>
      </c>
      <c r="U759" s="6"/>
      <c r="V759" s="5"/>
      <c r="W759" s="5"/>
      <c r="X759" s="6"/>
      <c r="BB759" s="7" t="str">
        <v>Quarter 3</v>
      </c>
    </row>
    <row r="760" spans="1:54" ht="31.4" customHeight="1" x14ac:dyDescent="0.35">
      <c r="A760" s="210">
        <v>759</v>
      </c>
      <c r="B760" s="5" t="s">
        <v>68</v>
      </c>
      <c r="C760" s="5" t="s">
        <v>9</v>
      </c>
      <c r="D760" s="5" t="s">
        <v>1000</v>
      </c>
      <c r="E760" s="149">
        <v>46013</v>
      </c>
      <c r="F760" s="149">
        <f t="shared" si="114"/>
        <v>46014</v>
      </c>
      <c r="G760" s="149">
        <f t="shared" si="115"/>
        <v>46030</v>
      </c>
      <c r="H760" s="149">
        <f t="shared" si="116"/>
        <v>46044</v>
      </c>
      <c r="I760" s="149" t="str">
        <f t="shared" si="117"/>
        <v>Dec</v>
      </c>
      <c r="J760" s="216" t="str">
        <f t="shared" ca="1" si="108"/>
        <v/>
      </c>
      <c r="K760" s="149" t="s">
        <v>4</v>
      </c>
      <c r="L760" s="149"/>
      <c r="M760" s="11">
        <v>46042</v>
      </c>
      <c r="N760" s="152">
        <f t="shared" si="107"/>
        <v>18</v>
      </c>
      <c r="O760" s="12" t="str">
        <f t="shared" si="110"/>
        <v>Yes</v>
      </c>
      <c r="P760" s="158"/>
      <c r="Q760" s="157"/>
      <c r="R760" s="11" t="s">
        <v>39</v>
      </c>
      <c r="S760" s="158"/>
      <c r="T760" s="5" t="s">
        <v>40</v>
      </c>
      <c r="U760" s="6"/>
      <c r="V760" s="5" t="s">
        <v>54</v>
      </c>
      <c r="W760" s="5" t="s">
        <v>1001</v>
      </c>
      <c r="X760" s="6"/>
      <c r="BB760" s="7" t="str">
        <v>Quarter 3</v>
      </c>
    </row>
    <row r="761" spans="1:54" ht="31.4" customHeight="1" x14ac:dyDescent="0.35">
      <c r="A761" s="210">
        <v>760</v>
      </c>
      <c r="B761" s="5" t="s">
        <v>55</v>
      </c>
      <c r="C761" s="5" t="s">
        <v>13</v>
      </c>
      <c r="D761" s="5" t="s">
        <v>1002</v>
      </c>
      <c r="E761" s="149">
        <v>46013</v>
      </c>
      <c r="F761" s="149">
        <f t="shared" si="114"/>
        <v>46014</v>
      </c>
      <c r="G761" s="149">
        <f t="shared" si="115"/>
        <v>46030</v>
      </c>
      <c r="H761" s="149">
        <f t="shared" si="116"/>
        <v>46044</v>
      </c>
      <c r="I761" s="149" t="str">
        <f t="shared" si="117"/>
        <v>Dec</v>
      </c>
      <c r="J761" s="216" t="str">
        <f t="shared" ca="1" si="108"/>
        <v/>
      </c>
      <c r="K761" s="149" t="s">
        <v>43</v>
      </c>
      <c r="L761" s="149"/>
      <c r="M761" s="11">
        <v>46031</v>
      </c>
      <c r="N761" s="152">
        <f t="shared" ref="N761:N824" si="118">IF($M761="","",NETWORKDAYS($E761,$M761,$Z$33:$Z$47)-1)</f>
        <v>11</v>
      </c>
      <c r="O761" s="12" t="str">
        <f t="shared" si="110"/>
        <v>Yes</v>
      </c>
      <c r="P761" s="158"/>
      <c r="Q761" s="157"/>
      <c r="R761" s="11" t="s">
        <v>39</v>
      </c>
      <c r="S761" s="158"/>
      <c r="T761" s="5" t="s">
        <v>40</v>
      </c>
      <c r="U761" s="6"/>
      <c r="V761" s="5"/>
      <c r="W761" s="5"/>
      <c r="X761" s="6"/>
      <c r="BB761" s="7" t="str">
        <v>Quarter 3</v>
      </c>
    </row>
    <row r="762" spans="1:54" ht="31.4" customHeight="1" x14ac:dyDescent="0.35">
      <c r="A762" s="210">
        <v>761</v>
      </c>
      <c r="B762" s="5" t="s">
        <v>6</v>
      </c>
      <c r="C762" s="5" t="s">
        <v>6</v>
      </c>
      <c r="D762" s="5" t="s">
        <v>1003</v>
      </c>
      <c r="E762" s="149">
        <v>46013</v>
      </c>
      <c r="F762" s="149">
        <f t="shared" si="114"/>
        <v>46014</v>
      </c>
      <c r="G762" s="149">
        <f t="shared" si="115"/>
        <v>46030</v>
      </c>
      <c r="H762" s="149">
        <f t="shared" si="116"/>
        <v>46044</v>
      </c>
      <c r="I762" s="149" t="str">
        <f t="shared" si="117"/>
        <v>Dec</v>
      </c>
      <c r="J762" s="216" t="str">
        <f t="shared" ca="1" si="108"/>
        <v/>
      </c>
      <c r="K762" s="149" t="s">
        <v>4</v>
      </c>
      <c r="L762" s="149"/>
      <c r="M762" s="11">
        <v>46034</v>
      </c>
      <c r="N762" s="152">
        <f t="shared" si="118"/>
        <v>12</v>
      </c>
      <c r="O762" s="12" t="str">
        <f t="shared" si="110"/>
        <v>Yes</v>
      </c>
      <c r="P762" s="158"/>
      <c r="Q762" s="157"/>
      <c r="R762" s="11" t="s">
        <v>39</v>
      </c>
      <c r="S762" s="158"/>
      <c r="T762" s="5" t="s">
        <v>40</v>
      </c>
      <c r="U762" s="6"/>
      <c r="V762" s="5"/>
      <c r="W762" s="5"/>
      <c r="X762" s="6"/>
      <c r="BB762" s="7" t="str">
        <v>Quarter 3</v>
      </c>
    </row>
    <row r="763" spans="1:54" ht="31.4" customHeight="1" x14ac:dyDescent="0.35">
      <c r="A763" s="210">
        <v>762</v>
      </c>
      <c r="B763" s="5" t="s">
        <v>177</v>
      </c>
      <c r="C763" s="5" t="s">
        <v>5</v>
      </c>
      <c r="D763" s="5" t="s">
        <v>1004</v>
      </c>
      <c r="E763" s="149">
        <v>46014</v>
      </c>
      <c r="F763" s="149">
        <f t="shared" si="114"/>
        <v>46015</v>
      </c>
      <c r="G763" s="149">
        <f t="shared" si="115"/>
        <v>46031</v>
      </c>
      <c r="H763" s="149">
        <f t="shared" si="116"/>
        <v>46045</v>
      </c>
      <c r="I763" s="149" t="str">
        <f t="shared" si="117"/>
        <v>Dec</v>
      </c>
      <c r="J763" s="216" t="str">
        <f t="shared" ca="1" si="108"/>
        <v/>
      </c>
      <c r="K763" s="149" t="s">
        <v>3</v>
      </c>
      <c r="L763" s="149"/>
      <c r="M763" s="11">
        <v>46029</v>
      </c>
      <c r="N763" s="152">
        <f t="shared" si="118"/>
        <v>8</v>
      </c>
      <c r="O763" s="12" t="str">
        <f t="shared" si="110"/>
        <v>Yes</v>
      </c>
      <c r="P763" s="158"/>
      <c r="Q763" s="157"/>
      <c r="R763" s="11" t="s">
        <v>39</v>
      </c>
      <c r="S763" s="158"/>
      <c r="T763" s="5" t="s">
        <v>40</v>
      </c>
      <c r="U763" s="6"/>
      <c r="V763" s="5"/>
      <c r="W763" s="5"/>
      <c r="X763" s="6"/>
      <c r="BB763" s="7" t="str">
        <v>Quarter 3</v>
      </c>
    </row>
    <row r="764" spans="1:54" ht="31.4" customHeight="1" x14ac:dyDescent="0.35">
      <c r="A764" s="210">
        <v>763</v>
      </c>
      <c r="B764" s="5" t="s">
        <v>6</v>
      </c>
      <c r="C764" s="5" t="s">
        <v>6</v>
      </c>
      <c r="D764" s="5" t="s">
        <v>1005</v>
      </c>
      <c r="E764" s="149">
        <v>46014</v>
      </c>
      <c r="F764" s="149">
        <f t="shared" si="114"/>
        <v>46015</v>
      </c>
      <c r="G764" s="149">
        <f t="shared" si="115"/>
        <v>46031</v>
      </c>
      <c r="H764" s="149">
        <f t="shared" si="116"/>
        <v>46045</v>
      </c>
      <c r="I764" s="149" t="str">
        <f t="shared" si="117"/>
        <v>Dec</v>
      </c>
      <c r="J764" s="216" t="str">
        <f t="shared" ca="1" si="108"/>
        <v/>
      </c>
      <c r="K764" s="149" t="s">
        <v>43</v>
      </c>
      <c r="L764" s="149"/>
      <c r="M764" s="11">
        <v>46027</v>
      </c>
      <c r="N764" s="152">
        <f t="shared" si="118"/>
        <v>6</v>
      </c>
      <c r="O764" s="12" t="str">
        <f t="shared" si="110"/>
        <v>Yes</v>
      </c>
      <c r="P764" s="158"/>
      <c r="Q764" s="157"/>
      <c r="R764" s="11" t="s">
        <v>39</v>
      </c>
      <c r="S764" s="158"/>
      <c r="T764" s="5" t="s">
        <v>62</v>
      </c>
      <c r="U764" s="6"/>
      <c r="V764" s="5"/>
      <c r="W764" s="5"/>
      <c r="X764" s="6"/>
      <c r="BB764" s="7" t="str">
        <v>Quarter 3</v>
      </c>
    </row>
    <row r="765" spans="1:54" ht="31.4" customHeight="1" x14ac:dyDescent="0.35">
      <c r="A765" s="210">
        <v>764</v>
      </c>
      <c r="B765" s="5" t="s">
        <v>6</v>
      </c>
      <c r="C765" s="5" t="s">
        <v>6</v>
      </c>
      <c r="D765" s="5" t="s">
        <v>1006</v>
      </c>
      <c r="E765" s="149">
        <v>46014</v>
      </c>
      <c r="F765" s="149">
        <f t="shared" si="114"/>
        <v>46015</v>
      </c>
      <c r="G765" s="149">
        <f t="shared" si="115"/>
        <v>46031</v>
      </c>
      <c r="H765" s="149">
        <f t="shared" si="116"/>
        <v>46045</v>
      </c>
      <c r="I765" s="149" t="str">
        <f t="shared" si="117"/>
        <v>Dec</v>
      </c>
      <c r="J765" s="216" t="str">
        <f t="shared" ca="1" si="108"/>
        <v/>
      </c>
      <c r="K765" s="149" t="s">
        <v>4</v>
      </c>
      <c r="L765" s="149"/>
      <c r="M765" s="11">
        <v>46050</v>
      </c>
      <c r="N765" s="152">
        <f t="shared" si="118"/>
        <v>23</v>
      </c>
      <c r="O765" s="12" t="str">
        <f t="shared" si="110"/>
        <v>No</v>
      </c>
      <c r="P765" s="158"/>
      <c r="Q765" s="157"/>
      <c r="R765" s="11" t="s">
        <v>39</v>
      </c>
      <c r="S765" s="158"/>
      <c r="T765" s="5" t="s">
        <v>45</v>
      </c>
      <c r="U765" s="6"/>
      <c r="V765" s="5" t="s">
        <v>87</v>
      </c>
      <c r="W765" s="5" t="s">
        <v>46</v>
      </c>
      <c r="X765" s="6"/>
      <c r="BB765" s="7" t="str">
        <v>Quarter 3</v>
      </c>
    </row>
    <row r="766" spans="1:54" ht="31.4" customHeight="1" x14ac:dyDescent="0.35">
      <c r="A766" s="210">
        <v>765</v>
      </c>
      <c r="B766" s="5" t="s">
        <v>55</v>
      </c>
      <c r="C766" s="5" t="s">
        <v>13</v>
      </c>
      <c r="D766" s="5" t="s">
        <v>160</v>
      </c>
      <c r="E766" s="149">
        <v>46017</v>
      </c>
      <c r="F766" s="149">
        <f t="shared" si="114"/>
        <v>46020</v>
      </c>
      <c r="G766" s="149">
        <f t="shared" si="115"/>
        <v>46034</v>
      </c>
      <c r="H766" s="149">
        <f t="shared" si="116"/>
        <v>46048</v>
      </c>
      <c r="I766" s="149" t="str">
        <f t="shared" si="117"/>
        <v>Dec</v>
      </c>
      <c r="J766" s="216" t="str">
        <f t="shared" ca="1" si="108"/>
        <v/>
      </c>
      <c r="K766" s="149" t="s">
        <v>43</v>
      </c>
      <c r="L766" s="149"/>
      <c r="M766" s="11">
        <v>46043</v>
      </c>
      <c r="N766" s="152">
        <f t="shared" si="118"/>
        <v>16</v>
      </c>
      <c r="O766" s="12" t="str">
        <f t="shared" si="110"/>
        <v>Yes</v>
      </c>
      <c r="P766" s="158"/>
      <c r="Q766" s="157"/>
      <c r="R766" s="11" t="s">
        <v>39</v>
      </c>
      <c r="S766" s="158"/>
      <c r="T766" s="5" t="s">
        <v>40</v>
      </c>
      <c r="U766" s="6"/>
      <c r="V766" s="5"/>
      <c r="W766" s="5" t="s">
        <v>46</v>
      </c>
      <c r="X766" s="6"/>
      <c r="BB766" s="7" t="str">
        <v>Quarter 3</v>
      </c>
    </row>
    <row r="767" spans="1:54" ht="31.4" customHeight="1" x14ac:dyDescent="0.35">
      <c r="A767" s="210">
        <v>766</v>
      </c>
      <c r="B767" s="5" t="s">
        <v>6</v>
      </c>
      <c r="C767" s="5" t="s">
        <v>6</v>
      </c>
      <c r="D767" s="5" t="s">
        <v>1007</v>
      </c>
      <c r="E767" s="149">
        <v>46017</v>
      </c>
      <c r="F767" s="149">
        <f t="shared" si="114"/>
        <v>46020</v>
      </c>
      <c r="G767" s="149">
        <f t="shared" si="115"/>
        <v>46034</v>
      </c>
      <c r="H767" s="149">
        <f t="shared" si="116"/>
        <v>46048</v>
      </c>
      <c r="I767" s="149" t="str">
        <f t="shared" si="117"/>
        <v>Dec</v>
      </c>
      <c r="J767" s="216" t="str">
        <f t="shared" ca="1" si="108"/>
        <v/>
      </c>
      <c r="K767" s="149" t="s">
        <v>43</v>
      </c>
      <c r="L767" s="149"/>
      <c r="M767" s="11">
        <v>46027</v>
      </c>
      <c r="N767" s="152">
        <f t="shared" si="118"/>
        <v>4</v>
      </c>
      <c r="O767" s="12" t="str">
        <f t="shared" si="110"/>
        <v>Yes</v>
      </c>
      <c r="P767" s="158"/>
      <c r="Q767" s="157"/>
      <c r="R767" s="11" t="s">
        <v>39</v>
      </c>
      <c r="S767" s="158"/>
      <c r="T767" s="5" t="s">
        <v>40</v>
      </c>
      <c r="U767" s="6"/>
      <c r="V767" s="5"/>
      <c r="W767" s="5"/>
      <c r="X767" s="6"/>
      <c r="BB767" s="7" t="str">
        <v>Quarter 3</v>
      </c>
    </row>
    <row r="768" spans="1:54" ht="31.4" customHeight="1" x14ac:dyDescent="0.35">
      <c r="A768" s="210">
        <v>767</v>
      </c>
      <c r="B768" s="5" t="s">
        <v>6</v>
      </c>
      <c r="C768" s="5" t="s">
        <v>6</v>
      </c>
      <c r="D768" s="5" t="s">
        <v>1008</v>
      </c>
      <c r="E768" s="149">
        <v>46017</v>
      </c>
      <c r="F768" s="149">
        <f t="shared" si="114"/>
        <v>46020</v>
      </c>
      <c r="G768" s="149">
        <f t="shared" si="115"/>
        <v>46034</v>
      </c>
      <c r="H768" s="149">
        <f t="shared" si="116"/>
        <v>46048</v>
      </c>
      <c r="I768" s="149" t="str">
        <f t="shared" si="117"/>
        <v>Dec</v>
      </c>
      <c r="J768" s="216" t="str">
        <f t="shared" ca="1" si="108"/>
        <v/>
      </c>
      <c r="K768" s="149" t="s">
        <v>7</v>
      </c>
      <c r="L768" s="149"/>
      <c r="M768" s="11">
        <v>46027</v>
      </c>
      <c r="N768" s="152">
        <f t="shared" si="118"/>
        <v>4</v>
      </c>
      <c r="O768" s="12" t="str">
        <f t="shared" si="110"/>
        <v>Yes</v>
      </c>
      <c r="P768" s="158"/>
      <c r="Q768" s="157"/>
      <c r="R768" s="11" t="s">
        <v>39</v>
      </c>
      <c r="S768" s="158"/>
      <c r="T768" s="5" t="s">
        <v>51</v>
      </c>
      <c r="U768" s="6"/>
      <c r="V768" s="5" t="s">
        <v>41</v>
      </c>
      <c r="W768" s="5"/>
      <c r="X768" s="6"/>
      <c r="BB768" s="7" t="str">
        <v>Quarter 3</v>
      </c>
    </row>
    <row r="769" spans="1:54" ht="31.4" customHeight="1" x14ac:dyDescent="0.35">
      <c r="A769" s="210">
        <v>768</v>
      </c>
      <c r="B769" s="5" t="s">
        <v>6</v>
      </c>
      <c r="C769" s="5" t="s">
        <v>6</v>
      </c>
      <c r="D769" s="5" t="s">
        <v>1009</v>
      </c>
      <c r="E769" s="149">
        <v>46017</v>
      </c>
      <c r="F769" s="149">
        <f t="shared" si="114"/>
        <v>46020</v>
      </c>
      <c r="G769" s="149">
        <f t="shared" si="115"/>
        <v>46034</v>
      </c>
      <c r="H769" s="149">
        <f t="shared" si="116"/>
        <v>46048</v>
      </c>
      <c r="I769" s="149" t="str">
        <f t="shared" si="117"/>
        <v>Dec</v>
      </c>
      <c r="J769" s="216" t="str">
        <f t="shared" ca="1" si="108"/>
        <v/>
      </c>
      <c r="K769" s="149" t="s">
        <v>43</v>
      </c>
      <c r="L769" s="149"/>
      <c r="M769" s="11">
        <v>46024</v>
      </c>
      <c r="N769" s="152">
        <f t="shared" si="118"/>
        <v>3</v>
      </c>
      <c r="O769" s="12" t="str">
        <f t="shared" si="110"/>
        <v>Yes</v>
      </c>
      <c r="P769" s="158"/>
      <c r="Q769" s="157"/>
      <c r="R769" s="11" t="s">
        <v>39</v>
      </c>
      <c r="S769" s="158"/>
      <c r="T769" s="5" t="s">
        <v>62</v>
      </c>
      <c r="U769" s="6"/>
      <c r="V769" s="5"/>
      <c r="W769" s="5"/>
      <c r="X769" s="6"/>
      <c r="BB769" s="7" t="str">
        <v>Quarter 3</v>
      </c>
    </row>
    <row r="770" spans="1:54" ht="31.4" customHeight="1" x14ac:dyDescent="0.35">
      <c r="A770" s="210">
        <v>769</v>
      </c>
      <c r="B770" s="5" t="s">
        <v>6</v>
      </c>
      <c r="C770" s="5" t="s">
        <v>6</v>
      </c>
      <c r="D770" s="5" t="s">
        <v>1884</v>
      </c>
      <c r="E770" s="149">
        <v>46020</v>
      </c>
      <c r="F770" s="149">
        <f t="shared" si="114"/>
        <v>46021</v>
      </c>
      <c r="G770" s="149">
        <f t="shared" si="115"/>
        <v>46035</v>
      </c>
      <c r="H770" s="149">
        <f t="shared" si="116"/>
        <v>46049</v>
      </c>
      <c r="I770" s="149" t="str">
        <f t="shared" si="117"/>
        <v>Dec</v>
      </c>
      <c r="J770" s="216" t="str">
        <f t="shared" ref="J770:J833" ca="1" si="119">IF($E770="","",IF($M770="",$H770-TODAY(),""))</f>
        <v/>
      </c>
      <c r="K770" s="149" t="s">
        <v>7</v>
      </c>
      <c r="L770" s="149"/>
      <c r="M770" s="11">
        <v>46049</v>
      </c>
      <c r="N770" s="152">
        <f t="shared" si="118"/>
        <v>20</v>
      </c>
      <c r="O770" s="12" t="str">
        <f t="shared" si="110"/>
        <v>Yes</v>
      </c>
      <c r="P770" s="158"/>
      <c r="Q770" s="157"/>
      <c r="R770" s="11" t="s">
        <v>39</v>
      </c>
      <c r="S770" s="158"/>
      <c r="T770" s="5" t="s">
        <v>40</v>
      </c>
      <c r="U770" s="6"/>
      <c r="V770" s="5"/>
      <c r="W770" s="5"/>
      <c r="X770" s="6"/>
      <c r="BB770" s="7" t="str">
        <v>Quarter 3</v>
      </c>
    </row>
    <row r="771" spans="1:54" ht="31.4" customHeight="1" x14ac:dyDescent="0.35">
      <c r="A771" s="210">
        <v>770</v>
      </c>
      <c r="B771" s="5" t="s">
        <v>6</v>
      </c>
      <c r="C771" s="5" t="s">
        <v>6</v>
      </c>
      <c r="D771" s="5" t="s">
        <v>1010</v>
      </c>
      <c r="E771" s="149">
        <v>46020</v>
      </c>
      <c r="F771" s="149">
        <f t="shared" si="114"/>
        <v>46021</v>
      </c>
      <c r="G771" s="149">
        <f t="shared" si="115"/>
        <v>46035</v>
      </c>
      <c r="H771" s="149">
        <f t="shared" si="116"/>
        <v>46049</v>
      </c>
      <c r="I771" s="149" t="str">
        <f t="shared" si="117"/>
        <v>Dec</v>
      </c>
      <c r="J771" s="216" t="str">
        <f t="shared" ca="1" si="119"/>
        <v/>
      </c>
      <c r="K771" s="149" t="s">
        <v>3</v>
      </c>
      <c r="L771" s="149"/>
      <c r="M771" s="11">
        <v>46036</v>
      </c>
      <c r="N771" s="152">
        <f t="shared" si="118"/>
        <v>11</v>
      </c>
      <c r="O771" s="12" t="str">
        <f t="shared" ref="O771:O834" si="120">IF(ISBLANK($M771),"",IF($N771&lt;21,"Yes","No"))</f>
        <v>Yes</v>
      </c>
      <c r="P771" s="158"/>
      <c r="Q771" s="157"/>
      <c r="R771" s="11" t="s">
        <v>39</v>
      </c>
      <c r="S771" s="158"/>
      <c r="T771" s="5" t="s">
        <v>40</v>
      </c>
      <c r="U771" s="6"/>
      <c r="V771" s="5" t="s">
        <v>54</v>
      </c>
      <c r="W771" s="8" t="s">
        <v>657</v>
      </c>
      <c r="X771" s="6"/>
      <c r="BB771" s="7" t="str">
        <v>Quarter 3</v>
      </c>
    </row>
    <row r="772" spans="1:54" s="12" customFormat="1" ht="31.4" customHeight="1" x14ac:dyDescent="0.35">
      <c r="A772" s="210">
        <v>771</v>
      </c>
      <c r="B772" s="8" t="s">
        <v>1011</v>
      </c>
      <c r="C772" s="8" t="s">
        <v>11</v>
      </c>
      <c r="D772" s="8" t="s">
        <v>1012</v>
      </c>
      <c r="E772" s="149">
        <v>46021</v>
      </c>
      <c r="F772" s="149">
        <f t="shared" si="114"/>
        <v>46022</v>
      </c>
      <c r="G772" s="149">
        <f t="shared" si="115"/>
        <v>46036</v>
      </c>
      <c r="H772" s="149">
        <f t="shared" si="116"/>
        <v>46050</v>
      </c>
      <c r="I772" s="149" t="str">
        <f t="shared" si="117"/>
        <v>Dec</v>
      </c>
      <c r="J772" s="216" t="str">
        <f t="shared" ca="1" si="119"/>
        <v/>
      </c>
      <c r="K772" s="149" t="s">
        <v>7</v>
      </c>
      <c r="L772" s="22"/>
      <c r="M772" s="11">
        <v>46027</v>
      </c>
      <c r="N772" s="152">
        <f t="shared" si="118"/>
        <v>3</v>
      </c>
      <c r="O772" s="12" t="str">
        <f t="shared" si="120"/>
        <v>Yes</v>
      </c>
      <c r="P772" s="17"/>
      <c r="Q772" s="17"/>
      <c r="R772" s="11" t="s">
        <v>39</v>
      </c>
      <c r="S772" s="17"/>
      <c r="T772" s="8" t="s">
        <v>40</v>
      </c>
      <c r="U772" s="8"/>
      <c r="V772" s="8"/>
      <c r="W772" s="8" t="s">
        <v>46</v>
      </c>
      <c r="X772" s="8"/>
      <c r="BB772" s="12" t="str">
        <v>Quarter 3</v>
      </c>
    </row>
    <row r="773" spans="1:54" ht="31.4" customHeight="1" x14ac:dyDescent="0.35">
      <c r="A773" s="210">
        <v>772</v>
      </c>
      <c r="B773" s="5" t="s">
        <v>616</v>
      </c>
      <c r="C773" s="5" t="s">
        <v>9</v>
      </c>
      <c r="D773" s="5" t="s">
        <v>1013</v>
      </c>
      <c r="E773" s="149">
        <v>46021</v>
      </c>
      <c r="F773" s="149">
        <f t="shared" si="114"/>
        <v>46022</v>
      </c>
      <c r="G773" s="149">
        <f t="shared" si="115"/>
        <v>46036</v>
      </c>
      <c r="H773" s="149">
        <f t="shared" si="116"/>
        <v>46050</v>
      </c>
      <c r="I773" s="149" t="str">
        <f t="shared" si="117"/>
        <v>Dec</v>
      </c>
      <c r="J773" s="216" t="str">
        <f t="shared" ca="1" si="119"/>
        <v/>
      </c>
      <c r="K773" s="149" t="s">
        <v>4</v>
      </c>
      <c r="L773" s="149"/>
      <c r="M773" s="11">
        <v>46037</v>
      </c>
      <c r="N773" s="152">
        <f t="shared" si="118"/>
        <v>11</v>
      </c>
      <c r="O773" s="12" t="str">
        <f t="shared" si="120"/>
        <v>Yes</v>
      </c>
      <c r="P773" s="158"/>
      <c r="Q773" s="157"/>
      <c r="R773" s="11" t="s">
        <v>39</v>
      </c>
      <c r="S773" s="158"/>
      <c r="T773" s="5" t="s">
        <v>40</v>
      </c>
      <c r="U773" s="6"/>
      <c r="V773" s="5"/>
      <c r="W773" s="5"/>
      <c r="X773" s="6"/>
      <c r="BB773" s="7" t="str">
        <v>Quarter 3</v>
      </c>
    </row>
    <row r="774" spans="1:54" ht="31.4" customHeight="1" x14ac:dyDescent="0.35">
      <c r="A774" s="210">
        <v>773</v>
      </c>
      <c r="B774" s="5" t="s">
        <v>48</v>
      </c>
      <c r="C774" s="5" t="s">
        <v>9</v>
      </c>
      <c r="D774" s="5" t="s">
        <v>143</v>
      </c>
      <c r="E774" s="149">
        <v>46023</v>
      </c>
      <c r="F774" s="149">
        <f t="shared" si="114"/>
        <v>46024</v>
      </c>
      <c r="G774" s="149">
        <f t="shared" si="115"/>
        <v>46037</v>
      </c>
      <c r="H774" s="149">
        <f t="shared" si="116"/>
        <v>46051</v>
      </c>
      <c r="I774" s="149" t="str">
        <f t="shared" si="117"/>
        <v>Jan</v>
      </c>
      <c r="J774" s="216" t="str">
        <f t="shared" ca="1" si="119"/>
        <v/>
      </c>
      <c r="K774" s="149" t="s">
        <v>4</v>
      </c>
      <c r="L774" s="149"/>
      <c r="M774" s="11">
        <v>46024</v>
      </c>
      <c r="N774" s="152">
        <f t="shared" si="118"/>
        <v>0</v>
      </c>
      <c r="O774" s="12" t="str">
        <f t="shared" si="120"/>
        <v>Yes</v>
      </c>
      <c r="P774" s="158"/>
      <c r="Q774" s="157"/>
      <c r="R774" s="11" t="s">
        <v>39</v>
      </c>
      <c r="S774" s="158"/>
      <c r="T774" s="5" t="s">
        <v>51</v>
      </c>
      <c r="U774" s="6"/>
      <c r="V774" s="5" t="s">
        <v>53</v>
      </c>
      <c r="W774" s="5"/>
      <c r="X774" s="6"/>
      <c r="BB774" s="7" t="str">
        <v>Quarter 4</v>
      </c>
    </row>
    <row r="775" spans="1:54" ht="31.4" customHeight="1" x14ac:dyDescent="0.35">
      <c r="A775" s="210">
        <v>774</v>
      </c>
      <c r="B775" s="5" t="s">
        <v>6</v>
      </c>
      <c r="C775" s="5" t="s">
        <v>6</v>
      </c>
      <c r="D775" s="5" t="s">
        <v>1014</v>
      </c>
      <c r="E775" s="149">
        <v>46024</v>
      </c>
      <c r="F775" s="149">
        <f t="shared" si="114"/>
        <v>46027</v>
      </c>
      <c r="G775" s="149">
        <f t="shared" si="115"/>
        <v>46038</v>
      </c>
      <c r="H775" s="149">
        <f t="shared" si="116"/>
        <v>46052</v>
      </c>
      <c r="I775" s="149" t="str">
        <f t="shared" si="117"/>
        <v>Jan</v>
      </c>
      <c r="J775" s="216" t="str">
        <f t="shared" ca="1" si="119"/>
        <v/>
      </c>
      <c r="K775" s="149" t="s">
        <v>43</v>
      </c>
      <c r="L775" s="149"/>
      <c r="M775" s="11">
        <v>46029</v>
      </c>
      <c r="N775" s="152">
        <f t="shared" si="118"/>
        <v>3</v>
      </c>
      <c r="O775" s="12" t="str">
        <f t="shared" si="120"/>
        <v>Yes</v>
      </c>
      <c r="P775" s="158"/>
      <c r="Q775" s="157"/>
      <c r="R775" s="11" t="s">
        <v>39</v>
      </c>
      <c r="S775" s="158"/>
      <c r="T775" s="5" t="s">
        <v>45</v>
      </c>
      <c r="U775" s="6"/>
      <c r="V775" s="5" t="s">
        <v>53</v>
      </c>
      <c r="W775" s="5"/>
      <c r="X775" s="6"/>
      <c r="BB775" s="7" t="str">
        <v>Quarter 4</v>
      </c>
    </row>
    <row r="776" spans="1:54" ht="31.4" customHeight="1" x14ac:dyDescent="0.35">
      <c r="A776" s="210">
        <v>775</v>
      </c>
      <c r="B776" s="5" t="s">
        <v>6</v>
      </c>
      <c r="C776" s="5" t="s">
        <v>6</v>
      </c>
      <c r="D776" s="5" t="s">
        <v>209</v>
      </c>
      <c r="E776" s="149">
        <v>46024</v>
      </c>
      <c r="F776" s="149">
        <f t="shared" si="114"/>
        <v>46027</v>
      </c>
      <c r="G776" s="149">
        <f t="shared" si="115"/>
        <v>46038</v>
      </c>
      <c r="H776" s="149">
        <f t="shared" si="116"/>
        <v>46052</v>
      </c>
      <c r="I776" s="149" t="str">
        <f t="shared" si="117"/>
        <v>Jan</v>
      </c>
      <c r="J776" s="216" t="str">
        <f t="shared" ca="1" si="119"/>
        <v/>
      </c>
      <c r="K776" s="149" t="s">
        <v>7</v>
      </c>
      <c r="L776" s="149"/>
      <c r="M776" s="11">
        <v>46051</v>
      </c>
      <c r="N776" s="152">
        <f t="shared" si="118"/>
        <v>19</v>
      </c>
      <c r="O776" s="12" t="str">
        <f t="shared" si="120"/>
        <v>Yes</v>
      </c>
      <c r="P776" s="158"/>
      <c r="Q776" s="157"/>
      <c r="R776" s="11" t="s">
        <v>39</v>
      </c>
      <c r="S776" s="158"/>
      <c r="T776" s="5" t="s">
        <v>40</v>
      </c>
      <c r="U776" s="6"/>
      <c r="V776" s="5"/>
      <c r="W776" s="5" t="s">
        <v>46</v>
      </c>
      <c r="X776" s="6"/>
      <c r="BB776" s="7" t="str">
        <v>Quarter 4</v>
      </c>
    </row>
    <row r="777" spans="1:54" ht="31.4" customHeight="1" x14ac:dyDescent="0.35">
      <c r="A777" s="210">
        <v>776</v>
      </c>
      <c r="B777" s="5" t="s">
        <v>6</v>
      </c>
      <c r="C777" s="5" t="s">
        <v>6</v>
      </c>
      <c r="D777" s="5" t="s">
        <v>1015</v>
      </c>
      <c r="E777" s="149">
        <v>46025</v>
      </c>
      <c r="F777" s="149">
        <f t="shared" si="114"/>
        <v>46027</v>
      </c>
      <c r="G777" s="149">
        <f t="shared" si="115"/>
        <v>46038</v>
      </c>
      <c r="H777" s="149">
        <f t="shared" si="116"/>
        <v>46052</v>
      </c>
      <c r="I777" s="149" t="str">
        <f t="shared" si="117"/>
        <v>Jan</v>
      </c>
      <c r="J777" s="216" t="str">
        <f t="shared" ca="1" si="119"/>
        <v/>
      </c>
      <c r="K777" s="149" t="s">
        <v>7</v>
      </c>
      <c r="L777" s="149"/>
      <c r="M777" s="11">
        <v>46050</v>
      </c>
      <c r="N777" s="152">
        <f t="shared" si="118"/>
        <v>17</v>
      </c>
      <c r="O777" s="12" t="str">
        <f t="shared" si="120"/>
        <v>Yes</v>
      </c>
      <c r="P777" s="158"/>
      <c r="Q777" s="157"/>
      <c r="R777" s="11" t="s">
        <v>39</v>
      </c>
      <c r="S777" s="158"/>
      <c r="T777" s="5" t="s">
        <v>40</v>
      </c>
      <c r="U777" s="6"/>
      <c r="V777" s="5"/>
      <c r="W777" s="5"/>
      <c r="X777" s="6"/>
      <c r="BB777" s="7" t="str">
        <v>Quarter 4</v>
      </c>
    </row>
    <row r="778" spans="1:54" ht="31.4" customHeight="1" x14ac:dyDescent="0.35">
      <c r="A778" s="210">
        <v>777</v>
      </c>
      <c r="B778" s="5" t="s">
        <v>6</v>
      </c>
      <c r="C778" s="5" t="s">
        <v>6</v>
      </c>
      <c r="D778" s="5" t="s">
        <v>1016</v>
      </c>
      <c r="E778" s="149">
        <v>46025</v>
      </c>
      <c r="F778" s="149">
        <f t="shared" si="114"/>
        <v>46027</v>
      </c>
      <c r="G778" s="149">
        <f t="shared" si="115"/>
        <v>46038</v>
      </c>
      <c r="H778" s="149">
        <f t="shared" si="116"/>
        <v>46052</v>
      </c>
      <c r="I778" s="149" t="str">
        <f t="shared" si="117"/>
        <v>Jan</v>
      </c>
      <c r="J778" s="216" t="str">
        <f t="shared" ca="1" si="119"/>
        <v/>
      </c>
      <c r="K778" s="149" t="s">
        <v>4</v>
      </c>
      <c r="L778" s="149"/>
      <c r="M778" s="11">
        <v>46034</v>
      </c>
      <c r="N778" s="152">
        <f t="shared" si="118"/>
        <v>5</v>
      </c>
      <c r="O778" s="12" t="str">
        <f t="shared" si="120"/>
        <v>Yes</v>
      </c>
      <c r="P778" s="158"/>
      <c r="Q778" s="157"/>
      <c r="R778" s="11" t="s">
        <v>39</v>
      </c>
      <c r="S778" s="158"/>
      <c r="T778" s="5" t="s">
        <v>62</v>
      </c>
      <c r="U778" s="6"/>
      <c r="V778" s="5"/>
      <c r="W778" s="5" t="s">
        <v>1017</v>
      </c>
      <c r="X778" s="6"/>
      <c r="BB778" s="7" t="str">
        <v>Quarter 4</v>
      </c>
    </row>
    <row r="779" spans="1:54" ht="31.4" customHeight="1" x14ac:dyDescent="0.35">
      <c r="A779" s="210">
        <v>778</v>
      </c>
      <c r="B779" s="5" t="s">
        <v>338</v>
      </c>
      <c r="C779" s="5" t="s">
        <v>9</v>
      </c>
      <c r="D779" s="5" t="s">
        <v>550</v>
      </c>
      <c r="E779" s="149">
        <v>46027</v>
      </c>
      <c r="F779" s="149">
        <f t="shared" si="114"/>
        <v>46028</v>
      </c>
      <c r="G779" s="149">
        <f t="shared" si="115"/>
        <v>46041</v>
      </c>
      <c r="H779" s="149">
        <f t="shared" si="116"/>
        <v>46055</v>
      </c>
      <c r="I779" s="149" t="str">
        <f t="shared" si="117"/>
        <v>Jan</v>
      </c>
      <c r="J779" s="216" t="str">
        <f t="shared" ca="1" si="119"/>
        <v/>
      </c>
      <c r="K779" s="149" t="s">
        <v>4</v>
      </c>
      <c r="L779" s="149"/>
      <c r="M779" s="11">
        <v>46041</v>
      </c>
      <c r="N779" s="152">
        <f t="shared" si="118"/>
        <v>10</v>
      </c>
      <c r="O779" s="12" t="str">
        <f t="shared" si="120"/>
        <v>Yes</v>
      </c>
      <c r="P779" s="158"/>
      <c r="Q779" s="157"/>
      <c r="R779" s="11" t="s">
        <v>39</v>
      </c>
      <c r="S779" s="158"/>
      <c r="T779" s="5" t="s">
        <v>62</v>
      </c>
      <c r="U779" s="6"/>
      <c r="V779" s="5"/>
      <c r="W779" s="5"/>
      <c r="X779" s="6"/>
      <c r="BB779" s="7" t="str">
        <v>Quarter 4</v>
      </c>
    </row>
    <row r="780" spans="1:54" ht="31.4" customHeight="1" x14ac:dyDescent="0.35">
      <c r="A780" s="210">
        <v>779</v>
      </c>
      <c r="B780" s="5" t="s">
        <v>6</v>
      </c>
      <c r="C780" s="5" t="s">
        <v>6</v>
      </c>
      <c r="D780" s="5" t="s">
        <v>1018</v>
      </c>
      <c r="E780" s="149">
        <v>46000</v>
      </c>
      <c r="F780" s="149">
        <f t="shared" ref="F780:F811" si="121">IF($E780="","",WORKDAY($E780,1,$Z$33:$Z$47))</f>
        <v>46001</v>
      </c>
      <c r="G780" s="149">
        <f t="shared" ref="G780:G811" si="122">IF($E780="","",WORKDAY($E780,10,$Z$33:$Z$47))</f>
        <v>46014</v>
      </c>
      <c r="H780" s="149">
        <f t="shared" ref="H780:H811" si="123">IF($E780="","",WORKDAY($E780,20,$Z$33:$Z$47))</f>
        <v>46031</v>
      </c>
      <c r="I780" s="149" t="str">
        <f t="shared" si="117"/>
        <v>Dec</v>
      </c>
      <c r="J780" s="216" t="str">
        <f t="shared" ca="1" si="119"/>
        <v/>
      </c>
      <c r="K780" s="149" t="s">
        <v>4</v>
      </c>
      <c r="L780" s="149"/>
      <c r="M780" s="11">
        <v>46027</v>
      </c>
      <c r="N780" s="152">
        <f t="shared" si="118"/>
        <v>16</v>
      </c>
      <c r="O780" s="12" t="str">
        <f t="shared" si="120"/>
        <v>Yes</v>
      </c>
      <c r="P780" s="158"/>
      <c r="Q780" s="157"/>
      <c r="R780" s="11" t="s">
        <v>39</v>
      </c>
      <c r="S780" s="158"/>
      <c r="T780" s="5" t="s">
        <v>40</v>
      </c>
      <c r="U780" s="6"/>
      <c r="V780" s="5" t="s">
        <v>87</v>
      </c>
      <c r="W780" s="5"/>
      <c r="X780" s="6"/>
      <c r="BB780" s="7" t="str">
        <v>Quarter 3</v>
      </c>
    </row>
    <row r="781" spans="1:54" ht="31.4" customHeight="1" x14ac:dyDescent="0.35">
      <c r="A781" s="210">
        <v>780</v>
      </c>
      <c r="B781" s="5" t="s">
        <v>6</v>
      </c>
      <c r="C781" s="5" t="s">
        <v>6</v>
      </c>
      <c r="D781" s="5" t="s">
        <v>1019</v>
      </c>
      <c r="E781" s="149">
        <v>46027</v>
      </c>
      <c r="F781" s="149">
        <f t="shared" si="121"/>
        <v>46028</v>
      </c>
      <c r="G781" s="149">
        <f t="shared" si="122"/>
        <v>46041</v>
      </c>
      <c r="H781" s="149">
        <f t="shared" si="123"/>
        <v>46055</v>
      </c>
      <c r="I781" s="149" t="str">
        <f t="shared" si="117"/>
        <v>Jan</v>
      </c>
      <c r="J781" s="216" t="str">
        <f t="shared" ca="1" si="119"/>
        <v/>
      </c>
      <c r="K781" s="149" t="s">
        <v>4</v>
      </c>
      <c r="L781" s="149"/>
      <c r="M781" s="11">
        <v>46034</v>
      </c>
      <c r="N781" s="152">
        <f t="shared" si="118"/>
        <v>5</v>
      </c>
      <c r="O781" s="12" t="str">
        <f t="shared" si="120"/>
        <v>Yes</v>
      </c>
      <c r="P781" s="158"/>
      <c r="Q781" s="157"/>
      <c r="R781" s="11" t="s">
        <v>39</v>
      </c>
      <c r="S781" s="158"/>
      <c r="T781" s="5" t="s">
        <v>62</v>
      </c>
      <c r="U781" s="6"/>
      <c r="V781" s="5"/>
      <c r="W781" s="5" t="s">
        <v>1017</v>
      </c>
      <c r="X781" s="6"/>
      <c r="BB781" s="7" t="str">
        <v>Quarter 4</v>
      </c>
    </row>
    <row r="782" spans="1:54" ht="31.4" customHeight="1" x14ac:dyDescent="0.35">
      <c r="A782" s="210">
        <v>781</v>
      </c>
      <c r="B782" s="5" t="s">
        <v>6</v>
      </c>
      <c r="C782" s="5" t="s">
        <v>6</v>
      </c>
      <c r="D782" s="5" t="s">
        <v>1020</v>
      </c>
      <c r="E782" s="149">
        <v>46028</v>
      </c>
      <c r="F782" s="149">
        <f t="shared" si="121"/>
        <v>46029</v>
      </c>
      <c r="G782" s="149">
        <f t="shared" si="122"/>
        <v>46042</v>
      </c>
      <c r="H782" s="149">
        <f t="shared" si="123"/>
        <v>46056</v>
      </c>
      <c r="I782" s="149" t="str">
        <f t="shared" si="117"/>
        <v>Jan</v>
      </c>
      <c r="J782" s="216" t="str">
        <f t="shared" ca="1" si="119"/>
        <v/>
      </c>
      <c r="K782" s="149" t="s">
        <v>7</v>
      </c>
      <c r="L782" s="149"/>
      <c r="M782" s="11">
        <v>46042</v>
      </c>
      <c r="N782" s="152">
        <f t="shared" si="118"/>
        <v>10</v>
      </c>
      <c r="O782" s="12" t="str">
        <f t="shared" si="120"/>
        <v>Yes</v>
      </c>
      <c r="P782" s="158"/>
      <c r="Q782" s="157"/>
      <c r="R782" s="11" t="s">
        <v>39</v>
      </c>
      <c r="S782" s="158"/>
      <c r="T782" s="5" t="s">
        <v>45</v>
      </c>
      <c r="U782" s="6"/>
      <c r="V782" s="5" t="s">
        <v>87</v>
      </c>
      <c r="W782" s="5"/>
      <c r="BB782" s="7" t="str">
        <v>Quarter 4</v>
      </c>
    </row>
    <row r="783" spans="1:54" ht="31.4" customHeight="1" x14ac:dyDescent="0.35">
      <c r="A783" s="210">
        <v>782</v>
      </c>
      <c r="B783" s="5" t="s">
        <v>6</v>
      </c>
      <c r="C783" s="5" t="s">
        <v>6</v>
      </c>
      <c r="D783" s="5" t="s">
        <v>1021</v>
      </c>
      <c r="E783" s="149">
        <v>46028</v>
      </c>
      <c r="F783" s="149">
        <f t="shared" si="121"/>
        <v>46029</v>
      </c>
      <c r="G783" s="149">
        <f t="shared" si="122"/>
        <v>46042</v>
      </c>
      <c r="H783" s="149">
        <f t="shared" si="123"/>
        <v>46056</v>
      </c>
      <c r="I783" s="149" t="str">
        <f t="shared" si="117"/>
        <v>Jan</v>
      </c>
      <c r="J783" s="216" t="str">
        <f t="shared" ca="1" si="119"/>
        <v/>
      </c>
      <c r="K783" s="149" t="s">
        <v>4</v>
      </c>
      <c r="L783" s="149"/>
      <c r="M783" s="11">
        <v>46029</v>
      </c>
      <c r="N783" s="152">
        <f t="shared" si="118"/>
        <v>1</v>
      </c>
      <c r="O783" s="12" t="str">
        <f t="shared" si="120"/>
        <v>Yes</v>
      </c>
      <c r="P783" s="158"/>
      <c r="Q783" s="157"/>
      <c r="R783" s="11" t="s">
        <v>39</v>
      </c>
      <c r="S783" s="158"/>
      <c r="T783" s="5" t="s">
        <v>40</v>
      </c>
      <c r="U783" s="6"/>
      <c r="V783" s="5" t="s">
        <v>54</v>
      </c>
      <c r="W783" s="5" t="s">
        <v>657</v>
      </c>
      <c r="BB783" s="7" t="str">
        <v>Quarter 4</v>
      </c>
    </row>
    <row r="784" spans="1:54" ht="31.4" customHeight="1" x14ac:dyDescent="0.35">
      <c r="A784" s="210">
        <v>783</v>
      </c>
      <c r="B784" s="5" t="s">
        <v>55</v>
      </c>
      <c r="C784" s="5" t="s">
        <v>13</v>
      </c>
      <c r="D784" s="5" t="s">
        <v>1022</v>
      </c>
      <c r="E784" s="149">
        <v>46028</v>
      </c>
      <c r="F784" s="149">
        <f t="shared" si="121"/>
        <v>46029</v>
      </c>
      <c r="G784" s="149">
        <f t="shared" si="122"/>
        <v>46042</v>
      </c>
      <c r="H784" s="149">
        <f t="shared" si="123"/>
        <v>46056</v>
      </c>
      <c r="I784" s="149" t="str">
        <f t="shared" si="117"/>
        <v>Jan</v>
      </c>
      <c r="J784" s="216" t="str">
        <f t="shared" ca="1" si="119"/>
        <v/>
      </c>
      <c r="K784" s="149" t="s">
        <v>7</v>
      </c>
      <c r="L784" s="149"/>
      <c r="M784" s="11">
        <v>46043</v>
      </c>
      <c r="N784" s="152">
        <f t="shared" si="118"/>
        <v>11</v>
      </c>
      <c r="O784" s="12" t="str">
        <f t="shared" si="120"/>
        <v>Yes</v>
      </c>
      <c r="P784" s="158"/>
      <c r="Q784" s="157"/>
      <c r="R784" s="11" t="s">
        <v>39</v>
      </c>
      <c r="S784" s="158"/>
      <c r="T784" s="5" t="s">
        <v>40</v>
      </c>
      <c r="U784" s="6"/>
      <c r="V784" s="5"/>
      <c r="W784" s="5"/>
      <c r="BB784" s="7" t="str">
        <v>Quarter 4</v>
      </c>
    </row>
    <row r="785" spans="1:54" ht="31.4" customHeight="1" x14ac:dyDescent="0.35">
      <c r="A785" s="210">
        <v>784</v>
      </c>
      <c r="B785" s="5" t="s">
        <v>6</v>
      </c>
      <c r="C785" s="5" t="s">
        <v>6</v>
      </c>
      <c r="D785" s="5" t="s">
        <v>1023</v>
      </c>
      <c r="E785" s="149">
        <v>46029</v>
      </c>
      <c r="F785" s="149">
        <f t="shared" si="121"/>
        <v>46030</v>
      </c>
      <c r="G785" s="149">
        <f t="shared" si="122"/>
        <v>46043</v>
      </c>
      <c r="H785" s="149">
        <f t="shared" si="123"/>
        <v>46057</v>
      </c>
      <c r="I785" s="149" t="str">
        <f t="shared" si="117"/>
        <v>Jan</v>
      </c>
      <c r="J785" s="216" t="str">
        <f t="shared" ca="1" si="119"/>
        <v/>
      </c>
      <c r="K785" s="149" t="s">
        <v>43</v>
      </c>
      <c r="L785" s="149"/>
      <c r="M785" s="11">
        <v>46031</v>
      </c>
      <c r="N785" s="152">
        <f t="shared" si="118"/>
        <v>2</v>
      </c>
      <c r="O785" s="12" t="str">
        <f t="shared" si="120"/>
        <v>Yes</v>
      </c>
      <c r="P785" s="158"/>
      <c r="Q785" s="157"/>
      <c r="R785" s="11" t="s">
        <v>39</v>
      </c>
      <c r="S785" s="158"/>
      <c r="T785" s="5" t="s">
        <v>40</v>
      </c>
      <c r="U785" s="6"/>
      <c r="V785" s="5"/>
      <c r="W785" s="5"/>
      <c r="BB785" s="7" t="str">
        <v>Quarter 4</v>
      </c>
    </row>
    <row r="786" spans="1:54" ht="31.4" customHeight="1" x14ac:dyDescent="0.35">
      <c r="A786" s="210">
        <v>785</v>
      </c>
      <c r="B786" s="5" t="s">
        <v>967</v>
      </c>
      <c r="C786" s="5" t="s">
        <v>5</v>
      </c>
      <c r="D786" s="5" t="s">
        <v>1024</v>
      </c>
      <c r="E786" s="149">
        <v>46029</v>
      </c>
      <c r="F786" s="149">
        <f t="shared" si="121"/>
        <v>46030</v>
      </c>
      <c r="G786" s="149">
        <f t="shared" si="122"/>
        <v>46043</v>
      </c>
      <c r="H786" s="149">
        <f t="shared" si="123"/>
        <v>46057</v>
      </c>
      <c r="I786" s="149" t="str">
        <f t="shared" si="117"/>
        <v>Jan</v>
      </c>
      <c r="J786" s="216" t="str">
        <f t="shared" ca="1" si="119"/>
        <v/>
      </c>
      <c r="K786" s="149" t="s">
        <v>4</v>
      </c>
      <c r="L786" s="149"/>
      <c r="M786" s="11">
        <v>46034</v>
      </c>
      <c r="N786" s="152">
        <f t="shared" si="118"/>
        <v>3</v>
      </c>
      <c r="O786" s="12" t="str">
        <f t="shared" si="120"/>
        <v>Yes</v>
      </c>
      <c r="P786" s="158"/>
      <c r="Q786" s="157"/>
      <c r="R786" s="11" t="s">
        <v>39</v>
      </c>
      <c r="S786" s="158"/>
      <c r="T786" s="5" t="s">
        <v>62</v>
      </c>
      <c r="U786" s="6"/>
      <c r="V786" s="5"/>
      <c r="W786" s="5" t="s">
        <v>1025</v>
      </c>
      <c r="BB786" s="7" t="str">
        <v>Quarter 4</v>
      </c>
    </row>
    <row r="787" spans="1:54" ht="31.4" customHeight="1" x14ac:dyDescent="0.35">
      <c r="A787" s="210">
        <v>786</v>
      </c>
      <c r="B787" s="5" t="s">
        <v>6</v>
      </c>
      <c r="C787" s="5" t="s">
        <v>6</v>
      </c>
      <c r="D787" s="5" t="s">
        <v>1026</v>
      </c>
      <c r="E787" s="149">
        <v>46029</v>
      </c>
      <c r="F787" s="149">
        <f t="shared" si="121"/>
        <v>46030</v>
      </c>
      <c r="G787" s="149">
        <f t="shared" si="122"/>
        <v>46043</v>
      </c>
      <c r="H787" s="149">
        <f t="shared" si="123"/>
        <v>46057</v>
      </c>
      <c r="I787" s="149" t="str">
        <f t="shared" si="117"/>
        <v>Jan</v>
      </c>
      <c r="J787" s="216" t="str">
        <f t="shared" ca="1" si="119"/>
        <v/>
      </c>
      <c r="K787" s="149" t="s">
        <v>4</v>
      </c>
      <c r="L787" s="149"/>
      <c r="M787" s="11">
        <v>46064</v>
      </c>
      <c r="N787" s="152">
        <f t="shared" si="118"/>
        <v>25</v>
      </c>
      <c r="O787" s="12" t="str">
        <f t="shared" si="120"/>
        <v>No</v>
      </c>
      <c r="P787" s="158"/>
      <c r="Q787" s="157"/>
      <c r="R787" s="11" t="s">
        <v>39</v>
      </c>
      <c r="S787" s="158"/>
      <c r="T787" s="5" t="s">
        <v>40</v>
      </c>
      <c r="U787" s="6"/>
      <c r="V787" s="5" t="s">
        <v>54</v>
      </c>
      <c r="W787" s="5"/>
      <c r="BB787" s="7" t="str">
        <v>Quarter 4</v>
      </c>
    </row>
    <row r="788" spans="1:54" ht="31.4" customHeight="1" x14ac:dyDescent="0.35">
      <c r="A788" s="210">
        <v>787</v>
      </c>
      <c r="B788" s="5" t="s">
        <v>6</v>
      </c>
      <c r="C788" s="5" t="s">
        <v>6</v>
      </c>
      <c r="D788" s="5" t="s">
        <v>1027</v>
      </c>
      <c r="E788" s="149">
        <v>46034</v>
      </c>
      <c r="F788" s="149">
        <f t="shared" si="121"/>
        <v>46035</v>
      </c>
      <c r="G788" s="149">
        <f t="shared" si="122"/>
        <v>46048</v>
      </c>
      <c r="H788" s="149">
        <f t="shared" si="123"/>
        <v>46062</v>
      </c>
      <c r="I788" s="149" t="str">
        <f t="shared" si="117"/>
        <v>Jan</v>
      </c>
      <c r="J788" s="216" t="str">
        <f t="shared" ca="1" si="119"/>
        <v/>
      </c>
      <c r="K788" s="149" t="s">
        <v>4</v>
      </c>
      <c r="L788" s="149"/>
      <c r="M788" s="11">
        <v>46050</v>
      </c>
      <c r="N788" s="152">
        <f t="shared" si="118"/>
        <v>12</v>
      </c>
      <c r="O788" s="12" t="str">
        <f t="shared" si="120"/>
        <v>Yes</v>
      </c>
      <c r="P788" s="158"/>
      <c r="Q788" s="157"/>
      <c r="R788" s="11" t="s">
        <v>39</v>
      </c>
      <c r="S788" s="158"/>
      <c r="T788" s="5" t="s">
        <v>51</v>
      </c>
      <c r="U788" s="6"/>
      <c r="V788" s="5" t="s">
        <v>41</v>
      </c>
      <c r="W788" s="5"/>
      <c r="BB788" s="7" t="str">
        <v>Quarter 4</v>
      </c>
    </row>
    <row r="789" spans="1:54" ht="31.4" customHeight="1" x14ac:dyDescent="0.35">
      <c r="A789" s="210">
        <v>788</v>
      </c>
      <c r="B789" s="5" t="s">
        <v>815</v>
      </c>
      <c r="C789" s="5" t="s">
        <v>11</v>
      </c>
      <c r="D789" s="5" t="s">
        <v>1028</v>
      </c>
      <c r="E789" s="149">
        <v>46029</v>
      </c>
      <c r="F789" s="149">
        <f t="shared" si="121"/>
        <v>46030</v>
      </c>
      <c r="G789" s="149">
        <f t="shared" si="122"/>
        <v>46043</v>
      </c>
      <c r="H789" s="149">
        <f t="shared" si="123"/>
        <v>46057</v>
      </c>
      <c r="I789" s="149" t="str">
        <f t="shared" si="117"/>
        <v>Jan</v>
      </c>
      <c r="J789" s="216" t="str">
        <f t="shared" ca="1" si="119"/>
        <v/>
      </c>
      <c r="K789" s="149" t="s">
        <v>43</v>
      </c>
      <c r="L789" s="149"/>
      <c r="M789" s="11">
        <v>46035</v>
      </c>
      <c r="N789" s="152">
        <f t="shared" si="118"/>
        <v>4</v>
      </c>
      <c r="O789" s="12" t="str">
        <f t="shared" si="120"/>
        <v>Yes</v>
      </c>
      <c r="P789" s="158"/>
      <c r="Q789" s="157"/>
      <c r="R789" s="11" t="s">
        <v>39</v>
      </c>
      <c r="S789" s="158"/>
      <c r="T789" s="5" t="s">
        <v>40</v>
      </c>
      <c r="U789" s="6"/>
      <c r="V789" s="5" t="s">
        <v>87</v>
      </c>
      <c r="W789" s="5"/>
      <c r="BB789" s="7" t="str">
        <v>Quarter 4</v>
      </c>
    </row>
    <row r="790" spans="1:54" ht="31.4" customHeight="1" x14ac:dyDescent="0.35">
      <c r="A790" s="210">
        <v>789</v>
      </c>
      <c r="B790" s="5" t="s">
        <v>6</v>
      </c>
      <c r="C790" s="5" t="s">
        <v>6</v>
      </c>
      <c r="D790" s="5" t="s">
        <v>1029</v>
      </c>
      <c r="E790" s="149">
        <v>46030</v>
      </c>
      <c r="F790" s="149">
        <f t="shared" si="121"/>
        <v>46031</v>
      </c>
      <c r="G790" s="149">
        <f t="shared" si="122"/>
        <v>46044</v>
      </c>
      <c r="H790" s="149">
        <f t="shared" si="123"/>
        <v>46058</v>
      </c>
      <c r="I790" s="149" t="str">
        <f t="shared" si="117"/>
        <v>Jan</v>
      </c>
      <c r="J790" s="216" t="str">
        <f t="shared" ca="1" si="119"/>
        <v/>
      </c>
      <c r="K790" s="149" t="s">
        <v>4</v>
      </c>
      <c r="L790" s="149"/>
      <c r="M790" s="11">
        <v>46051</v>
      </c>
      <c r="N790" s="152">
        <f t="shared" si="118"/>
        <v>15</v>
      </c>
      <c r="O790" s="12" t="str">
        <f t="shared" si="120"/>
        <v>Yes</v>
      </c>
      <c r="P790" s="158"/>
      <c r="Q790" s="157"/>
      <c r="R790" s="11" t="s">
        <v>39</v>
      </c>
      <c r="S790" s="158"/>
      <c r="T790" s="5" t="s">
        <v>40</v>
      </c>
      <c r="U790" s="6"/>
      <c r="V790" s="5"/>
      <c r="W790" s="5"/>
      <c r="BB790" s="7" t="str">
        <v>Quarter 4</v>
      </c>
    </row>
    <row r="791" spans="1:54" ht="31.4" customHeight="1" x14ac:dyDescent="0.35">
      <c r="A791" s="210">
        <v>790</v>
      </c>
      <c r="B791" s="5" t="s">
        <v>6</v>
      </c>
      <c r="C791" s="5" t="s">
        <v>6</v>
      </c>
      <c r="D791" s="5" t="s">
        <v>1030</v>
      </c>
      <c r="E791" s="149">
        <v>46031</v>
      </c>
      <c r="F791" s="149">
        <f t="shared" si="121"/>
        <v>46034</v>
      </c>
      <c r="G791" s="149">
        <f t="shared" si="122"/>
        <v>46045</v>
      </c>
      <c r="H791" s="149">
        <f t="shared" si="123"/>
        <v>46059</v>
      </c>
      <c r="I791" s="149" t="str">
        <f t="shared" si="117"/>
        <v>Jan</v>
      </c>
      <c r="J791" s="216" t="str">
        <f t="shared" ca="1" si="119"/>
        <v/>
      </c>
      <c r="K791" s="149" t="s">
        <v>43</v>
      </c>
      <c r="L791" s="149"/>
      <c r="M791" s="11">
        <v>46034</v>
      </c>
      <c r="N791" s="152">
        <f t="shared" si="118"/>
        <v>1</v>
      </c>
      <c r="O791" s="12" t="str">
        <f t="shared" si="120"/>
        <v>Yes</v>
      </c>
      <c r="P791" s="158"/>
      <c r="Q791" s="157"/>
      <c r="R791" s="11" t="s">
        <v>39</v>
      </c>
      <c r="S791" s="158"/>
      <c r="T791" s="5" t="s">
        <v>62</v>
      </c>
      <c r="U791" s="6"/>
      <c r="V791" s="5"/>
      <c r="W791" s="5"/>
      <c r="BB791" s="7" t="str">
        <v>Quarter 4</v>
      </c>
    </row>
    <row r="792" spans="1:54" ht="31.4" customHeight="1" x14ac:dyDescent="0.35">
      <c r="A792" s="210">
        <v>791</v>
      </c>
      <c r="B792" s="5" t="s">
        <v>55</v>
      </c>
      <c r="C792" s="5" t="s">
        <v>13</v>
      </c>
      <c r="D792" s="5" t="s">
        <v>1031</v>
      </c>
      <c r="E792" s="149">
        <v>46031</v>
      </c>
      <c r="F792" s="149">
        <f t="shared" si="121"/>
        <v>46034</v>
      </c>
      <c r="G792" s="149">
        <f t="shared" si="122"/>
        <v>46045</v>
      </c>
      <c r="H792" s="149">
        <f t="shared" si="123"/>
        <v>46059</v>
      </c>
      <c r="I792" s="149" t="str">
        <f t="shared" si="117"/>
        <v>Jan</v>
      </c>
      <c r="J792" s="216" t="str">
        <f t="shared" ca="1" si="119"/>
        <v/>
      </c>
      <c r="K792" s="149" t="s">
        <v>3</v>
      </c>
      <c r="L792" s="149"/>
      <c r="M792" s="11">
        <v>46042</v>
      </c>
      <c r="N792" s="152">
        <f t="shared" si="118"/>
        <v>7</v>
      </c>
      <c r="O792" s="12" t="str">
        <f t="shared" si="120"/>
        <v>Yes</v>
      </c>
      <c r="P792" s="158"/>
      <c r="Q792" s="157"/>
      <c r="R792" s="11" t="s">
        <v>39</v>
      </c>
      <c r="S792" s="158"/>
      <c r="T792" s="5" t="s">
        <v>40</v>
      </c>
      <c r="U792" s="6"/>
      <c r="V792" s="5"/>
      <c r="W792" s="5"/>
      <c r="BB792" s="7" t="str">
        <v>Quarter 4</v>
      </c>
    </row>
    <row r="793" spans="1:54" ht="31.4" customHeight="1" x14ac:dyDescent="0.35">
      <c r="A793" s="210">
        <v>792</v>
      </c>
      <c r="B793" s="5" t="s">
        <v>826</v>
      </c>
      <c r="C793" s="5" t="s">
        <v>5</v>
      </c>
      <c r="D793" s="5" t="s">
        <v>1005</v>
      </c>
      <c r="E793" s="149">
        <v>46031</v>
      </c>
      <c r="F793" s="149">
        <f t="shared" si="121"/>
        <v>46034</v>
      </c>
      <c r="G793" s="149">
        <f t="shared" si="122"/>
        <v>46045</v>
      </c>
      <c r="H793" s="149">
        <f t="shared" si="123"/>
        <v>46059</v>
      </c>
      <c r="I793" s="149" t="str">
        <f t="shared" si="117"/>
        <v>Jan</v>
      </c>
      <c r="J793" s="216" t="str">
        <f t="shared" ca="1" si="119"/>
        <v/>
      </c>
      <c r="K793" s="149" t="s">
        <v>43</v>
      </c>
      <c r="L793" s="149"/>
      <c r="M793" s="11">
        <v>46036</v>
      </c>
      <c r="N793" s="152">
        <f t="shared" si="118"/>
        <v>3</v>
      </c>
      <c r="O793" s="12" t="str">
        <f t="shared" si="120"/>
        <v>Yes</v>
      </c>
      <c r="P793" s="158"/>
      <c r="Q793" s="157"/>
      <c r="R793" s="11" t="s">
        <v>39</v>
      </c>
      <c r="S793" s="158"/>
      <c r="T793" s="5" t="s">
        <v>40</v>
      </c>
      <c r="U793" s="6"/>
      <c r="V793" s="5"/>
      <c r="W793" s="5" t="s">
        <v>46</v>
      </c>
      <c r="BB793" s="7" t="str">
        <v>Quarter 4</v>
      </c>
    </row>
    <row r="794" spans="1:54" ht="31.4" customHeight="1" x14ac:dyDescent="0.35">
      <c r="A794" s="210">
        <v>793</v>
      </c>
      <c r="B794" s="5" t="s">
        <v>1032</v>
      </c>
      <c r="C794" s="5" t="s">
        <v>11</v>
      </c>
      <c r="D794" s="5" t="s">
        <v>1033</v>
      </c>
      <c r="E794" s="149">
        <v>46032</v>
      </c>
      <c r="F794" s="149">
        <f t="shared" si="121"/>
        <v>46034</v>
      </c>
      <c r="G794" s="149">
        <f t="shared" si="122"/>
        <v>46045</v>
      </c>
      <c r="H794" s="149">
        <f t="shared" si="123"/>
        <v>46059</v>
      </c>
      <c r="I794" s="149" t="str">
        <f t="shared" si="117"/>
        <v>Jan</v>
      </c>
      <c r="J794" s="216" t="str">
        <f t="shared" ca="1" si="119"/>
        <v/>
      </c>
      <c r="K794" s="149" t="s">
        <v>4</v>
      </c>
      <c r="L794" s="149"/>
      <c r="M794" s="11">
        <v>46062</v>
      </c>
      <c r="N794" s="152">
        <f t="shared" si="118"/>
        <v>20</v>
      </c>
      <c r="O794" s="12" t="str">
        <f t="shared" si="120"/>
        <v>Yes</v>
      </c>
      <c r="P794" s="158"/>
      <c r="Q794" s="157"/>
      <c r="R794" s="11" t="s">
        <v>39</v>
      </c>
      <c r="S794" s="158"/>
      <c r="T794" s="5" t="s">
        <v>40</v>
      </c>
      <c r="U794" s="6"/>
      <c r="V794" s="5"/>
      <c r="W794" s="5"/>
      <c r="BB794" s="7" t="str">
        <v>Quarter 4</v>
      </c>
    </row>
    <row r="795" spans="1:54" ht="31.4" customHeight="1" x14ac:dyDescent="0.35">
      <c r="A795" s="210">
        <v>794</v>
      </c>
      <c r="B795" s="5" t="s">
        <v>6</v>
      </c>
      <c r="C795" s="5" t="s">
        <v>6</v>
      </c>
      <c r="D795" s="5" t="s">
        <v>1034</v>
      </c>
      <c r="E795" s="149">
        <v>46033</v>
      </c>
      <c r="F795" s="149">
        <f t="shared" si="121"/>
        <v>46034</v>
      </c>
      <c r="G795" s="149">
        <f t="shared" si="122"/>
        <v>46045</v>
      </c>
      <c r="H795" s="149">
        <f t="shared" si="123"/>
        <v>46059</v>
      </c>
      <c r="I795" s="149" t="str">
        <f t="shared" si="117"/>
        <v>Jan</v>
      </c>
      <c r="J795" s="216" t="str">
        <f t="shared" ca="1" si="119"/>
        <v/>
      </c>
      <c r="K795" s="149" t="s">
        <v>43</v>
      </c>
      <c r="L795" s="149"/>
      <c r="M795" s="11">
        <v>46041</v>
      </c>
      <c r="N795" s="152">
        <f t="shared" si="118"/>
        <v>5</v>
      </c>
      <c r="O795" s="12" t="str">
        <f t="shared" si="120"/>
        <v>Yes</v>
      </c>
      <c r="P795" s="158"/>
      <c r="Q795" s="157"/>
      <c r="R795" s="11" t="s">
        <v>39</v>
      </c>
      <c r="S795" s="158"/>
      <c r="T795" s="5" t="s">
        <v>45</v>
      </c>
      <c r="U795" s="6"/>
      <c r="V795" s="5" t="s">
        <v>87</v>
      </c>
      <c r="W795" s="5"/>
      <c r="BB795" s="7" t="str">
        <v>Quarter 4</v>
      </c>
    </row>
    <row r="796" spans="1:54" ht="31.4" customHeight="1" x14ac:dyDescent="0.35">
      <c r="A796" s="210">
        <v>795</v>
      </c>
      <c r="B796" s="5" t="s">
        <v>1035</v>
      </c>
      <c r="C796" s="5" t="s">
        <v>9</v>
      </c>
      <c r="D796" s="5" t="s">
        <v>1036</v>
      </c>
      <c r="E796" s="149">
        <v>46033</v>
      </c>
      <c r="F796" s="149">
        <f t="shared" si="121"/>
        <v>46034</v>
      </c>
      <c r="G796" s="149">
        <f t="shared" si="122"/>
        <v>46045</v>
      </c>
      <c r="H796" s="149">
        <f t="shared" si="123"/>
        <v>46059</v>
      </c>
      <c r="I796" s="149" t="str">
        <f t="shared" si="117"/>
        <v>Jan</v>
      </c>
      <c r="J796" s="216" t="str">
        <f t="shared" ca="1" si="119"/>
        <v/>
      </c>
      <c r="K796" s="149" t="s">
        <v>43</v>
      </c>
      <c r="L796" s="149"/>
      <c r="M796" s="11">
        <v>46106</v>
      </c>
      <c r="N796" s="152">
        <f t="shared" si="118"/>
        <v>52</v>
      </c>
      <c r="O796" s="12" t="str">
        <f t="shared" si="120"/>
        <v>No</v>
      </c>
      <c r="P796" s="158"/>
      <c r="Q796" s="157"/>
      <c r="R796" s="11" t="s">
        <v>39</v>
      </c>
      <c r="S796" s="158"/>
      <c r="T796" s="5" t="s">
        <v>40</v>
      </c>
      <c r="U796" s="6"/>
      <c r="V796" s="5"/>
      <c r="W796" s="5"/>
      <c r="BB796" s="7" t="str">
        <v>Quarter 4</v>
      </c>
    </row>
    <row r="797" spans="1:54" ht="31.4" customHeight="1" x14ac:dyDescent="0.35">
      <c r="A797" s="210">
        <v>796</v>
      </c>
      <c r="B797" s="5" t="s">
        <v>6</v>
      </c>
      <c r="C797" s="5" t="s">
        <v>6</v>
      </c>
      <c r="D797" s="5" t="s">
        <v>1874</v>
      </c>
      <c r="E797" s="149">
        <v>46031</v>
      </c>
      <c r="F797" s="149">
        <f t="shared" si="121"/>
        <v>46034</v>
      </c>
      <c r="G797" s="149">
        <f t="shared" si="122"/>
        <v>46045</v>
      </c>
      <c r="H797" s="149">
        <f t="shared" si="123"/>
        <v>46059</v>
      </c>
      <c r="I797" s="149" t="str">
        <f t="shared" si="117"/>
        <v>Jan</v>
      </c>
      <c r="J797" s="216" t="str">
        <f t="shared" ca="1" si="119"/>
        <v/>
      </c>
      <c r="K797" s="149" t="s">
        <v>7</v>
      </c>
      <c r="L797" s="149"/>
      <c r="M797" s="11">
        <v>46034</v>
      </c>
      <c r="N797" s="152">
        <f t="shared" si="118"/>
        <v>1</v>
      </c>
      <c r="O797" s="12" t="str">
        <f t="shared" si="120"/>
        <v>Yes</v>
      </c>
      <c r="P797" s="158"/>
      <c r="Q797" s="157"/>
      <c r="R797" s="11" t="s">
        <v>39</v>
      </c>
      <c r="S797" s="158"/>
      <c r="T797" s="5" t="s">
        <v>40</v>
      </c>
      <c r="U797" s="6"/>
      <c r="V797" s="5"/>
      <c r="W797" s="5"/>
      <c r="BB797" s="7" t="str">
        <v>Quarter 4</v>
      </c>
    </row>
    <row r="798" spans="1:54" ht="31.4" customHeight="1" x14ac:dyDescent="0.35">
      <c r="A798" s="210">
        <v>797</v>
      </c>
      <c r="B798" s="5" t="s">
        <v>6</v>
      </c>
      <c r="C798" s="5" t="s">
        <v>6</v>
      </c>
      <c r="D798" s="5" t="s">
        <v>1698</v>
      </c>
      <c r="E798" s="149">
        <v>46033</v>
      </c>
      <c r="F798" s="149">
        <f t="shared" si="121"/>
        <v>46034</v>
      </c>
      <c r="G798" s="149">
        <f t="shared" si="122"/>
        <v>46045</v>
      </c>
      <c r="H798" s="149">
        <f t="shared" si="123"/>
        <v>46059</v>
      </c>
      <c r="I798" s="149" t="str">
        <f t="shared" si="117"/>
        <v>Jan</v>
      </c>
      <c r="J798" s="216" t="str">
        <f t="shared" ca="1" si="119"/>
        <v/>
      </c>
      <c r="K798" s="149" t="s">
        <v>4</v>
      </c>
      <c r="L798" s="149"/>
      <c r="M798" s="11">
        <v>46044</v>
      </c>
      <c r="N798" s="152">
        <f t="shared" si="118"/>
        <v>8</v>
      </c>
      <c r="O798" s="12" t="str">
        <f t="shared" si="120"/>
        <v>Yes</v>
      </c>
      <c r="P798" s="158"/>
      <c r="Q798" s="157"/>
      <c r="R798" s="11" t="s">
        <v>39</v>
      </c>
      <c r="S798" s="158"/>
      <c r="T798" s="5" t="s">
        <v>45</v>
      </c>
      <c r="U798" s="6"/>
      <c r="V798" s="5" t="s">
        <v>87</v>
      </c>
      <c r="W798" s="5" t="s">
        <v>1037</v>
      </c>
      <c r="BB798" s="7" t="str">
        <v>Quarter 4</v>
      </c>
    </row>
    <row r="799" spans="1:54" ht="31" customHeight="1" x14ac:dyDescent="0.35">
      <c r="A799" s="210">
        <v>798</v>
      </c>
      <c r="B799" s="5" t="s">
        <v>55</v>
      </c>
      <c r="C799" s="5" t="s">
        <v>13</v>
      </c>
      <c r="D799" s="5" t="s">
        <v>1038</v>
      </c>
      <c r="E799" s="149">
        <v>46034</v>
      </c>
      <c r="F799" s="149">
        <f t="shared" si="121"/>
        <v>46035</v>
      </c>
      <c r="G799" s="149">
        <f t="shared" si="122"/>
        <v>46048</v>
      </c>
      <c r="H799" s="149">
        <f t="shared" si="123"/>
        <v>46062</v>
      </c>
      <c r="I799" s="149" t="str">
        <f t="shared" si="117"/>
        <v>Jan</v>
      </c>
      <c r="J799" s="216" t="str">
        <f t="shared" ca="1" si="119"/>
        <v/>
      </c>
      <c r="K799" s="149" t="s">
        <v>43</v>
      </c>
      <c r="L799" s="149"/>
      <c r="M799" s="11">
        <v>46036</v>
      </c>
      <c r="N799" s="152">
        <f t="shared" si="118"/>
        <v>2</v>
      </c>
      <c r="O799" s="12" t="str">
        <f t="shared" si="120"/>
        <v>Yes</v>
      </c>
      <c r="P799" s="158"/>
      <c r="Q799" s="157"/>
      <c r="R799" s="11" t="s">
        <v>39</v>
      </c>
      <c r="S799" s="158"/>
      <c r="T799" s="5" t="s">
        <v>40</v>
      </c>
      <c r="U799" s="6"/>
      <c r="V799" s="5" t="s">
        <v>54</v>
      </c>
      <c r="W799" s="5" t="s">
        <v>1001</v>
      </c>
      <c r="BB799" s="7" t="str">
        <v>Quarter 4</v>
      </c>
    </row>
    <row r="800" spans="1:54" ht="31.4" customHeight="1" x14ac:dyDescent="0.35">
      <c r="A800" s="210">
        <v>799</v>
      </c>
      <c r="B800" s="5" t="s">
        <v>1039</v>
      </c>
      <c r="C800" s="5" t="s">
        <v>12</v>
      </c>
      <c r="D800" s="5" t="s">
        <v>1040</v>
      </c>
      <c r="E800" s="149">
        <v>46034</v>
      </c>
      <c r="F800" s="149">
        <f t="shared" si="121"/>
        <v>46035</v>
      </c>
      <c r="G800" s="149">
        <f t="shared" si="122"/>
        <v>46048</v>
      </c>
      <c r="H800" s="149">
        <f t="shared" si="123"/>
        <v>46062</v>
      </c>
      <c r="I800" s="149" t="str">
        <f t="shared" si="117"/>
        <v>Jan</v>
      </c>
      <c r="J800" s="216" t="str">
        <f t="shared" ca="1" si="119"/>
        <v/>
      </c>
      <c r="K800" s="149" t="s">
        <v>4</v>
      </c>
      <c r="L800" s="149"/>
      <c r="M800" s="11">
        <v>46035</v>
      </c>
      <c r="N800" s="152">
        <f t="shared" si="118"/>
        <v>1</v>
      </c>
      <c r="O800" s="12" t="str">
        <f t="shared" si="120"/>
        <v>Yes</v>
      </c>
      <c r="P800" s="158"/>
      <c r="Q800" s="157"/>
      <c r="R800" s="11" t="s">
        <v>39</v>
      </c>
      <c r="S800" s="158"/>
      <c r="T800" s="5" t="s">
        <v>51</v>
      </c>
      <c r="U800" s="6"/>
      <c r="V800" s="5" t="s">
        <v>87</v>
      </c>
      <c r="W800" s="5"/>
      <c r="BB800" s="7" t="str">
        <v>Quarter 4</v>
      </c>
    </row>
    <row r="801" spans="1:54" ht="31.4" customHeight="1" x14ac:dyDescent="0.35">
      <c r="A801" s="210">
        <v>800</v>
      </c>
      <c r="B801" s="5" t="s">
        <v>6</v>
      </c>
      <c r="C801" s="5" t="s">
        <v>6</v>
      </c>
      <c r="D801" s="5" t="s">
        <v>1041</v>
      </c>
      <c r="E801" s="149">
        <v>46035</v>
      </c>
      <c r="F801" s="149">
        <f t="shared" si="121"/>
        <v>46036</v>
      </c>
      <c r="G801" s="149">
        <f t="shared" si="122"/>
        <v>46049</v>
      </c>
      <c r="H801" s="149">
        <f t="shared" si="123"/>
        <v>46063</v>
      </c>
      <c r="I801" s="149" t="str">
        <f t="shared" si="117"/>
        <v>Jan</v>
      </c>
      <c r="J801" s="216" t="str">
        <f t="shared" ca="1" si="119"/>
        <v/>
      </c>
      <c r="K801" s="149" t="s">
        <v>7</v>
      </c>
      <c r="L801" s="149"/>
      <c r="M801" s="11">
        <v>46043</v>
      </c>
      <c r="N801" s="152">
        <f t="shared" si="118"/>
        <v>6</v>
      </c>
      <c r="O801" s="12" t="str">
        <f t="shared" si="120"/>
        <v>Yes</v>
      </c>
      <c r="P801" s="158"/>
      <c r="Q801" s="157"/>
      <c r="R801" s="11" t="s">
        <v>39</v>
      </c>
      <c r="S801" s="158"/>
      <c r="T801" s="5" t="s">
        <v>40</v>
      </c>
      <c r="U801" s="6"/>
      <c r="V801" s="5"/>
      <c r="W801" s="5"/>
      <c r="BB801" s="7" t="str">
        <v>Quarter 4</v>
      </c>
    </row>
    <row r="802" spans="1:54" ht="31.4" customHeight="1" x14ac:dyDescent="0.35">
      <c r="A802" s="210">
        <v>801</v>
      </c>
      <c r="B802" s="5" t="s">
        <v>214</v>
      </c>
      <c r="C802" s="5" t="s">
        <v>5</v>
      </c>
      <c r="D802" s="5" t="s">
        <v>1042</v>
      </c>
      <c r="E802" s="149">
        <v>46035</v>
      </c>
      <c r="F802" s="149">
        <f t="shared" si="121"/>
        <v>46036</v>
      </c>
      <c r="G802" s="149">
        <f t="shared" si="122"/>
        <v>46049</v>
      </c>
      <c r="H802" s="149">
        <f t="shared" si="123"/>
        <v>46063</v>
      </c>
      <c r="I802" s="149" t="str">
        <f t="shared" si="117"/>
        <v>Jan</v>
      </c>
      <c r="J802" s="216" t="str">
        <f t="shared" ca="1" si="119"/>
        <v/>
      </c>
      <c r="K802" s="149" t="s">
        <v>3</v>
      </c>
      <c r="L802" s="149"/>
      <c r="M802" s="11">
        <v>46051</v>
      </c>
      <c r="N802" s="152">
        <f t="shared" si="118"/>
        <v>12</v>
      </c>
      <c r="O802" s="12" t="str">
        <f t="shared" si="120"/>
        <v>Yes</v>
      </c>
      <c r="P802" s="158"/>
      <c r="Q802" s="157"/>
      <c r="R802" s="11" t="s">
        <v>39</v>
      </c>
      <c r="S802" s="158"/>
      <c r="T802" s="5" t="s">
        <v>40</v>
      </c>
      <c r="U802" s="6"/>
      <c r="V802" s="5"/>
      <c r="W802" s="5"/>
      <c r="BB802" s="7" t="str">
        <v>Quarter 4</v>
      </c>
    </row>
    <row r="803" spans="1:54" ht="31.4" customHeight="1" x14ac:dyDescent="0.35">
      <c r="A803" s="210">
        <v>802</v>
      </c>
      <c r="B803" s="5" t="s">
        <v>833</v>
      </c>
      <c r="C803" s="5" t="s">
        <v>9</v>
      </c>
      <c r="D803" s="5" t="s">
        <v>1043</v>
      </c>
      <c r="E803" s="149">
        <v>46020</v>
      </c>
      <c r="F803" s="149">
        <f t="shared" si="121"/>
        <v>46021</v>
      </c>
      <c r="G803" s="149">
        <f t="shared" si="122"/>
        <v>46035</v>
      </c>
      <c r="H803" s="149">
        <f t="shared" si="123"/>
        <v>46049</v>
      </c>
      <c r="I803" s="149" t="str">
        <f t="shared" si="117"/>
        <v>Dec</v>
      </c>
      <c r="J803" s="216" t="str">
        <f t="shared" ca="1" si="119"/>
        <v/>
      </c>
      <c r="K803" s="149" t="s">
        <v>4</v>
      </c>
      <c r="L803" s="149"/>
      <c r="M803" s="11">
        <v>46035</v>
      </c>
      <c r="N803" s="152">
        <f t="shared" si="118"/>
        <v>10</v>
      </c>
      <c r="O803" s="12" t="str">
        <f t="shared" si="120"/>
        <v>Yes</v>
      </c>
      <c r="P803" s="158"/>
      <c r="Q803" s="157"/>
      <c r="R803" s="11" t="s">
        <v>39</v>
      </c>
      <c r="S803" s="158"/>
      <c r="T803" s="5" t="s">
        <v>40</v>
      </c>
      <c r="U803" s="6"/>
      <c r="V803" s="5"/>
      <c r="W803" s="5"/>
      <c r="BB803" s="7" t="str">
        <v>Quarter 3</v>
      </c>
    </row>
    <row r="804" spans="1:54" ht="31.4" customHeight="1" x14ac:dyDescent="0.35">
      <c r="A804" s="210">
        <v>803</v>
      </c>
      <c r="B804" s="8" t="s">
        <v>55</v>
      </c>
      <c r="C804" s="8" t="s">
        <v>13</v>
      </c>
      <c r="D804" s="8" t="s">
        <v>1044</v>
      </c>
      <c r="E804" s="22">
        <v>46035</v>
      </c>
      <c r="F804" s="149">
        <f t="shared" si="121"/>
        <v>46036</v>
      </c>
      <c r="G804" s="149">
        <f t="shared" si="122"/>
        <v>46049</v>
      </c>
      <c r="H804" s="149">
        <f t="shared" si="123"/>
        <v>46063</v>
      </c>
      <c r="I804" s="149" t="str">
        <f t="shared" si="117"/>
        <v>Jan</v>
      </c>
      <c r="J804" s="216" t="str">
        <f t="shared" ca="1" si="119"/>
        <v/>
      </c>
      <c r="K804" s="149" t="s">
        <v>4</v>
      </c>
      <c r="L804" s="149"/>
      <c r="M804" s="11">
        <v>46036</v>
      </c>
      <c r="N804" s="152">
        <f t="shared" si="118"/>
        <v>1</v>
      </c>
      <c r="O804" s="12" t="str">
        <f t="shared" si="120"/>
        <v>Yes</v>
      </c>
      <c r="P804" s="158"/>
      <c r="Q804" s="157"/>
      <c r="R804" s="11" t="s">
        <v>39</v>
      </c>
      <c r="S804" s="158"/>
      <c r="T804" s="5" t="s">
        <v>62</v>
      </c>
      <c r="U804" s="6"/>
      <c r="V804" s="5"/>
      <c r="W804" s="5"/>
      <c r="BB804" s="7" t="str">
        <v>Quarter 4</v>
      </c>
    </row>
    <row r="805" spans="1:54" ht="31.4" customHeight="1" x14ac:dyDescent="0.35">
      <c r="A805" s="210">
        <v>804</v>
      </c>
      <c r="B805" s="8" t="s">
        <v>6</v>
      </c>
      <c r="C805" s="8" t="s">
        <v>6</v>
      </c>
      <c r="D805" s="5" t="s">
        <v>1045</v>
      </c>
      <c r="E805" s="149">
        <v>46035</v>
      </c>
      <c r="F805" s="149">
        <f t="shared" si="121"/>
        <v>46036</v>
      </c>
      <c r="G805" s="149">
        <f t="shared" si="122"/>
        <v>46049</v>
      </c>
      <c r="H805" s="149">
        <f t="shared" si="123"/>
        <v>46063</v>
      </c>
      <c r="I805" s="149" t="str">
        <f t="shared" si="117"/>
        <v>Jan</v>
      </c>
      <c r="J805" s="216" t="str">
        <f t="shared" ca="1" si="119"/>
        <v/>
      </c>
      <c r="K805" s="149" t="s">
        <v>4</v>
      </c>
      <c r="L805" s="149"/>
      <c r="M805" s="11">
        <v>46042</v>
      </c>
      <c r="N805" s="152">
        <f t="shared" si="118"/>
        <v>5</v>
      </c>
      <c r="O805" s="12" t="str">
        <f t="shared" si="120"/>
        <v>Yes</v>
      </c>
      <c r="P805" s="158"/>
      <c r="Q805" s="157"/>
      <c r="R805" s="11" t="s">
        <v>39</v>
      </c>
      <c r="S805" s="158"/>
      <c r="T805" s="5" t="s">
        <v>45</v>
      </c>
      <c r="U805" s="6"/>
      <c r="V805" s="5" t="s">
        <v>87</v>
      </c>
      <c r="W805" s="5" t="s">
        <v>1046</v>
      </c>
      <c r="BB805" s="7" t="str">
        <v>Quarter 4</v>
      </c>
    </row>
    <row r="806" spans="1:54" ht="31.4" customHeight="1" x14ac:dyDescent="0.35">
      <c r="A806" s="210">
        <v>805</v>
      </c>
      <c r="B806" s="12" t="s">
        <v>6</v>
      </c>
      <c r="C806" s="12" t="s">
        <v>6</v>
      </c>
      <c r="D806" s="5" t="s">
        <v>1047</v>
      </c>
      <c r="E806" s="149">
        <v>46036</v>
      </c>
      <c r="F806" s="149">
        <f t="shared" si="121"/>
        <v>46037</v>
      </c>
      <c r="G806" s="149">
        <f t="shared" si="122"/>
        <v>46050</v>
      </c>
      <c r="H806" s="149">
        <f t="shared" si="123"/>
        <v>46064</v>
      </c>
      <c r="I806" s="149" t="str">
        <f t="shared" si="117"/>
        <v>Jan</v>
      </c>
      <c r="J806" s="216" t="str">
        <f t="shared" ca="1" si="119"/>
        <v/>
      </c>
      <c r="K806" s="149" t="s">
        <v>3</v>
      </c>
      <c r="L806" s="149"/>
      <c r="M806" s="11">
        <v>46042</v>
      </c>
      <c r="N806" s="152">
        <f t="shared" si="118"/>
        <v>4</v>
      </c>
      <c r="O806" s="12" t="str">
        <f t="shared" si="120"/>
        <v>Yes</v>
      </c>
      <c r="P806" s="158"/>
      <c r="Q806" s="157"/>
      <c r="R806" s="11" t="s">
        <v>39</v>
      </c>
      <c r="S806" s="158"/>
      <c r="T806" s="5" t="s">
        <v>62</v>
      </c>
      <c r="U806" s="6"/>
      <c r="V806" s="5"/>
      <c r="W806" s="5"/>
      <c r="BB806" s="7" t="str">
        <v>Quarter 4</v>
      </c>
    </row>
    <row r="807" spans="1:54" ht="31.4" customHeight="1" x14ac:dyDescent="0.35">
      <c r="A807" s="210">
        <v>806</v>
      </c>
      <c r="B807" s="5" t="s">
        <v>6</v>
      </c>
      <c r="C807" s="5" t="s">
        <v>6</v>
      </c>
      <c r="D807" s="5" t="s">
        <v>1023</v>
      </c>
      <c r="E807" s="149">
        <v>46036</v>
      </c>
      <c r="F807" s="149">
        <f t="shared" si="121"/>
        <v>46037</v>
      </c>
      <c r="G807" s="149">
        <f t="shared" si="122"/>
        <v>46050</v>
      </c>
      <c r="H807" s="149">
        <f t="shared" si="123"/>
        <v>46064</v>
      </c>
      <c r="I807" s="149" t="str">
        <f t="shared" si="117"/>
        <v>Jan</v>
      </c>
      <c r="J807" s="216" t="str">
        <f t="shared" ca="1" si="119"/>
        <v/>
      </c>
      <c r="K807" s="149" t="s">
        <v>43</v>
      </c>
      <c r="L807" s="149"/>
      <c r="M807" s="11">
        <v>46041</v>
      </c>
      <c r="N807" s="152">
        <f t="shared" si="118"/>
        <v>3</v>
      </c>
      <c r="O807" s="12" t="str">
        <f t="shared" si="120"/>
        <v>Yes</v>
      </c>
      <c r="P807" s="158"/>
      <c r="Q807" s="157"/>
      <c r="R807" s="11" t="s">
        <v>39</v>
      </c>
      <c r="S807" s="158"/>
      <c r="T807" s="5" t="s">
        <v>40</v>
      </c>
      <c r="U807" s="6"/>
      <c r="V807" s="5"/>
      <c r="W807" s="21"/>
      <c r="BB807" s="7" t="str">
        <v>Quarter 4</v>
      </c>
    </row>
    <row r="808" spans="1:54" ht="31.4" customHeight="1" x14ac:dyDescent="0.35">
      <c r="A808" s="210">
        <v>807</v>
      </c>
      <c r="B808" s="5" t="s">
        <v>6</v>
      </c>
      <c r="C808" s="5" t="s">
        <v>6</v>
      </c>
      <c r="D808" s="5" t="s">
        <v>1048</v>
      </c>
      <c r="E808" s="149">
        <v>46036</v>
      </c>
      <c r="F808" s="149">
        <f t="shared" si="121"/>
        <v>46037</v>
      </c>
      <c r="G808" s="149">
        <f t="shared" si="122"/>
        <v>46050</v>
      </c>
      <c r="H808" s="149">
        <f t="shared" si="123"/>
        <v>46064</v>
      </c>
      <c r="I808" s="149" t="str">
        <f t="shared" si="117"/>
        <v>Jan</v>
      </c>
      <c r="J808" s="216" t="str">
        <f t="shared" ca="1" si="119"/>
        <v/>
      </c>
      <c r="K808" s="149" t="s">
        <v>43</v>
      </c>
      <c r="L808" s="149"/>
      <c r="M808" s="11">
        <v>46037</v>
      </c>
      <c r="N808" s="152">
        <f t="shared" si="118"/>
        <v>1</v>
      </c>
      <c r="O808" s="12" t="str">
        <f t="shared" si="120"/>
        <v>Yes</v>
      </c>
      <c r="P808" s="158"/>
      <c r="Q808" s="157"/>
      <c r="R808" s="11" t="s">
        <v>39</v>
      </c>
      <c r="S808" s="158"/>
      <c r="T808" s="5" t="s">
        <v>40</v>
      </c>
      <c r="U808" s="6"/>
      <c r="V808" s="5"/>
      <c r="W808" s="5"/>
      <c r="BB808" s="7" t="str">
        <v>Quarter 4</v>
      </c>
    </row>
    <row r="809" spans="1:54" ht="31.4" customHeight="1" x14ac:dyDescent="0.35">
      <c r="A809" s="210">
        <v>808</v>
      </c>
      <c r="B809" s="5" t="s">
        <v>55</v>
      </c>
      <c r="C809" s="5" t="s">
        <v>13</v>
      </c>
      <c r="D809" s="5" t="s">
        <v>1049</v>
      </c>
      <c r="E809" s="149">
        <v>46036</v>
      </c>
      <c r="F809" s="149">
        <f t="shared" si="121"/>
        <v>46037</v>
      </c>
      <c r="G809" s="149">
        <f t="shared" si="122"/>
        <v>46050</v>
      </c>
      <c r="H809" s="149">
        <f t="shared" si="123"/>
        <v>46064</v>
      </c>
      <c r="I809" s="149" t="str">
        <f t="shared" si="117"/>
        <v>Jan</v>
      </c>
      <c r="J809" s="216" t="str">
        <f t="shared" ca="1" si="119"/>
        <v/>
      </c>
      <c r="K809" s="149" t="s">
        <v>43</v>
      </c>
      <c r="L809" s="149"/>
      <c r="M809" s="11">
        <v>46045</v>
      </c>
      <c r="N809" s="152">
        <f t="shared" si="118"/>
        <v>7</v>
      </c>
      <c r="O809" s="12" t="str">
        <f t="shared" si="120"/>
        <v>Yes</v>
      </c>
      <c r="P809" s="158"/>
      <c r="Q809" s="157"/>
      <c r="R809" s="11" t="s">
        <v>39</v>
      </c>
      <c r="S809" s="158"/>
      <c r="T809" s="5" t="s">
        <v>40</v>
      </c>
      <c r="U809" s="6"/>
      <c r="V809" s="5"/>
      <c r="W809" s="5" t="s">
        <v>46</v>
      </c>
      <c r="BB809" s="7" t="str">
        <v>Quarter 4</v>
      </c>
    </row>
    <row r="810" spans="1:54" ht="31.4" customHeight="1" x14ac:dyDescent="0.35">
      <c r="A810" s="210">
        <v>809</v>
      </c>
      <c r="B810" s="5" t="s">
        <v>1050</v>
      </c>
      <c r="C810" s="5" t="s">
        <v>9</v>
      </c>
      <c r="D810" s="5" t="s">
        <v>1051</v>
      </c>
      <c r="E810" s="149">
        <v>46036</v>
      </c>
      <c r="F810" s="149">
        <f t="shared" si="121"/>
        <v>46037</v>
      </c>
      <c r="G810" s="149">
        <f t="shared" si="122"/>
        <v>46050</v>
      </c>
      <c r="H810" s="149">
        <f t="shared" si="123"/>
        <v>46064</v>
      </c>
      <c r="I810" s="149" t="str">
        <f t="shared" si="117"/>
        <v>Jan</v>
      </c>
      <c r="J810" s="216" t="str">
        <f t="shared" ca="1" si="119"/>
        <v/>
      </c>
      <c r="K810" s="149" t="s">
        <v>4</v>
      </c>
      <c r="L810" s="149"/>
      <c r="M810" s="11">
        <v>46057</v>
      </c>
      <c r="N810" s="152">
        <f t="shared" si="118"/>
        <v>15</v>
      </c>
      <c r="O810" s="12" t="str">
        <f t="shared" si="120"/>
        <v>Yes</v>
      </c>
      <c r="P810" s="158"/>
      <c r="Q810" s="157"/>
      <c r="R810" s="11" t="s">
        <v>39</v>
      </c>
      <c r="S810" s="158"/>
      <c r="T810" s="5" t="s">
        <v>40</v>
      </c>
      <c r="U810" s="6"/>
      <c r="V810" s="5"/>
      <c r="W810" s="5" t="s">
        <v>46</v>
      </c>
      <c r="BB810" s="7" t="str">
        <v>Quarter 4</v>
      </c>
    </row>
    <row r="811" spans="1:54" ht="31.4" customHeight="1" x14ac:dyDescent="0.35">
      <c r="A811" s="210">
        <v>810</v>
      </c>
      <c r="B811" s="5" t="s">
        <v>6</v>
      </c>
      <c r="C811" s="5" t="s">
        <v>6</v>
      </c>
      <c r="D811" s="5" t="s">
        <v>1052</v>
      </c>
      <c r="E811" s="149">
        <v>46036</v>
      </c>
      <c r="F811" s="149">
        <f t="shared" si="121"/>
        <v>46037</v>
      </c>
      <c r="G811" s="149">
        <f t="shared" si="122"/>
        <v>46050</v>
      </c>
      <c r="H811" s="149">
        <f t="shared" si="123"/>
        <v>46064</v>
      </c>
      <c r="I811" s="149" t="str">
        <f t="shared" si="117"/>
        <v>Jan</v>
      </c>
      <c r="J811" s="216" t="str">
        <f t="shared" ca="1" si="119"/>
        <v/>
      </c>
      <c r="K811" s="149" t="s">
        <v>7</v>
      </c>
      <c r="L811" s="149"/>
      <c r="M811" s="11">
        <v>46051</v>
      </c>
      <c r="N811" s="152">
        <f t="shared" si="118"/>
        <v>11</v>
      </c>
      <c r="O811" s="12" t="str">
        <f t="shared" si="120"/>
        <v>Yes</v>
      </c>
      <c r="P811" s="158"/>
      <c r="Q811" s="157"/>
      <c r="R811" s="11" t="s">
        <v>39</v>
      </c>
      <c r="S811" s="158"/>
      <c r="T811" s="5" t="s">
        <v>40</v>
      </c>
      <c r="U811" s="6"/>
      <c r="V811" s="5"/>
      <c r="W811" s="5"/>
      <c r="BB811" s="7" t="str">
        <v>Quarter 4</v>
      </c>
    </row>
    <row r="812" spans="1:54" ht="31.4" customHeight="1" x14ac:dyDescent="0.35">
      <c r="A812" s="210">
        <v>811</v>
      </c>
      <c r="B812" s="5" t="s">
        <v>55</v>
      </c>
      <c r="C812" s="5" t="s">
        <v>13</v>
      </c>
      <c r="D812" s="5" t="s">
        <v>1053</v>
      </c>
      <c r="E812" s="149">
        <v>46036</v>
      </c>
      <c r="F812" s="149">
        <f t="shared" ref="F812:F831" si="124">IF($E812="","",WORKDAY($E812,1,$Z$33:$Z$47))</f>
        <v>46037</v>
      </c>
      <c r="G812" s="149">
        <f t="shared" ref="G812:G831" si="125">IF($E812="","",WORKDAY($E812,10,$Z$33:$Z$47))</f>
        <v>46050</v>
      </c>
      <c r="H812" s="149">
        <f t="shared" ref="H812:H831" si="126">IF($E812="","",WORKDAY($E812,20,$Z$33:$Z$47))</f>
        <v>46064</v>
      </c>
      <c r="I812" s="149" t="str">
        <f t="shared" si="117"/>
        <v>Jan</v>
      </c>
      <c r="J812" s="216" t="str">
        <f t="shared" ca="1" si="119"/>
        <v/>
      </c>
      <c r="K812" s="149" t="s">
        <v>4</v>
      </c>
      <c r="L812" s="149"/>
      <c r="M812" s="11">
        <v>46057</v>
      </c>
      <c r="N812" s="152">
        <f t="shared" si="118"/>
        <v>15</v>
      </c>
      <c r="O812" s="12" t="str">
        <f t="shared" si="120"/>
        <v>Yes</v>
      </c>
      <c r="P812" s="158"/>
      <c r="Q812" s="157"/>
      <c r="R812" s="11" t="s">
        <v>39</v>
      </c>
      <c r="S812" s="158"/>
      <c r="T812" s="5" t="s">
        <v>40</v>
      </c>
      <c r="U812" s="6"/>
      <c r="V812" s="5"/>
      <c r="W812" s="5" t="s">
        <v>46</v>
      </c>
      <c r="BB812" s="7" t="str">
        <v>Quarter 4</v>
      </c>
    </row>
    <row r="813" spans="1:54" ht="31.4" customHeight="1" x14ac:dyDescent="0.35">
      <c r="A813" s="210">
        <v>812</v>
      </c>
      <c r="B813" s="5" t="s">
        <v>1054</v>
      </c>
      <c r="C813" s="5" t="s">
        <v>9</v>
      </c>
      <c r="D813" s="5" t="s">
        <v>1040</v>
      </c>
      <c r="E813" s="149">
        <v>46037</v>
      </c>
      <c r="F813" s="149">
        <f t="shared" si="124"/>
        <v>46038</v>
      </c>
      <c r="G813" s="149">
        <f t="shared" si="125"/>
        <v>46051</v>
      </c>
      <c r="H813" s="149">
        <f t="shared" si="126"/>
        <v>46065</v>
      </c>
      <c r="I813" s="149" t="str">
        <f t="shared" si="117"/>
        <v>Jan</v>
      </c>
      <c r="J813" s="216" t="str">
        <f t="shared" ca="1" si="119"/>
        <v/>
      </c>
      <c r="K813" s="149" t="s">
        <v>4</v>
      </c>
      <c r="L813" s="149"/>
      <c r="M813" s="11">
        <v>46037</v>
      </c>
      <c r="N813" s="152">
        <f t="shared" si="118"/>
        <v>0</v>
      </c>
      <c r="O813" s="12" t="str">
        <f t="shared" si="120"/>
        <v>Yes</v>
      </c>
      <c r="P813" s="158"/>
      <c r="Q813" s="157"/>
      <c r="R813" s="11" t="s">
        <v>39</v>
      </c>
      <c r="S813" s="158"/>
      <c r="T813" s="5" t="s">
        <v>45</v>
      </c>
      <c r="U813" s="6"/>
      <c r="V813" s="5" t="s">
        <v>87</v>
      </c>
      <c r="W813" s="5"/>
      <c r="BB813" s="7" t="str">
        <v>Quarter 4</v>
      </c>
    </row>
    <row r="814" spans="1:54" ht="31.4" customHeight="1" x14ac:dyDescent="0.35">
      <c r="A814" s="210">
        <v>813</v>
      </c>
      <c r="B814" s="5" t="s">
        <v>6</v>
      </c>
      <c r="C814" s="5" t="s">
        <v>6</v>
      </c>
      <c r="D814" s="5" t="s">
        <v>1055</v>
      </c>
      <c r="E814" s="149">
        <v>46037</v>
      </c>
      <c r="F814" s="149">
        <f t="shared" si="124"/>
        <v>46038</v>
      </c>
      <c r="G814" s="149">
        <f t="shared" si="125"/>
        <v>46051</v>
      </c>
      <c r="H814" s="149">
        <f t="shared" si="126"/>
        <v>46065</v>
      </c>
      <c r="I814" s="149" t="str">
        <f t="shared" si="117"/>
        <v>Jan</v>
      </c>
      <c r="J814" s="216" t="str">
        <f t="shared" ca="1" si="119"/>
        <v/>
      </c>
      <c r="K814" s="149" t="s">
        <v>4</v>
      </c>
      <c r="L814" s="149"/>
      <c r="M814" s="11">
        <v>46037</v>
      </c>
      <c r="N814" s="152">
        <f t="shared" si="118"/>
        <v>0</v>
      </c>
      <c r="O814" s="12" t="str">
        <f t="shared" si="120"/>
        <v>Yes</v>
      </c>
      <c r="P814" s="158"/>
      <c r="Q814" s="157"/>
      <c r="R814" s="11" t="s">
        <v>39</v>
      </c>
      <c r="S814" s="158"/>
      <c r="T814" s="5" t="s">
        <v>40</v>
      </c>
      <c r="U814" s="6"/>
      <c r="V814" s="5" t="s">
        <v>54</v>
      </c>
      <c r="W814" s="5"/>
      <c r="BB814" s="7" t="str">
        <v>Quarter 4</v>
      </c>
    </row>
    <row r="815" spans="1:54" ht="31.4" customHeight="1" x14ac:dyDescent="0.35">
      <c r="A815" s="210">
        <v>814</v>
      </c>
      <c r="B815" s="5" t="s">
        <v>55</v>
      </c>
      <c r="C815" s="5" t="s">
        <v>13</v>
      </c>
      <c r="D815" s="5" t="s">
        <v>1056</v>
      </c>
      <c r="E815" s="149">
        <v>46037</v>
      </c>
      <c r="F815" s="149">
        <f t="shared" si="124"/>
        <v>46038</v>
      </c>
      <c r="G815" s="149">
        <f t="shared" si="125"/>
        <v>46051</v>
      </c>
      <c r="H815" s="149">
        <f t="shared" si="126"/>
        <v>46065</v>
      </c>
      <c r="I815" s="149" t="str">
        <f t="shared" si="117"/>
        <v>Jan</v>
      </c>
      <c r="J815" s="216" t="str">
        <f t="shared" ca="1" si="119"/>
        <v/>
      </c>
      <c r="K815" s="149" t="s">
        <v>3</v>
      </c>
      <c r="L815" s="149"/>
      <c r="M815" s="11">
        <v>46041</v>
      </c>
      <c r="N815" s="152">
        <f t="shared" si="118"/>
        <v>2</v>
      </c>
      <c r="O815" s="12" t="str">
        <f t="shared" si="120"/>
        <v>Yes</v>
      </c>
      <c r="P815" s="158"/>
      <c r="Q815" s="157"/>
      <c r="R815" s="11" t="s">
        <v>39</v>
      </c>
      <c r="S815" s="158"/>
      <c r="T815" s="5" t="s">
        <v>62</v>
      </c>
      <c r="U815" s="6"/>
      <c r="V815" s="5"/>
      <c r="W815" s="5"/>
      <c r="BB815" s="7" t="str">
        <v>Quarter 4</v>
      </c>
    </row>
    <row r="816" spans="1:54" ht="31.4" customHeight="1" x14ac:dyDescent="0.35">
      <c r="A816" s="210">
        <v>815</v>
      </c>
      <c r="B816" s="5" t="s">
        <v>55</v>
      </c>
      <c r="C816" s="5" t="s">
        <v>13</v>
      </c>
      <c r="D816" s="5" t="s">
        <v>1057</v>
      </c>
      <c r="E816" s="149">
        <v>46038</v>
      </c>
      <c r="F816" s="149">
        <f t="shared" si="124"/>
        <v>46041</v>
      </c>
      <c r="G816" s="149">
        <f t="shared" si="125"/>
        <v>46052</v>
      </c>
      <c r="H816" s="149">
        <f t="shared" si="126"/>
        <v>46066</v>
      </c>
      <c r="I816" s="149" t="str">
        <f t="shared" si="117"/>
        <v>Jan</v>
      </c>
      <c r="J816" s="216" t="str">
        <f t="shared" ca="1" si="119"/>
        <v/>
      </c>
      <c r="K816" s="149" t="s">
        <v>43</v>
      </c>
      <c r="L816" s="149"/>
      <c r="M816" s="11">
        <v>46041</v>
      </c>
      <c r="N816" s="152">
        <f t="shared" si="118"/>
        <v>1</v>
      </c>
      <c r="O816" s="12" t="str">
        <f t="shared" si="120"/>
        <v>Yes</v>
      </c>
      <c r="P816" s="158"/>
      <c r="Q816" s="157"/>
      <c r="R816" s="11" t="s">
        <v>39</v>
      </c>
      <c r="S816" s="158"/>
      <c r="T816" s="5" t="s">
        <v>62</v>
      </c>
      <c r="U816" s="6"/>
      <c r="V816" s="5"/>
      <c r="W816" s="5"/>
      <c r="BB816" s="7" t="str">
        <v>Quarter 4</v>
      </c>
    </row>
    <row r="817" spans="1:54" ht="31.4" customHeight="1" x14ac:dyDescent="0.35">
      <c r="A817" s="210">
        <v>816</v>
      </c>
      <c r="B817" s="5" t="s">
        <v>288</v>
      </c>
      <c r="C817" s="5" t="s">
        <v>9</v>
      </c>
      <c r="D817" s="5" t="s">
        <v>1058</v>
      </c>
      <c r="E817" s="149">
        <v>46038</v>
      </c>
      <c r="F817" s="149">
        <f t="shared" si="124"/>
        <v>46041</v>
      </c>
      <c r="G817" s="149">
        <f t="shared" si="125"/>
        <v>46052</v>
      </c>
      <c r="H817" s="149">
        <f t="shared" si="126"/>
        <v>46066</v>
      </c>
      <c r="I817" s="149" t="str">
        <f t="shared" si="117"/>
        <v>Jan</v>
      </c>
      <c r="J817" s="216" t="str">
        <f t="shared" ca="1" si="119"/>
        <v/>
      </c>
      <c r="K817" s="149" t="s">
        <v>4</v>
      </c>
      <c r="L817" s="149"/>
      <c r="M817" s="11">
        <v>46049</v>
      </c>
      <c r="N817" s="152">
        <f t="shared" si="118"/>
        <v>7</v>
      </c>
      <c r="O817" s="12" t="str">
        <f t="shared" si="120"/>
        <v>Yes</v>
      </c>
      <c r="P817" s="158"/>
      <c r="Q817" s="157"/>
      <c r="R817" s="11" t="s">
        <v>39</v>
      </c>
      <c r="S817" s="158"/>
      <c r="T817" s="5" t="s">
        <v>40</v>
      </c>
      <c r="U817" s="6"/>
      <c r="V817" s="5"/>
      <c r="W817" s="5"/>
      <c r="BB817" s="7" t="str">
        <v>Quarter 4</v>
      </c>
    </row>
    <row r="818" spans="1:54" ht="31.4" customHeight="1" x14ac:dyDescent="0.35">
      <c r="A818" s="210">
        <v>817</v>
      </c>
      <c r="B818" s="5" t="s">
        <v>6</v>
      </c>
      <c r="C818" s="5" t="s">
        <v>6</v>
      </c>
      <c r="D818" s="5" t="s">
        <v>1059</v>
      </c>
      <c r="E818" s="149">
        <v>46038</v>
      </c>
      <c r="F818" s="149">
        <f t="shared" si="124"/>
        <v>46041</v>
      </c>
      <c r="G818" s="149">
        <f t="shared" si="125"/>
        <v>46052</v>
      </c>
      <c r="H818" s="149">
        <f t="shared" si="126"/>
        <v>46066</v>
      </c>
      <c r="I818" s="149" t="str">
        <f t="shared" si="117"/>
        <v>Jan</v>
      </c>
      <c r="J818" s="216" t="str">
        <f t="shared" ca="1" si="119"/>
        <v/>
      </c>
      <c r="K818" s="149" t="s">
        <v>4</v>
      </c>
      <c r="L818" s="149"/>
      <c r="M818" s="11">
        <v>46041</v>
      </c>
      <c r="N818" s="152">
        <f t="shared" si="118"/>
        <v>1</v>
      </c>
      <c r="O818" s="12" t="str">
        <f t="shared" si="120"/>
        <v>Yes</v>
      </c>
      <c r="P818" s="158"/>
      <c r="Q818" s="157"/>
      <c r="R818" s="11" t="s">
        <v>39</v>
      </c>
      <c r="S818" s="158"/>
      <c r="T818" s="5" t="s">
        <v>40</v>
      </c>
      <c r="U818" s="6"/>
      <c r="V818" s="5"/>
      <c r="W818" s="5"/>
      <c r="BB818" s="7" t="str">
        <v>Quarter 4</v>
      </c>
    </row>
    <row r="819" spans="1:54" ht="31.4" customHeight="1" x14ac:dyDescent="0.35">
      <c r="A819" s="210">
        <v>818</v>
      </c>
      <c r="B819" s="5" t="s">
        <v>6</v>
      </c>
      <c r="C819" s="5" t="s">
        <v>6</v>
      </c>
      <c r="D819" s="5" t="s">
        <v>1060</v>
      </c>
      <c r="E819" s="149">
        <v>46038</v>
      </c>
      <c r="F819" s="149">
        <f t="shared" si="124"/>
        <v>46041</v>
      </c>
      <c r="G819" s="149">
        <f t="shared" si="125"/>
        <v>46052</v>
      </c>
      <c r="H819" s="149">
        <f t="shared" si="126"/>
        <v>46066</v>
      </c>
      <c r="I819" s="149" t="str">
        <f t="shared" si="117"/>
        <v>Jan</v>
      </c>
      <c r="J819" s="216" t="str">
        <f t="shared" ca="1" si="119"/>
        <v/>
      </c>
      <c r="K819" s="149" t="s">
        <v>4</v>
      </c>
      <c r="L819" s="149"/>
      <c r="M819" s="11">
        <v>46057</v>
      </c>
      <c r="N819" s="152">
        <f t="shared" si="118"/>
        <v>13</v>
      </c>
      <c r="O819" s="12" t="str">
        <f t="shared" si="120"/>
        <v>Yes</v>
      </c>
      <c r="P819" s="158"/>
      <c r="Q819" s="157"/>
      <c r="R819" s="11" t="s">
        <v>39</v>
      </c>
      <c r="S819" s="158"/>
      <c r="T819" s="5" t="s">
        <v>40</v>
      </c>
      <c r="U819" s="6"/>
      <c r="V819" s="5"/>
      <c r="W819" s="5"/>
      <c r="BB819" s="7" t="str">
        <v>Quarter 4</v>
      </c>
    </row>
    <row r="820" spans="1:54" ht="31.4" customHeight="1" x14ac:dyDescent="0.35">
      <c r="A820" s="210">
        <v>819</v>
      </c>
      <c r="B820" s="5" t="s">
        <v>6</v>
      </c>
      <c r="C820" s="5" t="s">
        <v>6</v>
      </c>
      <c r="D820" s="5" t="s">
        <v>1061</v>
      </c>
      <c r="E820" s="149">
        <v>46040</v>
      </c>
      <c r="F820" s="149">
        <f t="shared" si="124"/>
        <v>46041</v>
      </c>
      <c r="G820" s="149">
        <f t="shared" si="125"/>
        <v>46052</v>
      </c>
      <c r="H820" s="149">
        <f t="shared" si="126"/>
        <v>46066</v>
      </c>
      <c r="I820" s="149" t="str">
        <f t="shared" ref="I820:I883" si="127">IF(ISBLANK($E820),"",TEXT($E820,"mmm"))</f>
        <v>Jan</v>
      </c>
      <c r="J820" s="216" t="str">
        <f t="shared" ca="1" si="119"/>
        <v/>
      </c>
      <c r="K820" s="149" t="s">
        <v>4</v>
      </c>
      <c r="L820" s="149"/>
      <c r="M820" s="11">
        <v>46041</v>
      </c>
      <c r="N820" s="152">
        <f t="shared" si="118"/>
        <v>0</v>
      </c>
      <c r="O820" s="12" t="str">
        <f t="shared" si="120"/>
        <v>Yes</v>
      </c>
      <c r="P820" s="158"/>
      <c r="Q820" s="157"/>
      <c r="R820" s="11" t="s">
        <v>39</v>
      </c>
      <c r="S820" s="158"/>
      <c r="T820" s="5" t="s">
        <v>40</v>
      </c>
      <c r="U820" s="6"/>
      <c r="V820" s="5" t="s">
        <v>54</v>
      </c>
      <c r="W820" s="5" t="s">
        <v>46</v>
      </c>
      <c r="BB820" s="7" t="str">
        <v>Quarter 4</v>
      </c>
    </row>
    <row r="821" spans="1:54" ht="31.4" customHeight="1" x14ac:dyDescent="0.35">
      <c r="A821" s="210">
        <v>820</v>
      </c>
      <c r="B821" s="8" t="s">
        <v>6</v>
      </c>
      <c r="C821" s="8" t="s">
        <v>6</v>
      </c>
      <c r="D821" s="5" t="s">
        <v>1062</v>
      </c>
      <c r="E821" s="149">
        <v>46041</v>
      </c>
      <c r="F821" s="149">
        <f t="shared" si="124"/>
        <v>46042</v>
      </c>
      <c r="G821" s="149">
        <f t="shared" si="125"/>
        <v>46055</v>
      </c>
      <c r="H821" s="149">
        <f t="shared" si="126"/>
        <v>46069</v>
      </c>
      <c r="I821" s="149" t="str">
        <f t="shared" si="127"/>
        <v>Jan</v>
      </c>
      <c r="J821" s="216" t="str">
        <f t="shared" ca="1" si="119"/>
        <v/>
      </c>
      <c r="K821" s="149" t="s">
        <v>43</v>
      </c>
      <c r="L821" s="149"/>
      <c r="M821" s="11">
        <v>46042</v>
      </c>
      <c r="N821" s="152">
        <f t="shared" si="118"/>
        <v>1</v>
      </c>
      <c r="O821" s="12" t="str">
        <f t="shared" si="120"/>
        <v>Yes</v>
      </c>
      <c r="P821" s="158"/>
      <c r="Q821" s="157"/>
      <c r="R821" s="11" t="s">
        <v>39</v>
      </c>
      <c r="S821" s="158"/>
      <c r="T821" s="5" t="s">
        <v>40</v>
      </c>
      <c r="U821" s="6"/>
      <c r="V821" s="5"/>
      <c r="W821" s="5"/>
      <c r="BB821" s="7" t="str">
        <v>Quarter 4</v>
      </c>
    </row>
    <row r="822" spans="1:54" ht="31.4" customHeight="1" x14ac:dyDescent="0.35">
      <c r="A822" s="210">
        <v>821</v>
      </c>
      <c r="B822" s="5" t="s">
        <v>1063</v>
      </c>
      <c r="C822" s="5" t="s">
        <v>12</v>
      </c>
      <c r="D822" s="5" t="s">
        <v>1064</v>
      </c>
      <c r="E822" s="149">
        <v>46041</v>
      </c>
      <c r="F822" s="149">
        <f t="shared" si="124"/>
        <v>46042</v>
      </c>
      <c r="G822" s="149">
        <f t="shared" si="125"/>
        <v>46055</v>
      </c>
      <c r="H822" s="149">
        <f t="shared" si="126"/>
        <v>46069</v>
      </c>
      <c r="I822" s="149" t="str">
        <f t="shared" si="127"/>
        <v>Jan</v>
      </c>
      <c r="J822" s="216" t="str">
        <f t="shared" ca="1" si="119"/>
        <v/>
      </c>
      <c r="K822" s="149" t="s">
        <v>7</v>
      </c>
      <c r="M822" s="11">
        <v>46056</v>
      </c>
      <c r="N822" s="152">
        <f t="shared" si="118"/>
        <v>11</v>
      </c>
      <c r="O822" s="12" t="str">
        <f t="shared" si="120"/>
        <v>Yes</v>
      </c>
      <c r="R822" s="11" t="s">
        <v>39</v>
      </c>
      <c r="T822" s="5" t="s">
        <v>45</v>
      </c>
      <c r="V822" s="5" t="s">
        <v>87</v>
      </c>
      <c r="W822" s="5"/>
      <c r="BB822" s="7" t="str">
        <v>Quarter 4</v>
      </c>
    </row>
    <row r="823" spans="1:54" ht="31.4" customHeight="1" x14ac:dyDescent="0.35">
      <c r="A823" s="210">
        <v>822</v>
      </c>
      <c r="B823" s="5" t="s">
        <v>1065</v>
      </c>
      <c r="C823" s="5" t="s">
        <v>16</v>
      </c>
      <c r="D823" s="5" t="s">
        <v>1066</v>
      </c>
      <c r="E823" s="149">
        <v>46041</v>
      </c>
      <c r="F823" s="149">
        <f t="shared" si="124"/>
        <v>46042</v>
      </c>
      <c r="G823" s="149">
        <f t="shared" si="125"/>
        <v>46055</v>
      </c>
      <c r="H823" s="149">
        <f t="shared" si="126"/>
        <v>46069</v>
      </c>
      <c r="I823" s="149" t="str">
        <f t="shared" si="127"/>
        <v>Jan</v>
      </c>
      <c r="J823" s="216" t="str">
        <f t="shared" ca="1" si="119"/>
        <v/>
      </c>
      <c r="K823" s="149" t="s">
        <v>4</v>
      </c>
      <c r="M823" s="11">
        <v>46043</v>
      </c>
      <c r="N823" s="152">
        <f t="shared" si="118"/>
        <v>2</v>
      </c>
      <c r="O823" s="12" t="str">
        <f t="shared" si="120"/>
        <v>Yes</v>
      </c>
      <c r="R823" s="11" t="s">
        <v>39</v>
      </c>
      <c r="T823" s="5" t="s">
        <v>40</v>
      </c>
      <c r="V823" s="5"/>
      <c r="W823" s="5"/>
      <c r="BB823" s="7" t="str">
        <v>Quarter 4</v>
      </c>
    </row>
    <row r="824" spans="1:54" ht="31.4" customHeight="1" x14ac:dyDescent="0.35">
      <c r="A824" s="210">
        <v>823</v>
      </c>
      <c r="B824" s="5" t="s">
        <v>6</v>
      </c>
      <c r="C824" s="5" t="s">
        <v>6</v>
      </c>
      <c r="D824" s="5" t="s">
        <v>1067</v>
      </c>
      <c r="E824" s="149">
        <v>46041</v>
      </c>
      <c r="F824" s="149">
        <f t="shared" si="124"/>
        <v>46042</v>
      </c>
      <c r="G824" s="149">
        <f t="shared" si="125"/>
        <v>46055</v>
      </c>
      <c r="H824" s="149">
        <f t="shared" si="126"/>
        <v>46069</v>
      </c>
      <c r="I824" s="149" t="str">
        <f t="shared" si="127"/>
        <v>Jan</v>
      </c>
      <c r="J824" s="216" t="str">
        <f t="shared" ca="1" si="119"/>
        <v/>
      </c>
      <c r="K824" s="149" t="s">
        <v>4</v>
      </c>
      <c r="L824" s="149"/>
      <c r="M824" s="11">
        <v>46069</v>
      </c>
      <c r="N824" s="152">
        <f t="shared" si="118"/>
        <v>20</v>
      </c>
      <c r="O824" s="12" t="str">
        <f t="shared" si="120"/>
        <v>Yes</v>
      </c>
      <c r="P824" s="158"/>
      <c r="Q824" s="157"/>
      <c r="R824" s="11" t="s">
        <v>39</v>
      </c>
      <c r="S824" s="158"/>
      <c r="T824" s="5" t="s">
        <v>40</v>
      </c>
      <c r="U824" s="6"/>
      <c r="V824" s="5"/>
      <c r="W824" s="165"/>
      <c r="BB824" s="7" t="str">
        <v>Quarter 4</v>
      </c>
    </row>
    <row r="825" spans="1:54" ht="31.4" customHeight="1" x14ac:dyDescent="0.35">
      <c r="A825" s="210">
        <v>824</v>
      </c>
      <c r="B825" s="5" t="s">
        <v>6</v>
      </c>
      <c r="C825" s="5" t="s">
        <v>6</v>
      </c>
      <c r="D825" s="5" t="s">
        <v>1068</v>
      </c>
      <c r="E825" s="149">
        <v>46041</v>
      </c>
      <c r="F825" s="149">
        <f t="shared" si="124"/>
        <v>46042</v>
      </c>
      <c r="G825" s="149">
        <f t="shared" si="125"/>
        <v>46055</v>
      </c>
      <c r="H825" s="149">
        <f t="shared" si="126"/>
        <v>46069</v>
      </c>
      <c r="I825" s="149" t="str">
        <f t="shared" si="127"/>
        <v>Jan</v>
      </c>
      <c r="J825" s="216" t="str">
        <f t="shared" ca="1" si="119"/>
        <v/>
      </c>
      <c r="K825" s="149" t="s">
        <v>4</v>
      </c>
      <c r="L825" s="149"/>
      <c r="M825" s="11">
        <v>46057</v>
      </c>
      <c r="N825" s="152">
        <f t="shared" ref="N825:N888" si="128">IF($M825="","",NETWORKDAYS($E825,$M825,$Z$33:$Z$47)-1)</f>
        <v>12</v>
      </c>
      <c r="O825" s="12" t="str">
        <f t="shared" si="120"/>
        <v>Yes</v>
      </c>
      <c r="P825" s="158"/>
      <c r="Q825" s="157"/>
      <c r="R825" s="11" t="s">
        <v>39</v>
      </c>
      <c r="S825" s="158"/>
      <c r="T825" s="5" t="s">
        <v>40</v>
      </c>
      <c r="U825" s="6"/>
      <c r="V825" s="5"/>
      <c r="W825" s="5" t="s">
        <v>46</v>
      </c>
      <c r="BB825" s="7" t="str">
        <v>Quarter 4</v>
      </c>
    </row>
    <row r="826" spans="1:54" ht="31.4" customHeight="1" x14ac:dyDescent="0.35">
      <c r="A826" s="210">
        <v>825</v>
      </c>
      <c r="B826" s="5" t="s">
        <v>214</v>
      </c>
      <c r="C826" s="5" t="s">
        <v>5</v>
      </c>
      <c r="D826" s="5" t="s">
        <v>1069</v>
      </c>
      <c r="E826" s="149">
        <v>46042</v>
      </c>
      <c r="F826" s="149">
        <f t="shared" si="124"/>
        <v>46043</v>
      </c>
      <c r="G826" s="149">
        <f t="shared" si="125"/>
        <v>46056</v>
      </c>
      <c r="H826" s="149">
        <f t="shared" si="126"/>
        <v>46070</v>
      </c>
      <c r="I826" s="149" t="str">
        <f t="shared" si="127"/>
        <v>Jan</v>
      </c>
      <c r="J826" s="216" t="str">
        <f t="shared" ca="1" si="119"/>
        <v/>
      </c>
      <c r="K826" s="149" t="s">
        <v>7</v>
      </c>
      <c r="L826" s="149"/>
      <c r="M826" s="11">
        <v>46057</v>
      </c>
      <c r="N826" s="152">
        <f t="shared" si="128"/>
        <v>11</v>
      </c>
      <c r="O826" s="12" t="str">
        <f t="shared" si="120"/>
        <v>Yes</v>
      </c>
      <c r="P826" s="158"/>
      <c r="Q826" s="157"/>
      <c r="R826" s="11" t="s">
        <v>39</v>
      </c>
      <c r="S826" s="158"/>
      <c r="T826" s="5" t="s">
        <v>62</v>
      </c>
      <c r="U826" s="6"/>
      <c r="V826" s="5"/>
      <c r="W826" s="5"/>
      <c r="BB826" s="7" t="str">
        <v>Quarter 4</v>
      </c>
    </row>
    <row r="827" spans="1:54" ht="31.4" customHeight="1" x14ac:dyDescent="0.35">
      <c r="A827" s="210">
        <v>826</v>
      </c>
      <c r="B827" s="5" t="s">
        <v>48</v>
      </c>
      <c r="C827" s="5" t="s">
        <v>9</v>
      </c>
      <c r="D827" s="5" t="s">
        <v>1070</v>
      </c>
      <c r="E827" s="149">
        <v>46042</v>
      </c>
      <c r="F827" s="149">
        <f t="shared" si="124"/>
        <v>46043</v>
      </c>
      <c r="G827" s="149">
        <f t="shared" si="125"/>
        <v>46056</v>
      </c>
      <c r="H827" s="149">
        <f t="shared" si="126"/>
        <v>46070</v>
      </c>
      <c r="I827" s="149" t="str">
        <f t="shared" si="127"/>
        <v>Jan</v>
      </c>
      <c r="J827" s="216" t="str">
        <f t="shared" ca="1" si="119"/>
        <v/>
      </c>
      <c r="K827" s="149" t="s">
        <v>4</v>
      </c>
      <c r="L827" s="149"/>
      <c r="M827" s="11">
        <v>46051</v>
      </c>
      <c r="N827" s="152">
        <f t="shared" si="128"/>
        <v>7</v>
      </c>
      <c r="O827" s="12" t="str">
        <f t="shared" si="120"/>
        <v>Yes</v>
      </c>
      <c r="P827" s="158"/>
      <c r="Q827" s="157"/>
      <c r="R827" s="11" t="s">
        <v>39</v>
      </c>
      <c r="S827" s="158"/>
      <c r="T827" s="5" t="s">
        <v>40</v>
      </c>
      <c r="U827" s="6"/>
      <c r="V827" s="5"/>
      <c r="W827" s="5"/>
      <c r="BB827" s="7" t="str">
        <v>Quarter 4</v>
      </c>
    </row>
    <row r="828" spans="1:54" ht="31.4" customHeight="1" x14ac:dyDescent="0.35">
      <c r="A828" s="210">
        <v>827</v>
      </c>
      <c r="B828" s="5" t="s">
        <v>6</v>
      </c>
      <c r="C828" s="5" t="s">
        <v>6</v>
      </c>
      <c r="D828" s="5" t="s">
        <v>1071</v>
      </c>
      <c r="E828" s="149">
        <v>46043</v>
      </c>
      <c r="F828" s="149">
        <f t="shared" si="124"/>
        <v>46044</v>
      </c>
      <c r="G828" s="149">
        <f t="shared" si="125"/>
        <v>46057</v>
      </c>
      <c r="H828" s="149">
        <f t="shared" si="126"/>
        <v>46071</v>
      </c>
      <c r="I828" s="149" t="str">
        <f t="shared" si="127"/>
        <v>Jan</v>
      </c>
      <c r="J828" s="216" t="str">
        <f t="shared" ca="1" si="119"/>
        <v/>
      </c>
      <c r="K828" s="149" t="s">
        <v>43</v>
      </c>
      <c r="L828" s="149"/>
      <c r="M828" s="11">
        <v>46066</v>
      </c>
      <c r="N828" s="152">
        <f t="shared" si="128"/>
        <v>17</v>
      </c>
      <c r="O828" s="12" t="str">
        <f t="shared" si="120"/>
        <v>Yes</v>
      </c>
      <c r="P828" s="158"/>
      <c r="Q828" s="157"/>
      <c r="R828" s="11" t="s">
        <v>39</v>
      </c>
      <c r="S828" s="158"/>
      <c r="T828" s="5" t="s">
        <v>40</v>
      </c>
      <c r="U828" s="6"/>
      <c r="V828" s="5"/>
      <c r="W828" s="5"/>
      <c r="BB828" s="7" t="str">
        <v>Quarter 4</v>
      </c>
    </row>
    <row r="829" spans="1:54" ht="31.4" customHeight="1" x14ac:dyDescent="0.35">
      <c r="A829" s="210">
        <v>828</v>
      </c>
      <c r="B829" s="5" t="s">
        <v>1072</v>
      </c>
      <c r="C829" s="5" t="s">
        <v>9</v>
      </c>
      <c r="D829" s="5" t="s">
        <v>1856</v>
      </c>
      <c r="E829" s="149">
        <v>46043</v>
      </c>
      <c r="F829" s="149">
        <f t="shared" si="124"/>
        <v>46044</v>
      </c>
      <c r="G829" s="149">
        <f t="shared" si="125"/>
        <v>46057</v>
      </c>
      <c r="H829" s="149">
        <f t="shared" si="126"/>
        <v>46071</v>
      </c>
      <c r="I829" s="149" t="str">
        <f t="shared" si="127"/>
        <v>Jan</v>
      </c>
      <c r="J829" s="216" t="str">
        <f t="shared" ca="1" si="119"/>
        <v/>
      </c>
      <c r="K829" s="149" t="s">
        <v>43</v>
      </c>
      <c r="L829" s="149"/>
      <c r="M829" s="11">
        <v>46065</v>
      </c>
      <c r="N829" s="152">
        <f t="shared" si="128"/>
        <v>16</v>
      </c>
      <c r="O829" s="12" t="str">
        <f t="shared" si="120"/>
        <v>Yes</v>
      </c>
      <c r="P829" s="158"/>
      <c r="Q829" s="157"/>
      <c r="R829" s="11" t="s">
        <v>39</v>
      </c>
      <c r="S829" s="158"/>
      <c r="T829" s="5" t="s">
        <v>40</v>
      </c>
      <c r="U829" s="6"/>
      <c r="V829" s="5"/>
      <c r="W829" s="5" t="s">
        <v>46</v>
      </c>
      <c r="BB829" s="7" t="str">
        <v>Quarter 4</v>
      </c>
    </row>
    <row r="830" spans="1:54" ht="31.4" customHeight="1" x14ac:dyDescent="0.35">
      <c r="A830" s="210">
        <v>829</v>
      </c>
      <c r="B830" s="5" t="s">
        <v>55</v>
      </c>
      <c r="C830" s="5" t="s">
        <v>13</v>
      </c>
      <c r="D830" s="5" t="s">
        <v>1073</v>
      </c>
      <c r="E830" s="149">
        <v>46043</v>
      </c>
      <c r="F830" s="149">
        <f t="shared" si="124"/>
        <v>46044</v>
      </c>
      <c r="G830" s="149">
        <f t="shared" si="125"/>
        <v>46057</v>
      </c>
      <c r="H830" s="149">
        <f t="shared" si="126"/>
        <v>46071</v>
      </c>
      <c r="I830" s="149" t="str">
        <f t="shared" si="127"/>
        <v>Jan</v>
      </c>
      <c r="J830" s="216" t="str">
        <f t="shared" ca="1" si="119"/>
        <v/>
      </c>
      <c r="K830" s="149" t="s">
        <v>43</v>
      </c>
      <c r="L830" s="149"/>
      <c r="M830" s="11">
        <v>46056</v>
      </c>
      <c r="N830" s="152">
        <f t="shared" si="128"/>
        <v>9</v>
      </c>
      <c r="O830" s="12" t="str">
        <f t="shared" si="120"/>
        <v>Yes</v>
      </c>
      <c r="P830" s="158"/>
      <c r="Q830" s="157"/>
      <c r="R830" s="11" t="s">
        <v>39</v>
      </c>
      <c r="S830" s="158"/>
      <c r="T830" s="5" t="s">
        <v>40</v>
      </c>
      <c r="U830" s="6"/>
      <c r="V830" s="5"/>
      <c r="W830" s="5" t="s">
        <v>46</v>
      </c>
      <c r="BB830" s="7" t="str">
        <v>Quarter 4</v>
      </c>
    </row>
    <row r="831" spans="1:54" ht="31.4" customHeight="1" x14ac:dyDescent="0.35">
      <c r="A831" s="210">
        <v>830</v>
      </c>
      <c r="B831" s="5" t="s">
        <v>1074</v>
      </c>
      <c r="C831" s="5" t="s">
        <v>9</v>
      </c>
      <c r="D831" s="5" t="s">
        <v>1075</v>
      </c>
      <c r="E831" s="149">
        <v>46043</v>
      </c>
      <c r="F831" s="149">
        <f t="shared" si="124"/>
        <v>46044</v>
      </c>
      <c r="G831" s="149">
        <f t="shared" si="125"/>
        <v>46057</v>
      </c>
      <c r="H831" s="149">
        <f t="shared" si="126"/>
        <v>46071</v>
      </c>
      <c r="I831" s="149" t="str">
        <f t="shared" si="127"/>
        <v>Jan</v>
      </c>
      <c r="J831" s="216" t="str">
        <f t="shared" ca="1" si="119"/>
        <v/>
      </c>
      <c r="K831" s="149" t="s">
        <v>7</v>
      </c>
      <c r="L831" s="149"/>
      <c r="M831" s="11">
        <v>46071</v>
      </c>
      <c r="N831" s="152">
        <f t="shared" si="128"/>
        <v>20</v>
      </c>
      <c r="O831" s="12" t="str">
        <f t="shared" si="120"/>
        <v>Yes</v>
      </c>
      <c r="P831" s="158"/>
      <c r="Q831" s="157"/>
      <c r="R831" s="11" t="s">
        <v>39</v>
      </c>
      <c r="S831" s="158"/>
      <c r="T831" s="5" t="s">
        <v>40</v>
      </c>
      <c r="U831" s="6"/>
      <c r="V831" s="5"/>
      <c r="W831" s="5" t="s">
        <v>46</v>
      </c>
      <c r="BB831" s="7" t="str">
        <v>Quarter 4</v>
      </c>
    </row>
    <row r="832" spans="1:54" ht="31.4" customHeight="1" x14ac:dyDescent="0.35">
      <c r="A832" s="210">
        <v>831</v>
      </c>
      <c r="B832" s="5" t="s">
        <v>1076</v>
      </c>
      <c r="C832" s="5" t="s">
        <v>9</v>
      </c>
      <c r="D832" s="5" t="s">
        <v>1077</v>
      </c>
      <c r="E832" s="149"/>
      <c r="F832" s="149"/>
      <c r="G832" s="149"/>
      <c r="H832" s="149"/>
      <c r="I832" s="149" t="s">
        <v>1485</v>
      </c>
      <c r="J832" s="216" t="str">
        <f t="shared" ca="1" si="119"/>
        <v/>
      </c>
      <c r="K832" s="149" t="s">
        <v>43</v>
      </c>
      <c r="L832" s="149"/>
      <c r="M832" s="11"/>
      <c r="N832" s="152" t="str">
        <f t="shared" si="128"/>
        <v/>
      </c>
      <c r="O832" s="12" t="str">
        <f t="shared" si="120"/>
        <v/>
      </c>
      <c r="P832" s="158"/>
      <c r="Q832" s="157"/>
      <c r="R832" s="11" t="s">
        <v>57</v>
      </c>
      <c r="S832" s="158"/>
      <c r="T832" s="5" t="s">
        <v>57</v>
      </c>
      <c r="U832" s="6"/>
      <c r="V832" s="5"/>
      <c r="W832" s="5"/>
      <c r="BB832" s="7" t="str">
        <v>Quarter 4</v>
      </c>
    </row>
    <row r="833" spans="1:54" ht="31.4" customHeight="1" x14ac:dyDescent="0.35">
      <c r="A833" s="210">
        <v>832</v>
      </c>
      <c r="B833" s="5" t="s">
        <v>1078</v>
      </c>
      <c r="C833" s="5" t="s">
        <v>9</v>
      </c>
      <c r="D833" s="5" t="s">
        <v>1079</v>
      </c>
      <c r="E833" s="149">
        <v>46043</v>
      </c>
      <c r="F833" s="149">
        <f t="shared" ref="F833:F864" si="129">IF($E833="","",WORKDAY($E833,1,$Z$33:$Z$47))</f>
        <v>46044</v>
      </c>
      <c r="G833" s="149">
        <f t="shared" ref="G833:G864" si="130">IF($E833="","",WORKDAY($E833,10,$Z$33:$Z$47))</f>
        <v>46057</v>
      </c>
      <c r="H833" s="149">
        <f t="shared" ref="H833:H864" si="131">IF($E833="","",WORKDAY($E833,20,$Z$33:$Z$47))</f>
        <v>46071</v>
      </c>
      <c r="I833" s="149" t="str">
        <f t="shared" si="127"/>
        <v>Jan</v>
      </c>
      <c r="J833" s="216" t="str">
        <f t="shared" ca="1" si="119"/>
        <v/>
      </c>
      <c r="K833" s="149" t="s">
        <v>3</v>
      </c>
      <c r="L833" s="149"/>
      <c r="M833" s="11">
        <v>46056</v>
      </c>
      <c r="N833" s="152">
        <f t="shared" si="128"/>
        <v>9</v>
      </c>
      <c r="O833" s="12" t="str">
        <f t="shared" si="120"/>
        <v>Yes</v>
      </c>
      <c r="P833" s="158"/>
      <c r="Q833" s="157"/>
      <c r="R833" s="11" t="s">
        <v>39</v>
      </c>
      <c r="S833" s="158"/>
      <c r="T833" s="5" t="s">
        <v>40</v>
      </c>
      <c r="U833" s="6"/>
      <c r="V833" s="5"/>
      <c r="W833" s="5" t="s">
        <v>46</v>
      </c>
      <c r="BB833" s="7" t="str">
        <v>Quarter 4</v>
      </c>
    </row>
    <row r="834" spans="1:54" ht="31.4" customHeight="1" x14ac:dyDescent="0.35">
      <c r="A834" s="210">
        <v>833</v>
      </c>
      <c r="B834" s="5" t="s">
        <v>1078</v>
      </c>
      <c r="C834" s="5" t="s">
        <v>9</v>
      </c>
      <c r="D834" s="5" t="s">
        <v>1080</v>
      </c>
      <c r="E834" s="149">
        <v>46043</v>
      </c>
      <c r="F834" s="149">
        <f t="shared" si="129"/>
        <v>46044</v>
      </c>
      <c r="G834" s="149">
        <f t="shared" si="130"/>
        <v>46057</v>
      </c>
      <c r="H834" s="149">
        <f t="shared" si="131"/>
        <v>46071</v>
      </c>
      <c r="I834" s="149" t="str">
        <f t="shared" si="127"/>
        <v>Jan</v>
      </c>
      <c r="J834" s="216" t="str">
        <f t="shared" ref="J834:J897" ca="1" si="132">IF($E834="","",IF($M834="",$H834-TODAY(),""))</f>
        <v/>
      </c>
      <c r="K834" s="149" t="s">
        <v>7</v>
      </c>
      <c r="L834" s="149"/>
      <c r="M834" s="11">
        <v>46057</v>
      </c>
      <c r="N834" s="152">
        <f t="shared" si="128"/>
        <v>10</v>
      </c>
      <c r="O834" s="12" t="str">
        <f t="shared" si="120"/>
        <v>Yes</v>
      </c>
      <c r="P834" s="158"/>
      <c r="Q834" s="157"/>
      <c r="R834" s="11" t="s">
        <v>39</v>
      </c>
      <c r="S834" s="158"/>
      <c r="T834" s="5" t="s">
        <v>40</v>
      </c>
      <c r="U834" s="6"/>
      <c r="V834" s="5"/>
      <c r="W834" s="5"/>
      <c r="BB834" s="7" t="str">
        <v>Quarter 4</v>
      </c>
    </row>
    <row r="835" spans="1:54" ht="31.4" customHeight="1" x14ac:dyDescent="0.35">
      <c r="A835" s="210">
        <v>834</v>
      </c>
      <c r="B835" s="5" t="s">
        <v>6</v>
      </c>
      <c r="C835" s="5" t="s">
        <v>6</v>
      </c>
      <c r="D835" s="5" t="s">
        <v>1081</v>
      </c>
      <c r="E835" s="149">
        <v>46044</v>
      </c>
      <c r="F835" s="149">
        <f t="shared" si="129"/>
        <v>46045</v>
      </c>
      <c r="G835" s="149">
        <f t="shared" si="130"/>
        <v>46058</v>
      </c>
      <c r="H835" s="149">
        <f t="shared" si="131"/>
        <v>46072</v>
      </c>
      <c r="I835" s="149" t="str">
        <f t="shared" si="127"/>
        <v>Jan</v>
      </c>
      <c r="J835" s="216" t="str">
        <f t="shared" ca="1" si="132"/>
        <v/>
      </c>
      <c r="K835" s="149" t="s">
        <v>43</v>
      </c>
      <c r="L835" s="149"/>
      <c r="M835" s="11">
        <v>46076</v>
      </c>
      <c r="N835" s="152">
        <f t="shared" si="128"/>
        <v>22</v>
      </c>
      <c r="O835" s="12" t="str">
        <f t="shared" ref="O835:O898" si="133">IF(ISBLANK($M835),"",IF($N835&lt;21,"Yes","No"))</f>
        <v>No</v>
      </c>
      <c r="P835" s="158"/>
      <c r="Q835" s="157"/>
      <c r="R835" s="11" t="s">
        <v>39</v>
      </c>
      <c r="S835" s="158"/>
      <c r="T835" s="5" t="s">
        <v>40</v>
      </c>
      <c r="U835" s="6"/>
      <c r="V835" s="5" t="s">
        <v>87</v>
      </c>
      <c r="W835" s="5"/>
      <c r="BB835" s="7" t="str">
        <v>Quarter 4</v>
      </c>
    </row>
    <row r="836" spans="1:54" ht="31.4" customHeight="1" x14ac:dyDescent="0.35">
      <c r="A836" s="210">
        <v>835</v>
      </c>
      <c r="B836" s="5" t="s">
        <v>55</v>
      </c>
      <c r="C836" s="5" t="s">
        <v>13</v>
      </c>
      <c r="D836" s="5" t="s">
        <v>1082</v>
      </c>
      <c r="E836" s="149">
        <v>46044</v>
      </c>
      <c r="F836" s="149">
        <f t="shared" si="129"/>
        <v>46045</v>
      </c>
      <c r="G836" s="149">
        <f t="shared" si="130"/>
        <v>46058</v>
      </c>
      <c r="H836" s="149">
        <f t="shared" si="131"/>
        <v>46072</v>
      </c>
      <c r="I836" s="149" t="str">
        <f t="shared" si="127"/>
        <v>Jan</v>
      </c>
      <c r="J836" s="216" t="str">
        <f t="shared" ca="1" si="132"/>
        <v/>
      </c>
      <c r="K836" s="149" t="s">
        <v>4</v>
      </c>
      <c r="L836" s="149"/>
      <c r="M836" s="11">
        <v>46058</v>
      </c>
      <c r="N836" s="152">
        <f t="shared" si="128"/>
        <v>10</v>
      </c>
      <c r="O836" s="12" t="str">
        <f t="shared" si="133"/>
        <v>Yes</v>
      </c>
      <c r="P836" s="158"/>
      <c r="Q836" s="157"/>
      <c r="R836" s="11" t="s">
        <v>39</v>
      </c>
      <c r="S836" s="158"/>
      <c r="T836" s="5" t="s">
        <v>45</v>
      </c>
      <c r="U836" s="6"/>
      <c r="V836" s="5" t="s">
        <v>53</v>
      </c>
      <c r="W836" s="5" t="s">
        <v>657</v>
      </c>
      <c r="BB836" s="7" t="str">
        <v>Quarter 4</v>
      </c>
    </row>
    <row r="837" spans="1:54" ht="31.4" customHeight="1" x14ac:dyDescent="0.35">
      <c r="A837" s="210">
        <v>836</v>
      </c>
      <c r="B837" s="5" t="s">
        <v>55</v>
      </c>
      <c r="C837" s="5" t="s">
        <v>13</v>
      </c>
      <c r="D837" s="5" t="s">
        <v>1083</v>
      </c>
      <c r="E837" s="149">
        <v>46044</v>
      </c>
      <c r="F837" s="149">
        <f t="shared" si="129"/>
        <v>46045</v>
      </c>
      <c r="G837" s="149">
        <f t="shared" si="130"/>
        <v>46058</v>
      </c>
      <c r="H837" s="149">
        <f t="shared" si="131"/>
        <v>46072</v>
      </c>
      <c r="I837" s="149" t="str">
        <f t="shared" si="127"/>
        <v>Jan</v>
      </c>
      <c r="J837" s="216" t="str">
        <f t="shared" ca="1" si="132"/>
        <v/>
      </c>
      <c r="K837" s="149" t="s">
        <v>43</v>
      </c>
      <c r="L837" s="149"/>
      <c r="M837" s="11">
        <v>46048</v>
      </c>
      <c r="N837" s="152">
        <f t="shared" si="128"/>
        <v>2</v>
      </c>
      <c r="O837" s="12" t="str">
        <f t="shared" si="133"/>
        <v>Yes</v>
      </c>
      <c r="P837" s="158"/>
      <c r="Q837" s="157"/>
      <c r="R837" s="11" t="s">
        <v>39</v>
      </c>
      <c r="S837" s="158"/>
      <c r="T837" s="5" t="s">
        <v>40</v>
      </c>
      <c r="U837" s="6"/>
      <c r="V837" s="5"/>
      <c r="W837" s="5"/>
      <c r="BB837" s="7" t="str">
        <v>Quarter 4</v>
      </c>
    </row>
    <row r="838" spans="1:54" ht="31.4" customHeight="1" x14ac:dyDescent="0.35">
      <c r="A838" s="210">
        <v>837</v>
      </c>
      <c r="B838" s="5" t="s">
        <v>214</v>
      </c>
      <c r="C838" s="5" t="s">
        <v>5</v>
      </c>
      <c r="D838" s="5" t="s">
        <v>1084</v>
      </c>
      <c r="E838" s="149">
        <v>46062</v>
      </c>
      <c r="F838" s="149">
        <f t="shared" si="129"/>
        <v>46063</v>
      </c>
      <c r="G838" s="149">
        <f t="shared" si="130"/>
        <v>46076</v>
      </c>
      <c r="H838" s="149">
        <f t="shared" si="131"/>
        <v>46090</v>
      </c>
      <c r="I838" s="149" t="str">
        <f t="shared" si="127"/>
        <v>Feb</v>
      </c>
      <c r="J838" s="216" t="str">
        <f t="shared" ca="1" si="132"/>
        <v/>
      </c>
      <c r="K838" s="149" t="s">
        <v>43</v>
      </c>
      <c r="L838" s="149"/>
      <c r="M838" s="11">
        <v>46065</v>
      </c>
      <c r="N838" s="152">
        <f t="shared" si="128"/>
        <v>3</v>
      </c>
      <c r="O838" s="12" t="str">
        <f t="shared" si="133"/>
        <v>Yes</v>
      </c>
      <c r="P838" s="158"/>
      <c r="Q838" s="157"/>
      <c r="R838" s="11" t="s">
        <v>39</v>
      </c>
      <c r="S838" s="158"/>
      <c r="T838" s="5" t="s">
        <v>40</v>
      </c>
      <c r="U838" s="6"/>
      <c r="V838" s="5"/>
      <c r="W838" s="5"/>
      <c r="BB838" s="7" t="str">
        <v>Quarter 4</v>
      </c>
    </row>
    <row r="839" spans="1:54" ht="31.4" customHeight="1" x14ac:dyDescent="0.35">
      <c r="A839" s="210">
        <v>838</v>
      </c>
      <c r="B839" s="5" t="s">
        <v>1085</v>
      </c>
      <c r="C839" s="5" t="s">
        <v>5</v>
      </c>
      <c r="D839" s="5" t="s">
        <v>1884</v>
      </c>
      <c r="E839" s="149">
        <v>46045</v>
      </c>
      <c r="F839" s="149">
        <f t="shared" si="129"/>
        <v>46048</v>
      </c>
      <c r="G839" s="149">
        <f t="shared" si="130"/>
        <v>46059</v>
      </c>
      <c r="H839" s="149">
        <f t="shared" si="131"/>
        <v>46073</v>
      </c>
      <c r="I839" s="149" t="str">
        <f t="shared" si="127"/>
        <v>Jan</v>
      </c>
      <c r="J839" s="216" t="str">
        <f t="shared" ca="1" si="132"/>
        <v/>
      </c>
      <c r="K839" s="149" t="s">
        <v>7</v>
      </c>
      <c r="L839" s="149"/>
      <c r="M839" s="11">
        <v>46062</v>
      </c>
      <c r="N839" s="152">
        <f t="shared" si="128"/>
        <v>11</v>
      </c>
      <c r="O839" s="12" t="str">
        <f t="shared" si="133"/>
        <v>Yes</v>
      </c>
      <c r="P839" s="158"/>
      <c r="Q839" s="157"/>
      <c r="R839" s="11" t="s">
        <v>39</v>
      </c>
      <c r="S839" s="158"/>
      <c r="T839" s="5" t="s">
        <v>40</v>
      </c>
      <c r="U839" s="6"/>
      <c r="V839" s="5"/>
      <c r="W839" s="5"/>
      <c r="BB839" s="7" t="str">
        <v>Quarter 4</v>
      </c>
    </row>
    <row r="840" spans="1:54" ht="31.4" customHeight="1" x14ac:dyDescent="0.35">
      <c r="A840" s="210">
        <v>839</v>
      </c>
      <c r="B840" s="5" t="s">
        <v>6</v>
      </c>
      <c r="C840" s="5" t="s">
        <v>6</v>
      </c>
      <c r="D840" s="5" t="s">
        <v>1086</v>
      </c>
      <c r="E840" s="149">
        <v>46045</v>
      </c>
      <c r="F840" s="149">
        <f t="shared" si="129"/>
        <v>46048</v>
      </c>
      <c r="G840" s="149">
        <f t="shared" si="130"/>
        <v>46059</v>
      </c>
      <c r="H840" s="149">
        <f t="shared" si="131"/>
        <v>46073</v>
      </c>
      <c r="I840" s="149" t="str">
        <f t="shared" si="127"/>
        <v>Jan</v>
      </c>
      <c r="J840" s="216" t="str">
        <f t="shared" ca="1" si="132"/>
        <v/>
      </c>
      <c r="K840" s="149" t="s">
        <v>4</v>
      </c>
      <c r="L840" s="149"/>
      <c r="M840" s="11">
        <v>46072</v>
      </c>
      <c r="N840" s="152">
        <f t="shared" si="128"/>
        <v>19</v>
      </c>
      <c r="O840" s="12" t="str">
        <f t="shared" si="133"/>
        <v>Yes</v>
      </c>
      <c r="P840" s="158"/>
      <c r="Q840" s="157"/>
      <c r="R840" s="11" t="s">
        <v>39</v>
      </c>
      <c r="S840" s="158"/>
      <c r="T840" s="5" t="s">
        <v>40</v>
      </c>
      <c r="U840" s="6"/>
      <c r="V840" s="5"/>
      <c r="W840" s="5"/>
      <c r="BB840" s="7" t="str">
        <v>Quarter 4</v>
      </c>
    </row>
    <row r="841" spans="1:54" ht="31.4" customHeight="1" x14ac:dyDescent="0.35">
      <c r="A841" s="210">
        <v>840</v>
      </c>
      <c r="B841" s="5" t="s">
        <v>6</v>
      </c>
      <c r="C841" s="5" t="s">
        <v>6</v>
      </c>
      <c r="D841" s="5" t="s">
        <v>1087</v>
      </c>
      <c r="E841" s="149">
        <v>46045</v>
      </c>
      <c r="F841" s="149">
        <f t="shared" si="129"/>
        <v>46048</v>
      </c>
      <c r="G841" s="149">
        <f t="shared" si="130"/>
        <v>46059</v>
      </c>
      <c r="H841" s="149">
        <f t="shared" si="131"/>
        <v>46073</v>
      </c>
      <c r="I841" s="149" t="str">
        <f t="shared" si="127"/>
        <v>Jan</v>
      </c>
      <c r="J841" s="216" t="str">
        <f t="shared" ca="1" si="132"/>
        <v/>
      </c>
      <c r="K841" s="149" t="s">
        <v>43</v>
      </c>
      <c r="L841" s="149"/>
      <c r="M841" s="11">
        <v>46051</v>
      </c>
      <c r="N841" s="152">
        <f t="shared" si="128"/>
        <v>4</v>
      </c>
      <c r="O841" s="12" t="str">
        <f t="shared" si="133"/>
        <v>Yes</v>
      </c>
      <c r="P841" s="158"/>
      <c r="Q841" s="157"/>
      <c r="R841" s="11" t="s">
        <v>39</v>
      </c>
      <c r="S841" s="158"/>
      <c r="T841" s="5" t="s">
        <v>40</v>
      </c>
      <c r="U841" s="6"/>
      <c r="V841" s="5"/>
      <c r="W841" s="5"/>
      <c r="BB841" s="7" t="str">
        <v>Quarter 4</v>
      </c>
    </row>
    <row r="842" spans="1:54" ht="31.4" customHeight="1" x14ac:dyDescent="0.35">
      <c r="A842" s="210">
        <v>841</v>
      </c>
      <c r="B842" s="5" t="s">
        <v>1088</v>
      </c>
      <c r="C842" s="5" t="s">
        <v>9</v>
      </c>
      <c r="D842" s="5" t="s">
        <v>1089</v>
      </c>
      <c r="E842" s="149">
        <v>46045</v>
      </c>
      <c r="F842" s="149">
        <f t="shared" si="129"/>
        <v>46048</v>
      </c>
      <c r="G842" s="149">
        <f t="shared" si="130"/>
        <v>46059</v>
      </c>
      <c r="H842" s="149">
        <f t="shared" si="131"/>
        <v>46073</v>
      </c>
      <c r="I842" s="149" t="str">
        <f t="shared" si="127"/>
        <v>Jan</v>
      </c>
      <c r="J842" s="216" t="str">
        <f t="shared" ca="1" si="132"/>
        <v/>
      </c>
      <c r="K842" s="149" t="s">
        <v>3</v>
      </c>
      <c r="L842" s="149"/>
      <c r="M842" s="11">
        <v>46099</v>
      </c>
      <c r="N842" s="152">
        <f t="shared" si="128"/>
        <v>38</v>
      </c>
      <c r="O842" s="12" t="str">
        <f t="shared" si="133"/>
        <v>No</v>
      </c>
      <c r="P842" s="158"/>
      <c r="Q842" s="157"/>
      <c r="R842" s="11" t="s">
        <v>39</v>
      </c>
      <c r="S842" s="158"/>
      <c r="T842" s="5" t="s">
        <v>40</v>
      </c>
      <c r="U842" s="6"/>
      <c r="V842" s="5"/>
      <c r="W842" s="5"/>
      <c r="BB842" s="7" t="str">
        <v>Quarter 4</v>
      </c>
    </row>
    <row r="843" spans="1:54" ht="31.4" customHeight="1" x14ac:dyDescent="0.35">
      <c r="A843" s="210">
        <v>842</v>
      </c>
      <c r="B843" s="5" t="s">
        <v>6</v>
      </c>
      <c r="C843" s="5" t="s">
        <v>6</v>
      </c>
      <c r="D843" s="5" t="s">
        <v>1090</v>
      </c>
      <c r="E843" s="149">
        <v>46046</v>
      </c>
      <c r="F843" s="149">
        <f t="shared" si="129"/>
        <v>46048</v>
      </c>
      <c r="G843" s="149">
        <f t="shared" si="130"/>
        <v>46059</v>
      </c>
      <c r="H843" s="149">
        <f t="shared" si="131"/>
        <v>46073</v>
      </c>
      <c r="I843" s="149" t="str">
        <f t="shared" si="127"/>
        <v>Jan</v>
      </c>
      <c r="J843" s="216" t="str">
        <f t="shared" ca="1" si="132"/>
        <v/>
      </c>
      <c r="K843" s="149" t="s">
        <v>4</v>
      </c>
      <c r="L843" s="149"/>
      <c r="M843" s="11">
        <v>46066</v>
      </c>
      <c r="N843" s="152">
        <f t="shared" si="128"/>
        <v>14</v>
      </c>
      <c r="O843" s="12" t="str">
        <f t="shared" si="133"/>
        <v>Yes</v>
      </c>
      <c r="P843" s="158"/>
      <c r="Q843" s="157"/>
      <c r="R843" s="11" t="s">
        <v>39</v>
      </c>
      <c r="S843" s="158"/>
      <c r="T843" s="5" t="s">
        <v>62</v>
      </c>
      <c r="U843" s="6"/>
      <c r="V843" s="5"/>
      <c r="W843" s="5"/>
      <c r="BB843" s="7" t="str">
        <v>Quarter 4</v>
      </c>
    </row>
    <row r="844" spans="1:54" ht="31.4" customHeight="1" x14ac:dyDescent="0.35">
      <c r="A844" s="210">
        <v>843</v>
      </c>
      <c r="B844" s="5" t="s">
        <v>55</v>
      </c>
      <c r="C844" s="5" t="s">
        <v>13</v>
      </c>
      <c r="D844" s="5" t="s">
        <v>1091</v>
      </c>
      <c r="E844" s="149">
        <v>46047</v>
      </c>
      <c r="F844" s="149">
        <f t="shared" si="129"/>
        <v>46048</v>
      </c>
      <c r="G844" s="149">
        <f t="shared" si="130"/>
        <v>46059</v>
      </c>
      <c r="H844" s="149">
        <f t="shared" si="131"/>
        <v>46073</v>
      </c>
      <c r="I844" s="149" t="str">
        <f t="shared" si="127"/>
        <v>Jan</v>
      </c>
      <c r="J844" s="216" t="str">
        <f t="shared" ca="1" si="132"/>
        <v/>
      </c>
      <c r="K844" s="149" t="s">
        <v>4</v>
      </c>
      <c r="L844" s="149"/>
      <c r="M844" s="11">
        <v>46070</v>
      </c>
      <c r="N844" s="152">
        <f t="shared" si="128"/>
        <v>16</v>
      </c>
      <c r="O844" s="12" t="str">
        <f t="shared" si="133"/>
        <v>Yes</v>
      </c>
      <c r="P844" s="158"/>
      <c r="Q844" s="157"/>
      <c r="R844" s="11" t="s">
        <v>39</v>
      </c>
      <c r="S844" s="158"/>
      <c r="T844" s="5" t="s">
        <v>40</v>
      </c>
      <c r="U844" s="6"/>
      <c r="V844" s="5"/>
      <c r="W844" s="5" t="s">
        <v>46</v>
      </c>
      <c r="BB844" s="7" t="str">
        <v>Quarter 4</v>
      </c>
    </row>
    <row r="845" spans="1:54" ht="31.4" customHeight="1" x14ac:dyDescent="0.35">
      <c r="A845" s="210">
        <v>844</v>
      </c>
      <c r="B845" s="5" t="s">
        <v>1092</v>
      </c>
      <c r="C845" s="5" t="s">
        <v>12</v>
      </c>
      <c r="D845" s="5" t="s">
        <v>1093</v>
      </c>
      <c r="E845" s="149">
        <v>46048</v>
      </c>
      <c r="F845" s="149">
        <f t="shared" si="129"/>
        <v>46049</v>
      </c>
      <c r="G845" s="149">
        <f t="shared" si="130"/>
        <v>46062</v>
      </c>
      <c r="H845" s="149">
        <f t="shared" si="131"/>
        <v>46076</v>
      </c>
      <c r="I845" s="149" t="str">
        <f t="shared" si="127"/>
        <v>Jan</v>
      </c>
      <c r="J845" s="216" t="str">
        <f t="shared" ca="1" si="132"/>
        <v/>
      </c>
      <c r="K845" s="149" t="s">
        <v>4</v>
      </c>
      <c r="L845" s="149"/>
      <c r="M845" s="11">
        <v>46048</v>
      </c>
      <c r="N845" s="152">
        <f t="shared" si="128"/>
        <v>0</v>
      </c>
      <c r="O845" s="12" t="str">
        <f t="shared" si="133"/>
        <v>Yes</v>
      </c>
      <c r="P845" s="158"/>
      <c r="Q845" s="157"/>
      <c r="R845" s="11" t="s">
        <v>39</v>
      </c>
      <c r="S845" s="158"/>
      <c r="T845" s="5" t="s">
        <v>40</v>
      </c>
      <c r="U845" s="6"/>
      <c r="V845" s="5"/>
      <c r="W845" s="5"/>
      <c r="BB845" s="7" t="str">
        <v>Quarter 4</v>
      </c>
    </row>
    <row r="846" spans="1:54" ht="31.4" customHeight="1" x14ac:dyDescent="0.35">
      <c r="A846" s="210">
        <v>845</v>
      </c>
      <c r="B846" s="5" t="s">
        <v>55</v>
      </c>
      <c r="C846" s="5" t="s">
        <v>13</v>
      </c>
      <c r="D846" s="5" t="s">
        <v>727</v>
      </c>
      <c r="E846" s="149">
        <v>46048</v>
      </c>
      <c r="F846" s="149">
        <f t="shared" si="129"/>
        <v>46049</v>
      </c>
      <c r="G846" s="149">
        <f t="shared" si="130"/>
        <v>46062</v>
      </c>
      <c r="H846" s="149">
        <f t="shared" si="131"/>
        <v>46076</v>
      </c>
      <c r="I846" s="149" t="str">
        <f t="shared" si="127"/>
        <v>Jan</v>
      </c>
      <c r="J846" s="216" t="str">
        <f t="shared" ca="1" si="132"/>
        <v/>
      </c>
      <c r="K846" s="149" t="s">
        <v>4</v>
      </c>
      <c r="L846" s="149"/>
      <c r="M846" s="11">
        <v>46058</v>
      </c>
      <c r="N846" s="152">
        <f t="shared" si="128"/>
        <v>8</v>
      </c>
      <c r="O846" s="12" t="str">
        <f t="shared" si="133"/>
        <v>Yes</v>
      </c>
      <c r="P846" s="158"/>
      <c r="Q846" s="157"/>
      <c r="R846" s="11" t="s">
        <v>39</v>
      </c>
      <c r="S846" s="158"/>
      <c r="T846" s="5" t="s">
        <v>40</v>
      </c>
      <c r="U846" s="6"/>
      <c r="V846" s="5"/>
      <c r="W846" s="5"/>
      <c r="BB846" s="7" t="str">
        <v>Quarter 4</v>
      </c>
    </row>
    <row r="847" spans="1:54" ht="31.4" customHeight="1" x14ac:dyDescent="0.35">
      <c r="A847" s="210">
        <v>846</v>
      </c>
      <c r="B847" s="5" t="s">
        <v>6</v>
      </c>
      <c r="C847" s="5" t="s">
        <v>6</v>
      </c>
      <c r="D847" s="5" t="s">
        <v>1094</v>
      </c>
      <c r="E847" s="149">
        <v>46048</v>
      </c>
      <c r="F847" s="149">
        <f t="shared" si="129"/>
        <v>46049</v>
      </c>
      <c r="G847" s="149">
        <f t="shared" si="130"/>
        <v>46062</v>
      </c>
      <c r="H847" s="149">
        <f t="shared" si="131"/>
        <v>46076</v>
      </c>
      <c r="I847" s="149" t="str">
        <f t="shared" si="127"/>
        <v>Jan</v>
      </c>
      <c r="J847" s="216" t="str">
        <f t="shared" ca="1" si="132"/>
        <v/>
      </c>
      <c r="K847" s="149" t="s">
        <v>4</v>
      </c>
      <c r="L847" s="149"/>
      <c r="M847" s="11">
        <v>46077</v>
      </c>
      <c r="N847" s="152">
        <f t="shared" si="128"/>
        <v>21</v>
      </c>
      <c r="O847" s="12" t="str">
        <f t="shared" si="133"/>
        <v>No</v>
      </c>
      <c r="P847" s="158"/>
      <c r="Q847" s="157"/>
      <c r="R847" s="11" t="s">
        <v>39</v>
      </c>
      <c r="S847" s="158"/>
      <c r="T847" s="5" t="s">
        <v>40</v>
      </c>
      <c r="U847" s="6"/>
      <c r="V847" s="5" t="s">
        <v>54</v>
      </c>
      <c r="W847" s="5"/>
      <c r="BB847" s="7" t="str">
        <v>Quarter 4</v>
      </c>
    </row>
    <row r="848" spans="1:54" ht="31.4" customHeight="1" x14ac:dyDescent="0.35">
      <c r="A848" s="210">
        <v>847</v>
      </c>
      <c r="B848" s="5" t="s">
        <v>297</v>
      </c>
      <c r="C848" s="5" t="s">
        <v>5</v>
      </c>
      <c r="D848" s="5" t="s">
        <v>923</v>
      </c>
      <c r="E848" s="149">
        <v>46048</v>
      </c>
      <c r="F848" s="149">
        <f t="shared" si="129"/>
        <v>46049</v>
      </c>
      <c r="G848" s="149">
        <f t="shared" si="130"/>
        <v>46062</v>
      </c>
      <c r="H848" s="149">
        <f t="shared" si="131"/>
        <v>46076</v>
      </c>
      <c r="I848" s="149" t="str">
        <f t="shared" si="127"/>
        <v>Jan</v>
      </c>
      <c r="J848" s="216" t="str">
        <f t="shared" ca="1" si="132"/>
        <v/>
      </c>
      <c r="K848" s="149" t="s">
        <v>7</v>
      </c>
      <c r="L848" s="149"/>
      <c r="M848" s="11">
        <v>46076</v>
      </c>
      <c r="N848" s="152">
        <f t="shared" si="128"/>
        <v>20</v>
      </c>
      <c r="O848" s="12" t="str">
        <f t="shared" si="133"/>
        <v>Yes</v>
      </c>
      <c r="P848" s="158"/>
      <c r="Q848" s="157"/>
      <c r="R848" s="11" t="s">
        <v>39</v>
      </c>
      <c r="S848" s="158"/>
      <c r="T848" s="5" t="s">
        <v>45</v>
      </c>
      <c r="U848" s="6"/>
      <c r="V848" s="5" t="s">
        <v>41</v>
      </c>
      <c r="W848" s="5"/>
      <c r="BB848" s="7" t="str">
        <v>Quarter 4</v>
      </c>
    </row>
    <row r="849" spans="1:54" ht="31.4" customHeight="1" x14ac:dyDescent="0.35">
      <c r="A849" s="210">
        <v>848</v>
      </c>
      <c r="B849" s="5" t="s">
        <v>6</v>
      </c>
      <c r="C849" s="5" t="s">
        <v>6</v>
      </c>
      <c r="D849" s="5" t="s">
        <v>1095</v>
      </c>
      <c r="E849" s="149">
        <v>46049</v>
      </c>
      <c r="F849" s="149">
        <f t="shared" si="129"/>
        <v>46050</v>
      </c>
      <c r="G849" s="149">
        <f t="shared" si="130"/>
        <v>46063</v>
      </c>
      <c r="H849" s="149">
        <f t="shared" si="131"/>
        <v>46077</v>
      </c>
      <c r="I849" s="149" t="str">
        <f t="shared" si="127"/>
        <v>Jan</v>
      </c>
      <c r="J849" s="216" t="str">
        <f t="shared" ca="1" si="132"/>
        <v/>
      </c>
      <c r="K849" s="149" t="s">
        <v>43</v>
      </c>
      <c r="L849" s="149"/>
      <c r="M849" s="11">
        <v>46076</v>
      </c>
      <c r="N849" s="152">
        <f t="shared" si="128"/>
        <v>19</v>
      </c>
      <c r="O849" s="12" t="str">
        <f t="shared" si="133"/>
        <v>Yes</v>
      </c>
      <c r="P849" s="158"/>
      <c r="Q849" s="157"/>
      <c r="R849" s="11" t="s">
        <v>39</v>
      </c>
      <c r="S849" s="158"/>
      <c r="T849" s="5" t="s">
        <v>40</v>
      </c>
      <c r="U849" s="6"/>
      <c r="V849" s="5" t="s">
        <v>54</v>
      </c>
      <c r="W849" s="5" t="s">
        <v>46</v>
      </c>
      <c r="BB849" s="7" t="str">
        <v>Quarter 4</v>
      </c>
    </row>
    <row r="850" spans="1:54" ht="31.4" customHeight="1" x14ac:dyDescent="0.35">
      <c r="A850" s="210">
        <v>849</v>
      </c>
      <c r="B850" s="5" t="s">
        <v>6</v>
      </c>
      <c r="C850" s="5" t="s">
        <v>6</v>
      </c>
      <c r="D850" s="5" t="s">
        <v>1095</v>
      </c>
      <c r="E850" s="149">
        <v>46049</v>
      </c>
      <c r="F850" s="149">
        <f t="shared" si="129"/>
        <v>46050</v>
      </c>
      <c r="G850" s="149">
        <f t="shared" si="130"/>
        <v>46063</v>
      </c>
      <c r="H850" s="149">
        <f t="shared" si="131"/>
        <v>46077</v>
      </c>
      <c r="I850" s="149" t="str">
        <f t="shared" si="127"/>
        <v>Jan</v>
      </c>
      <c r="J850" s="216" t="str">
        <f t="shared" ca="1" si="132"/>
        <v/>
      </c>
      <c r="K850" s="149" t="s">
        <v>43</v>
      </c>
      <c r="L850" s="149"/>
      <c r="M850" s="11">
        <v>46076</v>
      </c>
      <c r="N850" s="152">
        <f t="shared" si="128"/>
        <v>19</v>
      </c>
      <c r="O850" s="12" t="str">
        <f t="shared" si="133"/>
        <v>Yes</v>
      </c>
      <c r="P850" s="158"/>
      <c r="Q850" s="157"/>
      <c r="R850" s="11" t="s">
        <v>39</v>
      </c>
      <c r="S850" s="158"/>
      <c r="T850" s="5" t="s">
        <v>40</v>
      </c>
      <c r="U850" s="6"/>
      <c r="V850" s="5" t="s">
        <v>54</v>
      </c>
      <c r="W850" s="5"/>
      <c r="BB850" s="7" t="str">
        <v>Quarter 4</v>
      </c>
    </row>
    <row r="851" spans="1:54" ht="31.4" customHeight="1" x14ac:dyDescent="0.35">
      <c r="A851" s="210">
        <v>850</v>
      </c>
      <c r="B851" s="5" t="s">
        <v>6</v>
      </c>
      <c r="C851" s="5" t="s">
        <v>6</v>
      </c>
      <c r="D851" s="5" t="s">
        <v>1095</v>
      </c>
      <c r="E851" s="149">
        <v>46049</v>
      </c>
      <c r="F851" s="149">
        <f t="shared" si="129"/>
        <v>46050</v>
      </c>
      <c r="G851" s="149">
        <f t="shared" si="130"/>
        <v>46063</v>
      </c>
      <c r="H851" s="149">
        <f t="shared" si="131"/>
        <v>46077</v>
      </c>
      <c r="I851" s="149" t="str">
        <f t="shared" si="127"/>
        <v>Jan</v>
      </c>
      <c r="J851" s="216" t="str">
        <f t="shared" ca="1" si="132"/>
        <v/>
      </c>
      <c r="K851" s="149" t="s">
        <v>43</v>
      </c>
      <c r="L851" s="149"/>
      <c r="M851" s="11">
        <v>46076</v>
      </c>
      <c r="N851" s="152">
        <f t="shared" si="128"/>
        <v>19</v>
      </c>
      <c r="O851" s="12" t="str">
        <f t="shared" si="133"/>
        <v>Yes</v>
      </c>
      <c r="P851" s="158"/>
      <c r="Q851" s="157"/>
      <c r="R851" s="11" t="s">
        <v>39</v>
      </c>
      <c r="S851" s="158"/>
      <c r="T851" s="5" t="s">
        <v>40</v>
      </c>
      <c r="U851" s="6"/>
      <c r="V851" s="5"/>
      <c r="W851" s="5" t="s">
        <v>46</v>
      </c>
      <c r="BB851" s="7" t="str">
        <v>Quarter 4</v>
      </c>
    </row>
    <row r="852" spans="1:54" ht="31.4" customHeight="1" x14ac:dyDescent="0.35">
      <c r="A852" s="210">
        <v>851</v>
      </c>
      <c r="B852" s="5" t="s">
        <v>55</v>
      </c>
      <c r="C852" s="5" t="s">
        <v>13</v>
      </c>
      <c r="D852" s="5" t="s">
        <v>1096</v>
      </c>
      <c r="E852" s="149">
        <v>46049</v>
      </c>
      <c r="F852" s="149">
        <f t="shared" si="129"/>
        <v>46050</v>
      </c>
      <c r="G852" s="149">
        <f t="shared" si="130"/>
        <v>46063</v>
      </c>
      <c r="H852" s="149">
        <f t="shared" si="131"/>
        <v>46077</v>
      </c>
      <c r="I852" s="149" t="str">
        <f t="shared" si="127"/>
        <v>Jan</v>
      </c>
      <c r="J852" s="216" t="str">
        <f t="shared" ca="1" si="132"/>
        <v/>
      </c>
      <c r="K852" s="149" t="s">
        <v>43</v>
      </c>
      <c r="L852" s="149"/>
      <c r="M852" s="11">
        <v>46051</v>
      </c>
      <c r="N852" s="152">
        <f t="shared" si="128"/>
        <v>2</v>
      </c>
      <c r="O852" s="12" t="str">
        <f t="shared" si="133"/>
        <v>Yes</v>
      </c>
      <c r="P852" s="158"/>
      <c r="Q852" s="157"/>
      <c r="R852" s="11" t="s">
        <v>39</v>
      </c>
      <c r="S852" s="158"/>
      <c r="T852" s="5" t="s">
        <v>40</v>
      </c>
      <c r="U852" s="6"/>
      <c r="V852" s="5"/>
      <c r="W852" s="5"/>
      <c r="BB852" s="7" t="str">
        <v>Quarter 4</v>
      </c>
    </row>
    <row r="853" spans="1:54" ht="31.4" customHeight="1" x14ac:dyDescent="0.35">
      <c r="A853" s="210">
        <v>852</v>
      </c>
      <c r="B853" s="5" t="s">
        <v>645</v>
      </c>
      <c r="C853" s="5" t="s">
        <v>9</v>
      </c>
      <c r="D853" s="5" t="s">
        <v>1097</v>
      </c>
      <c r="E853" s="149">
        <v>46049</v>
      </c>
      <c r="F853" s="149">
        <f t="shared" si="129"/>
        <v>46050</v>
      </c>
      <c r="G853" s="149">
        <f t="shared" si="130"/>
        <v>46063</v>
      </c>
      <c r="H853" s="149">
        <f t="shared" si="131"/>
        <v>46077</v>
      </c>
      <c r="I853" s="149" t="str">
        <f t="shared" si="127"/>
        <v>Jan</v>
      </c>
      <c r="J853" s="216" t="str">
        <f t="shared" ca="1" si="132"/>
        <v/>
      </c>
      <c r="K853" s="149" t="s">
        <v>3</v>
      </c>
      <c r="L853" s="149"/>
      <c r="M853" s="11">
        <v>46077</v>
      </c>
      <c r="N853" s="152">
        <f t="shared" si="128"/>
        <v>20</v>
      </c>
      <c r="O853" s="12" t="str">
        <f t="shared" si="133"/>
        <v>Yes</v>
      </c>
      <c r="P853" s="158"/>
      <c r="Q853" s="157"/>
      <c r="R853" s="11" t="s">
        <v>39</v>
      </c>
      <c r="S853" s="158"/>
      <c r="T853" s="5" t="s">
        <v>40</v>
      </c>
      <c r="U853" s="6"/>
      <c r="V853" s="5" t="s">
        <v>54</v>
      </c>
      <c r="W853" s="5"/>
      <c r="BB853" s="7" t="str">
        <v>Quarter 4</v>
      </c>
    </row>
    <row r="854" spans="1:54" ht="31.4" customHeight="1" x14ac:dyDescent="0.35">
      <c r="A854" s="210">
        <v>853</v>
      </c>
      <c r="B854" s="5" t="s">
        <v>1098</v>
      </c>
      <c r="C854" s="5" t="s">
        <v>9</v>
      </c>
      <c r="D854" s="5" t="s">
        <v>1099</v>
      </c>
      <c r="E854" s="149">
        <v>46049</v>
      </c>
      <c r="F854" s="149">
        <f t="shared" si="129"/>
        <v>46050</v>
      </c>
      <c r="G854" s="149">
        <f t="shared" si="130"/>
        <v>46063</v>
      </c>
      <c r="H854" s="149">
        <f t="shared" si="131"/>
        <v>46077</v>
      </c>
      <c r="I854" s="149" t="str">
        <f t="shared" si="127"/>
        <v>Jan</v>
      </c>
      <c r="J854" s="216" t="str">
        <f t="shared" ca="1" si="132"/>
        <v/>
      </c>
      <c r="K854" s="149" t="s">
        <v>4</v>
      </c>
      <c r="L854" s="149"/>
      <c r="M854" s="11">
        <v>46050</v>
      </c>
      <c r="N854" s="152">
        <f t="shared" si="128"/>
        <v>1</v>
      </c>
      <c r="O854" s="12" t="str">
        <f t="shared" si="133"/>
        <v>Yes</v>
      </c>
      <c r="P854" s="158"/>
      <c r="Q854" s="157"/>
      <c r="R854" s="11" t="s">
        <v>39</v>
      </c>
      <c r="S854" s="158"/>
      <c r="T854" s="5" t="s">
        <v>62</v>
      </c>
      <c r="U854" s="6"/>
      <c r="V854" s="5"/>
      <c r="W854" s="5"/>
      <c r="BB854" s="7" t="str">
        <v>Quarter 4</v>
      </c>
    </row>
    <row r="855" spans="1:54" ht="31.4" customHeight="1" x14ac:dyDescent="0.35">
      <c r="A855" s="210">
        <v>854</v>
      </c>
      <c r="B855" s="5" t="s">
        <v>6</v>
      </c>
      <c r="C855" s="5" t="s">
        <v>6</v>
      </c>
      <c r="D855" s="5" t="s">
        <v>1100</v>
      </c>
      <c r="E855" s="149">
        <v>46050</v>
      </c>
      <c r="F855" s="149">
        <f t="shared" si="129"/>
        <v>46051</v>
      </c>
      <c r="G855" s="149">
        <f t="shared" si="130"/>
        <v>46064</v>
      </c>
      <c r="H855" s="149">
        <f t="shared" si="131"/>
        <v>46078</v>
      </c>
      <c r="I855" s="149" t="str">
        <f t="shared" si="127"/>
        <v>Jan</v>
      </c>
      <c r="J855" s="216" t="str">
        <f t="shared" ca="1" si="132"/>
        <v/>
      </c>
      <c r="K855" s="149" t="s">
        <v>4</v>
      </c>
      <c r="L855" s="149"/>
      <c r="M855" s="11">
        <v>46058</v>
      </c>
      <c r="N855" s="152">
        <f t="shared" si="128"/>
        <v>6</v>
      </c>
      <c r="O855" s="12" t="str">
        <f t="shared" si="133"/>
        <v>Yes</v>
      </c>
      <c r="P855" s="158"/>
      <c r="Q855" s="157"/>
      <c r="R855" s="11" t="s">
        <v>39</v>
      </c>
      <c r="S855" s="158"/>
      <c r="T855" s="5" t="s">
        <v>40</v>
      </c>
      <c r="U855" s="6"/>
      <c r="V855" s="5"/>
      <c r="W855" s="5"/>
      <c r="BB855" s="7" t="str">
        <v>Quarter 4</v>
      </c>
    </row>
    <row r="856" spans="1:54" ht="31.4" customHeight="1" x14ac:dyDescent="0.35">
      <c r="A856" s="210">
        <v>855</v>
      </c>
      <c r="B856" s="5" t="s">
        <v>6</v>
      </c>
      <c r="C856" s="5" t="s">
        <v>6</v>
      </c>
      <c r="D856" s="5" t="s">
        <v>772</v>
      </c>
      <c r="E856" s="149">
        <v>46050</v>
      </c>
      <c r="F856" s="149">
        <f t="shared" si="129"/>
        <v>46051</v>
      </c>
      <c r="G856" s="149">
        <f t="shared" si="130"/>
        <v>46064</v>
      </c>
      <c r="H856" s="149">
        <f t="shared" si="131"/>
        <v>46078</v>
      </c>
      <c r="I856" s="149" t="str">
        <f t="shared" si="127"/>
        <v>Jan</v>
      </c>
      <c r="J856" s="216" t="str">
        <f t="shared" ca="1" si="132"/>
        <v/>
      </c>
      <c r="K856" s="149" t="s">
        <v>4</v>
      </c>
      <c r="L856" s="149"/>
      <c r="M856" s="11">
        <v>46056</v>
      </c>
      <c r="N856" s="152">
        <f t="shared" si="128"/>
        <v>4</v>
      </c>
      <c r="O856" s="12" t="str">
        <f t="shared" si="133"/>
        <v>Yes</v>
      </c>
      <c r="P856" s="158"/>
      <c r="Q856" s="157"/>
      <c r="R856" s="11" t="s">
        <v>39</v>
      </c>
      <c r="S856" s="158"/>
      <c r="T856" s="5" t="s">
        <v>45</v>
      </c>
      <c r="U856" s="6"/>
      <c r="V856" s="5" t="s">
        <v>80</v>
      </c>
      <c r="W856" s="5" t="s">
        <v>46</v>
      </c>
      <c r="BB856" s="7" t="str">
        <v>Quarter 4</v>
      </c>
    </row>
    <row r="857" spans="1:54" ht="31.4" customHeight="1" x14ac:dyDescent="0.35">
      <c r="A857" s="210">
        <v>856</v>
      </c>
      <c r="B857" s="5" t="s">
        <v>1101</v>
      </c>
      <c r="C857" s="5" t="s">
        <v>9</v>
      </c>
      <c r="D857" s="5" t="s">
        <v>1102</v>
      </c>
      <c r="E857" s="149">
        <v>46050</v>
      </c>
      <c r="F857" s="149">
        <f t="shared" si="129"/>
        <v>46051</v>
      </c>
      <c r="G857" s="149">
        <f t="shared" si="130"/>
        <v>46064</v>
      </c>
      <c r="H857" s="149">
        <f t="shared" si="131"/>
        <v>46078</v>
      </c>
      <c r="I857" s="149" t="str">
        <f t="shared" si="127"/>
        <v>Jan</v>
      </c>
      <c r="J857" s="216" t="str">
        <f t="shared" ca="1" si="132"/>
        <v/>
      </c>
      <c r="K857" s="149" t="s">
        <v>4</v>
      </c>
      <c r="L857" s="149"/>
      <c r="M857" s="11">
        <v>46050</v>
      </c>
      <c r="N857" s="152">
        <f t="shared" si="128"/>
        <v>0</v>
      </c>
      <c r="O857" s="12" t="str">
        <f t="shared" si="133"/>
        <v>Yes</v>
      </c>
      <c r="P857" s="158"/>
      <c r="Q857" s="157"/>
      <c r="R857" s="11" t="s">
        <v>39</v>
      </c>
      <c r="S857" s="158"/>
      <c r="T857" s="5" t="s">
        <v>40</v>
      </c>
      <c r="U857" s="6"/>
      <c r="V857" s="5"/>
      <c r="W857" s="5"/>
      <c r="BB857" s="7" t="str">
        <v>Quarter 4</v>
      </c>
    </row>
    <row r="858" spans="1:54" ht="31.4" customHeight="1" x14ac:dyDescent="0.35">
      <c r="A858" s="210">
        <v>857</v>
      </c>
      <c r="B858" s="5" t="s">
        <v>1103</v>
      </c>
      <c r="C858" s="5" t="s">
        <v>9</v>
      </c>
      <c r="D858" s="5" t="s">
        <v>494</v>
      </c>
      <c r="E858" s="149">
        <v>46050</v>
      </c>
      <c r="F858" s="149">
        <f t="shared" si="129"/>
        <v>46051</v>
      </c>
      <c r="G858" s="149">
        <f t="shared" si="130"/>
        <v>46064</v>
      </c>
      <c r="H858" s="149">
        <f t="shared" si="131"/>
        <v>46078</v>
      </c>
      <c r="I858" s="149" t="str">
        <f t="shared" si="127"/>
        <v>Jan</v>
      </c>
      <c r="J858" s="216" t="str">
        <f t="shared" ca="1" si="132"/>
        <v/>
      </c>
      <c r="K858" s="149" t="s">
        <v>3</v>
      </c>
      <c r="L858" s="149"/>
      <c r="M858" s="11">
        <v>46080</v>
      </c>
      <c r="N858" s="152">
        <f t="shared" si="128"/>
        <v>22</v>
      </c>
      <c r="O858" s="12" t="str">
        <f t="shared" si="133"/>
        <v>No</v>
      </c>
      <c r="P858" s="158"/>
      <c r="Q858" s="157"/>
      <c r="R858" s="11" t="s">
        <v>39</v>
      </c>
      <c r="S858" s="158"/>
      <c r="T858" s="5" t="s">
        <v>40</v>
      </c>
      <c r="U858" s="6"/>
      <c r="V858" s="5"/>
      <c r="W858" s="5"/>
      <c r="BB858" s="7" t="str">
        <v>Quarter 4</v>
      </c>
    </row>
    <row r="859" spans="1:54" ht="31.4" customHeight="1" x14ac:dyDescent="0.35">
      <c r="A859" s="210">
        <v>858</v>
      </c>
      <c r="B859" s="5" t="s">
        <v>6</v>
      </c>
      <c r="C859" s="5" t="s">
        <v>6</v>
      </c>
      <c r="D859" s="5" t="s">
        <v>1104</v>
      </c>
      <c r="E859" s="149">
        <v>46050</v>
      </c>
      <c r="F859" s="149">
        <f t="shared" si="129"/>
        <v>46051</v>
      </c>
      <c r="G859" s="149">
        <f t="shared" si="130"/>
        <v>46064</v>
      </c>
      <c r="H859" s="149">
        <f t="shared" si="131"/>
        <v>46078</v>
      </c>
      <c r="I859" s="149" t="str">
        <f t="shared" si="127"/>
        <v>Jan</v>
      </c>
      <c r="J859" s="216" t="str">
        <f t="shared" ca="1" si="132"/>
        <v/>
      </c>
      <c r="K859" s="149" t="s">
        <v>3</v>
      </c>
      <c r="L859" s="149"/>
      <c r="M859" s="11">
        <v>46059</v>
      </c>
      <c r="N859" s="152">
        <f t="shared" si="128"/>
        <v>7</v>
      </c>
      <c r="O859" s="12" t="str">
        <f t="shared" si="133"/>
        <v>Yes</v>
      </c>
      <c r="P859" s="158"/>
      <c r="Q859" s="157"/>
      <c r="R859" s="11" t="s">
        <v>39</v>
      </c>
      <c r="S859" s="158"/>
      <c r="T859" s="5" t="s">
        <v>40</v>
      </c>
      <c r="U859" s="6"/>
      <c r="V859" s="5" t="s">
        <v>54</v>
      </c>
      <c r="W859" s="5" t="s">
        <v>46</v>
      </c>
      <c r="BB859" s="7" t="str">
        <v>Quarter 4</v>
      </c>
    </row>
    <row r="860" spans="1:54" ht="31.4" customHeight="1" x14ac:dyDescent="0.35">
      <c r="A860" s="210">
        <v>859</v>
      </c>
      <c r="B860" s="5" t="s">
        <v>55</v>
      </c>
      <c r="C860" s="8" t="s">
        <v>6</v>
      </c>
      <c r="D860" s="5" t="s">
        <v>1105</v>
      </c>
      <c r="E860" s="149">
        <v>46051</v>
      </c>
      <c r="F860" s="149">
        <f t="shared" si="129"/>
        <v>46052</v>
      </c>
      <c r="G860" s="149">
        <f t="shared" si="130"/>
        <v>46065</v>
      </c>
      <c r="H860" s="149">
        <f t="shared" si="131"/>
        <v>46079</v>
      </c>
      <c r="I860" s="149" t="str">
        <f t="shared" si="127"/>
        <v>Jan</v>
      </c>
      <c r="J860" s="216" t="str">
        <f t="shared" ca="1" si="132"/>
        <v/>
      </c>
      <c r="K860" s="149" t="s">
        <v>4</v>
      </c>
      <c r="L860" s="149"/>
      <c r="M860" s="11">
        <v>46066</v>
      </c>
      <c r="N860" s="152">
        <f t="shared" si="128"/>
        <v>11</v>
      </c>
      <c r="O860" s="12" t="str">
        <f t="shared" si="133"/>
        <v>Yes</v>
      </c>
      <c r="P860" s="158"/>
      <c r="Q860" s="157"/>
      <c r="R860" s="11" t="s">
        <v>39</v>
      </c>
      <c r="S860" s="158"/>
      <c r="T860" s="5" t="s">
        <v>40</v>
      </c>
      <c r="U860" s="6"/>
      <c r="V860" s="5"/>
      <c r="W860" s="5"/>
      <c r="BB860" s="7" t="str">
        <v>Quarter 4</v>
      </c>
    </row>
    <row r="861" spans="1:54" ht="31.4" customHeight="1" x14ac:dyDescent="0.35">
      <c r="A861" s="210">
        <v>860</v>
      </c>
      <c r="B861" s="5" t="s">
        <v>6</v>
      </c>
      <c r="C861" s="5" t="s">
        <v>6</v>
      </c>
      <c r="D861" s="5" t="s">
        <v>1106</v>
      </c>
      <c r="E861" s="149">
        <v>46052</v>
      </c>
      <c r="F861" s="149">
        <f t="shared" si="129"/>
        <v>46055</v>
      </c>
      <c r="G861" s="149">
        <f t="shared" si="130"/>
        <v>46066</v>
      </c>
      <c r="H861" s="149">
        <f t="shared" si="131"/>
        <v>46080</v>
      </c>
      <c r="I861" s="149" t="str">
        <f t="shared" si="127"/>
        <v>Jan</v>
      </c>
      <c r="J861" s="216" t="str">
        <f t="shared" ca="1" si="132"/>
        <v/>
      </c>
      <c r="K861" s="149" t="s">
        <v>43</v>
      </c>
      <c r="L861" s="149"/>
      <c r="M861" s="11">
        <v>46076</v>
      </c>
      <c r="N861" s="152">
        <f t="shared" si="128"/>
        <v>16</v>
      </c>
      <c r="O861" s="12" t="str">
        <f t="shared" si="133"/>
        <v>Yes</v>
      </c>
      <c r="P861" s="158"/>
      <c r="Q861" s="157"/>
      <c r="R861" s="11" t="s">
        <v>39</v>
      </c>
      <c r="S861" s="158"/>
      <c r="T861" s="5" t="s">
        <v>40</v>
      </c>
      <c r="U861" s="6"/>
      <c r="V861" s="5"/>
      <c r="W861" s="5"/>
      <c r="BB861" s="7" t="str">
        <v>Quarter 4</v>
      </c>
    </row>
    <row r="862" spans="1:54" ht="31.4" customHeight="1" x14ac:dyDescent="0.35">
      <c r="A862" s="210">
        <v>861</v>
      </c>
      <c r="B862" s="5" t="s">
        <v>6</v>
      </c>
      <c r="C862" s="5" t="s">
        <v>6</v>
      </c>
      <c r="D862" s="5" t="s">
        <v>1107</v>
      </c>
      <c r="E862" s="149">
        <v>46052</v>
      </c>
      <c r="F862" s="149">
        <f t="shared" si="129"/>
        <v>46055</v>
      </c>
      <c r="G862" s="149">
        <f t="shared" si="130"/>
        <v>46066</v>
      </c>
      <c r="H862" s="149">
        <f t="shared" si="131"/>
        <v>46080</v>
      </c>
      <c r="I862" s="149" t="str">
        <f t="shared" si="127"/>
        <v>Jan</v>
      </c>
      <c r="J862" s="216" t="str">
        <f t="shared" ca="1" si="132"/>
        <v/>
      </c>
      <c r="K862" s="149" t="s">
        <v>4</v>
      </c>
      <c r="L862" s="149"/>
      <c r="M862" s="11">
        <v>46070</v>
      </c>
      <c r="N862" s="152">
        <f t="shared" si="128"/>
        <v>12</v>
      </c>
      <c r="O862" s="12" t="str">
        <f t="shared" si="133"/>
        <v>Yes</v>
      </c>
      <c r="P862" s="158"/>
      <c r="Q862" s="157"/>
      <c r="R862" s="11" t="s">
        <v>39</v>
      </c>
      <c r="S862" s="158"/>
      <c r="T862" s="5" t="s">
        <v>40</v>
      </c>
      <c r="U862" s="6"/>
      <c r="V862" s="5"/>
      <c r="W862" s="5"/>
      <c r="BB862" s="7" t="str">
        <v>Quarter 4</v>
      </c>
    </row>
    <row r="863" spans="1:54" ht="31.4" customHeight="1" x14ac:dyDescent="0.35">
      <c r="A863" s="210">
        <v>862</v>
      </c>
      <c r="B863" s="5" t="s">
        <v>6</v>
      </c>
      <c r="C863" s="5" t="s">
        <v>6</v>
      </c>
      <c r="D863" s="5" t="s">
        <v>1108</v>
      </c>
      <c r="E863" s="149">
        <v>46052</v>
      </c>
      <c r="F863" s="149">
        <f t="shared" si="129"/>
        <v>46055</v>
      </c>
      <c r="G863" s="149">
        <f t="shared" si="130"/>
        <v>46066</v>
      </c>
      <c r="H863" s="149">
        <f t="shared" si="131"/>
        <v>46080</v>
      </c>
      <c r="I863" s="149" t="str">
        <f t="shared" si="127"/>
        <v>Jan</v>
      </c>
      <c r="J863" s="216" t="str">
        <f t="shared" ca="1" si="132"/>
        <v/>
      </c>
      <c r="K863" s="149" t="s">
        <v>43</v>
      </c>
      <c r="L863" s="149"/>
      <c r="M863" s="11">
        <v>46065</v>
      </c>
      <c r="N863" s="152">
        <f t="shared" si="128"/>
        <v>9</v>
      </c>
      <c r="O863" s="12" t="str">
        <f t="shared" si="133"/>
        <v>Yes</v>
      </c>
      <c r="P863" s="158"/>
      <c r="Q863" s="157"/>
      <c r="R863" s="11" t="s">
        <v>39</v>
      </c>
      <c r="S863" s="158"/>
      <c r="T863" s="5" t="s">
        <v>40</v>
      </c>
      <c r="U863" s="6"/>
      <c r="V863" s="5"/>
      <c r="W863" s="5" t="s">
        <v>46</v>
      </c>
      <c r="BB863" s="7" t="str">
        <v>Quarter 4</v>
      </c>
    </row>
    <row r="864" spans="1:54" ht="31.4" customHeight="1" x14ac:dyDescent="0.35">
      <c r="A864" s="210">
        <v>863</v>
      </c>
      <c r="B864" s="5" t="s">
        <v>55</v>
      </c>
      <c r="C864" s="5" t="s">
        <v>13</v>
      </c>
      <c r="D864" s="5" t="s">
        <v>1109</v>
      </c>
      <c r="E864" s="149">
        <v>46053</v>
      </c>
      <c r="F864" s="149">
        <f t="shared" si="129"/>
        <v>46055</v>
      </c>
      <c r="G864" s="149">
        <f t="shared" si="130"/>
        <v>46066</v>
      </c>
      <c r="H864" s="149">
        <f t="shared" si="131"/>
        <v>46080</v>
      </c>
      <c r="I864" s="149" t="str">
        <f t="shared" si="127"/>
        <v>Jan</v>
      </c>
      <c r="J864" s="216" t="str">
        <f t="shared" ca="1" si="132"/>
        <v/>
      </c>
      <c r="K864" s="149" t="s">
        <v>4</v>
      </c>
      <c r="L864" s="149"/>
      <c r="M864" s="11">
        <v>46055</v>
      </c>
      <c r="N864" s="152">
        <f t="shared" si="128"/>
        <v>0</v>
      </c>
      <c r="O864" s="12" t="str">
        <f t="shared" si="133"/>
        <v>Yes</v>
      </c>
      <c r="P864" s="158"/>
      <c r="Q864" s="157"/>
      <c r="R864" s="11" t="s">
        <v>39</v>
      </c>
      <c r="S864" s="158"/>
      <c r="T864" s="5" t="s">
        <v>62</v>
      </c>
      <c r="U864" s="6"/>
      <c r="V864" s="5"/>
      <c r="W864" s="5"/>
      <c r="BB864" s="7" t="str">
        <v>Quarter 4</v>
      </c>
    </row>
    <row r="865" spans="1:54" ht="31.4" customHeight="1" x14ac:dyDescent="0.35">
      <c r="A865" s="210">
        <v>864</v>
      </c>
      <c r="B865" s="5" t="s">
        <v>6</v>
      </c>
      <c r="C865" s="5" t="s">
        <v>6</v>
      </c>
      <c r="D865" s="5" t="s">
        <v>1110</v>
      </c>
      <c r="E865" s="149">
        <v>46054</v>
      </c>
      <c r="F865" s="149">
        <f t="shared" ref="F865:F899" si="134">IF($E865="","",WORKDAY($E865,1,$Z$33:$Z$47))</f>
        <v>46055</v>
      </c>
      <c r="G865" s="149">
        <f t="shared" ref="G865:G899" si="135">IF($E865="","",WORKDAY($E865,10,$Z$33:$Z$47))</f>
        <v>46066</v>
      </c>
      <c r="H865" s="149">
        <f t="shared" ref="H865:H899" si="136">IF($E865="","",WORKDAY($E865,20,$Z$33:$Z$47))</f>
        <v>46080</v>
      </c>
      <c r="I865" s="149" t="str">
        <f t="shared" si="127"/>
        <v>Feb</v>
      </c>
      <c r="J865" s="216" t="str">
        <f t="shared" ca="1" si="132"/>
        <v/>
      </c>
      <c r="K865" s="149" t="s">
        <v>4</v>
      </c>
      <c r="L865" s="149"/>
      <c r="M865" s="11">
        <v>46055</v>
      </c>
      <c r="N865" s="152">
        <f t="shared" si="128"/>
        <v>0</v>
      </c>
      <c r="O865" s="12" t="str">
        <f t="shared" si="133"/>
        <v>Yes</v>
      </c>
      <c r="P865" s="158"/>
      <c r="Q865" s="157"/>
      <c r="R865" s="11" t="s">
        <v>39</v>
      </c>
      <c r="S865" s="158"/>
      <c r="T865" s="5" t="s">
        <v>40</v>
      </c>
      <c r="U865" s="6"/>
      <c r="V865" s="5" t="s">
        <v>54</v>
      </c>
      <c r="W865" s="5"/>
      <c r="BB865" s="7" t="str">
        <v>Quarter 4</v>
      </c>
    </row>
    <row r="866" spans="1:54" ht="31.4" customHeight="1" x14ac:dyDescent="0.35">
      <c r="A866" s="210">
        <v>865</v>
      </c>
      <c r="B866" s="5" t="s">
        <v>6</v>
      </c>
      <c r="C866" s="5" t="s">
        <v>6</v>
      </c>
      <c r="D866" s="5" t="s">
        <v>1108</v>
      </c>
      <c r="E866" s="149">
        <v>46054</v>
      </c>
      <c r="F866" s="149">
        <f t="shared" si="134"/>
        <v>46055</v>
      </c>
      <c r="G866" s="149">
        <f t="shared" si="135"/>
        <v>46066</v>
      </c>
      <c r="H866" s="149">
        <f t="shared" si="136"/>
        <v>46080</v>
      </c>
      <c r="I866" s="149" t="str">
        <f t="shared" si="127"/>
        <v>Feb</v>
      </c>
      <c r="J866" s="216" t="str">
        <f t="shared" ca="1" si="132"/>
        <v/>
      </c>
      <c r="K866" s="149" t="s">
        <v>43</v>
      </c>
      <c r="L866" s="149"/>
      <c r="M866" s="11">
        <v>46065</v>
      </c>
      <c r="N866" s="152">
        <f t="shared" si="128"/>
        <v>8</v>
      </c>
      <c r="O866" s="12" t="str">
        <f t="shared" si="133"/>
        <v>Yes</v>
      </c>
      <c r="P866" s="158"/>
      <c r="Q866" s="157"/>
      <c r="R866" s="11" t="s">
        <v>39</v>
      </c>
      <c r="S866" s="158"/>
      <c r="T866" s="5" t="s">
        <v>40</v>
      </c>
      <c r="U866" s="6"/>
      <c r="V866" s="5"/>
      <c r="W866" s="5"/>
      <c r="BB866" s="7" t="str">
        <v>Quarter 4</v>
      </c>
    </row>
    <row r="867" spans="1:54" ht="31.4" customHeight="1" x14ac:dyDescent="0.35">
      <c r="A867" s="210">
        <v>866</v>
      </c>
      <c r="B867" s="5" t="s">
        <v>1111</v>
      </c>
      <c r="C867" s="5" t="s">
        <v>16</v>
      </c>
      <c r="D867" s="5" t="s">
        <v>1107</v>
      </c>
      <c r="E867" s="149">
        <v>46055</v>
      </c>
      <c r="F867" s="149">
        <f t="shared" si="134"/>
        <v>46056</v>
      </c>
      <c r="G867" s="149">
        <f t="shared" si="135"/>
        <v>46069</v>
      </c>
      <c r="H867" s="149">
        <f t="shared" si="136"/>
        <v>46083</v>
      </c>
      <c r="I867" s="149" t="str">
        <f t="shared" si="127"/>
        <v>Feb</v>
      </c>
      <c r="J867" s="216" t="str">
        <f t="shared" ca="1" si="132"/>
        <v/>
      </c>
      <c r="K867" s="149" t="s">
        <v>4</v>
      </c>
      <c r="L867" s="149"/>
      <c r="M867" s="11">
        <v>46072</v>
      </c>
      <c r="N867" s="152">
        <f t="shared" si="128"/>
        <v>13</v>
      </c>
      <c r="O867" s="12" t="str">
        <f t="shared" si="133"/>
        <v>Yes</v>
      </c>
      <c r="P867" s="158"/>
      <c r="Q867" s="157"/>
      <c r="R867" s="11" t="s">
        <v>39</v>
      </c>
      <c r="S867" s="158"/>
      <c r="T867" s="5" t="s">
        <v>40</v>
      </c>
      <c r="U867" s="6"/>
      <c r="V867" s="5" t="s">
        <v>54</v>
      </c>
      <c r="W867" s="5"/>
      <c r="BB867" s="7" t="str">
        <v>Quarter 4</v>
      </c>
    </row>
    <row r="868" spans="1:54" ht="31.4" customHeight="1" x14ac:dyDescent="0.35">
      <c r="A868" s="210">
        <v>867</v>
      </c>
      <c r="B868" s="5" t="s">
        <v>461</v>
      </c>
      <c r="C868" s="5" t="s">
        <v>9</v>
      </c>
      <c r="D868" s="5" t="s">
        <v>337</v>
      </c>
      <c r="E868" s="149">
        <v>46055</v>
      </c>
      <c r="F868" s="149">
        <f t="shared" si="134"/>
        <v>46056</v>
      </c>
      <c r="G868" s="149">
        <f t="shared" si="135"/>
        <v>46069</v>
      </c>
      <c r="H868" s="149">
        <f t="shared" si="136"/>
        <v>46083</v>
      </c>
      <c r="I868" s="149" t="str">
        <f t="shared" si="127"/>
        <v>Feb</v>
      </c>
      <c r="J868" s="216" t="str">
        <f t="shared" ca="1" si="132"/>
        <v/>
      </c>
      <c r="K868" s="149" t="s">
        <v>3</v>
      </c>
      <c r="L868" s="149"/>
      <c r="M868" s="11">
        <v>46055</v>
      </c>
      <c r="N868" s="152">
        <f t="shared" si="128"/>
        <v>0</v>
      </c>
      <c r="O868" s="12" t="str">
        <f t="shared" si="133"/>
        <v>Yes</v>
      </c>
      <c r="P868" s="158"/>
      <c r="Q868" s="157"/>
      <c r="R868" s="11" t="s">
        <v>39</v>
      </c>
      <c r="S868" s="158"/>
      <c r="T868" s="5" t="s">
        <v>62</v>
      </c>
      <c r="U868" s="6"/>
      <c r="V868" s="5"/>
      <c r="W868" s="5"/>
      <c r="BB868" s="7" t="str">
        <v>Quarter 4</v>
      </c>
    </row>
    <row r="869" spans="1:54" ht="31.4" customHeight="1" x14ac:dyDescent="0.35">
      <c r="A869" s="210">
        <v>868</v>
      </c>
      <c r="B869" s="5" t="s">
        <v>237</v>
      </c>
      <c r="C869" s="5" t="s">
        <v>14</v>
      </c>
      <c r="D869" s="5" t="s">
        <v>1112</v>
      </c>
      <c r="E869" s="149">
        <v>46055</v>
      </c>
      <c r="F869" s="149">
        <f t="shared" si="134"/>
        <v>46056</v>
      </c>
      <c r="G869" s="149">
        <f t="shared" si="135"/>
        <v>46069</v>
      </c>
      <c r="H869" s="149">
        <f t="shared" si="136"/>
        <v>46083</v>
      </c>
      <c r="I869" s="149" t="str">
        <f t="shared" si="127"/>
        <v>Feb</v>
      </c>
      <c r="J869" s="216" t="str">
        <f t="shared" ca="1" si="132"/>
        <v/>
      </c>
      <c r="K869" s="149" t="s">
        <v>4</v>
      </c>
      <c r="L869" s="149"/>
      <c r="M869" s="11">
        <v>46064</v>
      </c>
      <c r="N869" s="152">
        <f t="shared" si="128"/>
        <v>7</v>
      </c>
      <c r="O869" s="12" t="str">
        <f t="shared" si="133"/>
        <v>Yes</v>
      </c>
      <c r="P869" s="158"/>
      <c r="Q869" s="157"/>
      <c r="R869" s="11" t="s">
        <v>39</v>
      </c>
      <c r="S869" s="158"/>
      <c r="T869" s="5" t="s">
        <v>40</v>
      </c>
      <c r="U869" s="6"/>
      <c r="V869" s="5"/>
      <c r="W869" s="5"/>
      <c r="BB869" s="7" t="str">
        <v>Quarter 4</v>
      </c>
    </row>
    <row r="870" spans="1:54" ht="31.4" customHeight="1" x14ac:dyDescent="0.35">
      <c r="A870" s="210">
        <v>869</v>
      </c>
      <c r="B870" s="5" t="s">
        <v>1113</v>
      </c>
      <c r="C870" s="5" t="s">
        <v>11</v>
      </c>
      <c r="D870" s="5" t="s">
        <v>1114</v>
      </c>
      <c r="E870" s="149">
        <v>46055</v>
      </c>
      <c r="F870" s="149">
        <f t="shared" si="134"/>
        <v>46056</v>
      </c>
      <c r="G870" s="149">
        <f t="shared" si="135"/>
        <v>46069</v>
      </c>
      <c r="H870" s="149">
        <f t="shared" si="136"/>
        <v>46083</v>
      </c>
      <c r="I870" s="149" t="str">
        <f t="shared" si="127"/>
        <v>Feb</v>
      </c>
      <c r="J870" s="216" t="str">
        <f t="shared" ca="1" si="132"/>
        <v/>
      </c>
      <c r="K870" s="149" t="s">
        <v>3</v>
      </c>
      <c r="L870" s="149"/>
      <c r="M870" s="11">
        <v>46076</v>
      </c>
      <c r="N870" s="152">
        <f t="shared" si="128"/>
        <v>15</v>
      </c>
      <c r="O870" s="12" t="str">
        <f t="shared" si="133"/>
        <v>Yes</v>
      </c>
      <c r="P870" s="158"/>
      <c r="Q870" s="157"/>
      <c r="R870" s="11" t="s">
        <v>39</v>
      </c>
      <c r="S870" s="158"/>
      <c r="T870" s="5" t="s">
        <v>40</v>
      </c>
      <c r="U870" s="6"/>
      <c r="V870" s="5"/>
      <c r="W870" s="5"/>
      <c r="BB870" s="7" t="str">
        <v>Quarter 4</v>
      </c>
    </row>
    <row r="871" spans="1:54" ht="31.4" customHeight="1" x14ac:dyDescent="0.35">
      <c r="A871" s="210">
        <v>870</v>
      </c>
      <c r="B871" s="5" t="s">
        <v>55</v>
      </c>
      <c r="C871" s="5" t="s">
        <v>13</v>
      </c>
      <c r="D871" s="5" t="s">
        <v>1115</v>
      </c>
      <c r="E871" s="149">
        <v>46055</v>
      </c>
      <c r="F871" s="149">
        <f t="shared" si="134"/>
        <v>46056</v>
      </c>
      <c r="G871" s="149">
        <f t="shared" si="135"/>
        <v>46069</v>
      </c>
      <c r="H871" s="149">
        <f t="shared" si="136"/>
        <v>46083</v>
      </c>
      <c r="I871" s="149" t="str">
        <f t="shared" si="127"/>
        <v>Feb</v>
      </c>
      <c r="J871" s="216" t="str">
        <f t="shared" ca="1" si="132"/>
        <v/>
      </c>
      <c r="K871" s="149" t="s">
        <v>4</v>
      </c>
      <c r="L871" s="149"/>
      <c r="M871" s="11">
        <v>46056</v>
      </c>
      <c r="N871" s="152">
        <f t="shared" si="128"/>
        <v>1</v>
      </c>
      <c r="O871" s="12" t="str">
        <f t="shared" si="133"/>
        <v>Yes</v>
      </c>
      <c r="P871" s="158"/>
      <c r="Q871" s="157"/>
      <c r="R871" s="11" t="s">
        <v>39</v>
      </c>
      <c r="S871" s="158"/>
      <c r="T871" s="5" t="s">
        <v>40</v>
      </c>
      <c r="U871" s="6"/>
      <c r="V871" s="5"/>
      <c r="W871" s="5" t="s">
        <v>46</v>
      </c>
      <c r="BB871" s="7" t="str">
        <v>Quarter 4</v>
      </c>
    </row>
    <row r="872" spans="1:54" ht="31.4" customHeight="1" x14ac:dyDescent="0.35">
      <c r="A872" s="210">
        <v>871</v>
      </c>
      <c r="B872" s="5" t="s">
        <v>6</v>
      </c>
      <c r="C872" s="5" t="s">
        <v>6</v>
      </c>
      <c r="D872" s="5" t="s">
        <v>1116</v>
      </c>
      <c r="E872" s="149">
        <v>46056</v>
      </c>
      <c r="F872" s="149">
        <f t="shared" si="134"/>
        <v>46057</v>
      </c>
      <c r="G872" s="149">
        <f t="shared" si="135"/>
        <v>46070</v>
      </c>
      <c r="H872" s="149">
        <f t="shared" si="136"/>
        <v>46084</v>
      </c>
      <c r="I872" s="149" t="str">
        <f t="shared" si="127"/>
        <v>Feb</v>
      </c>
      <c r="J872" s="216" t="str">
        <f t="shared" ca="1" si="132"/>
        <v/>
      </c>
      <c r="K872" s="149" t="s">
        <v>4</v>
      </c>
      <c r="L872" s="149"/>
      <c r="M872" s="11">
        <v>46056</v>
      </c>
      <c r="N872" s="152">
        <f t="shared" si="128"/>
        <v>0</v>
      </c>
      <c r="O872" s="12" t="str">
        <f t="shared" si="133"/>
        <v>Yes</v>
      </c>
      <c r="P872" s="158"/>
      <c r="Q872" s="157"/>
      <c r="R872" s="11" t="s">
        <v>39</v>
      </c>
      <c r="S872" s="158"/>
      <c r="T872" s="5" t="s">
        <v>62</v>
      </c>
      <c r="U872" s="6"/>
      <c r="V872" s="5"/>
      <c r="W872" s="5"/>
      <c r="BB872" s="7" t="str">
        <v>Quarter 4</v>
      </c>
    </row>
    <row r="873" spans="1:54" ht="31.4" customHeight="1" x14ac:dyDescent="0.35">
      <c r="A873" s="210">
        <v>872</v>
      </c>
      <c r="B873" s="5" t="s">
        <v>1117</v>
      </c>
      <c r="C873" s="5" t="s">
        <v>12</v>
      </c>
      <c r="D873" s="5" t="s">
        <v>1118</v>
      </c>
      <c r="E873" s="149">
        <v>46056</v>
      </c>
      <c r="F873" s="149">
        <f t="shared" si="134"/>
        <v>46057</v>
      </c>
      <c r="G873" s="149">
        <f t="shared" si="135"/>
        <v>46070</v>
      </c>
      <c r="H873" s="149">
        <f t="shared" si="136"/>
        <v>46084</v>
      </c>
      <c r="I873" s="149" t="str">
        <f t="shared" si="127"/>
        <v>Feb</v>
      </c>
      <c r="J873" s="216" t="str">
        <f t="shared" ca="1" si="132"/>
        <v/>
      </c>
      <c r="K873" s="149" t="s">
        <v>4</v>
      </c>
      <c r="L873" s="149"/>
      <c r="M873" s="11">
        <v>46059</v>
      </c>
      <c r="N873" s="152">
        <f t="shared" si="128"/>
        <v>3</v>
      </c>
      <c r="O873" s="12" t="str">
        <f t="shared" si="133"/>
        <v>Yes</v>
      </c>
      <c r="P873" s="158"/>
      <c r="Q873" s="157"/>
      <c r="R873" s="11" t="s">
        <v>39</v>
      </c>
      <c r="S873" s="158"/>
      <c r="T873" s="5" t="s">
        <v>40</v>
      </c>
      <c r="U873" s="6"/>
      <c r="V873" s="5"/>
      <c r="W873" s="5"/>
      <c r="BB873" s="7" t="str">
        <v>Quarter 4</v>
      </c>
    </row>
    <row r="874" spans="1:54" ht="31.4" customHeight="1" x14ac:dyDescent="0.35">
      <c r="A874" s="210">
        <v>873</v>
      </c>
      <c r="B874" s="5" t="s">
        <v>1119</v>
      </c>
      <c r="C874" s="5" t="s">
        <v>9</v>
      </c>
      <c r="D874" s="5" t="s">
        <v>1120</v>
      </c>
      <c r="E874" s="149">
        <v>46056</v>
      </c>
      <c r="F874" s="149">
        <f t="shared" si="134"/>
        <v>46057</v>
      </c>
      <c r="G874" s="149">
        <f t="shared" si="135"/>
        <v>46070</v>
      </c>
      <c r="H874" s="149">
        <f t="shared" si="136"/>
        <v>46084</v>
      </c>
      <c r="I874" s="149" t="str">
        <f t="shared" si="127"/>
        <v>Feb</v>
      </c>
      <c r="J874" s="216" t="str">
        <f t="shared" ca="1" si="132"/>
        <v/>
      </c>
      <c r="K874" s="149" t="s">
        <v>4</v>
      </c>
      <c r="L874" s="149"/>
      <c r="M874" s="11">
        <v>46085</v>
      </c>
      <c r="N874" s="152">
        <f t="shared" si="128"/>
        <v>21</v>
      </c>
      <c r="O874" s="12" t="str">
        <f t="shared" si="133"/>
        <v>No</v>
      </c>
      <c r="P874" s="158"/>
      <c r="Q874" s="157"/>
      <c r="R874" s="11" t="s">
        <v>39</v>
      </c>
      <c r="S874" s="158"/>
      <c r="T874" s="5" t="s">
        <v>40</v>
      </c>
      <c r="U874" s="6"/>
      <c r="V874" s="5" t="s">
        <v>54</v>
      </c>
      <c r="W874" s="5"/>
      <c r="BB874" s="7" t="str">
        <v>Quarter 4</v>
      </c>
    </row>
    <row r="875" spans="1:54" ht="31.4" customHeight="1" x14ac:dyDescent="0.35">
      <c r="A875" s="210">
        <v>874</v>
      </c>
      <c r="B875" s="5" t="s">
        <v>716</v>
      </c>
      <c r="C875" s="5" t="s">
        <v>11</v>
      </c>
      <c r="D875" s="5" t="s">
        <v>1121</v>
      </c>
      <c r="E875" s="149">
        <v>46056</v>
      </c>
      <c r="F875" s="149">
        <f t="shared" si="134"/>
        <v>46057</v>
      </c>
      <c r="G875" s="149">
        <f t="shared" si="135"/>
        <v>46070</v>
      </c>
      <c r="H875" s="149">
        <f t="shared" si="136"/>
        <v>46084</v>
      </c>
      <c r="I875" s="149" t="str">
        <f t="shared" si="127"/>
        <v>Feb</v>
      </c>
      <c r="J875" s="216" t="str">
        <f t="shared" ca="1" si="132"/>
        <v/>
      </c>
      <c r="K875" s="149" t="s">
        <v>43</v>
      </c>
      <c r="L875" s="149"/>
      <c r="M875" s="11">
        <v>46070</v>
      </c>
      <c r="N875" s="152">
        <f t="shared" si="128"/>
        <v>10</v>
      </c>
      <c r="O875" s="12" t="str">
        <f t="shared" si="133"/>
        <v>Yes</v>
      </c>
      <c r="P875" s="158"/>
      <c r="Q875" s="157"/>
      <c r="R875" s="11" t="s">
        <v>39</v>
      </c>
      <c r="S875" s="158"/>
      <c r="T875" s="5" t="s">
        <v>40</v>
      </c>
      <c r="U875" s="6"/>
      <c r="V875" s="5"/>
      <c r="W875" s="5" t="s">
        <v>46</v>
      </c>
      <c r="BB875" s="7" t="str">
        <v>Quarter 4</v>
      </c>
    </row>
    <row r="876" spans="1:54" ht="31.4" customHeight="1" x14ac:dyDescent="0.35">
      <c r="A876" s="210">
        <v>875</v>
      </c>
      <c r="B876" s="5" t="s">
        <v>965</v>
      </c>
      <c r="C876" s="5" t="s">
        <v>12</v>
      </c>
      <c r="D876" s="5" t="s">
        <v>1122</v>
      </c>
      <c r="E876" s="149">
        <v>46056</v>
      </c>
      <c r="F876" s="149">
        <f t="shared" si="134"/>
        <v>46057</v>
      </c>
      <c r="G876" s="149">
        <f t="shared" si="135"/>
        <v>46070</v>
      </c>
      <c r="H876" s="149">
        <f t="shared" si="136"/>
        <v>46084</v>
      </c>
      <c r="I876" s="149" t="str">
        <f t="shared" si="127"/>
        <v>Feb</v>
      </c>
      <c r="J876" s="216" t="str">
        <f t="shared" ca="1" si="132"/>
        <v/>
      </c>
      <c r="K876" s="149" t="s">
        <v>43</v>
      </c>
      <c r="L876" s="149"/>
      <c r="M876" s="11">
        <v>46064</v>
      </c>
      <c r="N876" s="152">
        <f t="shared" si="128"/>
        <v>6</v>
      </c>
      <c r="O876" s="12" t="str">
        <f t="shared" si="133"/>
        <v>Yes</v>
      </c>
      <c r="P876" s="158"/>
      <c r="Q876" s="157"/>
      <c r="R876" s="11" t="s">
        <v>39</v>
      </c>
      <c r="S876" s="158"/>
      <c r="T876" s="5" t="s">
        <v>62</v>
      </c>
      <c r="U876" s="6"/>
      <c r="V876" s="5"/>
      <c r="W876" s="5"/>
      <c r="BB876" s="7" t="str">
        <v>Quarter 4</v>
      </c>
    </row>
    <row r="877" spans="1:54" ht="31.4" customHeight="1" x14ac:dyDescent="0.35">
      <c r="A877" s="210">
        <v>876</v>
      </c>
      <c r="B877" s="5" t="s">
        <v>6</v>
      </c>
      <c r="C877" s="5" t="s">
        <v>6</v>
      </c>
      <c r="D877" s="5" t="s">
        <v>1108</v>
      </c>
      <c r="E877" s="149">
        <v>46051</v>
      </c>
      <c r="F877" s="149">
        <f t="shared" si="134"/>
        <v>46052</v>
      </c>
      <c r="G877" s="149">
        <f t="shared" si="135"/>
        <v>46065</v>
      </c>
      <c r="H877" s="149">
        <f t="shared" si="136"/>
        <v>46079</v>
      </c>
      <c r="I877" s="149" t="str">
        <f t="shared" si="127"/>
        <v>Jan</v>
      </c>
      <c r="J877" s="216" t="str">
        <f t="shared" ca="1" si="132"/>
        <v/>
      </c>
      <c r="K877" s="149" t="s">
        <v>43</v>
      </c>
      <c r="L877" s="149"/>
      <c r="M877" s="11">
        <v>46065</v>
      </c>
      <c r="N877" s="152">
        <f t="shared" si="128"/>
        <v>10</v>
      </c>
      <c r="O877" s="12" t="str">
        <f t="shared" si="133"/>
        <v>Yes</v>
      </c>
      <c r="P877" s="158"/>
      <c r="Q877" s="157"/>
      <c r="R877" s="11" t="s">
        <v>39</v>
      </c>
      <c r="S877" s="158"/>
      <c r="T877" s="5" t="s">
        <v>40</v>
      </c>
      <c r="U877" s="6"/>
      <c r="V877" s="5"/>
      <c r="W877" s="5" t="s">
        <v>46</v>
      </c>
      <c r="BB877" s="7" t="str">
        <v>Quarter 4</v>
      </c>
    </row>
    <row r="878" spans="1:54" ht="31.4" customHeight="1" x14ac:dyDescent="0.35">
      <c r="A878" s="210">
        <v>877</v>
      </c>
      <c r="B878" s="5" t="s">
        <v>1123</v>
      </c>
      <c r="C878" s="5" t="s">
        <v>12</v>
      </c>
      <c r="D878" s="5" t="s">
        <v>1124</v>
      </c>
      <c r="E878" s="149">
        <v>46057</v>
      </c>
      <c r="F878" s="149">
        <f t="shared" si="134"/>
        <v>46058</v>
      </c>
      <c r="G878" s="149">
        <f t="shared" si="135"/>
        <v>46071</v>
      </c>
      <c r="H878" s="149">
        <f t="shared" si="136"/>
        <v>46085</v>
      </c>
      <c r="I878" s="149" t="str">
        <f t="shared" si="127"/>
        <v>Feb</v>
      </c>
      <c r="J878" s="216" t="str">
        <f t="shared" ca="1" si="132"/>
        <v/>
      </c>
      <c r="K878" s="149" t="s">
        <v>7</v>
      </c>
      <c r="L878" s="149"/>
      <c r="M878" s="11">
        <v>46069</v>
      </c>
      <c r="N878" s="152">
        <f t="shared" si="128"/>
        <v>8</v>
      </c>
      <c r="O878" s="12" t="str">
        <f t="shared" si="133"/>
        <v>Yes</v>
      </c>
      <c r="P878" s="158"/>
      <c r="Q878" s="157"/>
      <c r="R878" s="11" t="s">
        <v>39</v>
      </c>
      <c r="S878" s="158"/>
      <c r="T878" s="5" t="s">
        <v>62</v>
      </c>
      <c r="U878" s="6"/>
      <c r="V878" s="5"/>
      <c r="W878" s="5"/>
      <c r="BB878" s="7" t="str">
        <v>Quarter 4</v>
      </c>
    </row>
    <row r="879" spans="1:54" ht="31.4" customHeight="1" x14ac:dyDescent="0.35">
      <c r="A879" s="210">
        <v>878</v>
      </c>
      <c r="B879" s="5" t="s">
        <v>154</v>
      </c>
      <c r="C879" s="5" t="s">
        <v>11</v>
      </c>
      <c r="D879" s="5" t="s">
        <v>1125</v>
      </c>
      <c r="E879" s="149">
        <v>46057</v>
      </c>
      <c r="F879" s="149">
        <f t="shared" si="134"/>
        <v>46058</v>
      </c>
      <c r="G879" s="149">
        <f t="shared" si="135"/>
        <v>46071</v>
      </c>
      <c r="H879" s="149">
        <f t="shared" si="136"/>
        <v>46085</v>
      </c>
      <c r="I879" s="149" t="str">
        <f t="shared" si="127"/>
        <v>Feb</v>
      </c>
      <c r="J879" s="216" t="str">
        <f t="shared" ca="1" si="132"/>
        <v/>
      </c>
      <c r="K879" s="149" t="s">
        <v>7</v>
      </c>
      <c r="L879" s="149"/>
      <c r="M879" s="11">
        <v>46072</v>
      </c>
      <c r="N879" s="152">
        <f t="shared" si="128"/>
        <v>11</v>
      </c>
      <c r="O879" s="12" t="str">
        <f t="shared" si="133"/>
        <v>Yes</v>
      </c>
      <c r="P879" s="158"/>
      <c r="Q879" s="157"/>
      <c r="R879" s="11" t="s">
        <v>39</v>
      </c>
      <c r="S879" s="158"/>
      <c r="T879" s="5" t="s">
        <v>40</v>
      </c>
      <c r="U879" s="6"/>
      <c r="V879" s="5"/>
      <c r="W879" s="5"/>
      <c r="BB879" s="7" t="str">
        <v>Quarter 4</v>
      </c>
    </row>
    <row r="880" spans="1:54" ht="31.4" customHeight="1" x14ac:dyDescent="0.35">
      <c r="A880" s="210">
        <v>879</v>
      </c>
      <c r="B880" s="5" t="s">
        <v>6</v>
      </c>
      <c r="C880" s="5" t="s">
        <v>6</v>
      </c>
      <c r="D880" s="5" t="s">
        <v>1126</v>
      </c>
      <c r="E880" s="149">
        <v>46057</v>
      </c>
      <c r="F880" s="149">
        <f t="shared" si="134"/>
        <v>46058</v>
      </c>
      <c r="G880" s="149">
        <f t="shared" si="135"/>
        <v>46071</v>
      </c>
      <c r="H880" s="149">
        <f t="shared" si="136"/>
        <v>46085</v>
      </c>
      <c r="I880" s="149" t="str">
        <f t="shared" si="127"/>
        <v>Feb</v>
      </c>
      <c r="J880" s="216" t="str">
        <f t="shared" ca="1" si="132"/>
        <v/>
      </c>
      <c r="K880" s="149" t="s">
        <v>4</v>
      </c>
      <c r="L880" s="149"/>
      <c r="M880" s="11">
        <v>46064</v>
      </c>
      <c r="N880" s="152">
        <f t="shared" si="128"/>
        <v>5</v>
      </c>
      <c r="O880" s="12" t="str">
        <f t="shared" si="133"/>
        <v>Yes</v>
      </c>
      <c r="P880" s="158"/>
      <c r="Q880" s="157"/>
      <c r="R880" s="11" t="s">
        <v>39</v>
      </c>
      <c r="S880" s="158"/>
      <c r="T880" s="5" t="s">
        <v>62</v>
      </c>
      <c r="U880" s="6"/>
      <c r="V880" s="5"/>
      <c r="W880" s="5" t="s">
        <v>1629</v>
      </c>
      <c r="BB880" s="7" t="str">
        <v>Quarter 4</v>
      </c>
    </row>
    <row r="881" spans="1:54" ht="31.4" customHeight="1" x14ac:dyDescent="0.35">
      <c r="A881" s="210">
        <v>880</v>
      </c>
      <c r="B881" s="5" t="s">
        <v>55</v>
      </c>
      <c r="C881" s="5" t="s">
        <v>13</v>
      </c>
      <c r="D881" s="5" t="s">
        <v>1127</v>
      </c>
      <c r="E881" s="149">
        <v>46057</v>
      </c>
      <c r="F881" s="149">
        <f t="shared" si="134"/>
        <v>46058</v>
      </c>
      <c r="G881" s="149">
        <f t="shared" si="135"/>
        <v>46071</v>
      </c>
      <c r="H881" s="149">
        <f t="shared" si="136"/>
        <v>46085</v>
      </c>
      <c r="I881" s="149" t="str">
        <f t="shared" si="127"/>
        <v>Feb</v>
      </c>
      <c r="J881" s="216" t="str">
        <f t="shared" ca="1" si="132"/>
        <v/>
      </c>
      <c r="K881" s="149" t="s">
        <v>7</v>
      </c>
      <c r="L881" s="149"/>
      <c r="M881" s="11">
        <v>46078</v>
      </c>
      <c r="N881" s="152">
        <f t="shared" si="128"/>
        <v>15</v>
      </c>
      <c r="O881" s="12" t="str">
        <f t="shared" si="133"/>
        <v>Yes</v>
      </c>
      <c r="P881" s="158"/>
      <c r="Q881" s="157"/>
      <c r="R881" s="11" t="s">
        <v>39</v>
      </c>
      <c r="S881" s="158"/>
      <c r="T881" s="5" t="s">
        <v>40</v>
      </c>
      <c r="U881" s="6"/>
      <c r="V881" s="5"/>
      <c r="W881" s="5"/>
      <c r="BB881" s="7" t="str">
        <v>Quarter 4</v>
      </c>
    </row>
    <row r="882" spans="1:54" ht="31.4" customHeight="1" x14ac:dyDescent="0.35">
      <c r="A882" s="210">
        <v>881</v>
      </c>
      <c r="B882" s="5" t="s">
        <v>1128</v>
      </c>
      <c r="C882" s="5" t="s">
        <v>9</v>
      </c>
      <c r="D882" s="5" t="s">
        <v>1129</v>
      </c>
      <c r="E882" s="149">
        <v>46058</v>
      </c>
      <c r="F882" s="149">
        <f t="shared" si="134"/>
        <v>46059</v>
      </c>
      <c r="G882" s="149">
        <f t="shared" si="135"/>
        <v>46072</v>
      </c>
      <c r="H882" s="149">
        <f t="shared" si="136"/>
        <v>46086</v>
      </c>
      <c r="I882" s="149" t="str">
        <f t="shared" si="127"/>
        <v>Feb</v>
      </c>
      <c r="J882" s="216" t="str">
        <f t="shared" ca="1" si="132"/>
        <v/>
      </c>
      <c r="K882" s="149" t="s">
        <v>4</v>
      </c>
      <c r="L882" s="149"/>
      <c r="M882" s="11">
        <v>46063</v>
      </c>
      <c r="N882" s="152">
        <f t="shared" si="128"/>
        <v>3</v>
      </c>
      <c r="O882" s="12" t="str">
        <f t="shared" si="133"/>
        <v>Yes</v>
      </c>
      <c r="P882" s="158"/>
      <c r="Q882" s="157"/>
      <c r="R882" s="11" t="s">
        <v>39</v>
      </c>
      <c r="S882" s="158"/>
      <c r="T882" s="5" t="s">
        <v>40</v>
      </c>
      <c r="U882" s="6"/>
      <c r="V882" s="5"/>
      <c r="W882" s="5"/>
      <c r="BB882" s="7" t="str">
        <v>Quarter 4</v>
      </c>
    </row>
    <row r="883" spans="1:54" ht="31.4" customHeight="1" x14ac:dyDescent="0.35">
      <c r="A883" s="210">
        <v>882</v>
      </c>
      <c r="B883" s="5" t="s">
        <v>6</v>
      </c>
      <c r="C883" s="5" t="s">
        <v>6</v>
      </c>
      <c r="D883" s="5" t="s">
        <v>1130</v>
      </c>
      <c r="E883" s="149">
        <v>46058</v>
      </c>
      <c r="F883" s="149">
        <f t="shared" si="134"/>
        <v>46059</v>
      </c>
      <c r="G883" s="149">
        <f t="shared" si="135"/>
        <v>46072</v>
      </c>
      <c r="H883" s="149">
        <f t="shared" si="136"/>
        <v>46086</v>
      </c>
      <c r="I883" s="149" t="str">
        <f t="shared" si="127"/>
        <v>Feb</v>
      </c>
      <c r="J883" s="216" t="str">
        <f t="shared" ca="1" si="132"/>
        <v/>
      </c>
      <c r="K883" s="149" t="s">
        <v>4</v>
      </c>
      <c r="L883" s="149"/>
      <c r="M883" s="11">
        <v>46078</v>
      </c>
      <c r="N883" s="152">
        <f t="shared" si="128"/>
        <v>14</v>
      </c>
      <c r="O883" s="12" t="s">
        <v>1146</v>
      </c>
      <c r="P883" s="158"/>
      <c r="Q883" s="157"/>
      <c r="R883" s="11" t="s">
        <v>39</v>
      </c>
      <c r="S883" s="158"/>
      <c r="T883" s="5" t="s">
        <v>45</v>
      </c>
      <c r="U883" s="6"/>
      <c r="V883" s="5" t="s">
        <v>87</v>
      </c>
      <c r="W883" s="5"/>
      <c r="BB883" s="7" t="str">
        <v>Quarter 4</v>
      </c>
    </row>
    <row r="884" spans="1:54" ht="31.4" customHeight="1" x14ac:dyDescent="0.35">
      <c r="A884" s="210">
        <v>883</v>
      </c>
      <c r="B884" s="5" t="s">
        <v>55</v>
      </c>
      <c r="C884" s="5" t="s">
        <v>13</v>
      </c>
      <c r="D884" s="5" t="s">
        <v>1131</v>
      </c>
      <c r="E884" s="149">
        <v>46058</v>
      </c>
      <c r="F884" s="149">
        <f t="shared" si="134"/>
        <v>46059</v>
      </c>
      <c r="G884" s="149">
        <f t="shared" si="135"/>
        <v>46072</v>
      </c>
      <c r="H884" s="149">
        <f t="shared" si="136"/>
        <v>46086</v>
      </c>
      <c r="I884" s="149" t="str">
        <f t="shared" ref="I884:I947" si="137">IF(ISBLANK($E884),"",TEXT($E884,"mmm"))</f>
        <v>Feb</v>
      </c>
      <c r="J884" s="216" t="str">
        <f t="shared" ca="1" si="132"/>
        <v/>
      </c>
      <c r="K884" s="149" t="s">
        <v>43</v>
      </c>
      <c r="L884" s="149"/>
      <c r="M884" s="11">
        <v>46064</v>
      </c>
      <c r="N884" s="152">
        <f t="shared" si="128"/>
        <v>4</v>
      </c>
      <c r="O884" s="12" t="str">
        <f t="shared" si="133"/>
        <v>Yes</v>
      </c>
      <c r="P884" s="158"/>
      <c r="Q884" s="157"/>
      <c r="R884" s="11" t="s">
        <v>39</v>
      </c>
      <c r="S884" s="158"/>
      <c r="T884" s="5" t="s">
        <v>40</v>
      </c>
      <c r="U884" s="6"/>
      <c r="V884" s="5"/>
      <c r="W884" s="5"/>
      <c r="BB884" s="7" t="str">
        <v>Quarter 4</v>
      </c>
    </row>
    <row r="885" spans="1:54" ht="31.4" customHeight="1" x14ac:dyDescent="0.35">
      <c r="A885" s="210">
        <v>884</v>
      </c>
      <c r="B885" s="5" t="s">
        <v>6</v>
      </c>
      <c r="C885" s="5" t="s">
        <v>6</v>
      </c>
      <c r="D885" s="5" t="s">
        <v>1132</v>
      </c>
      <c r="E885" s="149">
        <v>46058</v>
      </c>
      <c r="F885" s="149">
        <f t="shared" si="134"/>
        <v>46059</v>
      </c>
      <c r="G885" s="149">
        <f t="shared" si="135"/>
        <v>46072</v>
      </c>
      <c r="H885" s="149">
        <f t="shared" si="136"/>
        <v>46086</v>
      </c>
      <c r="I885" s="149" t="str">
        <f t="shared" si="137"/>
        <v>Feb</v>
      </c>
      <c r="J885" s="216" t="str">
        <f t="shared" ca="1" si="132"/>
        <v/>
      </c>
      <c r="K885" s="149" t="s">
        <v>4</v>
      </c>
      <c r="L885" s="149"/>
      <c r="M885" s="11">
        <v>46087</v>
      </c>
      <c r="N885" s="152">
        <f t="shared" si="128"/>
        <v>21</v>
      </c>
      <c r="O885" s="12" t="str">
        <f t="shared" si="133"/>
        <v>No</v>
      </c>
      <c r="P885" s="158"/>
      <c r="Q885" s="157"/>
      <c r="R885" s="11" t="s">
        <v>39</v>
      </c>
      <c r="S885" s="158"/>
      <c r="T885" s="5" t="s">
        <v>45</v>
      </c>
      <c r="U885" s="6"/>
      <c r="V885" s="5" t="s">
        <v>58</v>
      </c>
      <c r="W885" s="5"/>
      <c r="BB885" s="7" t="str">
        <v>Quarter 4</v>
      </c>
    </row>
    <row r="886" spans="1:54" ht="31.4" customHeight="1" x14ac:dyDescent="0.35">
      <c r="A886" s="210">
        <v>885</v>
      </c>
      <c r="B886" s="199" t="s">
        <v>1133</v>
      </c>
      <c r="C886" s="5" t="s">
        <v>9</v>
      </c>
      <c r="D886" s="5" t="s">
        <v>1134</v>
      </c>
      <c r="E886" s="149">
        <v>46092</v>
      </c>
      <c r="F886" s="149">
        <f t="shared" si="134"/>
        <v>46093</v>
      </c>
      <c r="G886" s="149">
        <f t="shared" si="135"/>
        <v>46106</v>
      </c>
      <c r="H886" s="149">
        <f t="shared" si="136"/>
        <v>46122</v>
      </c>
      <c r="I886" s="69" t="s">
        <v>1631</v>
      </c>
      <c r="J886" s="216" t="str">
        <f t="shared" ca="1" si="132"/>
        <v/>
      </c>
      <c r="K886" s="149" t="s">
        <v>4</v>
      </c>
      <c r="L886" s="149"/>
      <c r="M886" s="11">
        <v>46119</v>
      </c>
      <c r="N886" s="152">
        <f t="shared" si="128"/>
        <v>17</v>
      </c>
      <c r="O886" s="12" t="str">
        <f t="shared" si="133"/>
        <v>Yes</v>
      </c>
      <c r="P886" s="158"/>
      <c r="Q886" s="157"/>
      <c r="R886" s="11" t="s">
        <v>39</v>
      </c>
      <c r="S886" s="158"/>
      <c r="T886" s="5" t="s">
        <v>40</v>
      </c>
      <c r="U886" s="6"/>
      <c r="V886" s="5"/>
      <c r="W886" s="5" t="s">
        <v>46</v>
      </c>
      <c r="BB886" s="7" t="str">
        <v>Quarter 4</v>
      </c>
    </row>
    <row r="887" spans="1:54" ht="31.4" customHeight="1" x14ac:dyDescent="0.35">
      <c r="A887" s="210">
        <v>886</v>
      </c>
      <c r="B887" s="5" t="s">
        <v>6</v>
      </c>
      <c r="C887" s="5" t="s">
        <v>6</v>
      </c>
      <c r="D887" s="5" t="s">
        <v>1135</v>
      </c>
      <c r="E887" s="149">
        <v>46059</v>
      </c>
      <c r="F887" s="149">
        <f t="shared" si="134"/>
        <v>46062</v>
      </c>
      <c r="G887" s="149">
        <f t="shared" si="135"/>
        <v>46073</v>
      </c>
      <c r="H887" s="149">
        <f t="shared" si="136"/>
        <v>46087</v>
      </c>
      <c r="I887" s="149" t="str">
        <f t="shared" si="137"/>
        <v>Feb</v>
      </c>
      <c r="J887" s="216" t="str">
        <f t="shared" ca="1" si="132"/>
        <v/>
      </c>
      <c r="K887" s="149" t="s">
        <v>3</v>
      </c>
      <c r="L887" s="149"/>
      <c r="M887" s="11">
        <v>46059</v>
      </c>
      <c r="N887" s="152">
        <f t="shared" si="128"/>
        <v>0</v>
      </c>
      <c r="O887" s="12" t="str">
        <f t="shared" si="133"/>
        <v>Yes</v>
      </c>
      <c r="P887" s="158"/>
      <c r="Q887" s="157"/>
      <c r="R887" s="11" t="s">
        <v>39</v>
      </c>
      <c r="S887" s="158"/>
      <c r="T887" s="5" t="s">
        <v>40</v>
      </c>
      <c r="U887" s="6"/>
      <c r="V887" s="5"/>
      <c r="W887" s="5"/>
      <c r="BB887" s="7" t="str">
        <v>Quarter 4</v>
      </c>
    </row>
    <row r="888" spans="1:54" ht="31.4" customHeight="1" x14ac:dyDescent="0.35">
      <c r="A888" s="210">
        <v>887</v>
      </c>
      <c r="B888" s="5" t="s">
        <v>6</v>
      </c>
      <c r="C888" s="5" t="s">
        <v>6</v>
      </c>
      <c r="D888" s="5" t="s">
        <v>1136</v>
      </c>
      <c r="E888" s="149">
        <v>46059</v>
      </c>
      <c r="F888" s="149">
        <f t="shared" si="134"/>
        <v>46062</v>
      </c>
      <c r="G888" s="149">
        <f t="shared" si="135"/>
        <v>46073</v>
      </c>
      <c r="H888" s="149">
        <f t="shared" si="136"/>
        <v>46087</v>
      </c>
      <c r="I888" s="149" t="str">
        <f t="shared" si="137"/>
        <v>Feb</v>
      </c>
      <c r="J888" s="216" t="str">
        <f t="shared" ca="1" si="132"/>
        <v/>
      </c>
      <c r="K888" s="149" t="s">
        <v>4</v>
      </c>
      <c r="L888" s="149"/>
      <c r="M888" s="11">
        <v>46063</v>
      </c>
      <c r="N888" s="152">
        <f t="shared" si="128"/>
        <v>2</v>
      </c>
      <c r="O888" s="12" t="str">
        <f t="shared" si="133"/>
        <v>Yes</v>
      </c>
      <c r="P888" s="158"/>
      <c r="Q888" s="157"/>
      <c r="R888" s="11" t="s">
        <v>39</v>
      </c>
      <c r="S888" s="158"/>
      <c r="T888" s="5" t="s">
        <v>40</v>
      </c>
      <c r="U888" s="6"/>
      <c r="V888" s="5"/>
      <c r="W888" s="5"/>
      <c r="BB888" s="7" t="str">
        <v>Quarter 4</v>
      </c>
    </row>
    <row r="889" spans="1:54" ht="31.4" customHeight="1" x14ac:dyDescent="0.35">
      <c r="A889" s="210">
        <v>888</v>
      </c>
      <c r="B889" s="5" t="s">
        <v>6</v>
      </c>
      <c r="C889" s="5" t="s">
        <v>6</v>
      </c>
      <c r="D889" s="5" t="s">
        <v>261</v>
      </c>
      <c r="E889" s="149">
        <v>46059</v>
      </c>
      <c r="F889" s="149">
        <f t="shared" si="134"/>
        <v>46062</v>
      </c>
      <c r="G889" s="149">
        <f t="shared" si="135"/>
        <v>46073</v>
      </c>
      <c r="H889" s="149">
        <f t="shared" si="136"/>
        <v>46087</v>
      </c>
      <c r="I889" s="149" t="str">
        <f t="shared" si="137"/>
        <v>Feb</v>
      </c>
      <c r="J889" s="216" t="str">
        <f t="shared" ca="1" si="132"/>
        <v/>
      </c>
      <c r="K889" s="149" t="s">
        <v>3</v>
      </c>
      <c r="L889" s="149"/>
      <c r="M889" s="11">
        <v>46092</v>
      </c>
      <c r="N889" s="152">
        <f t="shared" ref="N889:N952" si="138">IF($M889="","",NETWORKDAYS($E889,$M889,$Z$33:$Z$47)-1)</f>
        <v>23</v>
      </c>
      <c r="O889" s="12" t="str">
        <f t="shared" si="133"/>
        <v>No</v>
      </c>
      <c r="P889" s="158"/>
      <c r="Q889" s="157"/>
      <c r="R889" s="11" t="s">
        <v>39</v>
      </c>
      <c r="S889" s="158"/>
      <c r="T889" s="5" t="s">
        <v>40</v>
      </c>
      <c r="U889" s="6"/>
      <c r="V889" s="5"/>
      <c r="W889" s="5"/>
      <c r="BB889" s="7" t="str">
        <v>Quarter 4</v>
      </c>
    </row>
    <row r="890" spans="1:54" ht="31.4" customHeight="1" x14ac:dyDescent="0.35">
      <c r="A890" s="210">
        <v>889</v>
      </c>
      <c r="B890" s="5" t="s">
        <v>55</v>
      </c>
      <c r="C890" s="5" t="s">
        <v>13</v>
      </c>
      <c r="D890" s="5" t="s">
        <v>1597</v>
      </c>
      <c r="E890" s="149">
        <v>46059</v>
      </c>
      <c r="F890" s="149">
        <f t="shared" si="134"/>
        <v>46062</v>
      </c>
      <c r="G890" s="149">
        <f t="shared" si="135"/>
        <v>46073</v>
      </c>
      <c r="H890" s="149">
        <f t="shared" si="136"/>
        <v>46087</v>
      </c>
      <c r="I890" s="149" t="str">
        <f t="shared" si="137"/>
        <v>Feb</v>
      </c>
      <c r="J890" s="216" t="str">
        <f t="shared" ca="1" si="132"/>
        <v/>
      </c>
      <c r="K890" s="149" t="s">
        <v>43</v>
      </c>
      <c r="L890" s="149"/>
      <c r="M890" s="11">
        <v>46070</v>
      </c>
      <c r="N890" s="152">
        <f t="shared" si="138"/>
        <v>7</v>
      </c>
      <c r="O890" s="12" t="str">
        <f t="shared" si="133"/>
        <v>Yes</v>
      </c>
      <c r="P890" s="158"/>
      <c r="Q890" s="157"/>
      <c r="R890" s="11" t="s">
        <v>39</v>
      </c>
      <c r="S890" s="158"/>
      <c r="T890" s="5" t="s">
        <v>62</v>
      </c>
      <c r="U890" s="6"/>
      <c r="V890" s="5"/>
      <c r="W890" s="5"/>
      <c r="BB890" s="7" t="str">
        <v>Quarter 4</v>
      </c>
    </row>
    <row r="891" spans="1:54" ht="31.4" customHeight="1" x14ac:dyDescent="0.35">
      <c r="A891" s="210">
        <v>890</v>
      </c>
      <c r="B891" s="5" t="s">
        <v>55</v>
      </c>
      <c r="C891" s="5" t="s">
        <v>13</v>
      </c>
      <c r="D891" s="5" t="s">
        <v>1598</v>
      </c>
      <c r="E891" s="149">
        <v>46059</v>
      </c>
      <c r="F891" s="149">
        <f t="shared" si="134"/>
        <v>46062</v>
      </c>
      <c r="G891" s="149">
        <f t="shared" si="135"/>
        <v>46073</v>
      </c>
      <c r="H891" s="149">
        <f t="shared" si="136"/>
        <v>46087</v>
      </c>
      <c r="I891" s="149" t="str">
        <f t="shared" si="137"/>
        <v>Feb</v>
      </c>
      <c r="J891" s="216" t="str">
        <f t="shared" ca="1" si="132"/>
        <v/>
      </c>
      <c r="K891" s="149" t="s">
        <v>3</v>
      </c>
      <c r="L891" s="149"/>
      <c r="M891" s="11">
        <v>46099</v>
      </c>
      <c r="N891" s="152">
        <f t="shared" si="138"/>
        <v>28</v>
      </c>
      <c r="O891" s="12" t="str">
        <f t="shared" si="133"/>
        <v>No</v>
      </c>
      <c r="P891" s="158"/>
      <c r="Q891" s="157"/>
      <c r="R891" s="11" t="s">
        <v>39</v>
      </c>
      <c r="S891" s="158"/>
      <c r="T891" s="5" t="s">
        <v>45</v>
      </c>
      <c r="U891" s="6"/>
      <c r="V891" s="5" t="s">
        <v>41</v>
      </c>
      <c r="W891" s="5"/>
      <c r="BB891" s="7" t="str">
        <v>Quarter 4</v>
      </c>
    </row>
    <row r="892" spans="1:54" ht="31.4" customHeight="1" x14ac:dyDescent="0.35">
      <c r="A892" s="210">
        <v>891</v>
      </c>
      <c r="B892" s="5" t="s">
        <v>55</v>
      </c>
      <c r="C892" s="5" t="s">
        <v>13</v>
      </c>
      <c r="D892" s="5" t="s">
        <v>1600</v>
      </c>
      <c r="E892" s="149">
        <v>46059</v>
      </c>
      <c r="F892" s="149">
        <f t="shared" si="134"/>
        <v>46062</v>
      </c>
      <c r="G892" s="149">
        <f t="shared" si="135"/>
        <v>46073</v>
      </c>
      <c r="H892" s="149">
        <f t="shared" si="136"/>
        <v>46087</v>
      </c>
      <c r="I892" s="149" t="str">
        <f t="shared" si="137"/>
        <v>Feb</v>
      </c>
      <c r="J892" s="216" t="str">
        <f t="shared" ca="1" si="132"/>
        <v/>
      </c>
      <c r="K892" s="149" t="s">
        <v>7</v>
      </c>
      <c r="L892" s="149"/>
      <c r="M892" s="11">
        <v>46078</v>
      </c>
      <c r="N892" s="152">
        <f t="shared" si="138"/>
        <v>13</v>
      </c>
      <c r="O892" s="12" t="str">
        <f t="shared" si="133"/>
        <v>Yes</v>
      </c>
      <c r="P892" s="158"/>
      <c r="Q892" s="157"/>
      <c r="R892" s="11" t="s">
        <v>39</v>
      </c>
      <c r="S892" s="158"/>
      <c r="T892" s="5" t="s">
        <v>62</v>
      </c>
      <c r="U892" s="6"/>
      <c r="V892" s="5"/>
      <c r="W892" s="5"/>
      <c r="BB892" s="7" t="str">
        <v>Quarter 4</v>
      </c>
    </row>
    <row r="893" spans="1:54" ht="31.4" customHeight="1" x14ac:dyDescent="0.35">
      <c r="A893" s="210">
        <v>892</v>
      </c>
      <c r="B893" s="5" t="s">
        <v>1601</v>
      </c>
      <c r="C893" s="5" t="s">
        <v>9</v>
      </c>
      <c r="D893" s="5" t="s">
        <v>1602</v>
      </c>
      <c r="E893" s="149">
        <v>46060</v>
      </c>
      <c r="F893" s="149">
        <f t="shared" si="134"/>
        <v>46062</v>
      </c>
      <c r="G893" s="149">
        <f t="shared" si="135"/>
        <v>46073</v>
      </c>
      <c r="H893" s="149">
        <f t="shared" si="136"/>
        <v>46087</v>
      </c>
      <c r="I893" s="149" t="str">
        <f t="shared" si="137"/>
        <v>Feb</v>
      </c>
      <c r="J893" s="216" t="str">
        <f t="shared" ca="1" si="132"/>
        <v/>
      </c>
      <c r="K893" s="149" t="s">
        <v>7</v>
      </c>
      <c r="L893" s="149"/>
      <c r="M893" s="11">
        <v>46079</v>
      </c>
      <c r="N893" s="152">
        <f t="shared" si="138"/>
        <v>13</v>
      </c>
      <c r="O893" s="12" t="str">
        <f t="shared" si="133"/>
        <v>Yes</v>
      </c>
      <c r="P893" s="158"/>
      <c r="Q893" s="157"/>
      <c r="R893" s="11" t="s">
        <v>39</v>
      </c>
      <c r="S893" s="158"/>
      <c r="T893" s="5" t="s">
        <v>40</v>
      </c>
      <c r="U893" s="6"/>
      <c r="V893" s="5"/>
      <c r="W893" s="5"/>
      <c r="BB893" s="7" t="str">
        <v>Quarter 4</v>
      </c>
    </row>
    <row r="894" spans="1:54" ht="31.4" customHeight="1" x14ac:dyDescent="0.35">
      <c r="A894" s="210">
        <v>893</v>
      </c>
      <c r="B894" s="5" t="s">
        <v>55</v>
      </c>
      <c r="C894" s="5" t="s">
        <v>13</v>
      </c>
      <c r="D894" s="5" t="s">
        <v>1603</v>
      </c>
      <c r="E894" s="149">
        <v>46060</v>
      </c>
      <c r="F894" s="149">
        <f t="shared" si="134"/>
        <v>46062</v>
      </c>
      <c r="G894" s="149">
        <f t="shared" si="135"/>
        <v>46073</v>
      </c>
      <c r="H894" s="149">
        <f t="shared" si="136"/>
        <v>46087</v>
      </c>
      <c r="I894" s="149" t="str">
        <f t="shared" si="137"/>
        <v>Feb</v>
      </c>
      <c r="J894" s="216" t="str">
        <f t="shared" ca="1" si="132"/>
        <v/>
      </c>
      <c r="K894" s="149" t="s">
        <v>3</v>
      </c>
      <c r="L894" s="149"/>
      <c r="M894" s="11">
        <v>46069</v>
      </c>
      <c r="N894" s="152">
        <f t="shared" si="138"/>
        <v>5</v>
      </c>
      <c r="O894" s="12" t="str">
        <f t="shared" si="133"/>
        <v>Yes</v>
      </c>
      <c r="P894" s="158"/>
      <c r="Q894" s="157"/>
      <c r="R894" s="11" t="s">
        <v>39</v>
      </c>
      <c r="S894" s="158"/>
      <c r="T894" s="5" t="s">
        <v>40</v>
      </c>
      <c r="U894" s="6"/>
      <c r="V894" s="5"/>
      <c r="W894" s="5" t="s">
        <v>46</v>
      </c>
      <c r="BB894" s="7" t="str">
        <v>Quarter 4</v>
      </c>
    </row>
    <row r="895" spans="1:54" ht="31.4" customHeight="1" x14ac:dyDescent="0.35">
      <c r="A895" s="210">
        <v>894</v>
      </c>
      <c r="B895" s="5" t="s">
        <v>1601</v>
      </c>
      <c r="C895" s="5" t="s">
        <v>9</v>
      </c>
      <c r="D895" s="5" t="s">
        <v>1604</v>
      </c>
      <c r="E895" s="149">
        <v>46060</v>
      </c>
      <c r="F895" s="149">
        <f t="shared" si="134"/>
        <v>46062</v>
      </c>
      <c r="G895" s="149">
        <f t="shared" si="135"/>
        <v>46073</v>
      </c>
      <c r="H895" s="149">
        <f t="shared" si="136"/>
        <v>46087</v>
      </c>
      <c r="I895" s="149" t="str">
        <f t="shared" si="137"/>
        <v>Feb</v>
      </c>
      <c r="J895" s="216" t="str">
        <f t="shared" ca="1" si="132"/>
        <v/>
      </c>
      <c r="K895" s="149" t="s">
        <v>7</v>
      </c>
      <c r="L895" s="149"/>
      <c r="M895" s="11">
        <v>46064</v>
      </c>
      <c r="N895" s="152">
        <f t="shared" si="138"/>
        <v>2</v>
      </c>
      <c r="O895" s="12" t="str">
        <f t="shared" si="133"/>
        <v>Yes</v>
      </c>
      <c r="P895" s="158"/>
      <c r="Q895" s="157"/>
      <c r="R895" s="11" t="s">
        <v>39</v>
      </c>
      <c r="S895" s="158"/>
      <c r="T895" s="5" t="s">
        <v>40</v>
      </c>
      <c r="U895" s="6"/>
      <c r="V895" s="5"/>
      <c r="W895" s="5" t="s">
        <v>46</v>
      </c>
      <c r="BB895" s="7" t="str">
        <v>Quarter 4</v>
      </c>
    </row>
    <row r="896" spans="1:54" ht="31.4" customHeight="1" x14ac:dyDescent="0.35">
      <c r="A896" s="210">
        <v>895</v>
      </c>
      <c r="B896" s="5" t="s">
        <v>55</v>
      </c>
      <c r="C896" s="5" t="s">
        <v>13</v>
      </c>
      <c r="D896" s="5" t="s">
        <v>1605</v>
      </c>
      <c r="E896" s="149">
        <v>46061</v>
      </c>
      <c r="F896" s="149">
        <f t="shared" si="134"/>
        <v>46062</v>
      </c>
      <c r="G896" s="149">
        <f t="shared" si="135"/>
        <v>46073</v>
      </c>
      <c r="H896" s="149">
        <f t="shared" si="136"/>
        <v>46087</v>
      </c>
      <c r="I896" s="149" t="str">
        <f t="shared" si="137"/>
        <v>Feb</v>
      </c>
      <c r="J896" s="216" t="str">
        <f t="shared" ca="1" si="132"/>
        <v/>
      </c>
      <c r="K896" s="149" t="s">
        <v>4</v>
      </c>
      <c r="L896" s="149"/>
      <c r="M896" s="11">
        <v>46062</v>
      </c>
      <c r="N896" s="152">
        <f t="shared" si="138"/>
        <v>0</v>
      </c>
      <c r="O896" s="12" t="str">
        <f t="shared" si="133"/>
        <v>Yes</v>
      </c>
      <c r="P896" s="158"/>
      <c r="Q896" s="157"/>
      <c r="R896" s="11" t="s">
        <v>39</v>
      </c>
      <c r="S896" s="158"/>
      <c r="T896" s="5" t="s">
        <v>40</v>
      </c>
      <c r="U896" s="6"/>
      <c r="V896" s="5" t="s">
        <v>54</v>
      </c>
      <c r="W896" s="5"/>
      <c r="BB896" s="7" t="str">
        <v>Quarter 4</v>
      </c>
    </row>
    <row r="897" spans="1:54" ht="31.4" customHeight="1" x14ac:dyDescent="0.35">
      <c r="A897" s="210">
        <v>896</v>
      </c>
      <c r="B897" s="5" t="s">
        <v>1608</v>
      </c>
      <c r="C897" s="5" t="s">
        <v>9</v>
      </c>
      <c r="D897" s="5" t="s">
        <v>1609</v>
      </c>
      <c r="E897" s="149">
        <v>46061</v>
      </c>
      <c r="F897" s="149">
        <f t="shared" si="134"/>
        <v>46062</v>
      </c>
      <c r="G897" s="149">
        <f t="shared" si="135"/>
        <v>46073</v>
      </c>
      <c r="H897" s="149">
        <f t="shared" si="136"/>
        <v>46087</v>
      </c>
      <c r="I897" s="149" t="str">
        <f t="shared" si="137"/>
        <v>Feb</v>
      </c>
      <c r="J897" s="216" t="str">
        <f t="shared" ca="1" si="132"/>
        <v/>
      </c>
      <c r="K897" s="149" t="s">
        <v>43</v>
      </c>
      <c r="L897" s="149"/>
      <c r="M897" s="11">
        <v>46063</v>
      </c>
      <c r="N897" s="152">
        <f t="shared" si="138"/>
        <v>1</v>
      </c>
      <c r="O897" s="12" t="str">
        <f t="shared" si="133"/>
        <v>Yes</v>
      </c>
      <c r="P897" s="158"/>
      <c r="Q897" s="157"/>
      <c r="R897" s="11" t="s">
        <v>39</v>
      </c>
      <c r="S897" s="158"/>
      <c r="T897" s="5" t="s">
        <v>40</v>
      </c>
      <c r="U897" s="6"/>
      <c r="V897" s="5"/>
      <c r="W897" s="5"/>
      <c r="BB897" s="7" t="str">
        <v>Quarter 4</v>
      </c>
    </row>
    <row r="898" spans="1:54" ht="31.4" customHeight="1" x14ac:dyDescent="0.35">
      <c r="A898" s="210">
        <v>897</v>
      </c>
      <c r="B898" s="5" t="s">
        <v>6</v>
      </c>
      <c r="C898" s="5" t="s">
        <v>6</v>
      </c>
      <c r="D898" s="5" t="s">
        <v>1612</v>
      </c>
      <c r="E898" s="149">
        <v>46062</v>
      </c>
      <c r="F898" s="149">
        <f t="shared" si="134"/>
        <v>46063</v>
      </c>
      <c r="G898" s="149">
        <f t="shared" si="135"/>
        <v>46076</v>
      </c>
      <c r="H898" s="149">
        <f t="shared" si="136"/>
        <v>46090</v>
      </c>
      <c r="I898" s="149" t="str">
        <f t="shared" si="137"/>
        <v>Feb</v>
      </c>
      <c r="J898" s="216" t="str">
        <f t="shared" ref="J898:J961" ca="1" si="139">IF($E898="","",IF($M898="",$H898-TODAY(),""))</f>
        <v/>
      </c>
      <c r="K898" s="149" t="s">
        <v>4</v>
      </c>
      <c r="L898" s="149"/>
      <c r="M898" s="11">
        <v>46062</v>
      </c>
      <c r="N898" s="152">
        <f t="shared" si="138"/>
        <v>0</v>
      </c>
      <c r="O898" s="12" t="str">
        <f t="shared" si="133"/>
        <v>Yes</v>
      </c>
      <c r="P898" s="158"/>
      <c r="Q898" s="157"/>
      <c r="R898" s="11" t="s">
        <v>39</v>
      </c>
      <c r="S898" s="158"/>
      <c r="T898" s="5" t="s">
        <v>62</v>
      </c>
      <c r="U898" s="6"/>
      <c r="V898" s="5"/>
      <c r="W898" s="5"/>
      <c r="BB898" s="7" t="str">
        <v>Quarter 4</v>
      </c>
    </row>
    <row r="899" spans="1:54" ht="31.25" customHeight="1" x14ac:dyDescent="0.35">
      <c r="A899" s="210">
        <v>898</v>
      </c>
      <c r="B899" s="5" t="s">
        <v>794</v>
      </c>
      <c r="C899" s="5" t="s">
        <v>9</v>
      </c>
      <c r="D899" s="5" t="s">
        <v>1613</v>
      </c>
      <c r="E899" s="149">
        <v>46062</v>
      </c>
      <c r="F899" s="149">
        <f t="shared" si="134"/>
        <v>46063</v>
      </c>
      <c r="G899" s="149">
        <f t="shared" si="135"/>
        <v>46076</v>
      </c>
      <c r="H899" s="149">
        <f t="shared" si="136"/>
        <v>46090</v>
      </c>
      <c r="I899" s="69" t="str">
        <f t="shared" si="137"/>
        <v>Feb</v>
      </c>
      <c r="J899" s="216" t="str">
        <f t="shared" ca="1" si="139"/>
        <v/>
      </c>
      <c r="K899" s="149" t="s">
        <v>3</v>
      </c>
      <c r="L899" s="149"/>
      <c r="M899" s="11">
        <v>46083</v>
      </c>
      <c r="N899" s="152">
        <f t="shared" si="138"/>
        <v>15</v>
      </c>
      <c r="O899" s="12" t="str">
        <f t="shared" ref="O899:O962" si="140">IF(ISBLANK($M899),"",IF($N899&lt;21,"Yes","No"))</f>
        <v>Yes</v>
      </c>
      <c r="P899" s="158"/>
      <c r="Q899" s="157"/>
      <c r="R899" s="11" t="s">
        <v>39</v>
      </c>
      <c r="S899" s="158"/>
      <c r="T899" s="5" t="s">
        <v>40</v>
      </c>
      <c r="U899" s="6"/>
      <c r="V899" s="5" t="s">
        <v>87</v>
      </c>
      <c r="W899" s="5"/>
      <c r="BB899" s="7" t="str">
        <v>Quarter 4</v>
      </c>
    </row>
    <row r="900" spans="1:54" ht="31.4" customHeight="1" x14ac:dyDescent="0.35">
      <c r="A900" s="210">
        <v>899</v>
      </c>
      <c r="B900" s="5" t="s">
        <v>1615</v>
      </c>
      <c r="C900" s="5" t="s">
        <v>9</v>
      </c>
      <c r="D900" s="5" t="s">
        <v>1616</v>
      </c>
      <c r="E900" s="149"/>
      <c r="F900" s="149"/>
      <c r="G900" s="149"/>
      <c r="H900" s="149"/>
      <c r="I900" s="149" t="s">
        <v>1631</v>
      </c>
      <c r="J900" s="216" t="str">
        <f t="shared" ca="1" si="139"/>
        <v/>
      </c>
      <c r="K900" s="149" t="s">
        <v>43</v>
      </c>
      <c r="L900" s="149"/>
      <c r="M900" s="11"/>
      <c r="N900" s="152" t="str">
        <f t="shared" si="138"/>
        <v/>
      </c>
      <c r="O900" s="12" t="str">
        <f t="shared" si="140"/>
        <v/>
      </c>
      <c r="P900" s="158"/>
      <c r="Q900" s="157"/>
      <c r="R900" s="11" t="s">
        <v>57</v>
      </c>
      <c r="S900" s="158"/>
      <c r="T900" s="5" t="s">
        <v>57</v>
      </c>
      <c r="U900" s="6"/>
      <c r="V900" s="5"/>
      <c r="W900" s="5" t="s">
        <v>1630</v>
      </c>
      <c r="BB900" s="7" t="str">
        <v>Quarter 4</v>
      </c>
    </row>
    <row r="901" spans="1:54" ht="31.4" customHeight="1" x14ac:dyDescent="0.35">
      <c r="A901" s="210">
        <v>900</v>
      </c>
      <c r="B901" s="8" t="s">
        <v>1617</v>
      </c>
      <c r="C901" s="8" t="s">
        <v>11</v>
      </c>
      <c r="D901" s="8" t="s">
        <v>1639</v>
      </c>
      <c r="E901" s="149">
        <v>46062</v>
      </c>
      <c r="F901" s="149">
        <f t="shared" ref="F901:F932" si="141">IF($E901="","",WORKDAY($E901,1,$Z$33:$Z$47))</f>
        <v>46063</v>
      </c>
      <c r="G901" s="149">
        <f t="shared" ref="G901:G932" si="142">IF($E901="","",WORKDAY($E901,10,$Z$33:$Z$47))</f>
        <v>46076</v>
      </c>
      <c r="H901" s="149">
        <f t="shared" ref="H901:H932" si="143">IF($E901="","",WORKDAY($E901,20,$Z$33:$Z$47))</f>
        <v>46090</v>
      </c>
      <c r="I901" s="149" t="str">
        <f t="shared" si="137"/>
        <v>Feb</v>
      </c>
      <c r="J901" s="216" t="str">
        <f t="shared" ca="1" si="139"/>
        <v/>
      </c>
      <c r="K901" s="149" t="s">
        <v>7</v>
      </c>
      <c r="L901" s="149"/>
      <c r="M901" s="11">
        <v>46078</v>
      </c>
      <c r="N901" s="152">
        <f t="shared" si="138"/>
        <v>12</v>
      </c>
      <c r="O901" s="12" t="str">
        <f t="shared" si="140"/>
        <v>Yes</v>
      </c>
      <c r="P901" s="158"/>
      <c r="Q901" s="157"/>
      <c r="R901" s="11" t="s">
        <v>39</v>
      </c>
      <c r="S901" s="158"/>
      <c r="T901" s="5" t="s">
        <v>40</v>
      </c>
      <c r="U901" s="6"/>
      <c r="V901" s="5"/>
      <c r="W901" s="5"/>
      <c r="BB901" s="7" t="str">
        <v>Quarter 4</v>
      </c>
    </row>
    <row r="902" spans="1:54" ht="31.4" customHeight="1" x14ac:dyDescent="0.35">
      <c r="A902" s="210">
        <v>901</v>
      </c>
      <c r="B902" s="8" t="s">
        <v>1618</v>
      </c>
      <c r="C902" s="8" t="s">
        <v>9</v>
      </c>
      <c r="D902" s="8" t="s">
        <v>1619</v>
      </c>
      <c r="E902" s="22">
        <v>46062</v>
      </c>
      <c r="F902" s="149">
        <f t="shared" si="141"/>
        <v>46063</v>
      </c>
      <c r="G902" s="149">
        <f t="shared" si="142"/>
        <v>46076</v>
      </c>
      <c r="H902" s="149">
        <f t="shared" si="143"/>
        <v>46090</v>
      </c>
      <c r="I902" s="149" t="str">
        <f t="shared" si="137"/>
        <v>Feb</v>
      </c>
      <c r="J902" s="216" t="str">
        <f t="shared" ca="1" si="139"/>
        <v/>
      </c>
      <c r="K902" s="149" t="s">
        <v>4</v>
      </c>
      <c r="M902" s="11">
        <v>46066</v>
      </c>
      <c r="N902" s="152">
        <f t="shared" si="138"/>
        <v>4</v>
      </c>
      <c r="O902" s="12" t="str">
        <f t="shared" si="140"/>
        <v>Yes</v>
      </c>
      <c r="P902" s="158"/>
      <c r="Q902" s="157"/>
      <c r="R902" s="11" t="s">
        <v>39</v>
      </c>
      <c r="T902" s="5" t="s">
        <v>40</v>
      </c>
      <c r="V902" s="5" t="s">
        <v>54</v>
      </c>
      <c r="W902" s="8"/>
      <c r="BB902" s="7" t="str">
        <v>Quarter 4</v>
      </c>
    </row>
    <row r="903" spans="1:54" ht="31.4" customHeight="1" x14ac:dyDescent="0.35">
      <c r="A903" s="210">
        <v>902</v>
      </c>
      <c r="B903" s="8" t="s">
        <v>6</v>
      </c>
      <c r="C903" s="8" t="s">
        <v>6</v>
      </c>
      <c r="D903" s="8" t="s">
        <v>1624</v>
      </c>
      <c r="E903" s="22">
        <v>46063</v>
      </c>
      <c r="F903" s="149">
        <f t="shared" si="141"/>
        <v>46064</v>
      </c>
      <c r="G903" s="149">
        <f t="shared" si="142"/>
        <v>46077</v>
      </c>
      <c r="H903" s="149">
        <f t="shared" si="143"/>
        <v>46091</v>
      </c>
      <c r="I903" s="149" t="str">
        <f t="shared" si="137"/>
        <v>Feb</v>
      </c>
      <c r="J903" s="216" t="str">
        <f t="shared" ca="1" si="139"/>
        <v/>
      </c>
      <c r="K903" s="149" t="s">
        <v>43</v>
      </c>
      <c r="M903" s="11">
        <v>46063</v>
      </c>
      <c r="N903" s="152">
        <f t="shared" si="138"/>
        <v>0</v>
      </c>
      <c r="O903" s="12" t="str">
        <f t="shared" si="140"/>
        <v>Yes</v>
      </c>
      <c r="P903" s="158"/>
      <c r="Q903" s="157"/>
      <c r="R903" s="11" t="s">
        <v>39</v>
      </c>
      <c r="T903" s="5" t="s">
        <v>51</v>
      </c>
      <c r="V903" s="5" t="s">
        <v>102</v>
      </c>
      <c r="W903" s="8" t="s">
        <v>657</v>
      </c>
      <c r="BB903" s="7" t="str">
        <v>Quarter 4</v>
      </c>
    </row>
    <row r="904" spans="1:54" ht="31.4" customHeight="1" x14ac:dyDescent="0.35">
      <c r="A904" s="210">
        <v>903</v>
      </c>
      <c r="B904" s="8" t="s">
        <v>6</v>
      </c>
      <c r="C904" s="8" t="s">
        <v>6</v>
      </c>
      <c r="D904" s="8" t="s">
        <v>1625</v>
      </c>
      <c r="E904" s="22">
        <v>46063</v>
      </c>
      <c r="F904" s="149">
        <f t="shared" si="141"/>
        <v>46064</v>
      </c>
      <c r="G904" s="149">
        <f t="shared" si="142"/>
        <v>46077</v>
      </c>
      <c r="H904" s="149">
        <f t="shared" si="143"/>
        <v>46091</v>
      </c>
      <c r="I904" s="149" t="str">
        <f t="shared" si="137"/>
        <v>Feb</v>
      </c>
      <c r="J904" s="216" t="str">
        <f t="shared" ca="1" si="139"/>
        <v/>
      </c>
      <c r="K904" s="149" t="s">
        <v>43</v>
      </c>
      <c r="M904" s="11">
        <v>46071</v>
      </c>
      <c r="N904" s="152">
        <f t="shared" si="138"/>
        <v>6</v>
      </c>
      <c r="O904" s="12" t="str">
        <f t="shared" si="140"/>
        <v>Yes</v>
      </c>
      <c r="P904" s="158"/>
      <c r="Q904" s="157"/>
      <c r="R904" s="11" t="s">
        <v>39</v>
      </c>
      <c r="T904" s="5" t="s">
        <v>40</v>
      </c>
      <c r="V904" s="5" t="s">
        <v>54</v>
      </c>
      <c r="W904" s="8" t="s">
        <v>46</v>
      </c>
      <c r="BB904" s="7" t="str">
        <v>Quarter 4</v>
      </c>
    </row>
    <row r="905" spans="1:54" ht="31.4" customHeight="1" x14ac:dyDescent="0.35">
      <c r="A905" s="210">
        <v>904</v>
      </c>
      <c r="B905" s="8" t="s">
        <v>1626</v>
      </c>
      <c r="C905" s="8" t="s">
        <v>9</v>
      </c>
      <c r="D905" s="8" t="s">
        <v>1627</v>
      </c>
      <c r="E905" s="22">
        <v>46063</v>
      </c>
      <c r="F905" s="149">
        <f t="shared" si="141"/>
        <v>46064</v>
      </c>
      <c r="G905" s="149">
        <f t="shared" si="142"/>
        <v>46077</v>
      </c>
      <c r="H905" s="149">
        <f t="shared" si="143"/>
        <v>46091</v>
      </c>
      <c r="I905" s="149" t="str">
        <f t="shared" si="137"/>
        <v>Feb</v>
      </c>
      <c r="J905" s="216" t="str">
        <f t="shared" ca="1" si="139"/>
        <v/>
      </c>
      <c r="K905" s="149" t="s">
        <v>4</v>
      </c>
      <c r="M905" s="11">
        <v>46065</v>
      </c>
      <c r="N905" s="152">
        <f t="shared" si="138"/>
        <v>2</v>
      </c>
      <c r="O905" s="12" t="str">
        <f t="shared" si="140"/>
        <v>Yes</v>
      </c>
      <c r="P905" s="158"/>
      <c r="Q905" s="157"/>
      <c r="R905" s="11" t="s">
        <v>39</v>
      </c>
      <c r="T905" s="5" t="s">
        <v>40</v>
      </c>
      <c r="V905" s="5" t="s">
        <v>54</v>
      </c>
      <c r="W905" s="8"/>
      <c r="BB905" s="7" t="str">
        <v>Quarter 4</v>
      </c>
    </row>
    <row r="906" spans="1:54" ht="31.4" customHeight="1" x14ac:dyDescent="0.35">
      <c r="A906" s="210">
        <v>905</v>
      </c>
      <c r="B906" s="8" t="s">
        <v>1628</v>
      </c>
      <c r="C906" s="8" t="s">
        <v>9</v>
      </c>
      <c r="D906" s="8" t="s">
        <v>854</v>
      </c>
      <c r="E906" s="22">
        <v>46063</v>
      </c>
      <c r="F906" s="149">
        <f t="shared" si="141"/>
        <v>46064</v>
      </c>
      <c r="G906" s="149">
        <f t="shared" si="142"/>
        <v>46077</v>
      </c>
      <c r="H906" s="149">
        <f t="shared" si="143"/>
        <v>46091</v>
      </c>
      <c r="I906" s="149" t="str">
        <f t="shared" si="137"/>
        <v>Feb</v>
      </c>
      <c r="J906" s="216" t="str">
        <f t="shared" ca="1" si="139"/>
        <v/>
      </c>
      <c r="K906" s="149" t="s">
        <v>4</v>
      </c>
      <c r="M906" s="11">
        <v>46064</v>
      </c>
      <c r="N906" s="152">
        <f t="shared" si="138"/>
        <v>1</v>
      </c>
      <c r="O906" s="12" t="str">
        <f t="shared" si="140"/>
        <v>Yes</v>
      </c>
      <c r="P906" s="158"/>
      <c r="Q906" s="157"/>
      <c r="R906" s="11" t="s">
        <v>39</v>
      </c>
      <c r="T906" s="5" t="s">
        <v>40</v>
      </c>
      <c r="V906" s="5" t="s">
        <v>54</v>
      </c>
      <c r="W906" s="8"/>
      <c r="BB906" s="7" t="str">
        <v>Quarter 4</v>
      </c>
    </row>
    <row r="907" spans="1:54" ht="31.4" customHeight="1" x14ac:dyDescent="0.35">
      <c r="A907" s="210">
        <v>906</v>
      </c>
      <c r="B907" s="8" t="s">
        <v>214</v>
      </c>
      <c r="C907" s="8" t="s">
        <v>5</v>
      </c>
      <c r="D907" s="8" t="s">
        <v>1633</v>
      </c>
      <c r="E907" s="22">
        <v>46064</v>
      </c>
      <c r="F907" s="149">
        <f t="shared" si="141"/>
        <v>46065</v>
      </c>
      <c r="G907" s="149">
        <f t="shared" si="142"/>
        <v>46078</v>
      </c>
      <c r="H907" s="149">
        <f t="shared" si="143"/>
        <v>46092</v>
      </c>
      <c r="I907" s="149" t="str">
        <f t="shared" si="137"/>
        <v>Feb</v>
      </c>
      <c r="J907" s="216" t="str">
        <f t="shared" ca="1" si="139"/>
        <v/>
      </c>
      <c r="K907" s="149" t="s">
        <v>4</v>
      </c>
      <c r="M907" s="11">
        <v>46065</v>
      </c>
      <c r="N907" s="152">
        <f t="shared" si="138"/>
        <v>1</v>
      </c>
      <c r="O907" s="12" t="str">
        <f t="shared" si="140"/>
        <v>Yes</v>
      </c>
      <c r="P907" s="158"/>
      <c r="Q907" s="157"/>
      <c r="R907" s="11" t="s">
        <v>39</v>
      </c>
      <c r="T907" s="5" t="s">
        <v>62</v>
      </c>
      <c r="V907" s="5"/>
      <c r="W907" s="8"/>
      <c r="BB907" s="7" t="str">
        <v>Quarter 4</v>
      </c>
    </row>
    <row r="908" spans="1:54" ht="31.4" customHeight="1" x14ac:dyDescent="0.35">
      <c r="A908" s="210">
        <v>907</v>
      </c>
      <c r="B908" s="8" t="s">
        <v>55</v>
      </c>
      <c r="C908" s="8" t="s">
        <v>13</v>
      </c>
      <c r="D908" s="8" t="s">
        <v>1634</v>
      </c>
      <c r="E908" s="22">
        <v>46064</v>
      </c>
      <c r="F908" s="149">
        <f t="shared" si="141"/>
        <v>46065</v>
      </c>
      <c r="G908" s="149">
        <f t="shared" si="142"/>
        <v>46078</v>
      </c>
      <c r="H908" s="149">
        <f t="shared" si="143"/>
        <v>46092</v>
      </c>
      <c r="I908" s="149" t="str">
        <f t="shared" si="137"/>
        <v>Feb</v>
      </c>
      <c r="J908" s="216" t="str">
        <f t="shared" ca="1" si="139"/>
        <v/>
      </c>
      <c r="K908" s="149" t="s">
        <v>4</v>
      </c>
      <c r="M908" s="11">
        <v>46070</v>
      </c>
      <c r="N908" s="152">
        <f t="shared" si="138"/>
        <v>4</v>
      </c>
      <c r="O908" s="12" t="str">
        <f t="shared" si="140"/>
        <v>Yes</v>
      </c>
      <c r="P908" s="158"/>
      <c r="Q908" s="157"/>
      <c r="R908" s="11" t="s">
        <v>39</v>
      </c>
      <c r="T908" s="5" t="s">
        <v>40</v>
      </c>
      <c r="V908" s="5"/>
      <c r="W908" s="8" t="s">
        <v>46</v>
      </c>
      <c r="BB908" s="7" t="str">
        <v>Quarter 4</v>
      </c>
    </row>
    <row r="909" spans="1:54" ht="31.4" customHeight="1" x14ac:dyDescent="0.35">
      <c r="A909" s="210">
        <v>908</v>
      </c>
      <c r="B909" s="8" t="s">
        <v>6</v>
      </c>
      <c r="C909" s="8" t="s">
        <v>6</v>
      </c>
      <c r="D909" s="8" t="s">
        <v>1635</v>
      </c>
      <c r="E909" s="22">
        <v>46065</v>
      </c>
      <c r="F909" s="149">
        <f t="shared" si="141"/>
        <v>46066</v>
      </c>
      <c r="G909" s="149">
        <f t="shared" si="142"/>
        <v>46079</v>
      </c>
      <c r="H909" s="149">
        <f t="shared" si="143"/>
        <v>46093</v>
      </c>
      <c r="I909" s="149" t="str">
        <f t="shared" si="137"/>
        <v>Feb</v>
      </c>
      <c r="J909" s="216" t="str">
        <f t="shared" ca="1" si="139"/>
        <v/>
      </c>
      <c r="K909" s="149" t="s">
        <v>7</v>
      </c>
      <c r="M909" s="11">
        <v>46069</v>
      </c>
      <c r="N909" s="152">
        <f t="shared" si="138"/>
        <v>2</v>
      </c>
      <c r="O909" s="12" t="str">
        <f t="shared" si="140"/>
        <v>Yes</v>
      </c>
      <c r="P909" s="158"/>
      <c r="Q909" s="157"/>
      <c r="R909" s="11" t="s">
        <v>39</v>
      </c>
      <c r="T909" s="5" t="s">
        <v>62</v>
      </c>
      <c r="V909" s="5"/>
      <c r="W909" s="8"/>
      <c r="BB909" s="7" t="str">
        <v>Quarter 4</v>
      </c>
    </row>
    <row r="910" spans="1:54" ht="31.4" customHeight="1" x14ac:dyDescent="0.35">
      <c r="A910" s="210">
        <v>909</v>
      </c>
      <c r="B910" s="8" t="s">
        <v>55</v>
      </c>
      <c r="C910" s="8" t="s">
        <v>13</v>
      </c>
      <c r="D910" s="8" t="s">
        <v>1636</v>
      </c>
      <c r="E910" s="22">
        <v>46065</v>
      </c>
      <c r="F910" s="149">
        <f t="shared" si="141"/>
        <v>46066</v>
      </c>
      <c r="G910" s="149">
        <f t="shared" si="142"/>
        <v>46079</v>
      </c>
      <c r="H910" s="149">
        <f t="shared" si="143"/>
        <v>46093</v>
      </c>
      <c r="I910" s="149" t="str">
        <f t="shared" si="137"/>
        <v>Feb</v>
      </c>
      <c r="J910" s="216" t="str">
        <f t="shared" ca="1" si="139"/>
        <v/>
      </c>
      <c r="K910" s="149" t="s">
        <v>4</v>
      </c>
      <c r="M910" s="11">
        <v>46070</v>
      </c>
      <c r="N910" s="152">
        <f t="shared" si="138"/>
        <v>3</v>
      </c>
      <c r="O910" s="12" t="str">
        <f t="shared" si="140"/>
        <v>Yes</v>
      </c>
      <c r="P910" s="158"/>
      <c r="Q910" s="157"/>
      <c r="R910" s="11" t="s">
        <v>39</v>
      </c>
      <c r="T910" s="5" t="s">
        <v>62</v>
      </c>
      <c r="V910" s="5"/>
      <c r="W910" s="8"/>
      <c r="BB910" s="7" t="str">
        <v>Quarter 4</v>
      </c>
    </row>
    <row r="911" spans="1:54" ht="31.4" customHeight="1" x14ac:dyDescent="0.35">
      <c r="A911" s="210">
        <v>910</v>
      </c>
      <c r="B911" s="8" t="s">
        <v>6</v>
      </c>
      <c r="C911" s="8" t="s">
        <v>6</v>
      </c>
      <c r="D911" s="8" t="s">
        <v>1638</v>
      </c>
      <c r="E911" s="22">
        <v>46065</v>
      </c>
      <c r="F911" s="149">
        <f t="shared" si="141"/>
        <v>46066</v>
      </c>
      <c r="G911" s="149">
        <f t="shared" si="142"/>
        <v>46079</v>
      </c>
      <c r="H911" s="149">
        <f t="shared" si="143"/>
        <v>46093</v>
      </c>
      <c r="I911" s="149" t="str">
        <f t="shared" si="137"/>
        <v>Feb</v>
      </c>
      <c r="J911" s="216" t="str">
        <f t="shared" ca="1" si="139"/>
        <v/>
      </c>
      <c r="K911" s="149" t="s">
        <v>3</v>
      </c>
      <c r="M911" s="11">
        <v>46066</v>
      </c>
      <c r="N911" s="152">
        <f t="shared" si="138"/>
        <v>1</v>
      </c>
      <c r="O911" s="12" t="str">
        <f t="shared" si="140"/>
        <v>Yes</v>
      </c>
      <c r="P911" s="158"/>
      <c r="Q911" s="157"/>
      <c r="R911" s="11" t="s">
        <v>39</v>
      </c>
      <c r="T911" s="5" t="s">
        <v>62</v>
      </c>
      <c r="V911" s="5"/>
      <c r="W911" s="8"/>
      <c r="BB911" s="7" t="str">
        <v>Quarter 4</v>
      </c>
    </row>
    <row r="912" spans="1:54" ht="31.4" customHeight="1" x14ac:dyDescent="0.35">
      <c r="A912" s="210">
        <v>911</v>
      </c>
      <c r="B912" s="8" t="s">
        <v>55</v>
      </c>
      <c r="C912" s="8" t="s">
        <v>13</v>
      </c>
      <c r="D912" s="8" t="s">
        <v>854</v>
      </c>
      <c r="E912" s="22">
        <v>46065</v>
      </c>
      <c r="F912" s="149">
        <f t="shared" si="141"/>
        <v>46066</v>
      </c>
      <c r="G912" s="149">
        <f t="shared" si="142"/>
        <v>46079</v>
      </c>
      <c r="H912" s="149">
        <f t="shared" si="143"/>
        <v>46093</v>
      </c>
      <c r="I912" s="149" t="str">
        <f t="shared" si="137"/>
        <v>Feb</v>
      </c>
      <c r="J912" s="216" t="str">
        <f t="shared" ca="1" si="139"/>
        <v/>
      </c>
      <c r="K912" s="149" t="s">
        <v>4</v>
      </c>
      <c r="M912" s="11">
        <v>46065</v>
      </c>
      <c r="N912" s="152">
        <f t="shared" si="138"/>
        <v>0</v>
      </c>
      <c r="O912" s="12" t="str">
        <f t="shared" si="140"/>
        <v>Yes</v>
      </c>
      <c r="P912" s="158"/>
      <c r="Q912" s="157"/>
      <c r="R912" s="11" t="s">
        <v>39</v>
      </c>
      <c r="T912" s="5" t="s">
        <v>45</v>
      </c>
      <c r="V912" s="5" t="s">
        <v>53</v>
      </c>
      <c r="W912" s="8" t="s">
        <v>46</v>
      </c>
      <c r="BB912" s="7" t="str">
        <v>Quarter 4</v>
      </c>
    </row>
    <row r="913" spans="1:54" ht="31.4" customHeight="1" x14ac:dyDescent="0.35">
      <c r="A913" s="210">
        <v>912</v>
      </c>
      <c r="B913" s="8" t="s">
        <v>6</v>
      </c>
      <c r="C913" s="8" t="s">
        <v>6</v>
      </c>
      <c r="D913" s="8" t="s">
        <v>1108</v>
      </c>
      <c r="E913" s="22">
        <v>46065</v>
      </c>
      <c r="F913" s="149">
        <f t="shared" si="141"/>
        <v>46066</v>
      </c>
      <c r="G913" s="149">
        <f t="shared" si="142"/>
        <v>46079</v>
      </c>
      <c r="H913" s="149">
        <f t="shared" si="143"/>
        <v>46093</v>
      </c>
      <c r="I913" s="149" t="str">
        <f t="shared" si="137"/>
        <v>Feb</v>
      </c>
      <c r="J913" s="216" t="str">
        <f t="shared" ca="1" si="139"/>
        <v/>
      </c>
      <c r="K913" s="149" t="s">
        <v>43</v>
      </c>
      <c r="M913" s="11">
        <v>46085</v>
      </c>
      <c r="N913" s="152">
        <f t="shared" si="138"/>
        <v>14</v>
      </c>
      <c r="O913" s="12" t="str">
        <f t="shared" si="140"/>
        <v>Yes</v>
      </c>
      <c r="P913" s="158"/>
      <c r="Q913" s="157"/>
      <c r="R913" s="11" t="s">
        <v>39</v>
      </c>
      <c r="T913" s="5" t="s">
        <v>40</v>
      </c>
      <c r="V913" s="5"/>
      <c r="W913" s="8"/>
      <c r="BB913" s="7" t="str">
        <v>Quarter 4</v>
      </c>
    </row>
    <row r="914" spans="1:54" ht="31.4" customHeight="1" x14ac:dyDescent="0.35">
      <c r="A914" s="210">
        <v>913</v>
      </c>
      <c r="B914" s="8" t="s">
        <v>55</v>
      </c>
      <c r="C914" s="8" t="s">
        <v>13</v>
      </c>
      <c r="D914" s="8" t="s">
        <v>1641</v>
      </c>
      <c r="E914" s="22">
        <v>46066</v>
      </c>
      <c r="F914" s="149">
        <f t="shared" si="141"/>
        <v>46069</v>
      </c>
      <c r="G914" s="149">
        <f t="shared" si="142"/>
        <v>46080</v>
      </c>
      <c r="H914" s="149">
        <f t="shared" si="143"/>
        <v>46094</v>
      </c>
      <c r="I914" s="149" t="str">
        <f t="shared" si="137"/>
        <v>Feb</v>
      </c>
      <c r="J914" s="216" t="str">
        <f t="shared" ca="1" si="139"/>
        <v/>
      </c>
      <c r="K914" s="149" t="s">
        <v>43</v>
      </c>
      <c r="M914" s="11">
        <v>46066</v>
      </c>
      <c r="N914" s="152">
        <f t="shared" si="138"/>
        <v>0</v>
      </c>
      <c r="O914" s="12" t="str">
        <f t="shared" si="140"/>
        <v>Yes</v>
      </c>
      <c r="P914" s="158"/>
      <c r="Q914" s="157"/>
      <c r="R914" s="11" t="s">
        <v>39</v>
      </c>
      <c r="T914" s="5" t="s">
        <v>40</v>
      </c>
      <c r="V914" s="5" t="s">
        <v>54</v>
      </c>
      <c r="W914" s="8" t="s">
        <v>46</v>
      </c>
      <c r="BB914" s="7" t="str">
        <v>Quarter 4</v>
      </c>
    </row>
    <row r="915" spans="1:54" ht="31.4" customHeight="1" x14ac:dyDescent="0.35">
      <c r="A915" s="210">
        <v>914</v>
      </c>
      <c r="B915" s="8" t="s">
        <v>633</v>
      </c>
      <c r="C915" s="8" t="s">
        <v>15</v>
      </c>
      <c r="D915" s="8" t="s">
        <v>1642</v>
      </c>
      <c r="E915" s="22">
        <v>46066</v>
      </c>
      <c r="F915" s="149">
        <f t="shared" si="141"/>
        <v>46069</v>
      </c>
      <c r="G915" s="149">
        <f t="shared" si="142"/>
        <v>46080</v>
      </c>
      <c r="H915" s="149">
        <f t="shared" si="143"/>
        <v>46094</v>
      </c>
      <c r="I915" s="149" t="str">
        <f t="shared" si="137"/>
        <v>Feb</v>
      </c>
      <c r="J915" s="216" t="str">
        <f t="shared" ca="1" si="139"/>
        <v/>
      </c>
      <c r="K915" s="149" t="s">
        <v>4</v>
      </c>
      <c r="M915" s="11">
        <v>46066</v>
      </c>
      <c r="N915" s="152">
        <f t="shared" si="138"/>
        <v>0</v>
      </c>
      <c r="O915" s="12" t="str">
        <f t="shared" si="140"/>
        <v>Yes</v>
      </c>
      <c r="P915" s="158"/>
      <c r="Q915" s="157"/>
      <c r="R915" s="11" t="s">
        <v>39</v>
      </c>
      <c r="T915" s="5" t="s">
        <v>51</v>
      </c>
      <c r="V915" s="5" t="s">
        <v>87</v>
      </c>
      <c r="W915" s="8"/>
      <c r="BB915" s="7" t="str">
        <v>Quarter 4</v>
      </c>
    </row>
    <row r="916" spans="1:54" ht="31.4" customHeight="1" x14ac:dyDescent="0.35">
      <c r="A916" s="210">
        <v>915</v>
      </c>
      <c r="B916" s="8" t="s">
        <v>55</v>
      </c>
      <c r="C916" s="8" t="s">
        <v>13</v>
      </c>
      <c r="D916" s="8" t="s">
        <v>1643</v>
      </c>
      <c r="E916" s="22">
        <v>46066</v>
      </c>
      <c r="F916" s="149">
        <f t="shared" si="141"/>
        <v>46069</v>
      </c>
      <c r="G916" s="149">
        <f t="shared" si="142"/>
        <v>46080</v>
      </c>
      <c r="H916" s="149">
        <f t="shared" si="143"/>
        <v>46094</v>
      </c>
      <c r="I916" s="149" t="str">
        <f t="shared" si="137"/>
        <v>Feb</v>
      </c>
      <c r="J916" s="216" t="str">
        <f t="shared" ca="1" si="139"/>
        <v/>
      </c>
      <c r="K916" s="149" t="s">
        <v>43</v>
      </c>
      <c r="M916" s="11">
        <v>46069</v>
      </c>
      <c r="N916" s="152">
        <f t="shared" si="138"/>
        <v>1</v>
      </c>
      <c r="O916" s="12" t="str">
        <f t="shared" si="140"/>
        <v>Yes</v>
      </c>
      <c r="P916" s="158"/>
      <c r="Q916" s="157"/>
      <c r="R916" s="11" t="s">
        <v>39</v>
      </c>
      <c r="T916" s="5" t="s">
        <v>40</v>
      </c>
      <c r="V916" s="5"/>
      <c r="W916" s="8"/>
      <c r="BB916" s="7" t="str">
        <v>Quarter 4</v>
      </c>
    </row>
    <row r="917" spans="1:54" ht="31.4" customHeight="1" x14ac:dyDescent="0.35">
      <c r="A917" s="210">
        <v>916</v>
      </c>
      <c r="B917" s="8" t="s">
        <v>6</v>
      </c>
      <c r="C917" s="8" t="s">
        <v>6</v>
      </c>
      <c r="D917" s="8" t="s">
        <v>1644</v>
      </c>
      <c r="E917" s="22">
        <v>46066</v>
      </c>
      <c r="F917" s="149">
        <f t="shared" si="141"/>
        <v>46069</v>
      </c>
      <c r="G917" s="149">
        <f t="shared" si="142"/>
        <v>46080</v>
      </c>
      <c r="H917" s="149">
        <f t="shared" si="143"/>
        <v>46094</v>
      </c>
      <c r="I917" s="149" t="str">
        <f t="shared" si="137"/>
        <v>Feb</v>
      </c>
      <c r="J917" s="216" t="str">
        <f t="shared" ca="1" si="139"/>
        <v/>
      </c>
      <c r="K917" s="149" t="s">
        <v>4</v>
      </c>
      <c r="M917" s="11">
        <v>46091</v>
      </c>
      <c r="N917" s="152">
        <f t="shared" si="138"/>
        <v>17</v>
      </c>
      <c r="O917" s="12" t="str">
        <f t="shared" si="140"/>
        <v>Yes</v>
      </c>
      <c r="P917" s="158"/>
      <c r="Q917" s="157"/>
      <c r="R917" s="11" t="s">
        <v>39</v>
      </c>
      <c r="T917" s="5" t="s">
        <v>40</v>
      </c>
      <c r="V917" s="5" t="s">
        <v>54</v>
      </c>
      <c r="W917" s="8"/>
      <c r="BB917" s="7" t="str">
        <v>Quarter 4</v>
      </c>
    </row>
    <row r="918" spans="1:54" ht="31.4" customHeight="1" x14ac:dyDescent="0.35">
      <c r="A918" s="210">
        <v>917</v>
      </c>
      <c r="B918" s="8" t="s">
        <v>1601</v>
      </c>
      <c r="C918" s="8" t="s">
        <v>11</v>
      </c>
      <c r="D918" s="8" t="s">
        <v>1870</v>
      </c>
      <c r="E918" s="22">
        <v>46066</v>
      </c>
      <c r="F918" s="149">
        <f t="shared" si="141"/>
        <v>46069</v>
      </c>
      <c r="G918" s="149">
        <f t="shared" si="142"/>
        <v>46080</v>
      </c>
      <c r="H918" s="149">
        <f t="shared" si="143"/>
        <v>46094</v>
      </c>
      <c r="I918" s="149" t="str">
        <f t="shared" si="137"/>
        <v>Feb</v>
      </c>
      <c r="J918" s="216" t="str">
        <f t="shared" ca="1" si="139"/>
        <v/>
      </c>
      <c r="K918" s="149" t="s">
        <v>7</v>
      </c>
      <c r="M918" s="11">
        <v>46077</v>
      </c>
      <c r="N918" s="152">
        <f t="shared" si="138"/>
        <v>7</v>
      </c>
      <c r="O918" s="12" t="str">
        <f t="shared" si="140"/>
        <v>Yes</v>
      </c>
      <c r="P918" s="158"/>
      <c r="Q918" s="157"/>
      <c r="R918" s="11" t="s">
        <v>39</v>
      </c>
      <c r="T918" s="5" t="s">
        <v>40</v>
      </c>
      <c r="V918" s="5"/>
      <c r="W918" s="8"/>
      <c r="BB918" s="7" t="str">
        <v>Quarter 4</v>
      </c>
    </row>
    <row r="919" spans="1:54" ht="31.4" customHeight="1" x14ac:dyDescent="0.35">
      <c r="A919" s="210">
        <v>918</v>
      </c>
      <c r="B919" s="8" t="s">
        <v>6</v>
      </c>
      <c r="C919" s="8" t="s">
        <v>6</v>
      </c>
      <c r="D919" s="8" t="s">
        <v>1646</v>
      </c>
      <c r="E919" s="22">
        <v>46066</v>
      </c>
      <c r="F919" s="149">
        <f t="shared" si="141"/>
        <v>46069</v>
      </c>
      <c r="G919" s="149">
        <f t="shared" si="142"/>
        <v>46080</v>
      </c>
      <c r="H919" s="149">
        <f t="shared" si="143"/>
        <v>46094</v>
      </c>
      <c r="I919" s="149" t="str">
        <f t="shared" si="137"/>
        <v>Feb</v>
      </c>
      <c r="J919" s="216" t="str">
        <f t="shared" ca="1" si="139"/>
        <v/>
      </c>
      <c r="K919" s="149" t="s">
        <v>4</v>
      </c>
      <c r="M919" s="17">
        <v>46078</v>
      </c>
      <c r="N919" s="152">
        <f t="shared" si="138"/>
        <v>8</v>
      </c>
      <c r="O919" s="12" t="str">
        <f t="shared" si="140"/>
        <v>Yes</v>
      </c>
      <c r="R919" s="8" t="s">
        <v>39</v>
      </c>
      <c r="T919" s="5" t="s">
        <v>40</v>
      </c>
      <c r="V919" s="5" t="s">
        <v>54</v>
      </c>
      <c r="W919" s="8" t="s">
        <v>46</v>
      </c>
      <c r="BB919" s="7" t="str">
        <v>Quarter 4</v>
      </c>
    </row>
    <row r="920" spans="1:54" ht="31.4" customHeight="1" x14ac:dyDescent="0.35">
      <c r="A920" s="210">
        <v>919</v>
      </c>
      <c r="B920" s="8" t="s">
        <v>342</v>
      </c>
      <c r="C920" s="8" t="s">
        <v>9</v>
      </c>
      <c r="D920" s="8" t="s">
        <v>1647</v>
      </c>
      <c r="E920" s="22">
        <v>46066</v>
      </c>
      <c r="F920" s="149">
        <f t="shared" si="141"/>
        <v>46069</v>
      </c>
      <c r="G920" s="149">
        <f t="shared" si="142"/>
        <v>46080</v>
      </c>
      <c r="H920" s="149">
        <f t="shared" si="143"/>
        <v>46094</v>
      </c>
      <c r="I920" s="149" t="str">
        <f t="shared" si="137"/>
        <v>Feb</v>
      </c>
      <c r="J920" s="216" t="str">
        <f t="shared" ca="1" si="139"/>
        <v/>
      </c>
      <c r="K920" s="149" t="s">
        <v>43</v>
      </c>
      <c r="M920" s="17">
        <v>46094</v>
      </c>
      <c r="N920" s="152">
        <f t="shared" si="138"/>
        <v>20</v>
      </c>
      <c r="O920" s="12" t="str">
        <f t="shared" si="140"/>
        <v>Yes</v>
      </c>
      <c r="R920" s="8" t="s">
        <v>39</v>
      </c>
      <c r="T920" s="5" t="s">
        <v>40</v>
      </c>
      <c r="V920" s="5"/>
      <c r="W920" s="8" t="s">
        <v>46</v>
      </c>
      <c r="BB920" s="7" t="str">
        <v>Quarter 4</v>
      </c>
    </row>
    <row r="921" spans="1:54" ht="31.4" customHeight="1" x14ac:dyDescent="0.35">
      <c r="A921" s="210">
        <v>920</v>
      </c>
      <c r="B921" s="8" t="s">
        <v>1650</v>
      </c>
      <c r="C921" s="8" t="s">
        <v>11</v>
      </c>
      <c r="D921" s="8" t="s">
        <v>923</v>
      </c>
      <c r="E921" s="22">
        <v>46066</v>
      </c>
      <c r="F921" s="149">
        <f t="shared" si="141"/>
        <v>46069</v>
      </c>
      <c r="G921" s="149">
        <f t="shared" si="142"/>
        <v>46080</v>
      </c>
      <c r="H921" s="149">
        <f t="shared" si="143"/>
        <v>46094</v>
      </c>
      <c r="I921" s="149" t="str">
        <f t="shared" si="137"/>
        <v>Feb</v>
      </c>
      <c r="J921" s="216" t="str">
        <f t="shared" ca="1" si="139"/>
        <v/>
      </c>
      <c r="K921" s="149" t="s">
        <v>7</v>
      </c>
      <c r="M921" s="17">
        <v>46080</v>
      </c>
      <c r="N921" s="152">
        <f t="shared" si="138"/>
        <v>10</v>
      </c>
      <c r="O921" s="12" t="str">
        <f t="shared" si="140"/>
        <v>Yes</v>
      </c>
      <c r="R921" s="8" t="s">
        <v>39</v>
      </c>
      <c r="T921" s="5" t="s">
        <v>62</v>
      </c>
      <c r="V921" s="5"/>
      <c r="W921" s="8"/>
      <c r="BB921" s="7" t="str">
        <v>Quarter 4</v>
      </c>
    </row>
    <row r="922" spans="1:54" ht="31.4" customHeight="1" x14ac:dyDescent="0.35">
      <c r="A922" s="210">
        <v>921</v>
      </c>
      <c r="B922" s="8" t="s">
        <v>55</v>
      </c>
      <c r="C922" s="8" t="s">
        <v>13</v>
      </c>
      <c r="D922" s="8" t="s">
        <v>1651</v>
      </c>
      <c r="E922" s="22">
        <v>46066</v>
      </c>
      <c r="F922" s="149">
        <f t="shared" si="141"/>
        <v>46069</v>
      </c>
      <c r="G922" s="149">
        <f t="shared" si="142"/>
        <v>46080</v>
      </c>
      <c r="H922" s="149">
        <f t="shared" si="143"/>
        <v>46094</v>
      </c>
      <c r="I922" s="149" t="str">
        <f t="shared" si="137"/>
        <v>Feb</v>
      </c>
      <c r="J922" s="216" t="str">
        <f t="shared" ca="1" si="139"/>
        <v/>
      </c>
      <c r="K922" s="149" t="s">
        <v>3</v>
      </c>
      <c r="M922" s="17">
        <v>46092</v>
      </c>
      <c r="N922" s="152">
        <f t="shared" si="138"/>
        <v>18</v>
      </c>
      <c r="O922" s="12" t="str">
        <f t="shared" si="140"/>
        <v>Yes</v>
      </c>
      <c r="R922" s="8" t="s">
        <v>39</v>
      </c>
      <c r="T922" s="5" t="s">
        <v>40</v>
      </c>
      <c r="V922" s="5"/>
      <c r="W922" s="8"/>
      <c r="BB922" s="7" t="str">
        <v>Quarter 4</v>
      </c>
    </row>
    <row r="923" spans="1:54" ht="31.4" customHeight="1" x14ac:dyDescent="0.35">
      <c r="A923" s="210">
        <v>922</v>
      </c>
      <c r="B923" s="8" t="s">
        <v>6</v>
      </c>
      <c r="C923" s="8" t="s">
        <v>6</v>
      </c>
      <c r="D923" s="8" t="s">
        <v>1688</v>
      </c>
      <c r="E923" s="22">
        <v>46066</v>
      </c>
      <c r="F923" s="149">
        <f t="shared" si="141"/>
        <v>46069</v>
      </c>
      <c r="G923" s="149">
        <f t="shared" si="142"/>
        <v>46080</v>
      </c>
      <c r="H923" s="149">
        <f t="shared" si="143"/>
        <v>46094</v>
      </c>
      <c r="I923" s="149" t="str">
        <f t="shared" si="137"/>
        <v>Feb</v>
      </c>
      <c r="J923" s="216" t="str">
        <f t="shared" ca="1" si="139"/>
        <v/>
      </c>
      <c r="K923" s="149" t="s">
        <v>3</v>
      </c>
      <c r="M923" s="17">
        <v>46071</v>
      </c>
      <c r="N923" s="152">
        <f t="shared" si="138"/>
        <v>3</v>
      </c>
      <c r="O923" s="12" t="str">
        <f t="shared" si="140"/>
        <v>Yes</v>
      </c>
      <c r="R923" s="8" t="s">
        <v>39</v>
      </c>
      <c r="T923" s="5" t="s">
        <v>40</v>
      </c>
      <c r="V923" s="5"/>
      <c r="W923" s="8"/>
      <c r="BB923" s="7" t="str">
        <v>Quarter 4</v>
      </c>
    </row>
    <row r="924" spans="1:54" ht="31.4" customHeight="1" x14ac:dyDescent="0.35">
      <c r="A924" s="210">
        <v>923</v>
      </c>
      <c r="B924" s="8" t="s">
        <v>434</v>
      </c>
      <c r="C924" s="8" t="s">
        <v>12</v>
      </c>
      <c r="D924" s="8" t="s">
        <v>1871</v>
      </c>
      <c r="E924" s="22">
        <v>46068</v>
      </c>
      <c r="F924" s="149">
        <f t="shared" si="141"/>
        <v>46069</v>
      </c>
      <c r="G924" s="149">
        <f t="shared" si="142"/>
        <v>46080</v>
      </c>
      <c r="H924" s="149">
        <f t="shared" si="143"/>
        <v>46094</v>
      </c>
      <c r="I924" s="149" t="str">
        <f t="shared" si="137"/>
        <v>Feb</v>
      </c>
      <c r="J924" s="216" t="str">
        <f t="shared" ca="1" si="139"/>
        <v/>
      </c>
      <c r="K924" s="149" t="s">
        <v>7</v>
      </c>
      <c r="M924" s="17">
        <v>46076</v>
      </c>
      <c r="N924" s="152">
        <f t="shared" si="138"/>
        <v>5</v>
      </c>
      <c r="O924" s="12" t="str">
        <f t="shared" si="140"/>
        <v>Yes</v>
      </c>
      <c r="R924" s="8" t="s">
        <v>39</v>
      </c>
      <c r="T924" s="5" t="s">
        <v>40</v>
      </c>
      <c r="V924" s="5"/>
      <c r="W924" s="8"/>
      <c r="BB924" s="7" t="str">
        <v>Quarter 4</v>
      </c>
    </row>
    <row r="925" spans="1:54" ht="31.4" customHeight="1" x14ac:dyDescent="0.35">
      <c r="A925" s="210">
        <v>924</v>
      </c>
      <c r="B925" s="8" t="s">
        <v>434</v>
      </c>
      <c r="C925" s="8" t="s">
        <v>12</v>
      </c>
      <c r="D925" s="8" t="s">
        <v>1872</v>
      </c>
      <c r="E925" s="22">
        <v>46068</v>
      </c>
      <c r="F925" s="149">
        <f t="shared" si="141"/>
        <v>46069</v>
      </c>
      <c r="G925" s="149">
        <f t="shared" si="142"/>
        <v>46080</v>
      </c>
      <c r="H925" s="149">
        <f t="shared" si="143"/>
        <v>46094</v>
      </c>
      <c r="I925" s="149" t="str">
        <f t="shared" si="137"/>
        <v>Feb</v>
      </c>
      <c r="J925" s="216" t="str">
        <f t="shared" ca="1" si="139"/>
        <v/>
      </c>
      <c r="K925" s="149" t="s">
        <v>7</v>
      </c>
      <c r="M925" s="17">
        <v>46076</v>
      </c>
      <c r="N925" s="152">
        <f t="shared" si="138"/>
        <v>5</v>
      </c>
      <c r="O925" s="12" t="str">
        <f t="shared" si="140"/>
        <v>Yes</v>
      </c>
      <c r="R925" s="8" t="s">
        <v>39</v>
      </c>
      <c r="T925" s="5" t="s">
        <v>40</v>
      </c>
      <c r="V925" s="5"/>
      <c r="W925" s="8"/>
      <c r="BB925" s="7" t="str">
        <v>Quarter 4</v>
      </c>
    </row>
    <row r="926" spans="1:54" ht="31.4" customHeight="1" x14ac:dyDescent="0.35">
      <c r="A926" s="210">
        <v>925</v>
      </c>
      <c r="B926" s="8" t="s">
        <v>6</v>
      </c>
      <c r="C926" s="8" t="s">
        <v>6</v>
      </c>
      <c r="D926" s="8" t="s">
        <v>1652</v>
      </c>
      <c r="E926" s="22">
        <v>46068</v>
      </c>
      <c r="F926" s="149">
        <f t="shared" si="141"/>
        <v>46069</v>
      </c>
      <c r="G926" s="149">
        <f t="shared" si="142"/>
        <v>46080</v>
      </c>
      <c r="H926" s="149">
        <f t="shared" si="143"/>
        <v>46094</v>
      </c>
      <c r="I926" s="69" t="str">
        <f t="shared" si="137"/>
        <v>Feb</v>
      </c>
      <c r="J926" s="216" t="str">
        <f t="shared" ca="1" si="139"/>
        <v/>
      </c>
      <c r="K926" s="149" t="s">
        <v>4</v>
      </c>
      <c r="M926" s="17">
        <v>46120</v>
      </c>
      <c r="N926" s="152">
        <f t="shared" si="138"/>
        <v>35</v>
      </c>
      <c r="O926" s="12" t="str">
        <f t="shared" si="140"/>
        <v>No</v>
      </c>
      <c r="R926" s="8" t="s">
        <v>39</v>
      </c>
      <c r="T926" s="5" t="s">
        <v>40</v>
      </c>
      <c r="V926" s="5"/>
      <c r="W926" s="8" t="s">
        <v>1906</v>
      </c>
      <c r="BB926" s="7" t="str">
        <v>Quarter 4</v>
      </c>
    </row>
    <row r="927" spans="1:54" ht="31.4" customHeight="1" x14ac:dyDescent="0.35">
      <c r="A927" s="210">
        <v>926</v>
      </c>
      <c r="B927" s="8" t="s">
        <v>55</v>
      </c>
      <c r="C927" s="8" t="s">
        <v>13</v>
      </c>
      <c r="D927" s="8" t="s">
        <v>1655</v>
      </c>
      <c r="E927" s="22">
        <v>46069</v>
      </c>
      <c r="F927" s="149">
        <f t="shared" si="141"/>
        <v>46070</v>
      </c>
      <c r="G927" s="149">
        <f t="shared" si="142"/>
        <v>46083</v>
      </c>
      <c r="H927" s="149">
        <f t="shared" si="143"/>
        <v>46097</v>
      </c>
      <c r="I927" s="149" t="str">
        <f t="shared" si="137"/>
        <v>Feb</v>
      </c>
      <c r="J927" s="216" t="str">
        <f t="shared" ca="1" si="139"/>
        <v/>
      </c>
      <c r="K927" s="149" t="s">
        <v>4</v>
      </c>
      <c r="M927" s="17">
        <v>46070</v>
      </c>
      <c r="N927" s="152">
        <f t="shared" si="138"/>
        <v>1</v>
      </c>
      <c r="O927" s="12" t="str">
        <f t="shared" si="140"/>
        <v>Yes</v>
      </c>
      <c r="R927" s="8" t="s">
        <v>39</v>
      </c>
      <c r="T927" s="5" t="s">
        <v>40</v>
      </c>
      <c r="V927" s="5" t="s">
        <v>54</v>
      </c>
      <c r="W927" s="8"/>
      <c r="BB927" s="7" t="str">
        <v>Quarter 4</v>
      </c>
    </row>
    <row r="928" spans="1:54" ht="31.4" customHeight="1" x14ac:dyDescent="0.35">
      <c r="A928" s="210">
        <v>927</v>
      </c>
      <c r="B928" s="8" t="s">
        <v>6</v>
      </c>
      <c r="C928" s="8" t="s">
        <v>6</v>
      </c>
      <c r="D928" s="8" t="s">
        <v>1658</v>
      </c>
      <c r="E928" s="22">
        <v>46069</v>
      </c>
      <c r="F928" s="149">
        <f t="shared" si="141"/>
        <v>46070</v>
      </c>
      <c r="G928" s="149">
        <f t="shared" si="142"/>
        <v>46083</v>
      </c>
      <c r="H928" s="149">
        <f t="shared" si="143"/>
        <v>46097</v>
      </c>
      <c r="I928" s="149" t="str">
        <f t="shared" si="137"/>
        <v>Feb</v>
      </c>
      <c r="J928" s="216" t="str">
        <f t="shared" ca="1" si="139"/>
        <v/>
      </c>
      <c r="K928" s="149" t="s">
        <v>4</v>
      </c>
      <c r="M928" s="17">
        <v>46092</v>
      </c>
      <c r="N928" s="152">
        <f t="shared" si="138"/>
        <v>17</v>
      </c>
      <c r="O928" s="12" t="str">
        <f t="shared" si="140"/>
        <v>Yes</v>
      </c>
      <c r="R928" s="8" t="s">
        <v>39</v>
      </c>
      <c r="T928" s="5" t="s">
        <v>40</v>
      </c>
      <c r="V928" s="5" t="s">
        <v>54</v>
      </c>
      <c r="W928" s="8"/>
      <c r="BB928" s="7" t="str">
        <v>Quarter 4</v>
      </c>
    </row>
    <row r="929" spans="1:54" ht="31.4" customHeight="1" x14ac:dyDescent="0.35">
      <c r="A929" s="210">
        <v>928</v>
      </c>
      <c r="B929" s="8" t="s">
        <v>55</v>
      </c>
      <c r="C929" s="8" t="s">
        <v>13</v>
      </c>
      <c r="D929" s="8" t="s">
        <v>1659</v>
      </c>
      <c r="E929" s="22">
        <v>46069</v>
      </c>
      <c r="F929" s="149">
        <f t="shared" si="141"/>
        <v>46070</v>
      </c>
      <c r="G929" s="149">
        <f t="shared" si="142"/>
        <v>46083</v>
      </c>
      <c r="H929" s="149">
        <f t="shared" si="143"/>
        <v>46097</v>
      </c>
      <c r="I929" s="149" t="str">
        <f t="shared" si="137"/>
        <v>Feb</v>
      </c>
      <c r="J929" s="216" t="str">
        <f t="shared" ca="1" si="139"/>
        <v/>
      </c>
      <c r="K929" s="149" t="s">
        <v>43</v>
      </c>
      <c r="M929" s="17">
        <v>46072</v>
      </c>
      <c r="N929" s="152">
        <f t="shared" si="138"/>
        <v>3</v>
      </c>
      <c r="O929" s="12" t="str">
        <f t="shared" si="140"/>
        <v>Yes</v>
      </c>
      <c r="R929" s="8" t="s">
        <v>39</v>
      </c>
      <c r="T929" s="5" t="s">
        <v>40</v>
      </c>
      <c r="V929" s="5"/>
      <c r="W929" s="8"/>
      <c r="BB929" s="7" t="str">
        <v>Quarter 4</v>
      </c>
    </row>
    <row r="930" spans="1:54" ht="31.4" customHeight="1" x14ac:dyDescent="0.35">
      <c r="A930" s="210">
        <v>929</v>
      </c>
      <c r="B930" s="8" t="s">
        <v>1660</v>
      </c>
      <c r="C930" s="8" t="s">
        <v>15</v>
      </c>
      <c r="D930" s="8" t="s">
        <v>1661</v>
      </c>
      <c r="E930" s="22">
        <v>46069</v>
      </c>
      <c r="F930" s="149">
        <f t="shared" si="141"/>
        <v>46070</v>
      </c>
      <c r="G930" s="149">
        <f t="shared" si="142"/>
        <v>46083</v>
      </c>
      <c r="H930" s="149">
        <f t="shared" si="143"/>
        <v>46097</v>
      </c>
      <c r="I930" s="149" t="str">
        <f t="shared" si="137"/>
        <v>Feb</v>
      </c>
      <c r="J930" s="216" t="str">
        <f t="shared" ca="1" si="139"/>
        <v/>
      </c>
      <c r="K930" s="149" t="s">
        <v>43</v>
      </c>
      <c r="M930" s="17">
        <v>46076</v>
      </c>
      <c r="N930" s="152">
        <f t="shared" si="138"/>
        <v>5</v>
      </c>
      <c r="O930" s="12" t="str">
        <f t="shared" si="140"/>
        <v>Yes</v>
      </c>
      <c r="R930" s="8" t="s">
        <v>39</v>
      </c>
      <c r="T930" s="5" t="s">
        <v>40</v>
      </c>
      <c r="V930" s="5"/>
      <c r="W930" s="8"/>
      <c r="BB930" s="7" t="str">
        <v>Quarter 4</v>
      </c>
    </row>
    <row r="931" spans="1:54" ht="31.4" customHeight="1" x14ac:dyDescent="0.35">
      <c r="A931" s="210">
        <v>930</v>
      </c>
      <c r="B931" s="8" t="s">
        <v>1662</v>
      </c>
      <c r="C931" s="8" t="s">
        <v>16</v>
      </c>
      <c r="D931" s="199" t="s">
        <v>1663</v>
      </c>
      <c r="E931" s="22">
        <v>46069</v>
      </c>
      <c r="F931" s="149">
        <f t="shared" si="141"/>
        <v>46070</v>
      </c>
      <c r="G931" s="149">
        <f t="shared" si="142"/>
        <v>46083</v>
      </c>
      <c r="H931" s="149">
        <f t="shared" si="143"/>
        <v>46097</v>
      </c>
      <c r="I931" s="149" t="str">
        <f t="shared" si="137"/>
        <v>Feb</v>
      </c>
      <c r="J931" s="216" t="str">
        <f t="shared" ca="1" si="139"/>
        <v/>
      </c>
      <c r="K931" s="149" t="s">
        <v>4</v>
      </c>
      <c r="M931" s="17">
        <v>46097</v>
      </c>
      <c r="N931" s="152">
        <f t="shared" si="138"/>
        <v>20</v>
      </c>
      <c r="O931" s="12" t="str">
        <f t="shared" si="140"/>
        <v>Yes</v>
      </c>
      <c r="R931" s="8" t="s">
        <v>39</v>
      </c>
      <c r="T931" s="5" t="s">
        <v>51</v>
      </c>
      <c r="V931" s="5" t="s">
        <v>41</v>
      </c>
      <c r="W931" s="8"/>
      <c r="BB931" s="7" t="str">
        <v>Quarter 4</v>
      </c>
    </row>
    <row r="932" spans="1:54" ht="31.4" customHeight="1" x14ac:dyDescent="0.35">
      <c r="A932" s="210">
        <v>931</v>
      </c>
      <c r="B932" s="8" t="s">
        <v>6</v>
      </c>
      <c r="C932" s="8" t="s">
        <v>6</v>
      </c>
      <c r="D932" s="8" t="s">
        <v>1666</v>
      </c>
      <c r="E932" s="22">
        <v>46069</v>
      </c>
      <c r="F932" s="149">
        <f t="shared" si="141"/>
        <v>46070</v>
      </c>
      <c r="G932" s="149">
        <f t="shared" si="142"/>
        <v>46083</v>
      </c>
      <c r="H932" s="149">
        <f t="shared" si="143"/>
        <v>46097</v>
      </c>
      <c r="I932" s="149" t="str">
        <f t="shared" si="137"/>
        <v>Feb</v>
      </c>
      <c r="J932" s="216" t="str">
        <f t="shared" ca="1" si="139"/>
        <v/>
      </c>
      <c r="K932" s="149" t="s">
        <v>4</v>
      </c>
      <c r="M932" s="17">
        <v>46071</v>
      </c>
      <c r="N932" s="152">
        <f t="shared" si="138"/>
        <v>2</v>
      </c>
      <c r="O932" s="12" t="str">
        <f t="shared" si="140"/>
        <v>Yes</v>
      </c>
      <c r="R932" s="8" t="s">
        <v>39</v>
      </c>
      <c r="T932" s="5" t="s">
        <v>40</v>
      </c>
      <c r="V932" s="5"/>
      <c r="W932" s="8" t="s">
        <v>46</v>
      </c>
      <c r="BB932" s="7" t="str">
        <v>Quarter 4</v>
      </c>
    </row>
    <row r="933" spans="1:54" ht="31.4" customHeight="1" x14ac:dyDescent="0.35">
      <c r="A933" s="210">
        <v>932</v>
      </c>
      <c r="B933" s="8" t="s">
        <v>1667</v>
      </c>
      <c r="C933" s="8" t="s">
        <v>9</v>
      </c>
      <c r="D933" s="8" t="s">
        <v>1874</v>
      </c>
      <c r="E933" s="22">
        <v>46069</v>
      </c>
      <c r="F933" s="149">
        <f t="shared" ref="F933:F964" si="144">IF($E933="","",WORKDAY($E933,1,$Z$33:$Z$47))</f>
        <v>46070</v>
      </c>
      <c r="G933" s="149">
        <f t="shared" ref="G933:G964" si="145">IF($E933="","",WORKDAY($E933,10,$Z$33:$Z$47))</f>
        <v>46083</v>
      </c>
      <c r="H933" s="149">
        <f t="shared" ref="H933:H964" si="146">IF($E933="","",WORKDAY($E933,20,$Z$33:$Z$47))</f>
        <v>46097</v>
      </c>
      <c r="I933" s="149" t="str">
        <f t="shared" si="137"/>
        <v>Feb</v>
      </c>
      <c r="J933" s="216" t="str">
        <f t="shared" ca="1" si="139"/>
        <v/>
      </c>
      <c r="K933" s="149" t="s">
        <v>7</v>
      </c>
      <c r="M933" s="17">
        <v>46094</v>
      </c>
      <c r="N933" s="152">
        <f t="shared" si="138"/>
        <v>19</v>
      </c>
      <c r="O933" s="12" t="str">
        <f t="shared" si="140"/>
        <v>Yes</v>
      </c>
      <c r="R933" s="8" t="s">
        <v>39</v>
      </c>
      <c r="T933" s="5" t="s">
        <v>51</v>
      </c>
      <c r="V933" s="5" t="s">
        <v>41</v>
      </c>
      <c r="W933" s="8"/>
      <c r="BB933" s="7" t="str">
        <v>Quarter 4</v>
      </c>
    </row>
    <row r="934" spans="1:54" ht="31.4" customHeight="1" x14ac:dyDescent="0.35">
      <c r="A934" s="210">
        <v>933</v>
      </c>
      <c r="B934" s="8" t="s">
        <v>55</v>
      </c>
      <c r="C934" s="8" t="s">
        <v>13</v>
      </c>
      <c r="D934" s="8" t="s">
        <v>1670</v>
      </c>
      <c r="E934" s="22">
        <v>46069</v>
      </c>
      <c r="F934" s="149">
        <f t="shared" si="144"/>
        <v>46070</v>
      </c>
      <c r="G934" s="149">
        <f t="shared" si="145"/>
        <v>46083</v>
      </c>
      <c r="H934" s="149">
        <f t="shared" si="146"/>
        <v>46097</v>
      </c>
      <c r="I934" s="149" t="str">
        <f t="shared" si="137"/>
        <v>Feb</v>
      </c>
      <c r="J934" s="216" t="str">
        <f t="shared" ca="1" si="139"/>
        <v/>
      </c>
      <c r="K934" s="149" t="s">
        <v>7</v>
      </c>
      <c r="M934" s="17">
        <v>46071</v>
      </c>
      <c r="N934" s="152">
        <f t="shared" si="138"/>
        <v>2</v>
      </c>
      <c r="O934" s="12" t="str">
        <f t="shared" si="140"/>
        <v>Yes</v>
      </c>
      <c r="R934" s="8" t="s">
        <v>39</v>
      </c>
      <c r="T934" s="5" t="s">
        <v>40</v>
      </c>
      <c r="V934" s="5"/>
      <c r="W934" s="8"/>
      <c r="BB934" s="7" t="str">
        <v>Quarter 4</v>
      </c>
    </row>
    <row r="935" spans="1:54" ht="31.4" customHeight="1" x14ac:dyDescent="0.35">
      <c r="A935" s="210">
        <v>934</v>
      </c>
      <c r="B935" s="8" t="s">
        <v>379</v>
      </c>
      <c r="C935" s="8" t="s">
        <v>5</v>
      </c>
      <c r="D935" s="8" t="s">
        <v>1672</v>
      </c>
      <c r="E935" s="22">
        <v>46069</v>
      </c>
      <c r="F935" s="149">
        <f t="shared" si="144"/>
        <v>46070</v>
      </c>
      <c r="G935" s="149">
        <f t="shared" si="145"/>
        <v>46083</v>
      </c>
      <c r="H935" s="149">
        <f t="shared" si="146"/>
        <v>46097</v>
      </c>
      <c r="I935" s="149" t="str">
        <f t="shared" si="137"/>
        <v>Feb</v>
      </c>
      <c r="J935" s="216" t="str">
        <f t="shared" ca="1" si="139"/>
        <v/>
      </c>
      <c r="K935" s="149" t="s">
        <v>7</v>
      </c>
      <c r="M935" s="17">
        <v>46084</v>
      </c>
      <c r="N935" s="152">
        <f t="shared" si="138"/>
        <v>11</v>
      </c>
      <c r="O935" s="12" t="str">
        <f t="shared" si="140"/>
        <v>Yes</v>
      </c>
      <c r="R935" s="8" t="s">
        <v>39</v>
      </c>
      <c r="T935" s="5" t="s">
        <v>40</v>
      </c>
      <c r="V935" s="5"/>
      <c r="W935" s="8"/>
      <c r="BB935" s="7" t="str">
        <v>Quarter 4</v>
      </c>
    </row>
    <row r="936" spans="1:54" ht="31.4" customHeight="1" x14ac:dyDescent="0.35">
      <c r="A936" s="210">
        <v>935</v>
      </c>
      <c r="B936" s="8" t="s">
        <v>6</v>
      </c>
      <c r="C936" s="8" t="s">
        <v>6</v>
      </c>
      <c r="D936" s="8" t="s">
        <v>1684</v>
      </c>
      <c r="E936" s="22">
        <v>46069</v>
      </c>
      <c r="F936" s="149">
        <f t="shared" si="144"/>
        <v>46070</v>
      </c>
      <c r="G936" s="149">
        <f t="shared" si="145"/>
        <v>46083</v>
      </c>
      <c r="H936" s="149">
        <f t="shared" si="146"/>
        <v>46097</v>
      </c>
      <c r="I936" s="149" t="str">
        <f t="shared" si="137"/>
        <v>Feb</v>
      </c>
      <c r="J936" s="216" t="str">
        <f t="shared" ca="1" si="139"/>
        <v/>
      </c>
      <c r="K936" s="149" t="s">
        <v>4</v>
      </c>
      <c r="M936" s="17">
        <v>46083</v>
      </c>
      <c r="N936" s="152">
        <f t="shared" si="138"/>
        <v>10</v>
      </c>
      <c r="O936" s="12" t="str">
        <f t="shared" si="140"/>
        <v>Yes</v>
      </c>
      <c r="R936" s="8" t="s">
        <v>39</v>
      </c>
      <c r="T936" s="5" t="s">
        <v>40</v>
      </c>
      <c r="V936" s="5" t="s">
        <v>54</v>
      </c>
      <c r="W936" s="8" t="s">
        <v>46</v>
      </c>
      <c r="BB936" s="7" t="str">
        <v>Quarter 4</v>
      </c>
    </row>
    <row r="937" spans="1:54" ht="31.4" customHeight="1" x14ac:dyDescent="0.35">
      <c r="A937" s="210">
        <v>936</v>
      </c>
      <c r="B937" s="8" t="s">
        <v>55</v>
      </c>
      <c r="C937" s="8" t="s">
        <v>13</v>
      </c>
      <c r="D937" s="8" t="s">
        <v>1673</v>
      </c>
      <c r="E937" s="22">
        <v>46069</v>
      </c>
      <c r="F937" s="149">
        <f t="shared" si="144"/>
        <v>46070</v>
      </c>
      <c r="G937" s="149">
        <f t="shared" si="145"/>
        <v>46083</v>
      </c>
      <c r="H937" s="149">
        <f t="shared" si="146"/>
        <v>46097</v>
      </c>
      <c r="I937" s="149" t="str">
        <f t="shared" si="137"/>
        <v>Feb</v>
      </c>
      <c r="J937" s="216" t="str">
        <f t="shared" ca="1" si="139"/>
        <v/>
      </c>
      <c r="K937" s="149" t="s">
        <v>4</v>
      </c>
      <c r="M937" s="17">
        <v>46070</v>
      </c>
      <c r="N937" s="152">
        <f t="shared" si="138"/>
        <v>1</v>
      </c>
      <c r="O937" s="12" t="str">
        <f t="shared" si="140"/>
        <v>Yes</v>
      </c>
      <c r="R937" s="8" t="s">
        <v>39</v>
      </c>
      <c r="T937" s="5" t="s">
        <v>40</v>
      </c>
      <c r="V937" s="5" t="s">
        <v>54</v>
      </c>
      <c r="W937" s="8"/>
      <c r="BB937" s="7" t="str">
        <v>Quarter 4</v>
      </c>
    </row>
    <row r="938" spans="1:54" ht="31.4" customHeight="1" x14ac:dyDescent="0.35">
      <c r="A938" s="210">
        <v>937</v>
      </c>
      <c r="B938" s="8" t="s">
        <v>55</v>
      </c>
      <c r="C938" s="8" t="s">
        <v>13</v>
      </c>
      <c r="D938" s="8" t="s">
        <v>1674</v>
      </c>
      <c r="E938" s="22">
        <v>46069</v>
      </c>
      <c r="F938" s="149">
        <f t="shared" si="144"/>
        <v>46070</v>
      </c>
      <c r="G938" s="149">
        <f t="shared" si="145"/>
        <v>46083</v>
      </c>
      <c r="H938" s="149">
        <f t="shared" si="146"/>
        <v>46097</v>
      </c>
      <c r="I938" s="149" t="str">
        <f t="shared" si="137"/>
        <v>Feb</v>
      </c>
      <c r="J938" s="216" t="str">
        <f t="shared" ca="1" si="139"/>
        <v/>
      </c>
      <c r="K938" s="149" t="s">
        <v>7</v>
      </c>
      <c r="M938" s="17">
        <v>46084</v>
      </c>
      <c r="N938" s="152">
        <f t="shared" si="138"/>
        <v>11</v>
      </c>
      <c r="O938" s="12" t="str">
        <f t="shared" si="140"/>
        <v>Yes</v>
      </c>
      <c r="R938" s="8" t="s">
        <v>39</v>
      </c>
      <c r="T938" s="5" t="s">
        <v>40</v>
      </c>
      <c r="V938" s="5"/>
      <c r="W938" s="8"/>
      <c r="BB938" s="7" t="str">
        <v>Quarter 4</v>
      </c>
    </row>
    <row r="939" spans="1:54" ht="31.4" customHeight="1" x14ac:dyDescent="0.35">
      <c r="A939" s="210">
        <v>938</v>
      </c>
      <c r="B939" s="8" t="s">
        <v>203</v>
      </c>
      <c r="C939" s="8" t="s">
        <v>12</v>
      </c>
      <c r="D939" s="8" t="s">
        <v>1675</v>
      </c>
      <c r="E939" s="22">
        <v>46069</v>
      </c>
      <c r="F939" s="149">
        <f t="shared" si="144"/>
        <v>46070</v>
      </c>
      <c r="G939" s="149">
        <f t="shared" si="145"/>
        <v>46083</v>
      </c>
      <c r="H939" s="149">
        <f t="shared" si="146"/>
        <v>46097</v>
      </c>
      <c r="I939" s="149" t="str">
        <f t="shared" si="137"/>
        <v>Feb</v>
      </c>
      <c r="J939" s="216" t="str">
        <f t="shared" ca="1" si="139"/>
        <v/>
      </c>
      <c r="K939" s="149" t="s">
        <v>43</v>
      </c>
      <c r="M939" s="17">
        <v>46071</v>
      </c>
      <c r="N939" s="152">
        <f t="shared" si="138"/>
        <v>2</v>
      </c>
      <c r="O939" s="12" t="str">
        <f t="shared" si="140"/>
        <v>Yes</v>
      </c>
      <c r="R939" s="8" t="s">
        <v>39</v>
      </c>
      <c r="T939" s="5" t="s">
        <v>40</v>
      </c>
      <c r="V939" s="5" t="s">
        <v>87</v>
      </c>
      <c r="W939" s="8"/>
      <c r="BB939" s="7" t="str">
        <v>Quarter 4</v>
      </c>
    </row>
    <row r="940" spans="1:54" ht="31.4" customHeight="1" x14ac:dyDescent="0.35">
      <c r="A940" s="210">
        <v>939</v>
      </c>
      <c r="B940" s="8" t="s">
        <v>1676</v>
      </c>
      <c r="C940" s="8" t="s">
        <v>9</v>
      </c>
      <c r="D940" s="8" t="s">
        <v>1677</v>
      </c>
      <c r="E940" s="22">
        <v>46070</v>
      </c>
      <c r="F940" s="149">
        <f t="shared" si="144"/>
        <v>46071</v>
      </c>
      <c r="G940" s="149">
        <f t="shared" si="145"/>
        <v>46084</v>
      </c>
      <c r="H940" s="149">
        <f t="shared" si="146"/>
        <v>46098</v>
      </c>
      <c r="I940" s="149" t="str">
        <f t="shared" si="137"/>
        <v>Feb</v>
      </c>
      <c r="J940" s="216" t="str">
        <f t="shared" ca="1" si="139"/>
        <v/>
      </c>
      <c r="K940" s="149" t="s">
        <v>4</v>
      </c>
      <c r="M940" s="17">
        <v>46092</v>
      </c>
      <c r="N940" s="152">
        <f t="shared" si="138"/>
        <v>16</v>
      </c>
      <c r="O940" s="12" t="str">
        <f t="shared" si="140"/>
        <v>Yes</v>
      </c>
      <c r="R940" s="8" t="s">
        <v>39</v>
      </c>
      <c r="T940" s="5" t="s">
        <v>40</v>
      </c>
      <c r="V940" s="5"/>
      <c r="W940" s="8"/>
      <c r="BB940" s="7" t="str">
        <v>Quarter 4</v>
      </c>
    </row>
    <row r="941" spans="1:54" ht="31.4" customHeight="1" x14ac:dyDescent="0.35">
      <c r="A941" s="210">
        <v>940</v>
      </c>
      <c r="B941" s="8" t="s">
        <v>1601</v>
      </c>
      <c r="C941" s="8" t="s">
        <v>9</v>
      </c>
      <c r="D941" s="8" t="s">
        <v>1678</v>
      </c>
      <c r="E941" s="22">
        <v>46070</v>
      </c>
      <c r="F941" s="149">
        <f t="shared" si="144"/>
        <v>46071</v>
      </c>
      <c r="G941" s="149">
        <f t="shared" si="145"/>
        <v>46084</v>
      </c>
      <c r="H941" s="149">
        <f t="shared" si="146"/>
        <v>46098</v>
      </c>
      <c r="I941" s="149" t="str">
        <f t="shared" si="137"/>
        <v>Feb</v>
      </c>
      <c r="J941" s="216" t="str">
        <f t="shared" ca="1" si="139"/>
        <v/>
      </c>
      <c r="K941" s="149" t="s">
        <v>4</v>
      </c>
      <c r="M941" s="17">
        <v>46098</v>
      </c>
      <c r="N941" s="152">
        <f t="shared" si="138"/>
        <v>20</v>
      </c>
      <c r="O941" s="12" t="str">
        <f t="shared" si="140"/>
        <v>Yes</v>
      </c>
      <c r="R941" s="8" t="s">
        <v>39</v>
      </c>
      <c r="T941" s="5" t="s">
        <v>40</v>
      </c>
      <c r="V941" s="5"/>
      <c r="W941" s="8"/>
      <c r="BB941" s="7" t="str">
        <v>Quarter 4</v>
      </c>
    </row>
    <row r="942" spans="1:54" ht="31.4" customHeight="1" x14ac:dyDescent="0.35">
      <c r="A942" s="210">
        <v>941</v>
      </c>
      <c r="B942" s="8" t="s">
        <v>1679</v>
      </c>
      <c r="C942" s="8" t="s">
        <v>9</v>
      </c>
      <c r="D942" s="8" t="s">
        <v>1680</v>
      </c>
      <c r="E942" s="22">
        <v>46070</v>
      </c>
      <c r="F942" s="149">
        <f t="shared" si="144"/>
        <v>46071</v>
      </c>
      <c r="G942" s="149">
        <f t="shared" si="145"/>
        <v>46084</v>
      </c>
      <c r="H942" s="149">
        <f t="shared" si="146"/>
        <v>46098</v>
      </c>
      <c r="I942" s="149" t="str">
        <f t="shared" si="137"/>
        <v>Feb</v>
      </c>
      <c r="J942" s="216" t="str">
        <f t="shared" ca="1" si="139"/>
        <v/>
      </c>
      <c r="K942" s="149" t="s">
        <v>43</v>
      </c>
      <c r="M942" s="17">
        <v>46071</v>
      </c>
      <c r="N942" s="152">
        <f t="shared" si="138"/>
        <v>1</v>
      </c>
      <c r="O942" s="12" t="str">
        <f t="shared" si="140"/>
        <v>Yes</v>
      </c>
      <c r="R942" s="8" t="s">
        <v>39</v>
      </c>
      <c r="T942" s="5" t="s">
        <v>62</v>
      </c>
      <c r="V942" s="5"/>
      <c r="W942" s="8"/>
      <c r="BB942" s="7" t="str">
        <v>Quarter 4</v>
      </c>
    </row>
    <row r="943" spans="1:54" ht="31.4" customHeight="1" x14ac:dyDescent="0.35">
      <c r="A943" s="210">
        <v>942</v>
      </c>
      <c r="B943" s="8" t="s">
        <v>1682</v>
      </c>
      <c r="C943" s="8" t="s">
        <v>9</v>
      </c>
      <c r="D943" s="8" t="s">
        <v>1683</v>
      </c>
      <c r="E943" s="22">
        <v>46070</v>
      </c>
      <c r="F943" s="149">
        <f t="shared" si="144"/>
        <v>46071</v>
      </c>
      <c r="G943" s="149">
        <f t="shared" si="145"/>
        <v>46084</v>
      </c>
      <c r="H943" s="149">
        <f t="shared" si="146"/>
        <v>46098</v>
      </c>
      <c r="I943" s="149" t="str">
        <f t="shared" si="137"/>
        <v>Feb</v>
      </c>
      <c r="J943" s="216" t="str">
        <f t="shared" ca="1" si="139"/>
        <v/>
      </c>
      <c r="K943" s="149" t="s">
        <v>43</v>
      </c>
      <c r="M943" s="17">
        <v>46071</v>
      </c>
      <c r="N943" s="152">
        <f t="shared" si="138"/>
        <v>1</v>
      </c>
      <c r="O943" s="12" t="str">
        <f t="shared" si="140"/>
        <v>Yes</v>
      </c>
      <c r="R943" s="8" t="s">
        <v>39</v>
      </c>
      <c r="T943" s="5" t="s">
        <v>40</v>
      </c>
      <c r="V943" s="5"/>
      <c r="W943" s="8"/>
      <c r="BB943" s="7" t="str">
        <v>Quarter 4</v>
      </c>
    </row>
    <row r="944" spans="1:54" ht="31.4" customHeight="1" x14ac:dyDescent="0.35">
      <c r="A944" s="210">
        <v>943</v>
      </c>
      <c r="B944" s="8" t="s">
        <v>1685</v>
      </c>
      <c r="C944" s="8" t="s">
        <v>9</v>
      </c>
      <c r="D944" s="8" t="s">
        <v>1686</v>
      </c>
      <c r="E944" s="22">
        <v>46071</v>
      </c>
      <c r="F944" s="149">
        <f t="shared" si="144"/>
        <v>46072</v>
      </c>
      <c r="G944" s="149">
        <f t="shared" si="145"/>
        <v>46085</v>
      </c>
      <c r="H944" s="149">
        <f t="shared" si="146"/>
        <v>46099</v>
      </c>
      <c r="I944" s="149" t="str">
        <f t="shared" si="137"/>
        <v>Feb</v>
      </c>
      <c r="J944" s="216" t="str">
        <f t="shared" ca="1" si="139"/>
        <v/>
      </c>
      <c r="K944" s="149" t="s">
        <v>7</v>
      </c>
      <c r="M944" s="17">
        <v>46083</v>
      </c>
      <c r="N944" s="152">
        <f t="shared" si="138"/>
        <v>8</v>
      </c>
      <c r="O944" s="12" t="str">
        <f t="shared" si="140"/>
        <v>Yes</v>
      </c>
      <c r="R944" s="8" t="s">
        <v>39</v>
      </c>
      <c r="T944" s="5" t="s">
        <v>40</v>
      </c>
      <c r="V944" s="5"/>
      <c r="W944" s="8"/>
      <c r="BB944" s="7" t="str">
        <v>Quarter 4</v>
      </c>
    </row>
    <row r="945" spans="1:54" ht="31.4" customHeight="1" x14ac:dyDescent="0.35">
      <c r="A945" s="210">
        <v>944</v>
      </c>
      <c r="B945" s="8" t="s">
        <v>1689</v>
      </c>
      <c r="C945" s="8" t="s">
        <v>9</v>
      </c>
      <c r="D945" s="8" t="s">
        <v>1690</v>
      </c>
      <c r="E945" s="22">
        <v>46071</v>
      </c>
      <c r="F945" s="149">
        <f t="shared" si="144"/>
        <v>46072</v>
      </c>
      <c r="G945" s="149">
        <f t="shared" si="145"/>
        <v>46085</v>
      </c>
      <c r="H945" s="149">
        <f t="shared" si="146"/>
        <v>46099</v>
      </c>
      <c r="I945" s="149" t="str">
        <f t="shared" si="137"/>
        <v>Feb</v>
      </c>
      <c r="J945" s="216" t="str">
        <f t="shared" ca="1" si="139"/>
        <v/>
      </c>
      <c r="K945" s="149" t="s">
        <v>3</v>
      </c>
      <c r="M945" s="17">
        <v>46072</v>
      </c>
      <c r="N945" s="152">
        <f t="shared" si="138"/>
        <v>1</v>
      </c>
      <c r="O945" s="12" t="str">
        <f t="shared" si="140"/>
        <v>Yes</v>
      </c>
      <c r="R945" s="8" t="s">
        <v>39</v>
      </c>
      <c r="T945" s="5" t="s">
        <v>40</v>
      </c>
      <c r="V945" s="5" t="s">
        <v>54</v>
      </c>
      <c r="W945" s="8"/>
      <c r="BB945" s="7" t="str">
        <v>Quarter 4</v>
      </c>
    </row>
    <row r="946" spans="1:54" ht="31.4" customHeight="1" x14ac:dyDescent="0.35">
      <c r="A946" s="210">
        <v>945</v>
      </c>
      <c r="B946" s="8" t="s">
        <v>1691</v>
      </c>
      <c r="C946" s="8" t="s">
        <v>11</v>
      </c>
      <c r="D946" s="8" t="s">
        <v>1692</v>
      </c>
      <c r="E946" s="22">
        <v>46071</v>
      </c>
      <c r="F946" s="149">
        <f t="shared" si="144"/>
        <v>46072</v>
      </c>
      <c r="G946" s="149">
        <f t="shared" si="145"/>
        <v>46085</v>
      </c>
      <c r="H946" s="149">
        <f t="shared" si="146"/>
        <v>46099</v>
      </c>
      <c r="I946" s="149" t="str">
        <f t="shared" si="137"/>
        <v>Feb</v>
      </c>
      <c r="J946" s="216" t="str">
        <f t="shared" ca="1" si="139"/>
        <v/>
      </c>
      <c r="K946" s="149" t="s">
        <v>7</v>
      </c>
      <c r="M946" s="17">
        <v>46085</v>
      </c>
      <c r="N946" s="152">
        <f t="shared" si="138"/>
        <v>10</v>
      </c>
      <c r="O946" s="12" t="str">
        <f t="shared" si="140"/>
        <v>Yes</v>
      </c>
      <c r="R946" s="8" t="s">
        <v>39</v>
      </c>
      <c r="T946" s="5" t="s">
        <v>40</v>
      </c>
      <c r="V946" s="5"/>
      <c r="W946" s="8"/>
      <c r="BB946" s="7" t="str">
        <v>Quarter 4</v>
      </c>
    </row>
    <row r="947" spans="1:54" ht="31.4" customHeight="1" x14ac:dyDescent="0.35">
      <c r="A947" s="210">
        <v>946</v>
      </c>
      <c r="B947" s="8" t="s">
        <v>6</v>
      </c>
      <c r="C947" s="8" t="s">
        <v>6</v>
      </c>
      <c r="D947" s="8" t="s">
        <v>1693</v>
      </c>
      <c r="E947" s="22">
        <v>46071</v>
      </c>
      <c r="F947" s="149">
        <f t="shared" si="144"/>
        <v>46072</v>
      </c>
      <c r="G947" s="149">
        <f t="shared" si="145"/>
        <v>46085</v>
      </c>
      <c r="H947" s="149">
        <f t="shared" si="146"/>
        <v>46099</v>
      </c>
      <c r="I947" s="149" t="str">
        <f t="shared" si="137"/>
        <v>Feb</v>
      </c>
      <c r="J947" s="216" t="str">
        <f t="shared" ca="1" si="139"/>
        <v/>
      </c>
      <c r="K947" s="149" t="s">
        <v>4</v>
      </c>
      <c r="M947" s="17">
        <v>46076</v>
      </c>
      <c r="N947" s="152">
        <f t="shared" si="138"/>
        <v>3</v>
      </c>
      <c r="O947" s="12" t="str">
        <f t="shared" si="140"/>
        <v>Yes</v>
      </c>
      <c r="R947" s="8" t="s">
        <v>39</v>
      </c>
      <c r="T947" s="5" t="s">
        <v>40</v>
      </c>
      <c r="V947" s="5"/>
      <c r="W947" s="8"/>
      <c r="BB947" s="7" t="str">
        <v>Quarter 4</v>
      </c>
    </row>
    <row r="948" spans="1:54" ht="31.4" customHeight="1" x14ac:dyDescent="0.35">
      <c r="A948" s="210">
        <v>947</v>
      </c>
      <c r="B948" s="8" t="s">
        <v>6</v>
      </c>
      <c r="C948" s="8" t="s">
        <v>6</v>
      </c>
      <c r="D948" s="8" t="s">
        <v>1694</v>
      </c>
      <c r="E948" s="22">
        <v>46072</v>
      </c>
      <c r="F948" s="149">
        <f t="shared" si="144"/>
        <v>46073</v>
      </c>
      <c r="G948" s="149">
        <f t="shared" si="145"/>
        <v>46086</v>
      </c>
      <c r="H948" s="149">
        <f t="shared" si="146"/>
        <v>46100</v>
      </c>
      <c r="I948" s="149" t="str">
        <f t="shared" ref="I948:I1026" si="147">IF(ISBLANK($E948),"",TEXT($E948,"mmm"))</f>
        <v>Feb</v>
      </c>
      <c r="J948" s="216" t="str">
        <f t="shared" ca="1" si="139"/>
        <v/>
      </c>
      <c r="K948" s="149" t="s">
        <v>3</v>
      </c>
      <c r="M948" s="17">
        <v>46092</v>
      </c>
      <c r="N948" s="152">
        <f t="shared" si="138"/>
        <v>14</v>
      </c>
      <c r="O948" s="12" t="str">
        <f t="shared" si="140"/>
        <v>Yes</v>
      </c>
      <c r="R948" s="8" t="s">
        <v>39</v>
      </c>
      <c r="T948" s="5" t="s">
        <v>40</v>
      </c>
      <c r="V948" s="5"/>
      <c r="W948" s="8" t="s">
        <v>46</v>
      </c>
      <c r="BB948" s="7" t="str">
        <v>Quarter 4</v>
      </c>
    </row>
    <row r="949" spans="1:54" ht="31.4" customHeight="1" x14ac:dyDescent="0.35">
      <c r="A949" s="210">
        <v>948</v>
      </c>
      <c r="B949" s="8" t="s">
        <v>833</v>
      </c>
      <c r="C949" s="8" t="s">
        <v>9</v>
      </c>
      <c r="D949" s="8" t="s">
        <v>1699</v>
      </c>
      <c r="E949" s="22">
        <v>46073</v>
      </c>
      <c r="F949" s="149">
        <f t="shared" si="144"/>
        <v>46076</v>
      </c>
      <c r="G949" s="149">
        <f t="shared" si="145"/>
        <v>46087</v>
      </c>
      <c r="H949" s="149">
        <f t="shared" si="146"/>
        <v>46101</v>
      </c>
      <c r="I949" s="149" t="str">
        <f t="shared" si="147"/>
        <v>Feb</v>
      </c>
      <c r="J949" s="216" t="str">
        <f t="shared" ca="1" si="139"/>
        <v/>
      </c>
      <c r="K949" s="149" t="s">
        <v>7</v>
      </c>
      <c r="M949" s="17">
        <v>46086</v>
      </c>
      <c r="N949" s="152">
        <f t="shared" si="138"/>
        <v>9</v>
      </c>
      <c r="O949" s="12" t="str">
        <f t="shared" si="140"/>
        <v>Yes</v>
      </c>
      <c r="R949" s="8" t="s">
        <v>39</v>
      </c>
      <c r="T949" s="5" t="s">
        <v>40</v>
      </c>
      <c r="V949" s="5" t="s">
        <v>54</v>
      </c>
      <c r="W949" s="8" t="s">
        <v>46</v>
      </c>
      <c r="BB949" s="7" t="str">
        <v>Quarter 4</v>
      </c>
    </row>
    <row r="950" spans="1:54" ht="31.4" customHeight="1" x14ac:dyDescent="0.35">
      <c r="A950" s="210">
        <v>949</v>
      </c>
      <c r="B950" s="8" t="s">
        <v>6</v>
      </c>
      <c r="C950" s="8" t="s">
        <v>6</v>
      </c>
      <c r="D950" s="8" t="s">
        <v>1695</v>
      </c>
      <c r="E950" s="22">
        <v>46073</v>
      </c>
      <c r="F950" s="149">
        <f t="shared" si="144"/>
        <v>46076</v>
      </c>
      <c r="G950" s="149">
        <f t="shared" si="145"/>
        <v>46087</v>
      </c>
      <c r="H950" s="149">
        <f t="shared" si="146"/>
        <v>46101</v>
      </c>
      <c r="I950" s="149" t="str">
        <f t="shared" si="147"/>
        <v>Feb</v>
      </c>
      <c r="J950" s="216" t="str">
        <f t="shared" ca="1" si="139"/>
        <v/>
      </c>
      <c r="K950" s="149" t="s">
        <v>4</v>
      </c>
      <c r="M950" s="17">
        <v>46087</v>
      </c>
      <c r="N950" s="152">
        <f t="shared" si="138"/>
        <v>10</v>
      </c>
      <c r="O950" s="12" t="str">
        <f t="shared" si="140"/>
        <v>Yes</v>
      </c>
      <c r="R950" s="8" t="s">
        <v>39</v>
      </c>
      <c r="T950" s="5" t="s">
        <v>62</v>
      </c>
      <c r="V950" s="5"/>
      <c r="W950" s="8"/>
      <c r="BB950" s="7" t="str">
        <v>Quarter 4</v>
      </c>
    </row>
    <row r="951" spans="1:54" ht="31.4" customHeight="1" x14ac:dyDescent="0.35">
      <c r="A951" s="210">
        <v>950</v>
      </c>
      <c r="B951" s="8" t="s">
        <v>392</v>
      </c>
      <c r="C951" s="8" t="s">
        <v>5</v>
      </c>
      <c r="D951" s="8" t="s">
        <v>1696</v>
      </c>
      <c r="E951" s="22">
        <v>46073</v>
      </c>
      <c r="F951" s="149">
        <f t="shared" si="144"/>
        <v>46076</v>
      </c>
      <c r="G951" s="149">
        <f t="shared" si="145"/>
        <v>46087</v>
      </c>
      <c r="H951" s="149">
        <f t="shared" si="146"/>
        <v>46101</v>
      </c>
      <c r="I951" s="149" t="str">
        <f t="shared" si="147"/>
        <v>Feb</v>
      </c>
      <c r="J951" s="216" t="str">
        <f t="shared" ca="1" si="139"/>
        <v/>
      </c>
      <c r="K951" s="149" t="s">
        <v>4</v>
      </c>
      <c r="M951" s="17">
        <v>46078</v>
      </c>
      <c r="N951" s="152">
        <f t="shared" si="138"/>
        <v>3</v>
      </c>
      <c r="O951" s="12" t="str">
        <f t="shared" si="140"/>
        <v>Yes</v>
      </c>
      <c r="R951" s="8" t="s">
        <v>39</v>
      </c>
      <c r="T951" s="5" t="s">
        <v>40</v>
      </c>
      <c r="V951" s="5" t="s">
        <v>54</v>
      </c>
      <c r="W951" s="8"/>
      <c r="BB951" s="7" t="str">
        <v>Quarter 4</v>
      </c>
    </row>
    <row r="952" spans="1:54" ht="31.4" customHeight="1" x14ac:dyDescent="0.35">
      <c r="A952" s="210">
        <v>951</v>
      </c>
      <c r="B952" s="8" t="s">
        <v>6</v>
      </c>
      <c r="C952" s="8" t="s">
        <v>6</v>
      </c>
      <c r="D952" s="8" t="s">
        <v>1697</v>
      </c>
      <c r="E952" s="22">
        <v>46073</v>
      </c>
      <c r="F952" s="149">
        <f t="shared" si="144"/>
        <v>46076</v>
      </c>
      <c r="G952" s="149">
        <f t="shared" si="145"/>
        <v>46087</v>
      </c>
      <c r="H952" s="149">
        <f t="shared" si="146"/>
        <v>46101</v>
      </c>
      <c r="I952" s="149" t="str">
        <f t="shared" si="147"/>
        <v>Feb</v>
      </c>
      <c r="J952" s="216" t="str">
        <f t="shared" ca="1" si="139"/>
        <v/>
      </c>
      <c r="K952" s="149" t="s">
        <v>4</v>
      </c>
      <c r="M952" s="17">
        <v>46092</v>
      </c>
      <c r="N952" s="152">
        <f t="shared" si="138"/>
        <v>13</v>
      </c>
      <c r="O952" s="12" t="str">
        <f t="shared" si="140"/>
        <v>Yes</v>
      </c>
      <c r="R952" s="8" t="s">
        <v>39</v>
      </c>
      <c r="T952" s="5" t="s">
        <v>40</v>
      </c>
      <c r="V952" s="5"/>
      <c r="W952" s="8"/>
      <c r="BB952" s="7" t="str">
        <v>Quarter 4</v>
      </c>
    </row>
    <row r="953" spans="1:54" ht="31.4" customHeight="1" x14ac:dyDescent="0.35">
      <c r="A953" s="210">
        <v>952</v>
      </c>
      <c r="B953" s="8" t="s">
        <v>6</v>
      </c>
      <c r="C953" s="8" t="s">
        <v>6</v>
      </c>
      <c r="D953" s="8" t="s">
        <v>1698</v>
      </c>
      <c r="E953" s="22">
        <v>46073</v>
      </c>
      <c r="F953" s="149">
        <f t="shared" si="144"/>
        <v>46076</v>
      </c>
      <c r="G953" s="149">
        <f t="shared" si="145"/>
        <v>46087</v>
      </c>
      <c r="H953" s="149">
        <f t="shared" si="146"/>
        <v>46101</v>
      </c>
      <c r="I953" s="149" t="str">
        <f t="shared" si="147"/>
        <v>Feb</v>
      </c>
      <c r="J953" s="216" t="str">
        <f t="shared" ca="1" si="139"/>
        <v/>
      </c>
      <c r="K953" s="149" t="s">
        <v>4</v>
      </c>
      <c r="M953" s="17">
        <v>46077</v>
      </c>
      <c r="N953" s="152">
        <f t="shared" ref="N953:N1016" si="148">IF($M953="","",NETWORKDAYS($E953,$M953,$Z$33:$Z$47)-1)</f>
        <v>2</v>
      </c>
      <c r="O953" s="12" t="str">
        <f t="shared" si="140"/>
        <v>Yes</v>
      </c>
      <c r="R953" s="8" t="s">
        <v>39</v>
      </c>
      <c r="T953" s="5" t="s">
        <v>51</v>
      </c>
      <c r="V953" s="5" t="s">
        <v>104</v>
      </c>
      <c r="W953" s="8"/>
      <c r="BB953" s="7" t="str">
        <v>Quarter 4</v>
      </c>
    </row>
    <row r="954" spans="1:54" ht="31.4" customHeight="1" x14ac:dyDescent="0.35">
      <c r="A954" s="210">
        <v>953</v>
      </c>
      <c r="B954" s="8" t="s">
        <v>1700</v>
      </c>
      <c r="C954" s="8" t="s">
        <v>9</v>
      </c>
      <c r="D954" s="8" t="s">
        <v>1701</v>
      </c>
      <c r="E954" s="22">
        <v>46073</v>
      </c>
      <c r="F954" s="149">
        <f t="shared" si="144"/>
        <v>46076</v>
      </c>
      <c r="G954" s="149">
        <f t="shared" si="145"/>
        <v>46087</v>
      </c>
      <c r="H954" s="149">
        <f t="shared" si="146"/>
        <v>46101</v>
      </c>
      <c r="I954" s="149" t="str">
        <f t="shared" si="147"/>
        <v>Feb</v>
      </c>
      <c r="J954" s="216" t="str">
        <f t="shared" ca="1" si="139"/>
        <v/>
      </c>
      <c r="K954" s="149" t="s">
        <v>4</v>
      </c>
      <c r="M954" s="17">
        <v>46076</v>
      </c>
      <c r="N954" s="152">
        <f t="shared" si="148"/>
        <v>1</v>
      </c>
      <c r="O954" s="12" t="str">
        <f t="shared" si="140"/>
        <v>Yes</v>
      </c>
      <c r="R954" s="8" t="s">
        <v>39</v>
      </c>
      <c r="T954" s="5" t="s">
        <v>62</v>
      </c>
      <c r="V954" s="5"/>
      <c r="W954" s="8"/>
      <c r="BB954" s="7" t="str">
        <v>Quarter 4</v>
      </c>
    </row>
    <row r="955" spans="1:54" ht="31.4" customHeight="1" x14ac:dyDescent="0.35">
      <c r="A955" s="210">
        <v>954</v>
      </c>
      <c r="B955" s="8" t="s">
        <v>1700</v>
      </c>
      <c r="C955" s="8" t="s">
        <v>9</v>
      </c>
      <c r="D955" s="8" t="s">
        <v>1702</v>
      </c>
      <c r="E955" s="22">
        <v>46073</v>
      </c>
      <c r="F955" s="149">
        <f t="shared" si="144"/>
        <v>46076</v>
      </c>
      <c r="G955" s="149">
        <f t="shared" si="145"/>
        <v>46087</v>
      </c>
      <c r="H955" s="149">
        <f t="shared" si="146"/>
        <v>46101</v>
      </c>
      <c r="I955" s="149" t="str">
        <f t="shared" si="147"/>
        <v>Feb</v>
      </c>
      <c r="J955" s="216" t="str">
        <f t="shared" ca="1" si="139"/>
        <v/>
      </c>
      <c r="K955" s="149" t="s">
        <v>4</v>
      </c>
      <c r="M955" s="17">
        <v>46076</v>
      </c>
      <c r="N955" s="152">
        <f t="shared" si="148"/>
        <v>1</v>
      </c>
      <c r="O955" s="12" t="str">
        <f t="shared" si="140"/>
        <v>Yes</v>
      </c>
      <c r="R955" s="8" t="s">
        <v>39</v>
      </c>
      <c r="T955" s="5" t="s">
        <v>40</v>
      </c>
      <c r="V955" s="5" t="s">
        <v>54</v>
      </c>
      <c r="W955" s="8" t="s">
        <v>46</v>
      </c>
      <c r="BB955" s="7" t="str">
        <v>Quarter 4</v>
      </c>
    </row>
    <row r="956" spans="1:54" ht="31.4" customHeight="1" x14ac:dyDescent="0.35">
      <c r="A956" s="210">
        <v>955</v>
      </c>
      <c r="B956" s="8" t="s">
        <v>6</v>
      </c>
      <c r="C956" s="8" t="s">
        <v>6</v>
      </c>
      <c r="D956" s="8" t="s">
        <v>1704</v>
      </c>
      <c r="E956" s="22">
        <v>46076</v>
      </c>
      <c r="F956" s="149">
        <f t="shared" si="144"/>
        <v>46077</v>
      </c>
      <c r="G956" s="149">
        <f t="shared" si="145"/>
        <v>46090</v>
      </c>
      <c r="H956" s="149">
        <f t="shared" si="146"/>
        <v>46104</v>
      </c>
      <c r="I956" s="149" t="str">
        <f t="shared" si="147"/>
        <v>Feb</v>
      </c>
      <c r="J956" s="216" t="str">
        <f t="shared" ca="1" si="139"/>
        <v/>
      </c>
      <c r="K956" s="149" t="s">
        <v>43</v>
      </c>
      <c r="M956" s="17">
        <v>46085</v>
      </c>
      <c r="N956" s="152">
        <f t="shared" si="148"/>
        <v>7</v>
      </c>
      <c r="O956" s="12" t="str">
        <f t="shared" si="140"/>
        <v>Yes</v>
      </c>
      <c r="R956" s="8" t="s">
        <v>39</v>
      </c>
      <c r="T956" s="5" t="s">
        <v>40</v>
      </c>
      <c r="V956" s="5"/>
      <c r="W956" s="8"/>
      <c r="BB956" s="7" t="str">
        <v>Quarter 4</v>
      </c>
    </row>
    <row r="957" spans="1:54" ht="31.4" customHeight="1" x14ac:dyDescent="0.35">
      <c r="A957" s="210">
        <v>956</v>
      </c>
      <c r="B957" s="8" t="s">
        <v>1705</v>
      </c>
      <c r="C957" s="8" t="s">
        <v>9</v>
      </c>
      <c r="D957" s="8" t="s">
        <v>1706</v>
      </c>
      <c r="E957" s="22">
        <v>46076</v>
      </c>
      <c r="F957" s="149">
        <f t="shared" si="144"/>
        <v>46077</v>
      </c>
      <c r="G957" s="149">
        <f t="shared" si="145"/>
        <v>46090</v>
      </c>
      <c r="H957" s="149">
        <f t="shared" si="146"/>
        <v>46104</v>
      </c>
      <c r="I957" s="149" t="str">
        <f t="shared" si="147"/>
        <v>Feb</v>
      </c>
      <c r="J957" s="216" t="str">
        <f t="shared" ca="1" si="139"/>
        <v/>
      </c>
      <c r="K957" s="149" t="s">
        <v>3</v>
      </c>
      <c r="M957" s="17">
        <v>46097</v>
      </c>
      <c r="N957" s="152">
        <f t="shared" si="148"/>
        <v>15</v>
      </c>
      <c r="O957" s="12" t="str">
        <f t="shared" si="140"/>
        <v>Yes</v>
      </c>
      <c r="R957" s="8" t="s">
        <v>39</v>
      </c>
      <c r="T957" s="5" t="s">
        <v>40</v>
      </c>
      <c r="V957" s="5" t="s">
        <v>54</v>
      </c>
      <c r="W957" s="8"/>
      <c r="BB957" s="7" t="str">
        <v>Quarter 4</v>
      </c>
    </row>
    <row r="958" spans="1:54" ht="31.4" customHeight="1" x14ac:dyDescent="0.35">
      <c r="A958" s="210">
        <v>957</v>
      </c>
      <c r="B958" s="8" t="s">
        <v>55</v>
      </c>
      <c r="C958" s="8" t="s">
        <v>13</v>
      </c>
      <c r="D958" s="8" t="s">
        <v>1707</v>
      </c>
      <c r="E958" s="22">
        <v>46076</v>
      </c>
      <c r="F958" s="149">
        <f t="shared" si="144"/>
        <v>46077</v>
      </c>
      <c r="G958" s="149">
        <f t="shared" si="145"/>
        <v>46090</v>
      </c>
      <c r="H958" s="149">
        <f t="shared" si="146"/>
        <v>46104</v>
      </c>
      <c r="I958" s="149" t="str">
        <f t="shared" si="147"/>
        <v>Feb</v>
      </c>
      <c r="J958" s="216" t="str">
        <f t="shared" ca="1" si="139"/>
        <v/>
      </c>
      <c r="K958" s="149" t="s">
        <v>43</v>
      </c>
      <c r="M958" s="17">
        <v>46077</v>
      </c>
      <c r="N958" s="152">
        <f t="shared" si="148"/>
        <v>1</v>
      </c>
      <c r="O958" s="12" t="str">
        <f t="shared" si="140"/>
        <v>Yes</v>
      </c>
      <c r="R958" s="8" t="s">
        <v>39</v>
      </c>
      <c r="T958" s="5" t="s">
        <v>40</v>
      </c>
      <c r="V958" s="5"/>
      <c r="W958" s="8"/>
      <c r="BB958" s="7" t="str">
        <v>Quarter 4</v>
      </c>
    </row>
    <row r="959" spans="1:54" ht="31.4" customHeight="1" x14ac:dyDescent="0.35">
      <c r="A959" s="210">
        <v>958</v>
      </c>
      <c r="B959" s="8" t="s">
        <v>203</v>
      </c>
      <c r="C959" s="8" t="s">
        <v>12</v>
      </c>
      <c r="D959" s="8" t="s">
        <v>1675</v>
      </c>
      <c r="E959" s="22">
        <v>46076</v>
      </c>
      <c r="F959" s="149">
        <f t="shared" si="144"/>
        <v>46077</v>
      </c>
      <c r="G959" s="149">
        <f t="shared" si="145"/>
        <v>46090</v>
      </c>
      <c r="H959" s="149">
        <f t="shared" si="146"/>
        <v>46104</v>
      </c>
      <c r="I959" s="149" t="str">
        <f t="shared" si="147"/>
        <v>Feb</v>
      </c>
      <c r="J959" s="216" t="str">
        <f t="shared" ca="1" si="139"/>
        <v/>
      </c>
      <c r="K959" s="149" t="s">
        <v>43</v>
      </c>
      <c r="M959" s="17">
        <v>46084</v>
      </c>
      <c r="N959" s="152">
        <f t="shared" si="148"/>
        <v>6</v>
      </c>
      <c r="O959" s="12" t="str">
        <f t="shared" si="140"/>
        <v>Yes</v>
      </c>
      <c r="R959" s="8" t="s">
        <v>39</v>
      </c>
      <c r="T959" s="5" t="s">
        <v>62</v>
      </c>
      <c r="V959" s="5"/>
      <c r="W959" s="8"/>
      <c r="BB959" s="7" t="str">
        <v>Quarter 4</v>
      </c>
    </row>
    <row r="960" spans="1:54" ht="31.4" customHeight="1" x14ac:dyDescent="0.35">
      <c r="A960" s="210">
        <v>959</v>
      </c>
      <c r="B960" s="8" t="s">
        <v>203</v>
      </c>
      <c r="C960" s="8" t="s">
        <v>12</v>
      </c>
      <c r="D960" s="8" t="s">
        <v>1675</v>
      </c>
      <c r="E960" s="22">
        <v>46076</v>
      </c>
      <c r="F960" s="149">
        <f t="shared" si="144"/>
        <v>46077</v>
      </c>
      <c r="G960" s="149">
        <f t="shared" si="145"/>
        <v>46090</v>
      </c>
      <c r="H960" s="149">
        <f t="shared" si="146"/>
        <v>46104</v>
      </c>
      <c r="I960" s="149" t="str">
        <f t="shared" si="147"/>
        <v>Feb</v>
      </c>
      <c r="J960" s="216" t="str">
        <f t="shared" ca="1" si="139"/>
        <v/>
      </c>
      <c r="K960" s="149" t="s">
        <v>43</v>
      </c>
      <c r="M960" s="17">
        <v>46077</v>
      </c>
      <c r="N960" s="152">
        <f t="shared" si="148"/>
        <v>1</v>
      </c>
      <c r="O960" s="12" t="str">
        <f t="shared" si="140"/>
        <v>Yes</v>
      </c>
      <c r="R960" s="8" t="s">
        <v>39</v>
      </c>
      <c r="T960" s="5" t="s">
        <v>40</v>
      </c>
      <c r="V960" s="5"/>
      <c r="W960" s="8"/>
      <c r="BB960" s="7" t="str">
        <v>Quarter 4</v>
      </c>
    </row>
    <row r="961" spans="1:54" ht="31.4" customHeight="1" x14ac:dyDescent="0.35">
      <c r="A961" s="210">
        <v>960</v>
      </c>
      <c r="B961" s="8" t="s">
        <v>6</v>
      </c>
      <c r="C961" s="8" t="s">
        <v>6</v>
      </c>
      <c r="D961" s="8" t="s">
        <v>1708</v>
      </c>
      <c r="E961" s="22">
        <v>46076</v>
      </c>
      <c r="F961" s="149">
        <f t="shared" si="144"/>
        <v>46077</v>
      </c>
      <c r="G961" s="149">
        <f t="shared" si="145"/>
        <v>46090</v>
      </c>
      <c r="H961" s="149">
        <f t="shared" si="146"/>
        <v>46104</v>
      </c>
      <c r="I961" s="149" t="str">
        <f t="shared" si="147"/>
        <v>Feb</v>
      </c>
      <c r="J961" s="216" t="str">
        <f t="shared" ca="1" si="139"/>
        <v/>
      </c>
      <c r="K961" s="149" t="s">
        <v>4</v>
      </c>
      <c r="M961" s="17">
        <v>46077</v>
      </c>
      <c r="N961" s="152">
        <f t="shared" si="148"/>
        <v>1</v>
      </c>
      <c r="O961" s="12" t="str">
        <f t="shared" si="140"/>
        <v>Yes</v>
      </c>
      <c r="R961" s="8" t="s">
        <v>39</v>
      </c>
      <c r="T961" s="5" t="s">
        <v>40</v>
      </c>
      <c r="V961" s="5"/>
      <c r="W961" s="8"/>
      <c r="BB961" s="7" t="str">
        <v>Quarter 4</v>
      </c>
    </row>
    <row r="962" spans="1:54" ht="31.4" customHeight="1" x14ac:dyDescent="0.35">
      <c r="A962" s="210">
        <v>961</v>
      </c>
      <c r="B962" s="8" t="s">
        <v>1710</v>
      </c>
      <c r="C962" s="8" t="s">
        <v>9</v>
      </c>
      <c r="D962" s="8" t="s">
        <v>1711</v>
      </c>
      <c r="E962" s="22">
        <v>46076</v>
      </c>
      <c r="F962" s="149">
        <f t="shared" si="144"/>
        <v>46077</v>
      </c>
      <c r="G962" s="149">
        <f t="shared" si="145"/>
        <v>46090</v>
      </c>
      <c r="H962" s="149">
        <f t="shared" si="146"/>
        <v>46104</v>
      </c>
      <c r="I962" s="149" t="str">
        <f t="shared" si="147"/>
        <v>Feb</v>
      </c>
      <c r="J962" s="216" t="str">
        <f t="shared" ref="J962:J1025" ca="1" si="149">IF($E962="","",IF($M962="",$H962-TODAY(),""))</f>
        <v/>
      </c>
      <c r="K962" s="149" t="s">
        <v>43</v>
      </c>
      <c r="M962" s="17">
        <v>46077</v>
      </c>
      <c r="N962" s="152">
        <f t="shared" si="148"/>
        <v>1</v>
      </c>
      <c r="O962" s="12" t="str">
        <f t="shared" si="140"/>
        <v>Yes</v>
      </c>
      <c r="R962" s="8" t="s">
        <v>39</v>
      </c>
      <c r="T962" s="5" t="s">
        <v>40</v>
      </c>
      <c r="V962" s="5" t="s">
        <v>54</v>
      </c>
      <c r="W962" s="8"/>
      <c r="BB962" s="7" t="str">
        <v>Quarter 4</v>
      </c>
    </row>
    <row r="963" spans="1:54" ht="31.4" customHeight="1" x14ac:dyDescent="0.35">
      <c r="A963" s="210">
        <v>962</v>
      </c>
      <c r="B963" s="8" t="s">
        <v>1712</v>
      </c>
      <c r="C963" s="8" t="s">
        <v>5</v>
      </c>
      <c r="D963" s="8" t="s">
        <v>1713</v>
      </c>
      <c r="E963" s="22">
        <v>46076</v>
      </c>
      <c r="F963" s="149">
        <f t="shared" si="144"/>
        <v>46077</v>
      </c>
      <c r="G963" s="149">
        <f t="shared" si="145"/>
        <v>46090</v>
      </c>
      <c r="H963" s="149">
        <f t="shared" si="146"/>
        <v>46104</v>
      </c>
      <c r="I963" s="149" t="str">
        <f t="shared" si="147"/>
        <v>Feb</v>
      </c>
      <c r="J963" s="216" t="str">
        <f t="shared" ca="1" si="149"/>
        <v/>
      </c>
      <c r="K963" s="149" t="s">
        <v>7</v>
      </c>
      <c r="M963" s="17">
        <v>46077</v>
      </c>
      <c r="N963" s="152">
        <f t="shared" si="148"/>
        <v>1</v>
      </c>
      <c r="O963" s="12" t="str">
        <f t="shared" ref="O963:O1026" si="150">IF(ISBLANK($M963),"",IF($N963&lt;21,"Yes","No"))</f>
        <v>Yes</v>
      </c>
      <c r="R963" s="8" t="s">
        <v>39</v>
      </c>
      <c r="T963" s="5" t="s">
        <v>62</v>
      </c>
      <c r="V963" s="5"/>
      <c r="W963" s="8"/>
      <c r="BB963" s="7" t="str">
        <v>Quarter 4</v>
      </c>
    </row>
    <row r="964" spans="1:54" ht="31.4" customHeight="1" x14ac:dyDescent="0.35">
      <c r="A964" s="210">
        <v>963</v>
      </c>
      <c r="B964" s="8" t="s">
        <v>6</v>
      </c>
      <c r="C964" s="8" t="s">
        <v>6</v>
      </c>
      <c r="D964" s="8" t="s">
        <v>1714</v>
      </c>
      <c r="E964" s="22">
        <v>46077</v>
      </c>
      <c r="F964" s="149">
        <f t="shared" si="144"/>
        <v>46078</v>
      </c>
      <c r="G964" s="149">
        <f t="shared" si="145"/>
        <v>46091</v>
      </c>
      <c r="H964" s="149">
        <f t="shared" si="146"/>
        <v>46105</v>
      </c>
      <c r="I964" s="149" t="str">
        <f t="shared" si="147"/>
        <v>Feb</v>
      </c>
      <c r="J964" s="216" t="str">
        <f t="shared" ca="1" si="149"/>
        <v/>
      </c>
      <c r="K964" s="149" t="s">
        <v>7</v>
      </c>
      <c r="M964" s="17">
        <v>46097</v>
      </c>
      <c r="N964" s="152">
        <f t="shared" si="148"/>
        <v>14</v>
      </c>
      <c r="O964" s="12" t="str">
        <f t="shared" si="150"/>
        <v>Yes</v>
      </c>
      <c r="R964" s="8" t="s">
        <v>39</v>
      </c>
      <c r="T964" s="5" t="s">
        <v>40</v>
      </c>
      <c r="V964" s="5"/>
      <c r="W964" s="8"/>
      <c r="BB964" s="7" t="str">
        <v>Quarter 4</v>
      </c>
    </row>
    <row r="965" spans="1:54" ht="31.4" customHeight="1" x14ac:dyDescent="0.35">
      <c r="A965" s="210">
        <v>964</v>
      </c>
      <c r="B965" s="8" t="s">
        <v>6</v>
      </c>
      <c r="C965" s="8" t="s">
        <v>6</v>
      </c>
      <c r="D965" s="8" t="s">
        <v>1716</v>
      </c>
      <c r="E965" s="22">
        <v>46077</v>
      </c>
      <c r="F965" s="149">
        <f t="shared" ref="F965:F996" si="151">IF($E965="","",WORKDAY($E965,1,$Z$33:$Z$47))</f>
        <v>46078</v>
      </c>
      <c r="G965" s="149">
        <f t="shared" ref="G965:G996" si="152">IF($E965="","",WORKDAY($E965,10,$Z$33:$Z$47))</f>
        <v>46091</v>
      </c>
      <c r="H965" s="149">
        <f t="shared" ref="H965:H996" si="153">IF($E965="","",WORKDAY($E965,20,$Z$33:$Z$47))</f>
        <v>46105</v>
      </c>
      <c r="I965" s="149" t="str">
        <f t="shared" si="147"/>
        <v>Feb</v>
      </c>
      <c r="J965" s="216" t="str">
        <f t="shared" ca="1" si="149"/>
        <v/>
      </c>
      <c r="K965" s="149" t="s">
        <v>3</v>
      </c>
      <c r="M965" s="17">
        <v>46099</v>
      </c>
      <c r="N965" s="152">
        <f t="shared" si="148"/>
        <v>16</v>
      </c>
      <c r="O965" s="12" t="str">
        <f t="shared" si="150"/>
        <v>Yes</v>
      </c>
      <c r="R965" s="8" t="s">
        <v>39</v>
      </c>
      <c r="T965" s="5" t="s">
        <v>62</v>
      </c>
      <c r="V965" s="5"/>
      <c r="W965" s="8"/>
      <c r="BB965" s="7" t="str">
        <v>Quarter 4</v>
      </c>
    </row>
    <row r="966" spans="1:54" ht="31.4" customHeight="1" x14ac:dyDescent="0.35">
      <c r="A966" s="210">
        <v>965</v>
      </c>
      <c r="B966" s="8" t="s">
        <v>55</v>
      </c>
      <c r="C966" s="8" t="s">
        <v>13</v>
      </c>
      <c r="D966" s="8" t="s">
        <v>1717</v>
      </c>
      <c r="E966" s="22">
        <v>46077</v>
      </c>
      <c r="F966" s="149">
        <f t="shared" si="151"/>
        <v>46078</v>
      </c>
      <c r="G966" s="149">
        <f t="shared" si="152"/>
        <v>46091</v>
      </c>
      <c r="H966" s="149">
        <f t="shared" si="153"/>
        <v>46105</v>
      </c>
      <c r="I966" s="149" t="str">
        <f t="shared" si="147"/>
        <v>Feb</v>
      </c>
      <c r="J966" s="216" t="str">
        <f t="shared" ca="1" si="149"/>
        <v/>
      </c>
      <c r="K966" s="149" t="s">
        <v>4</v>
      </c>
      <c r="M966" s="17">
        <v>46077</v>
      </c>
      <c r="N966" s="152">
        <f t="shared" si="148"/>
        <v>0</v>
      </c>
      <c r="O966" s="12" t="str">
        <f t="shared" si="150"/>
        <v>Yes</v>
      </c>
      <c r="R966" s="8" t="s">
        <v>39</v>
      </c>
      <c r="T966" s="5" t="s">
        <v>40</v>
      </c>
      <c r="V966" s="5" t="s">
        <v>54</v>
      </c>
      <c r="W966" s="8"/>
      <c r="BB966" s="7" t="str">
        <v>Quarter 4</v>
      </c>
    </row>
    <row r="967" spans="1:54" ht="31.4" customHeight="1" x14ac:dyDescent="0.35">
      <c r="A967" s="210">
        <v>966</v>
      </c>
      <c r="B967" s="8" t="s">
        <v>1234</v>
      </c>
      <c r="C967" s="8" t="s">
        <v>5</v>
      </c>
      <c r="D967" s="8" t="s">
        <v>1719</v>
      </c>
      <c r="E967" s="22">
        <v>46077</v>
      </c>
      <c r="F967" s="149">
        <f t="shared" si="151"/>
        <v>46078</v>
      </c>
      <c r="G967" s="149">
        <f t="shared" si="152"/>
        <v>46091</v>
      </c>
      <c r="H967" s="149">
        <f t="shared" si="153"/>
        <v>46105</v>
      </c>
      <c r="I967" s="149" t="str">
        <f t="shared" si="147"/>
        <v>Feb</v>
      </c>
      <c r="J967" s="216" t="str">
        <f t="shared" ca="1" si="149"/>
        <v/>
      </c>
      <c r="K967" s="149" t="s">
        <v>4</v>
      </c>
      <c r="M967" s="17">
        <v>46092</v>
      </c>
      <c r="N967" s="152">
        <f t="shared" si="148"/>
        <v>11</v>
      </c>
      <c r="O967" s="12" t="str">
        <f t="shared" si="150"/>
        <v>Yes</v>
      </c>
      <c r="R967" s="8" t="s">
        <v>39</v>
      </c>
      <c r="T967" s="5" t="s">
        <v>40</v>
      </c>
      <c r="V967" s="5" t="s">
        <v>54</v>
      </c>
      <c r="W967" s="8"/>
      <c r="BB967" s="7" t="str">
        <v>Quarter 4</v>
      </c>
    </row>
    <row r="968" spans="1:54" ht="31.4" customHeight="1" x14ac:dyDescent="0.35">
      <c r="A968" s="210">
        <v>967</v>
      </c>
      <c r="B968" s="8" t="s">
        <v>214</v>
      </c>
      <c r="C968" s="8" t="s">
        <v>5</v>
      </c>
      <c r="D968" s="8" t="s">
        <v>1720</v>
      </c>
      <c r="E968" s="22">
        <v>46077</v>
      </c>
      <c r="F968" s="149">
        <f t="shared" si="151"/>
        <v>46078</v>
      </c>
      <c r="G968" s="149">
        <f t="shared" si="152"/>
        <v>46091</v>
      </c>
      <c r="H968" s="149">
        <f t="shared" si="153"/>
        <v>46105</v>
      </c>
      <c r="I968" s="149" t="str">
        <f t="shared" si="147"/>
        <v>Feb</v>
      </c>
      <c r="J968" s="216" t="str">
        <f t="shared" ca="1" si="149"/>
        <v/>
      </c>
      <c r="K968" s="149" t="s">
        <v>43</v>
      </c>
      <c r="M968" s="17">
        <v>46078</v>
      </c>
      <c r="N968" s="152">
        <f t="shared" si="148"/>
        <v>1</v>
      </c>
      <c r="O968" s="12" t="str">
        <f t="shared" si="150"/>
        <v>Yes</v>
      </c>
      <c r="R968" s="8" t="s">
        <v>39</v>
      </c>
      <c r="T968" s="5" t="s">
        <v>40</v>
      </c>
      <c r="V968" s="5"/>
      <c r="W968" s="8"/>
      <c r="BB968" s="7" t="str">
        <v>Quarter 4</v>
      </c>
    </row>
    <row r="969" spans="1:54" ht="31.4" customHeight="1" x14ac:dyDescent="0.35">
      <c r="A969" s="210">
        <v>968</v>
      </c>
      <c r="B969" s="8" t="s">
        <v>214</v>
      </c>
      <c r="C969" s="8" t="s">
        <v>5</v>
      </c>
      <c r="D969" s="8" t="s">
        <v>1721</v>
      </c>
      <c r="E969" s="22">
        <v>46077</v>
      </c>
      <c r="F969" s="149">
        <f t="shared" si="151"/>
        <v>46078</v>
      </c>
      <c r="G969" s="149">
        <f t="shared" si="152"/>
        <v>46091</v>
      </c>
      <c r="H969" s="149">
        <f t="shared" si="153"/>
        <v>46105</v>
      </c>
      <c r="I969" s="149" t="str">
        <f t="shared" si="147"/>
        <v>Feb</v>
      </c>
      <c r="J969" s="216" t="str">
        <f t="shared" ca="1" si="149"/>
        <v/>
      </c>
      <c r="K969" s="149" t="s">
        <v>7</v>
      </c>
      <c r="M969" s="17">
        <v>46091</v>
      </c>
      <c r="N969" s="152">
        <f t="shared" si="148"/>
        <v>10</v>
      </c>
      <c r="O969" s="12" t="str">
        <f t="shared" si="150"/>
        <v>Yes</v>
      </c>
      <c r="R969" s="8" t="s">
        <v>39</v>
      </c>
      <c r="T969" s="5" t="s">
        <v>45</v>
      </c>
      <c r="V969" s="5" t="s">
        <v>41</v>
      </c>
      <c r="W969" s="8"/>
      <c r="BB969" s="7" t="str">
        <v>Quarter 4</v>
      </c>
    </row>
    <row r="970" spans="1:54" ht="31.4" customHeight="1" x14ac:dyDescent="0.35">
      <c r="A970" s="210">
        <v>969</v>
      </c>
      <c r="B970" s="8" t="s">
        <v>6</v>
      </c>
      <c r="C970" s="8" t="s">
        <v>6</v>
      </c>
      <c r="D970" s="8" t="s">
        <v>1722</v>
      </c>
      <c r="E970" s="22">
        <v>46078</v>
      </c>
      <c r="F970" s="149">
        <f t="shared" si="151"/>
        <v>46079</v>
      </c>
      <c r="G970" s="149">
        <f t="shared" si="152"/>
        <v>46092</v>
      </c>
      <c r="H970" s="149">
        <f t="shared" si="153"/>
        <v>46106</v>
      </c>
      <c r="I970" s="149" t="str">
        <f t="shared" si="147"/>
        <v>Feb</v>
      </c>
      <c r="J970" s="216" t="str">
        <f t="shared" ca="1" si="149"/>
        <v/>
      </c>
      <c r="K970" s="149" t="s">
        <v>4</v>
      </c>
      <c r="M970" s="17">
        <v>46092</v>
      </c>
      <c r="N970" s="152">
        <f t="shared" si="148"/>
        <v>10</v>
      </c>
      <c r="O970" s="12" t="str">
        <f t="shared" si="150"/>
        <v>Yes</v>
      </c>
      <c r="R970" s="8" t="s">
        <v>39</v>
      </c>
      <c r="T970" s="5" t="s">
        <v>40</v>
      </c>
      <c r="V970" s="5" t="s">
        <v>54</v>
      </c>
      <c r="W970" s="8" t="s">
        <v>46</v>
      </c>
      <c r="BB970" s="7" t="str">
        <v>Quarter 4</v>
      </c>
    </row>
    <row r="971" spans="1:54" ht="31.4" customHeight="1" x14ac:dyDescent="0.35">
      <c r="A971" s="210">
        <v>970</v>
      </c>
      <c r="B971" s="8" t="s">
        <v>55</v>
      </c>
      <c r="C971" s="8" t="s">
        <v>13</v>
      </c>
      <c r="D971" s="8" t="s">
        <v>854</v>
      </c>
      <c r="E971" s="22">
        <v>46078</v>
      </c>
      <c r="F971" s="149">
        <f t="shared" si="151"/>
        <v>46079</v>
      </c>
      <c r="G971" s="149">
        <f t="shared" si="152"/>
        <v>46092</v>
      </c>
      <c r="H971" s="149">
        <f t="shared" si="153"/>
        <v>46106</v>
      </c>
      <c r="I971" s="149" t="str">
        <f t="shared" si="147"/>
        <v>Feb</v>
      </c>
      <c r="J971" s="216" t="str">
        <f t="shared" ca="1" si="149"/>
        <v/>
      </c>
      <c r="K971" s="149" t="s">
        <v>4</v>
      </c>
      <c r="M971" s="17">
        <v>46078</v>
      </c>
      <c r="N971" s="152">
        <f t="shared" si="148"/>
        <v>0</v>
      </c>
      <c r="O971" s="12" t="str">
        <f t="shared" si="150"/>
        <v>Yes</v>
      </c>
      <c r="R971" s="8" t="s">
        <v>39</v>
      </c>
      <c r="T971" s="5" t="s">
        <v>45</v>
      </c>
      <c r="V971" s="5" t="s">
        <v>53</v>
      </c>
      <c r="W971" s="8"/>
      <c r="BB971" s="7" t="str">
        <v>Quarter 4</v>
      </c>
    </row>
    <row r="972" spans="1:54" ht="31.4" customHeight="1" x14ac:dyDescent="0.35">
      <c r="A972" s="210">
        <v>971</v>
      </c>
      <c r="B972" s="8" t="s">
        <v>55</v>
      </c>
      <c r="C972" s="8" t="s">
        <v>13</v>
      </c>
      <c r="D972" s="12" t="s">
        <v>1724</v>
      </c>
      <c r="E972" s="22">
        <v>46079</v>
      </c>
      <c r="F972" s="149">
        <f t="shared" si="151"/>
        <v>46080</v>
      </c>
      <c r="G972" s="149">
        <f t="shared" si="152"/>
        <v>46093</v>
      </c>
      <c r="H972" s="149">
        <f t="shared" si="153"/>
        <v>46107</v>
      </c>
      <c r="I972" s="149" t="str">
        <f t="shared" si="147"/>
        <v>Feb</v>
      </c>
      <c r="J972" s="216" t="str">
        <f t="shared" ca="1" si="149"/>
        <v/>
      </c>
      <c r="K972" s="149" t="s">
        <v>43</v>
      </c>
      <c r="M972" s="17">
        <v>46092</v>
      </c>
      <c r="N972" s="152">
        <f t="shared" si="148"/>
        <v>9</v>
      </c>
      <c r="O972" s="12" t="str">
        <f t="shared" si="150"/>
        <v>Yes</v>
      </c>
      <c r="R972" s="8" t="s">
        <v>39</v>
      </c>
      <c r="T972" s="5" t="s">
        <v>40</v>
      </c>
      <c r="V972" s="5"/>
      <c r="W972" s="8"/>
      <c r="BB972" s="7" t="str">
        <v>Quarter 4</v>
      </c>
    </row>
    <row r="973" spans="1:54" ht="31.4" customHeight="1" x14ac:dyDescent="0.35">
      <c r="A973" s="210">
        <v>972</v>
      </c>
      <c r="B973" s="8" t="s">
        <v>1725</v>
      </c>
      <c r="C973" s="8" t="s">
        <v>11</v>
      </c>
      <c r="D973" s="8" t="s">
        <v>1726</v>
      </c>
      <c r="E973" s="22">
        <v>46079</v>
      </c>
      <c r="F973" s="149">
        <f t="shared" si="151"/>
        <v>46080</v>
      </c>
      <c r="G973" s="149">
        <f t="shared" si="152"/>
        <v>46093</v>
      </c>
      <c r="H973" s="149">
        <f t="shared" si="153"/>
        <v>46107</v>
      </c>
      <c r="I973" s="149" t="str">
        <f t="shared" si="147"/>
        <v>Feb</v>
      </c>
      <c r="J973" s="216" t="str">
        <f t="shared" ca="1" si="149"/>
        <v/>
      </c>
      <c r="K973" s="149" t="s">
        <v>7</v>
      </c>
      <c r="M973" s="17">
        <v>46099</v>
      </c>
      <c r="N973" s="152">
        <f t="shared" si="148"/>
        <v>14</v>
      </c>
      <c r="O973" s="12" t="str">
        <f t="shared" si="150"/>
        <v>Yes</v>
      </c>
      <c r="R973" s="8" t="s">
        <v>39</v>
      </c>
      <c r="T973" s="5" t="s">
        <v>40</v>
      </c>
      <c r="V973" s="5" t="s">
        <v>54</v>
      </c>
      <c r="W973" s="8" t="s">
        <v>46</v>
      </c>
      <c r="BB973" s="7" t="str">
        <v>Quarter 4</v>
      </c>
    </row>
    <row r="974" spans="1:54" ht="31.4" customHeight="1" x14ac:dyDescent="0.35">
      <c r="A974" s="210">
        <v>973</v>
      </c>
      <c r="B974" s="8" t="s">
        <v>55</v>
      </c>
      <c r="C974" s="8" t="s">
        <v>13</v>
      </c>
      <c r="D974" s="8" t="s">
        <v>1727</v>
      </c>
      <c r="E974" s="22">
        <v>46079</v>
      </c>
      <c r="F974" s="149">
        <f t="shared" si="151"/>
        <v>46080</v>
      </c>
      <c r="G974" s="149">
        <f t="shared" si="152"/>
        <v>46093</v>
      </c>
      <c r="H974" s="149">
        <f t="shared" si="153"/>
        <v>46107</v>
      </c>
      <c r="I974" s="149" t="str">
        <f t="shared" si="147"/>
        <v>Feb</v>
      </c>
      <c r="J974" s="216" t="str">
        <f t="shared" ca="1" si="149"/>
        <v/>
      </c>
      <c r="K974" s="149" t="s">
        <v>7</v>
      </c>
      <c r="M974" s="17">
        <v>46107</v>
      </c>
      <c r="N974" s="152">
        <f t="shared" si="148"/>
        <v>20</v>
      </c>
      <c r="O974" s="12" t="str">
        <f t="shared" si="150"/>
        <v>Yes</v>
      </c>
      <c r="R974" s="8" t="s">
        <v>39</v>
      </c>
      <c r="T974" s="5" t="s">
        <v>40</v>
      </c>
      <c r="V974" s="5"/>
      <c r="W974" s="8"/>
      <c r="BB974" s="7" t="str">
        <v>Quarter 4</v>
      </c>
    </row>
    <row r="975" spans="1:54" ht="31.4" customHeight="1" x14ac:dyDescent="0.35">
      <c r="A975" s="210">
        <v>974</v>
      </c>
      <c r="B975" s="8" t="s">
        <v>1728</v>
      </c>
      <c r="C975" s="8" t="s">
        <v>11</v>
      </c>
      <c r="D975" s="8" t="s">
        <v>1729</v>
      </c>
      <c r="E975" s="22">
        <v>46080</v>
      </c>
      <c r="F975" s="149">
        <f t="shared" si="151"/>
        <v>46083</v>
      </c>
      <c r="G975" s="149">
        <f t="shared" si="152"/>
        <v>46094</v>
      </c>
      <c r="H975" s="149">
        <f t="shared" si="153"/>
        <v>46108</v>
      </c>
      <c r="I975" s="149" t="str">
        <f t="shared" si="147"/>
        <v>Feb</v>
      </c>
      <c r="J975" s="216" t="str">
        <f t="shared" ca="1" si="149"/>
        <v/>
      </c>
      <c r="K975" s="149" t="s">
        <v>7</v>
      </c>
      <c r="M975" s="17">
        <v>46105</v>
      </c>
      <c r="N975" s="152">
        <f t="shared" si="148"/>
        <v>17</v>
      </c>
      <c r="O975" s="12" t="str">
        <f t="shared" si="150"/>
        <v>Yes</v>
      </c>
      <c r="R975" s="8" t="s">
        <v>39</v>
      </c>
      <c r="T975" s="5" t="s">
        <v>40</v>
      </c>
      <c r="V975" s="5"/>
      <c r="W975" s="8"/>
      <c r="BB975" s="7" t="str">
        <v>Quarter 4</v>
      </c>
    </row>
    <row r="976" spans="1:54" ht="31.4" customHeight="1" x14ac:dyDescent="0.35">
      <c r="A976" s="210">
        <v>975</v>
      </c>
      <c r="B976" s="8" t="s">
        <v>6</v>
      </c>
      <c r="C976" s="8" t="s">
        <v>6</v>
      </c>
      <c r="D976" s="8" t="s">
        <v>1730</v>
      </c>
      <c r="E976" s="22">
        <v>46080</v>
      </c>
      <c r="F976" s="149">
        <f t="shared" si="151"/>
        <v>46083</v>
      </c>
      <c r="G976" s="149">
        <f t="shared" si="152"/>
        <v>46094</v>
      </c>
      <c r="H976" s="149">
        <f t="shared" si="153"/>
        <v>46108</v>
      </c>
      <c r="I976" s="69" t="str">
        <f t="shared" si="147"/>
        <v>Feb</v>
      </c>
      <c r="J976" s="216">
        <f t="shared" ca="1" si="149"/>
        <v>-35</v>
      </c>
      <c r="K976" s="149" t="s">
        <v>4</v>
      </c>
      <c r="M976" s="17"/>
      <c r="N976" s="152" t="str">
        <f t="shared" si="148"/>
        <v/>
      </c>
      <c r="O976" s="12" t="str">
        <f t="shared" si="150"/>
        <v/>
      </c>
      <c r="R976" s="8" t="s">
        <v>44</v>
      </c>
      <c r="T976" s="5"/>
      <c r="V976" s="5"/>
      <c r="W976" s="8"/>
      <c r="BB976" s="7" t="str">
        <v>Quarter 4</v>
      </c>
    </row>
    <row r="977" spans="1:54" ht="31.4" customHeight="1" x14ac:dyDescent="0.35">
      <c r="A977" s="210">
        <v>976</v>
      </c>
      <c r="B977" s="8" t="s">
        <v>6</v>
      </c>
      <c r="C977" s="8" t="s">
        <v>6</v>
      </c>
      <c r="D977" s="8" t="s">
        <v>1751</v>
      </c>
      <c r="E977" s="22">
        <v>46082</v>
      </c>
      <c r="F977" s="149">
        <f t="shared" si="151"/>
        <v>46083</v>
      </c>
      <c r="G977" s="149">
        <f t="shared" si="152"/>
        <v>46094</v>
      </c>
      <c r="H977" s="149">
        <f t="shared" si="153"/>
        <v>46108</v>
      </c>
      <c r="I977" s="149" t="str">
        <f t="shared" si="147"/>
        <v>Mar</v>
      </c>
      <c r="J977" s="216" t="str">
        <f t="shared" ca="1" si="149"/>
        <v/>
      </c>
      <c r="K977" s="149" t="s">
        <v>4</v>
      </c>
      <c r="M977" s="17">
        <v>46098</v>
      </c>
      <c r="N977" s="152">
        <f t="shared" si="148"/>
        <v>11</v>
      </c>
      <c r="O977" s="12" t="str">
        <f t="shared" si="150"/>
        <v>Yes</v>
      </c>
      <c r="R977" s="8" t="s">
        <v>39</v>
      </c>
      <c r="T977" s="5" t="s">
        <v>40</v>
      </c>
      <c r="V977" s="5"/>
      <c r="W977" s="8"/>
      <c r="BB977" s="7" t="str">
        <v>Quarter 4</v>
      </c>
    </row>
    <row r="978" spans="1:54" ht="31.4" customHeight="1" x14ac:dyDescent="0.35">
      <c r="A978" s="210">
        <v>977</v>
      </c>
      <c r="B978" s="8" t="s">
        <v>55</v>
      </c>
      <c r="C978" s="8" t="s">
        <v>13</v>
      </c>
      <c r="D978" s="8" t="s">
        <v>1734</v>
      </c>
      <c r="E978" s="22">
        <v>46083</v>
      </c>
      <c r="F978" s="149">
        <f t="shared" si="151"/>
        <v>46084</v>
      </c>
      <c r="G978" s="149">
        <f t="shared" si="152"/>
        <v>46097</v>
      </c>
      <c r="H978" s="149">
        <f t="shared" si="153"/>
        <v>46111</v>
      </c>
      <c r="I978" s="149" t="str">
        <f t="shared" si="147"/>
        <v>Mar</v>
      </c>
      <c r="J978" s="216" t="str">
        <f t="shared" ca="1" si="149"/>
        <v/>
      </c>
      <c r="K978" s="149" t="s">
        <v>43</v>
      </c>
      <c r="M978" s="17">
        <v>46084</v>
      </c>
      <c r="N978" s="152">
        <f t="shared" si="148"/>
        <v>1</v>
      </c>
      <c r="O978" s="12" t="str">
        <f t="shared" si="150"/>
        <v>Yes</v>
      </c>
      <c r="R978" s="8" t="s">
        <v>39</v>
      </c>
      <c r="T978" s="5" t="s">
        <v>40</v>
      </c>
      <c r="V978" s="5" t="s">
        <v>54</v>
      </c>
      <c r="W978" s="8"/>
      <c r="BB978" s="7" t="str">
        <v>Quarter 4</v>
      </c>
    </row>
    <row r="979" spans="1:54" ht="31.4" customHeight="1" x14ac:dyDescent="0.35">
      <c r="A979" s="210">
        <v>978</v>
      </c>
      <c r="B979" s="8" t="s">
        <v>1735</v>
      </c>
      <c r="C979" s="8" t="s">
        <v>9</v>
      </c>
      <c r="D979" s="8" t="s">
        <v>1736</v>
      </c>
      <c r="E979" s="22">
        <v>46083</v>
      </c>
      <c r="F979" s="149">
        <f t="shared" si="151"/>
        <v>46084</v>
      </c>
      <c r="G979" s="149">
        <f t="shared" si="152"/>
        <v>46097</v>
      </c>
      <c r="H979" s="149">
        <f t="shared" si="153"/>
        <v>46111</v>
      </c>
      <c r="I979" s="149" t="str">
        <f t="shared" si="147"/>
        <v>Mar</v>
      </c>
      <c r="J979" s="216" t="str">
        <f t="shared" ca="1" si="149"/>
        <v/>
      </c>
      <c r="K979" s="149" t="s">
        <v>43</v>
      </c>
      <c r="M979" s="17">
        <v>46084</v>
      </c>
      <c r="N979" s="152">
        <f t="shared" si="148"/>
        <v>1</v>
      </c>
      <c r="O979" s="12" t="str">
        <f t="shared" si="150"/>
        <v>Yes</v>
      </c>
      <c r="R979" s="8" t="s">
        <v>39</v>
      </c>
      <c r="T979" s="5" t="s">
        <v>40</v>
      </c>
      <c r="V979" s="5"/>
      <c r="W979" s="8" t="s">
        <v>46</v>
      </c>
      <c r="BB979" s="7" t="str">
        <v>Quarter 4</v>
      </c>
    </row>
    <row r="980" spans="1:54" ht="31.4" customHeight="1" x14ac:dyDescent="0.35">
      <c r="A980" s="210">
        <v>979</v>
      </c>
      <c r="B980" s="8" t="s">
        <v>1739</v>
      </c>
      <c r="C980" s="8" t="s">
        <v>9</v>
      </c>
      <c r="D980" s="8" t="s">
        <v>1740</v>
      </c>
      <c r="E980" s="22">
        <v>46083</v>
      </c>
      <c r="F980" s="149">
        <f t="shared" si="151"/>
        <v>46084</v>
      </c>
      <c r="G980" s="149">
        <f t="shared" si="152"/>
        <v>46097</v>
      </c>
      <c r="H980" s="149">
        <f t="shared" si="153"/>
        <v>46111</v>
      </c>
      <c r="I980" s="149" t="str">
        <f t="shared" si="147"/>
        <v>Mar</v>
      </c>
      <c r="J980" s="216" t="str">
        <f t="shared" ca="1" si="149"/>
        <v/>
      </c>
      <c r="K980" s="149" t="s">
        <v>43</v>
      </c>
      <c r="M980" s="17">
        <v>46091</v>
      </c>
      <c r="N980" s="152">
        <f t="shared" si="148"/>
        <v>6</v>
      </c>
      <c r="O980" s="12" t="str">
        <f t="shared" si="150"/>
        <v>Yes</v>
      </c>
      <c r="R980" s="8" t="s">
        <v>39</v>
      </c>
      <c r="T980" s="5" t="s">
        <v>40</v>
      </c>
      <c r="V980" s="5"/>
      <c r="W980" s="8"/>
      <c r="BB980" s="7" t="str">
        <v>Quarter 4</v>
      </c>
    </row>
    <row r="981" spans="1:54" ht="31.4" customHeight="1" x14ac:dyDescent="0.35">
      <c r="A981" s="210">
        <v>980</v>
      </c>
      <c r="B981" s="8" t="s">
        <v>1741</v>
      </c>
      <c r="C981" s="8" t="s">
        <v>5</v>
      </c>
      <c r="D981" s="8" t="s">
        <v>1742</v>
      </c>
      <c r="E981" s="22">
        <v>46083</v>
      </c>
      <c r="F981" s="149">
        <f t="shared" si="151"/>
        <v>46084</v>
      </c>
      <c r="G981" s="149">
        <f t="shared" si="152"/>
        <v>46097</v>
      </c>
      <c r="H981" s="149">
        <f t="shared" si="153"/>
        <v>46111</v>
      </c>
      <c r="I981" s="149" t="str">
        <f t="shared" si="147"/>
        <v>Mar</v>
      </c>
      <c r="J981" s="216" t="str">
        <f t="shared" ca="1" si="149"/>
        <v/>
      </c>
      <c r="K981" s="149" t="s">
        <v>4</v>
      </c>
      <c r="M981" s="17">
        <v>46084</v>
      </c>
      <c r="N981" s="152">
        <f t="shared" si="148"/>
        <v>1</v>
      </c>
      <c r="O981" s="12" t="str">
        <f t="shared" si="150"/>
        <v>Yes</v>
      </c>
      <c r="R981" s="8" t="s">
        <v>39</v>
      </c>
      <c r="T981" s="5" t="s">
        <v>62</v>
      </c>
      <c r="V981" s="5"/>
      <c r="W981" s="8"/>
      <c r="BB981" s="7" t="str">
        <v>Quarter 4</v>
      </c>
    </row>
    <row r="982" spans="1:54" ht="31.4" customHeight="1" x14ac:dyDescent="0.35">
      <c r="A982" s="210">
        <v>981</v>
      </c>
      <c r="B982" s="8" t="s">
        <v>6</v>
      </c>
      <c r="C982" s="8" t="s">
        <v>6</v>
      </c>
      <c r="D982" s="8" t="s">
        <v>1747</v>
      </c>
      <c r="E982" s="22">
        <v>46083</v>
      </c>
      <c r="F982" s="149">
        <f t="shared" si="151"/>
        <v>46084</v>
      </c>
      <c r="G982" s="149">
        <f t="shared" si="152"/>
        <v>46097</v>
      </c>
      <c r="H982" s="149">
        <f t="shared" si="153"/>
        <v>46111</v>
      </c>
      <c r="I982" s="149" t="str">
        <f t="shared" si="147"/>
        <v>Mar</v>
      </c>
      <c r="J982" s="216" t="str">
        <f t="shared" ca="1" si="149"/>
        <v/>
      </c>
      <c r="K982" s="149" t="s">
        <v>4</v>
      </c>
      <c r="M982" s="17">
        <v>46101</v>
      </c>
      <c r="N982" s="152">
        <f t="shared" si="148"/>
        <v>14</v>
      </c>
      <c r="O982" s="12" t="str">
        <f t="shared" si="150"/>
        <v>Yes</v>
      </c>
      <c r="R982" s="8" t="s">
        <v>39</v>
      </c>
      <c r="T982" s="5" t="s">
        <v>40</v>
      </c>
      <c r="V982" s="5" t="s">
        <v>87</v>
      </c>
      <c r="W982" s="8"/>
      <c r="BB982" s="7" t="str">
        <v>Quarter 4</v>
      </c>
    </row>
    <row r="983" spans="1:54" ht="31.4" customHeight="1" x14ac:dyDescent="0.35">
      <c r="A983" s="210">
        <v>982</v>
      </c>
      <c r="B983" s="8" t="s">
        <v>1743</v>
      </c>
      <c r="C983" s="8" t="s">
        <v>9</v>
      </c>
      <c r="D983" s="8" t="s">
        <v>1744</v>
      </c>
      <c r="E983" s="22">
        <v>46084</v>
      </c>
      <c r="F983" s="149">
        <f t="shared" si="151"/>
        <v>46085</v>
      </c>
      <c r="G983" s="149">
        <f t="shared" si="152"/>
        <v>46098</v>
      </c>
      <c r="H983" s="149">
        <f t="shared" si="153"/>
        <v>46112</v>
      </c>
      <c r="I983" s="149" t="str">
        <f t="shared" si="147"/>
        <v>Mar</v>
      </c>
      <c r="J983" s="216" t="str">
        <f t="shared" ca="1" si="149"/>
        <v/>
      </c>
      <c r="K983" s="149" t="s">
        <v>3</v>
      </c>
      <c r="M983" s="17">
        <v>46085</v>
      </c>
      <c r="N983" s="152">
        <f t="shared" si="148"/>
        <v>1</v>
      </c>
      <c r="O983" s="12" t="str">
        <f t="shared" si="150"/>
        <v>Yes</v>
      </c>
      <c r="R983" s="8" t="s">
        <v>39</v>
      </c>
      <c r="T983" s="5" t="s">
        <v>40</v>
      </c>
      <c r="V983" s="5"/>
      <c r="W983" s="8" t="s">
        <v>46</v>
      </c>
      <c r="BB983" s="7" t="str">
        <v>Quarter 4</v>
      </c>
    </row>
    <row r="984" spans="1:54" ht="31.4" customHeight="1" x14ac:dyDescent="0.35">
      <c r="A984" s="210">
        <v>983</v>
      </c>
      <c r="B984" s="8" t="s">
        <v>6</v>
      </c>
      <c r="C984" s="8" t="s">
        <v>6</v>
      </c>
      <c r="D984" s="8" t="s">
        <v>1746</v>
      </c>
      <c r="E984" s="22">
        <v>46084</v>
      </c>
      <c r="F984" s="149">
        <f t="shared" si="151"/>
        <v>46085</v>
      </c>
      <c r="G984" s="149">
        <f t="shared" si="152"/>
        <v>46098</v>
      </c>
      <c r="H984" s="149">
        <f t="shared" si="153"/>
        <v>46112</v>
      </c>
      <c r="I984" s="149" t="str">
        <f t="shared" si="147"/>
        <v>Mar</v>
      </c>
      <c r="J984" s="216" t="str">
        <f t="shared" ca="1" si="149"/>
        <v/>
      </c>
      <c r="K984" s="149" t="s">
        <v>4</v>
      </c>
      <c r="M984" s="17">
        <v>46085</v>
      </c>
      <c r="N984" s="152">
        <f t="shared" si="148"/>
        <v>1</v>
      </c>
      <c r="O984" s="12" t="str">
        <f t="shared" si="150"/>
        <v>Yes</v>
      </c>
      <c r="R984" s="8" t="s">
        <v>39</v>
      </c>
      <c r="T984" s="5" t="s">
        <v>40</v>
      </c>
      <c r="V984" s="5"/>
      <c r="W984" s="8"/>
      <c r="BB984" s="7" t="str">
        <v>Quarter 4</v>
      </c>
    </row>
    <row r="985" spans="1:54" ht="31.4" customHeight="1" x14ac:dyDescent="0.35">
      <c r="A985" s="210">
        <v>984</v>
      </c>
      <c r="B985" s="8" t="s">
        <v>55</v>
      </c>
      <c r="C985" s="8" t="s">
        <v>13</v>
      </c>
      <c r="D985" s="8" t="s">
        <v>1748</v>
      </c>
      <c r="E985" s="22">
        <v>46084</v>
      </c>
      <c r="F985" s="149">
        <f t="shared" si="151"/>
        <v>46085</v>
      </c>
      <c r="G985" s="149">
        <f t="shared" si="152"/>
        <v>46098</v>
      </c>
      <c r="H985" s="149">
        <f t="shared" si="153"/>
        <v>46112</v>
      </c>
      <c r="I985" s="149" t="str">
        <f t="shared" si="147"/>
        <v>Mar</v>
      </c>
      <c r="J985" s="216" t="str">
        <f t="shared" ca="1" si="149"/>
        <v/>
      </c>
      <c r="K985" s="149" t="s">
        <v>3</v>
      </c>
      <c r="M985" s="17">
        <v>46097</v>
      </c>
      <c r="N985" s="152">
        <f t="shared" si="148"/>
        <v>9</v>
      </c>
      <c r="O985" s="12" t="str">
        <f t="shared" si="150"/>
        <v>Yes</v>
      </c>
      <c r="R985" s="8" t="s">
        <v>39</v>
      </c>
      <c r="T985" s="5" t="s">
        <v>40</v>
      </c>
      <c r="V985" s="5"/>
      <c r="W985" s="8" t="s">
        <v>46</v>
      </c>
      <c r="BB985" s="7" t="str">
        <v>Quarter 4</v>
      </c>
    </row>
    <row r="986" spans="1:54" ht="31.4" customHeight="1" x14ac:dyDescent="0.35">
      <c r="A986" s="210">
        <v>985</v>
      </c>
      <c r="B986" s="8" t="s">
        <v>55</v>
      </c>
      <c r="C986" s="8" t="s">
        <v>13</v>
      </c>
      <c r="D986" s="8" t="s">
        <v>1749</v>
      </c>
      <c r="E986" s="22">
        <v>46084</v>
      </c>
      <c r="F986" s="149">
        <f t="shared" si="151"/>
        <v>46085</v>
      </c>
      <c r="G986" s="149">
        <f t="shared" si="152"/>
        <v>46098</v>
      </c>
      <c r="H986" s="149">
        <f t="shared" si="153"/>
        <v>46112</v>
      </c>
      <c r="I986" s="149" t="str">
        <f t="shared" si="147"/>
        <v>Mar</v>
      </c>
      <c r="J986" s="216" t="str">
        <f t="shared" ca="1" si="149"/>
        <v/>
      </c>
      <c r="K986" s="149" t="s">
        <v>3</v>
      </c>
      <c r="M986" s="17">
        <v>46097</v>
      </c>
      <c r="N986" s="152">
        <f t="shared" si="148"/>
        <v>9</v>
      </c>
      <c r="O986" s="12" t="str">
        <f t="shared" si="150"/>
        <v>Yes</v>
      </c>
      <c r="R986" s="8" t="s">
        <v>39</v>
      </c>
      <c r="T986" s="5" t="s">
        <v>62</v>
      </c>
      <c r="V986" s="5"/>
      <c r="W986" s="8"/>
      <c r="BB986" s="7" t="str">
        <v>Quarter 4</v>
      </c>
    </row>
    <row r="987" spans="1:54" ht="31.4" customHeight="1" x14ac:dyDescent="0.35">
      <c r="A987" s="210">
        <v>986</v>
      </c>
      <c r="B987" s="8" t="s">
        <v>6</v>
      </c>
      <c r="C987" s="8" t="s">
        <v>6</v>
      </c>
      <c r="D987" s="8" t="s">
        <v>1752</v>
      </c>
      <c r="E987" s="22">
        <v>46085</v>
      </c>
      <c r="F987" s="149">
        <f t="shared" si="151"/>
        <v>46086</v>
      </c>
      <c r="G987" s="149">
        <f t="shared" si="152"/>
        <v>46099</v>
      </c>
      <c r="H987" s="149">
        <f t="shared" si="153"/>
        <v>46113</v>
      </c>
      <c r="I987" s="149" t="str">
        <f t="shared" si="147"/>
        <v>Mar</v>
      </c>
      <c r="J987" s="216" t="str">
        <f t="shared" ca="1" si="149"/>
        <v/>
      </c>
      <c r="K987" s="149" t="s">
        <v>4</v>
      </c>
      <c r="M987" s="17">
        <v>46085</v>
      </c>
      <c r="N987" s="152">
        <f t="shared" si="148"/>
        <v>0</v>
      </c>
      <c r="O987" s="12" t="str">
        <f t="shared" si="150"/>
        <v>Yes</v>
      </c>
      <c r="R987" s="8" t="s">
        <v>39</v>
      </c>
      <c r="T987" s="5" t="s">
        <v>62</v>
      </c>
      <c r="V987" s="5"/>
      <c r="W987" s="8"/>
      <c r="BB987" s="7" t="str">
        <v>Quarter 4</v>
      </c>
    </row>
    <row r="988" spans="1:54" ht="31.4" customHeight="1" x14ac:dyDescent="0.35">
      <c r="A988" s="210">
        <v>987</v>
      </c>
      <c r="B988" s="8" t="s">
        <v>162</v>
      </c>
      <c r="C988" s="8" t="s">
        <v>5</v>
      </c>
      <c r="D988" s="8" t="s">
        <v>1753</v>
      </c>
      <c r="E988" s="22">
        <v>46085</v>
      </c>
      <c r="F988" s="149">
        <f t="shared" si="151"/>
        <v>46086</v>
      </c>
      <c r="G988" s="149">
        <f t="shared" si="152"/>
        <v>46099</v>
      </c>
      <c r="H988" s="149">
        <f t="shared" si="153"/>
        <v>46113</v>
      </c>
      <c r="I988" s="149" t="str">
        <f t="shared" si="147"/>
        <v>Mar</v>
      </c>
      <c r="J988" s="216" t="str">
        <f t="shared" ca="1" si="149"/>
        <v/>
      </c>
      <c r="K988" s="149" t="s">
        <v>43</v>
      </c>
      <c r="M988" s="17">
        <v>46099</v>
      </c>
      <c r="N988" s="152">
        <f t="shared" si="148"/>
        <v>10</v>
      </c>
      <c r="O988" s="12" t="str">
        <f t="shared" si="150"/>
        <v>Yes</v>
      </c>
      <c r="R988" s="8" t="s">
        <v>39</v>
      </c>
      <c r="T988" s="5" t="s">
        <v>40</v>
      </c>
      <c r="V988" s="5"/>
      <c r="W988" s="8"/>
      <c r="BB988" s="7" t="str">
        <v>Quarter 4</v>
      </c>
    </row>
    <row r="989" spans="1:54" ht="31.4" customHeight="1" x14ac:dyDescent="0.35">
      <c r="A989" s="210">
        <v>988</v>
      </c>
      <c r="B989" s="8" t="s">
        <v>1754</v>
      </c>
      <c r="C989" s="8" t="s">
        <v>9</v>
      </c>
      <c r="D989" s="8" t="s">
        <v>943</v>
      </c>
      <c r="E989" s="22">
        <v>46086</v>
      </c>
      <c r="F989" s="149">
        <f t="shared" si="151"/>
        <v>46087</v>
      </c>
      <c r="G989" s="149">
        <f t="shared" si="152"/>
        <v>46100</v>
      </c>
      <c r="H989" s="149">
        <f t="shared" si="153"/>
        <v>46114</v>
      </c>
      <c r="I989" s="149" t="str">
        <f t="shared" si="147"/>
        <v>Mar</v>
      </c>
      <c r="J989" s="216" t="str">
        <f t="shared" ca="1" si="149"/>
        <v/>
      </c>
      <c r="K989" s="149" t="s">
        <v>43</v>
      </c>
      <c r="M989" s="17">
        <v>46086</v>
      </c>
      <c r="N989" s="152">
        <f t="shared" si="148"/>
        <v>0</v>
      </c>
      <c r="O989" s="12" t="str">
        <f t="shared" si="150"/>
        <v>Yes</v>
      </c>
      <c r="R989" s="8" t="s">
        <v>39</v>
      </c>
      <c r="T989" s="5" t="s">
        <v>40</v>
      </c>
      <c r="V989" s="5"/>
      <c r="W989" s="8"/>
      <c r="BB989" s="7" t="str">
        <v>Quarter 4</v>
      </c>
    </row>
    <row r="990" spans="1:54" ht="31.4" customHeight="1" x14ac:dyDescent="0.35">
      <c r="A990" s="210">
        <v>989</v>
      </c>
      <c r="B990" s="8" t="s">
        <v>6</v>
      </c>
      <c r="C990" s="8" t="s">
        <v>6</v>
      </c>
      <c r="D990" s="8" t="s">
        <v>1755</v>
      </c>
      <c r="E990" s="22">
        <v>46086</v>
      </c>
      <c r="F990" s="149">
        <f t="shared" si="151"/>
        <v>46087</v>
      </c>
      <c r="G990" s="149">
        <f t="shared" si="152"/>
        <v>46100</v>
      </c>
      <c r="H990" s="149">
        <f t="shared" si="153"/>
        <v>46114</v>
      </c>
      <c r="I990" s="149" t="str">
        <f t="shared" si="147"/>
        <v>Mar</v>
      </c>
      <c r="J990" s="216" t="str">
        <f t="shared" ca="1" si="149"/>
        <v/>
      </c>
      <c r="K990" s="149" t="s">
        <v>3</v>
      </c>
      <c r="M990" s="17">
        <v>46093</v>
      </c>
      <c r="N990" s="152">
        <f t="shared" si="148"/>
        <v>5</v>
      </c>
      <c r="O990" s="12" t="str">
        <f t="shared" si="150"/>
        <v>Yes</v>
      </c>
      <c r="R990" s="8" t="s">
        <v>39</v>
      </c>
      <c r="T990" s="5" t="s">
        <v>40</v>
      </c>
      <c r="V990" s="5"/>
      <c r="W990" s="8" t="s">
        <v>46</v>
      </c>
      <c r="BB990" s="7" t="str">
        <v>Quarter 4</v>
      </c>
    </row>
    <row r="991" spans="1:54" ht="31.4" customHeight="1" x14ac:dyDescent="0.35">
      <c r="A991" s="210">
        <v>990</v>
      </c>
      <c r="B991" s="8" t="s">
        <v>6</v>
      </c>
      <c r="C991" s="8" t="s">
        <v>6</v>
      </c>
      <c r="D991" s="8" t="s">
        <v>1755</v>
      </c>
      <c r="E991" s="22">
        <v>46086</v>
      </c>
      <c r="F991" s="149">
        <f t="shared" si="151"/>
        <v>46087</v>
      </c>
      <c r="G991" s="149">
        <f t="shared" si="152"/>
        <v>46100</v>
      </c>
      <c r="H991" s="149">
        <f t="shared" si="153"/>
        <v>46114</v>
      </c>
      <c r="I991" s="149" t="str">
        <f t="shared" si="147"/>
        <v>Mar</v>
      </c>
      <c r="J991" s="216" t="str">
        <f t="shared" ca="1" si="149"/>
        <v/>
      </c>
      <c r="K991" s="149" t="s">
        <v>3</v>
      </c>
      <c r="M991" s="17">
        <v>46093</v>
      </c>
      <c r="N991" s="152">
        <f t="shared" si="148"/>
        <v>5</v>
      </c>
      <c r="O991" s="12" t="str">
        <f t="shared" si="150"/>
        <v>Yes</v>
      </c>
      <c r="R991" s="8" t="s">
        <v>39</v>
      </c>
      <c r="T991" s="5" t="s">
        <v>40</v>
      </c>
      <c r="V991" s="5"/>
      <c r="W991" s="8" t="s">
        <v>46</v>
      </c>
      <c r="BB991" s="7" t="str">
        <v>Quarter 4</v>
      </c>
    </row>
    <row r="992" spans="1:54" ht="31.4" customHeight="1" x14ac:dyDescent="0.35">
      <c r="A992" s="210">
        <v>991</v>
      </c>
      <c r="B992" s="8" t="s">
        <v>1601</v>
      </c>
      <c r="C992" s="8" t="s">
        <v>9</v>
      </c>
      <c r="D992" s="8" t="s">
        <v>1756</v>
      </c>
      <c r="E992" s="22">
        <v>46086</v>
      </c>
      <c r="F992" s="149">
        <f t="shared" si="151"/>
        <v>46087</v>
      </c>
      <c r="G992" s="149">
        <f t="shared" si="152"/>
        <v>46100</v>
      </c>
      <c r="H992" s="149">
        <f t="shared" si="153"/>
        <v>46114</v>
      </c>
      <c r="I992" s="149" t="str">
        <f t="shared" si="147"/>
        <v>Mar</v>
      </c>
      <c r="J992" s="216" t="str">
        <f t="shared" ca="1" si="149"/>
        <v/>
      </c>
      <c r="K992" s="149" t="s">
        <v>7</v>
      </c>
      <c r="M992" s="17">
        <v>46087</v>
      </c>
      <c r="N992" s="152">
        <f t="shared" si="148"/>
        <v>1</v>
      </c>
      <c r="O992" s="12" t="str">
        <f t="shared" si="150"/>
        <v>Yes</v>
      </c>
      <c r="R992" s="8" t="s">
        <v>39</v>
      </c>
      <c r="T992" s="5" t="s">
        <v>40</v>
      </c>
      <c r="V992" s="5"/>
      <c r="W992" s="8" t="s">
        <v>46</v>
      </c>
      <c r="BB992" s="7" t="str">
        <v>Quarter 4</v>
      </c>
    </row>
    <row r="993" spans="1:54" ht="31.4" customHeight="1" x14ac:dyDescent="0.35">
      <c r="A993" s="210">
        <v>992</v>
      </c>
      <c r="B993" s="8" t="s">
        <v>55</v>
      </c>
      <c r="C993" s="8" t="s">
        <v>13</v>
      </c>
      <c r="D993" s="8" t="s">
        <v>1758</v>
      </c>
      <c r="E993" s="22">
        <v>46087</v>
      </c>
      <c r="F993" s="149">
        <f t="shared" si="151"/>
        <v>46090</v>
      </c>
      <c r="G993" s="149">
        <f t="shared" si="152"/>
        <v>46101</v>
      </c>
      <c r="H993" s="149">
        <f t="shared" si="153"/>
        <v>46119</v>
      </c>
      <c r="I993" s="149" t="str">
        <f t="shared" si="147"/>
        <v>Mar</v>
      </c>
      <c r="J993" s="216" t="str">
        <f t="shared" ca="1" si="149"/>
        <v/>
      </c>
      <c r="K993" s="149" t="s">
        <v>3</v>
      </c>
      <c r="M993" s="17">
        <v>46093</v>
      </c>
      <c r="N993" s="152">
        <f t="shared" si="148"/>
        <v>4</v>
      </c>
      <c r="O993" s="12" t="str">
        <f t="shared" si="150"/>
        <v>Yes</v>
      </c>
      <c r="R993" s="8" t="s">
        <v>39</v>
      </c>
      <c r="T993" s="5" t="s">
        <v>40</v>
      </c>
      <c r="V993" s="5" t="s">
        <v>54</v>
      </c>
      <c r="W993" s="8"/>
      <c r="BB993" s="7" t="str">
        <v>Quarter 4</v>
      </c>
    </row>
    <row r="994" spans="1:54" ht="31.4" customHeight="1" x14ac:dyDescent="0.35">
      <c r="A994" s="210">
        <v>993</v>
      </c>
      <c r="B994" s="8" t="s">
        <v>1759</v>
      </c>
      <c r="C994" s="8" t="s">
        <v>9</v>
      </c>
      <c r="D994" s="8" t="s">
        <v>1760</v>
      </c>
      <c r="E994" s="22">
        <v>46087</v>
      </c>
      <c r="F994" s="149">
        <f t="shared" si="151"/>
        <v>46090</v>
      </c>
      <c r="G994" s="149">
        <f t="shared" si="152"/>
        <v>46101</v>
      </c>
      <c r="H994" s="149">
        <f t="shared" si="153"/>
        <v>46119</v>
      </c>
      <c r="I994" s="149" t="str">
        <f t="shared" si="147"/>
        <v>Mar</v>
      </c>
      <c r="J994" s="216" t="str">
        <f t="shared" ca="1" si="149"/>
        <v/>
      </c>
      <c r="K994" s="149" t="s">
        <v>43</v>
      </c>
      <c r="M994" s="17">
        <v>46100</v>
      </c>
      <c r="N994" s="152">
        <f t="shared" si="148"/>
        <v>9</v>
      </c>
      <c r="O994" s="12" t="str">
        <f t="shared" si="150"/>
        <v>Yes</v>
      </c>
      <c r="R994" s="8" t="s">
        <v>39</v>
      </c>
      <c r="T994" s="5" t="s">
        <v>40</v>
      </c>
      <c r="V994" s="5"/>
      <c r="W994" s="8"/>
      <c r="BB994" s="7" t="str">
        <v>Quarter 4</v>
      </c>
    </row>
    <row r="995" spans="1:54" ht="31.4" customHeight="1" x14ac:dyDescent="0.35">
      <c r="A995" s="210">
        <v>994</v>
      </c>
      <c r="B995" s="8" t="s">
        <v>6</v>
      </c>
      <c r="C995" s="8" t="s">
        <v>6</v>
      </c>
      <c r="D995" s="8" t="s">
        <v>1761</v>
      </c>
      <c r="E995" s="22">
        <v>46087</v>
      </c>
      <c r="F995" s="149">
        <f t="shared" si="151"/>
        <v>46090</v>
      </c>
      <c r="G995" s="149">
        <f t="shared" si="152"/>
        <v>46101</v>
      </c>
      <c r="H995" s="149">
        <f t="shared" si="153"/>
        <v>46119</v>
      </c>
      <c r="I995" s="149" t="str">
        <f t="shared" si="147"/>
        <v>Mar</v>
      </c>
      <c r="J995" s="216" t="str">
        <f t="shared" ca="1" si="149"/>
        <v/>
      </c>
      <c r="K995" s="149" t="s">
        <v>43</v>
      </c>
      <c r="M995" s="17">
        <v>46087</v>
      </c>
      <c r="N995" s="152">
        <f t="shared" si="148"/>
        <v>0</v>
      </c>
      <c r="O995" s="12" t="str">
        <f t="shared" si="150"/>
        <v>Yes</v>
      </c>
      <c r="R995" s="8" t="s">
        <v>39</v>
      </c>
      <c r="T995" s="5" t="s">
        <v>40</v>
      </c>
      <c r="V995" s="5"/>
      <c r="W995" s="8"/>
      <c r="BB995" s="7" t="str">
        <v>Quarter 4</v>
      </c>
    </row>
    <row r="996" spans="1:54" ht="31.4" customHeight="1" x14ac:dyDescent="0.35">
      <c r="A996" s="210">
        <v>995</v>
      </c>
      <c r="B996" s="8" t="s">
        <v>55</v>
      </c>
      <c r="C996" s="8" t="s">
        <v>13</v>
      </c>
      <c r="D996" s="8" t="s">
        <v>1762</v>
      </c>
      <c r="E996" s="22">
        <v>46087</v>
      </c>
      <c r="F996" s="149">
        <f t="shared" si="151"/>
        <v>46090</v>
      </c>
      <c r="G996" s="149">
        <f t="shared" si="152"/>
        <v>46101</v>
      </c>
      <c r="H996" s="149">
        <f t="shared" si="153"/>
        <v>46119</v>
      </c>
      <c r="I996" s="149" t="str">
        <f t="shared" si="147"/>
        <v>Mar</v>
      </c>
      <c r="J996" s="216" t="str">
        <f t="shared" ca="1" si="149"/>
        <v/>
      </c>
      <c r="K996" s="149" t="s">
        <v>43</v>
      </c>
      <c r="M996" s="17">
        <v>46087</v>
      </c>
      <c r="N996" s="152">
        <f t="shared" si="148"/>
        <v>0</v>
      </c>
      <c r="O996" s="12" t="str">
        <f t="shared" si="150"/>
        <v>Yes</v>
      </c>
      <c r="R996" s="8" t="s">
        <v>39</v>
      </c>
      <c r="T996" s="5" t="s">
        <v>40</v>
      </c>
      <c r="V996" s="5"/>
      <c r="W996" s="8"/>
      <c r="BB996" s="7" t="str">
        <v>Quarter 4</v>
      </c>
    </row>
    <row r="997" spans="1:54" ht="31.4" customHeight="1" x14ac:dyDescent="0.35">
      <c r="A997" s="210">
        <v>996</v>
      </c>
      <c r="B997" s="8" t="s">
        <v>1764</v>
      </c>
      <c r="C997" s="8" t="s">
        <v>11</v>
      </c>
      <c r="D997" s="8" t="s">
        <v>1873</v>
      </c>
      <c r="E997" s="22">
        <v>46087</v>
      </c>
      <c r="F997" s="149">
        <f t="shared" ref="F997:F1006" si="154">IF($E997="","",WORKDAY($E997,1,$Z$33:$Z$47))</f>
        <v>46090</v>
      </c>
      <c r="G997" s="149">
        <f t="shared" ref="G997:G1008" si="155">IF($E997="","",WORKDAY($E997,10,$Z$33:$Z$47))</f>
        <v>46101</v>
      </c>
      <c r="H997" s="149">
        <f t="shared" ref="H997:H1008" si="156">IF($E997="","",WORKDAY($E997,20,$Z$33:$Z$47))</f>
        <v>46119</v>
      </c>
      <c r="I997" s="149" t="str">
        <f t="shared" si="147"/>
        <v>Mar</v>
      </c>
      <c r="J997" s="216" t="str">
        <f t="shared" ca="1" si="149"/>
        <v/>
      </c>
      <c r="K997" s="149" t="s">
        <v>7</v>
      </c>
      <c r="M997" s="17">
        <v>46100</v>
      </c>
      <c r="N997" s="152">
        <f t="shared" si="148"/>
        <v>9</v>
      </c>
      <c r="O997" s="12" t="str">
        <f t="shared" si="150"/>
        <v>Yes</v>
      </c>
      <c r="R997" s="8" t="s">
        <v>39</v>
      </c>
      <c r="T997" s="5" t="s">
        <v>40</v>
      </c>
      <c r="V997" s="5" t="s">
        <v>54</v>
      </c>
      <c r="W997" s="8"/>
      <c r="BB997" s="7" t="str">
        <v>Quarter 4</v>
      </c>
    </row>
    <row r="998" spans="1:54" ht="31.4" customHeight="1" x14ac:dyDescent="0.35">
      <c r="A998" s="210">
        <v>997</v>
      </c>
      <c r="B998" s="8" t="s">
        <v>6</v>
      </c>
      <c r="C998" s="8" t="s">
        <v>6</v>
      </c>
      <c r="D998" s="8" t="s">
        <v>1765</v>
      </c>
      <c r="E998" s="22">
        <v>46087</v>
      </c>
      <c r="F998" s="149">
        <f t="shared" si="154"/>
        <v>46090</v>
      </c>
      <c r="G998" s="149">
        <f t="shared" si="155"/>
        <v>46101</v>
      </c>
      <c r="H998" s="149">
        <f t="shared" si="156"/>
        <v>46119</v>
      </c>
      <c r="I998" s="149" t="str">
        <f t="shared" si="147"/>
        <v>Mar</v>
      </c>
      <c r="J998" s="216" t="str">
        <f t="shared" ca="1" si="149"/>
        <v/>
      </c>
      <c r="K998" s="149" t="s">
        <v>4</v>
      </c>
      <c r="M998" s="17">
        <v>46093</v>
      </c>
      <c r="N998" s="152">
        <f t="shared" si="148"/>
        <v>4</v>
      </c>
      <c r="O998" s="12" t="str">
        <f t="shared" si="150"/>
        <v>Yes</v>
      </c>
      <c r="R998" s="8" t="s">
        <v>39</v>
      </c>
      <c r="T998" s="5" t="s">
        <v>40</v>
      </c>
      <c r="V998" s="5"/>
      <c r="W998" s="8"/>
      <c r="BB998" s="7" t="str">
        <v>Quarter 4</v>
      </c>
    </row>
    <row r="999" spans="1:54" ht="31.4" customHeight="1" x14ac:dyDescent="0.35">
      <c r="A999" s="210">
        <v>998</v>
      </c>
      <c r="B999" s="8" t="s">
        <v>55</v>
      </c>
      <c r="C999" s="8" t="s">
        <v>13</v>
      </c>
      <c r="D999" s="8" t="s">
        <v>1766</v>
      </c>
      <c r="E999" s="22">
        <v>46087</v>
      </c>
      <c r="F999" s="149">
        <f t="shared" si="154"/>
        <v>46090</v>
      </c>
      <c r="G999" s="149">
        <f t="shared" si="155"/>
        <v>46101</v>
      </c>
      <c r="H999" s="149">
        <f t="shared" si="156"/>
        <v>46119</v>
      </c>
      <c r="I999" s="149" t="str">
        <f t="shared" si="147"/>
        <v>Mar</v>
      </c>
      <c r="J999" s="216" t="str">
        <f t="shared" ca="1" si="149"/>
        <v/>
      </c>
      <c r="K999" s="149" t="s">
        <v>43</v>
      </c>
      <c r="M999" s="17">
        <v>46090</v>
      </c>
      <c r="N999" s="152">
        <f t="shared" si="148"/>
        <v>1</v>
      </c>
      <c r="O999" s="12" t="str">
        <f t="shared" si="150"/>
        <v>Yes</v>
      </c>
      <c r="R999" s="8" t="s">
        <v>39</v>
      </c>
      <c r="T999" s="5" t="s">
        <v>62</v>
      </c>
      <c r="V999" s="5"/>
      <c r="W999" s="8"/>
      <c r="BB999" s="7" t="str">
        <v>Quarter 4</v>
      </c>
    </row>
    <row r="1000" spans="1:54" ht="31.4" customHeight="1" x14ac:dyDescent="0.35">
      <c r="A1000" s="210">
        <v>999</v>
      </c>
      <c r="B1000" s="8" t="s">
        <v>6</v>
      </c>
      <c r="C1000" s="8" t="s">
        <v>6</v>
      </c>
      <c r="D1000" s="8" t="s">
        <v>1767</v>
      </c>
      <c r="E1000" s="22">
        <v>46087</v>
      </c>
      <c r="F1000" s="149">
        <f t="shared" si="154"/>
        <v>46090</v>
      </c>
      <c r="G1000" s="149">
        <f t="shared" si="155"/>
        <v>46101</v>
      </c>
      <c r="H1000" s="149">
        <f t="shared" si="156"/>
        <v>46119</v>
      </c>
      <c r="I1000" s="149" t="str">
        <f t="shared" si="147"/>
        <v>Mar</v>
      </c>
      <c r="J1000" s="216" t="str">
        <f t="shared" ca="1" si="149"/>
        <v/>
      </c>
      <c r="K1000" s="149" t="s">
        <v>4</v>
      </c>
      <c r="M1000" s="17">
        <v>46106</v>
      </c>
      <c r="N1000" s="152">
        <f t="shared" si="148"/>
        <v>13</v>
      </c>
      <c r="O1000" s="12" t="str">
        <f t="shared" si="150"/>
        <v>Yes</v>
      </c>
      <c r="R1000" s="8" t="s">
        <v>39</v>
      </c>
      <c r="T1000" s="5" t="s">
        <v>40</v>
      </c>
      <c r="V1000" s="5" t="s">
        <v>54</v>
      </c>
      <c r="W1000" s="8"/>
      <c r="BB1000" s="7" t="str">
        <v>Quarter 4</v>
      </c>
    </row>
    <row r="1001" spans="1:54" ht="31.4" customHeight="1" x14ac:dyDescent="0.35">
      <c r="A1001" s="210">
        <v>1000</v>
      </c>
      <c r="B1001" s="8" t="s">
        <v>1768</v>
      </c>
      <c r="C1001" s="8" t="s">
        <v>12</v>
      </c>
      <c r="D1001" s="8" t="s">
        <v>1769</v>
      </c>
      <c r="E1001" s="22">
        <v>46090</v>
      </c>
      <c r="F1001" s="149">
        <f t="shared" si="154"/>
        <v>46091</v>
      </c>
      <c r="G1001" s="149">
        <f t="shared" si="155"/>
        <v>46104</v>
      </c>
      <c r="H1001" s="149">
        <f t="shared" si="156"/>
        <v>46120</v>
      </c>
      <c r="I1001" s="149" t="str">
        <f t="shared" si="147"/>
        <v>Mar</v>
      </c>
      <c r="J1001" s="216" t="str">
        <f t="shared" ca="1" si="149"/>
        <v/>
      </c>
      <c r="K1001" s="149" t="s">
        <v>43</v>
      </c>
      <c r="M1001" s="17">
        <v>46093</v>
      </c>
      <c r="N1001" s="152">
        <f t="shared" si="148"/>
        <v>3</v>
      </c>
      <c r="O1001" s="12" t="str">
        <f t="shared" si="150"/>
        <v>Yes</v>
      </c>
      <c r="R1001" s="8" t="s">
        <v>39</v>
      </c>
      <c r="T1001" s="5" t="s">
        <v>40</v>
      </c>
      <c r="V1001" s="5" t="s">
        <v>87</v>
      </c>
      <c r="W1001" s="8"/>
      <c r="BB1001" s="7" t="str">
        <v>Quarter 4</v>
      </c>
    </row>
    <row r="1002" spans="1:54" ht="31.4" customHeight="1" x14ac:dyDescent="0.35">
      <c r="A1002" s="210">
        <v>1001</v>
      </c>
      <c r="B1002" s="8" t="s">
        <v>1770</v>
      </c>
      <c r="C1002" s="8" t="s">
        <v>9</v>
      </c>
      <c r="D1002" s="8" t="s">
        <v>789</v>
      </c>
      <c r="E1002" s="22">
        <v>46090</v>
      </c>
      <c r="F1002" s="11">
        <f t="shared" si="154"/>
        <v>46091</v>
      </c>
      <c r="G1002" s="11">
        <f t="shared" si="155"/>
        <v>46104</v>
      </c>
      <c r="H1002" s="11">
        <f t="shared" si="156"/>
        <v>46120</v>
      </c>
      <c r="I1002" s="69" t="str">
        <f t="shared" si="147"/>
        <v>Mar</v>
      </c>
      <c r="J1002" s="216">
        <f t="shared" ca="1" si="149"/>
        <v>-23</v>
      </c>
      <c r="K1002" s="149" t="s">
        <v>3</v>
      </c>
      <c r="M1002" s="17"/>
      <c r="N1002" s="152" t="str">
        <f t="shared" si="148"/>
        <v/>
      </c>
      <c r="O1002" s="12" t="str">
        <f t="shared" si="150"/>
        <v/>
      </c>
      <c r="R1002" s="8" t="s">
        <v>44</v>
      </c>
      <c r="T1002" s="5"/>
      <c r="V1002" s="5"/>
      <c r="W1002" s="8"/>
      <c r="BB1002" s="7" t="str">
        <v>Quarter 4</v>
      </c>
    </row>
    <row r="1003" spans="1:54" ht="31.4" customHeight="1" x14ac:dyDescent="0.35">
      <c r="A1003" s="210">
        <v>1002</v>
      </c>
      <c r="B1003" s="8" t="s">
        <v>55</v>
      </c>
      <c r="C1003" s="8" t="s">
        <v>13</v>
      </c>
      <c r="D1003" s="8" t="s">
        <v>1771</v>
      </c>
      <c r="E1003" s="22">
        <v>46090</v>
      </c>
      <c r="F1003" s="11">
        <f t="shared" si="154"/>
        <v>46091</v>
      </c>
      <c r="G1003" s="11">
        <f t="shared" si="155"/>
        <v>46104</v>
      </c>
      <c r="H1003" s="11">
        <f t="shared" si="156"/>
        <v>46120</v>
      </c>
      <c r="I1003" s="149" t="str">
        <f t="shared" si="147"/>
        <v>Mar</v>
      </c>
      <c r="J1003" s="216" t="str">
        <f t="shared" ca="1" si="149"/>
        <v/>
      </c>
      <c r="K1003" s="149" t="s">
        <v>43</v>
      </c>
      <c r="M1003" s="17">
        <v>46093</v>
      </c>
      <c r="N1003" s="152">
        <f t="shared" si="148"/>
        <v>3</v>
      </c>
      <c r="O1003" s="12" t="str">
        <f t="shared" si="150"/>
        <v>Yes</v>
      </c>
      <c r="R1003" s="8" t="s">
        <v>39</v>
      </c>
      <c r="T1003" s="5" t="s">
        <v>45</v>
      </c>
      <c r="V1003" s="5" t="s">
        <v>41</v>
      </c>
      <c r="W1003" s="8"/>
      <c r="BB1003" s="7" t="str">
        <v>Quarter 4</v>
      </c>
    </row>
    <row r="1004" spans="1:54" ht="31.4" customHeight="1" x14ac:dyDescent="0.35">
      <c r="A1004" s="210">
        <v>1003</v>
      </c>
      <c r="B1004" s="8" t="s">
        <v>6</v>
      </c>
      <c r="C1004" s="8" t="s">
        <v>6</v>
      </c>
      <c r="D1004" s="8" t="s">
        <v>1774</v>
      </c>
      <c r="E1004" s="22">
        <v>46091</v>
      </c>
      <c r="F1004" s="11">
        <f t="shared" si="154"/>
        <v>46092</v>
      </c>
      <c r="G1004" s="11">
        <f t="shared" si="155"/>
        <v>46105</v>
      </c>
      <c r="H1004" s="11">
        <f t="shared" si="156"/>
        <v>46121</v>
      </c>
      <c r="I1004" s="149" t="str">
        <f t="shared" si="147"/>
        <v>Mar</v>
      </c>
      <c r="J1004" s="216" t="str">
        <f t="shared" ca="1" si="149"/>
        <v/>
      </c>
      <c r="K1004" s="149" t="s">
        <v>4</v>
      </c>
      <c r="M1004" s="17">
        <v>46091</v>
      </c>
      <c r="N1004" s="152">
        <f t="shared" si="148"/>
        <v>0</v>
      </c>
      <c r="O1004" s="12" t="str">
        <f t="shared" si="150"/>
        <v>Yes</v>
      </c>
      <c r="R1004" s="8" t="s">
        <v>39</v>
      </c>
      <c r="T1004" s="5" t="s">
        <v>51</v>
      </c>
      <c r="V1004" s="5" t="s">
        <v>53</v>
      </c>
      <c r="W1004" s="8"/>
      <c r="BB1004" s="7" t="str">
        <v>Quarter 4</v>
      </c>
    </row>
    <row r="1005" spans="1:54" ht="31.4" customHeight="1" x14ac:dyDescent="0.35">
      <c r="A1005" s="210">
        <v>1004</v>
      </c>
      <c r="B1005" s="8" t="s">
        <v>1776</v>
      </c>
      <c r="C1005" s="8" t="s">
        <v>12</v>
      </c>
      <c r="D1005" s="8" t="s">
        <v>1777</v>
      </c>
      <c r="E1005" s="22">
        <v>46091</v>
      </c>
      <c r="F1005" s="11">
        <f t="shared" si="154"/>
        <v>46092</v>
      </c>
      <c r="G1005" s="11">
        <f t="shared" si="155"/>
        <v>46105</v>
      </c>
      <c r="H1005" s="11">
        <f t="shared" si="156"/>
        <v>46121</v>
      </c>
      <c r="I1005" s="69" t="str">
        <f t="shared" si="147"/>
        <v>Mar</v>
      </c>
      <c r="J1005" s="216" t="str">
        <f t="shared" ca="1" si="149"/>
        <v/>
      </c>
      <c r="K1005" s="149" t="s">
        <v>43</v>
      </c>
      <c r="M1005" s="17">
        <v>46119</v>
      </c>
      <c r="N1005" s="152">
        <f t="shared" si="148"/>
        <v>18</v>
      </c>
      <c r="O1005" s="12" t="str">
        <f t="shared" si="150"/>
        <v>Yes</v>
      </c>
      <c r="R1005" s="8" t="s">
        <v>39</v>
      </c>
      <c r="T1005" s="5" t="s">
        <v>40</v>
      </c>
      <c r="V1005" s="5"/>
      <c r="W1005" s="8"/>
      <c r="BB1005" s="7" t="str">
        <v>Quarter 4</v>
      </c>
    </row>
    <row r="1006" spans="1:54" ht="31.4" customHeight="1" x14ac:dyDescent="0.35">
      <c r="A1006" s="210">
        <v>1005</v>
      </c>
      <c r="B1006" s="8" t="s">
        <v>549</v>
      </c>
      <c r="C1006" s="8" t="s">
        <v>9</v>
      </c>
      <c r="D1006" s="8" t="s">
        <v>854</v>
      </c>
      <c r="E1006" s="22">
        <v>46091</v>
      </c>
      <c r="F1006" s="11">
        <f t="shared" si="154"/>
        <v>46092</v>
      </c>
      <c r="G1006" s="11">
        <f t="shared" si="155"/>
        <v>46105</v>
      </c>
      <c r="H1006" s="11">
        <f t="shared" si="156"/>
        <v>46121</v>
      </c>
      <c r="I1006" s="149" t="str">
        <f t="shared" si="147"/>
        <v>Mar</v>
      </c>
      <c r="J1006" s="216" t="str">
        <f t="shared" ca="1" si="149"/>
        <v/>
      </c>
      <c r="K1006" s="149" t="s">
        <v>4</v>
      </c>
      <c r="M1006" s="17">
        <v>46091</v>
      </c>
      <c r="N1006" s="152">
        <f t="shared" si="148"/>
        <v>0</v>
      </c>
      <c r="O1006" s="12" t="str">
        <f t="shared" si="150"/>
        <v>Yes</v>
      </c>
      <c r="R1006" s="8" t="s">
        <v>39</v>
      </c>
      <c r="T1006" s="5" t="s">
        <v>40</v>
      </c>
      <c r="V1006" s="5"/>
      <c r="W1006" s="8"/>
      <c r="BB1006" s="7" t="str">
        <v>Quarter 4</v>
      </c>
    </row>
    <row r="1007" spans="1:54" ht="31.4" customHeight="1" x14ac:dyDescent="0.35">
      <c r="A1007" s="210">
        <v>1006</v>
      </c>
      <c r="B1007" s="8" t="s">
        <v>6</v>
      </c>
      <c r="C1007" s="8" t="s">
        <v>6</v>
      </c>
      <c r="D1007" s="8" t="s">
        <v>1779</v>
      </c>
      <c r="E1007" s="22">
        <v>46092</v>
      </c>
      <c r="F1007" s="11">
        <v>46092</v>
      </c>
      <c r="G1007" s="11">
        <f t="shared" si="155"/>
        <v>46106</v>
      </c>
      <c r="H1007" s="11">
        <f t="shared" si="156"/>
        <v>46122</v>
      </c>
      <c r="I1007" s="149" t="str">
        <f t="shared" si="147"/>
        <v>Mar</v>
      </c>
      <c r="J1007" s="216" t="str">
        <f t="shared" ca="1" si="149"/>
        <v/>
      </c>
      <c r="K1007" s="149" t="s">
        <v>7</v>
      </c>
      <c r="M1007" s="17">
        <v>46108</v>
      </c>
      <c r="N1007" s="152">
        <f t="shared" si="148"/>
        <v>12</v>
      </c>
      <c r="O1007" s="12" t="str">
        <f t="shared" si="150"/>
        <v>Yes</v>
      </c>
      <c r="R1007" s="8" t="s">
        <v>39</v>
      </c>
      <c r="T1007" s="5" t="s">
        <v>40</v>
      </c>
      <c r="V1007" s="5"/>
      <c r="W1007" s="8"/>
      <c r="BB1007" s="7" t="str">
        <v>Quarter 4</v>
      </c>
    </row>
    <row r="1008" spans="1:54" ht="31.4" customHeight="1" x14ac:dyDescent="0.35">
      <c r="A1008" s="210">
        <v>1007</v>
      </c>
      <c r="B1008" s="8" t="s">
        <v>55</v>
      </c>
      <c r="C1008" s="8" t="s">
        <v>13</v>
      </c>
      <c r="D1008" s="8" t="s">
        <v>1781</v>
      </c>
      <c r="E1008" s="22">
        <v>46092</v>
      </c>
      <c r="F1008" s="11">
        <f>IF($E1008="","",WORKDAY($E1008,1,$Z$33:$Z$47))</f>
        <v>46093</v>
      </c>
      <c r="G1008" s="11">
        <f t="shared" si="155"/>
        <v>46106</v>
      </c>
      <c r="H1008" s="11">
        <f t="shared" si="156"/>
        <v>46122</v>
      </c>
      <c r="I1008" s="69" t="str">
        <f t="shared" si="147"/>
        <v>Mar</v>
      </c>
      <c r="J1008" s="216" t="str">
        <f t="shared" ca="1" si="149"/>
        <v/>
      </c>
      <c r="K1008" s="149" t="s">
        <v>3</v>
      </c>
      <c r="M1008" s="17">
        <v>46113</v>
      </c>
      <c r="N1008" s="152">
        <f t="shared" si="148"/>
        <v>15</v>
      </c>
      <c r="O1008" s="12" t="str">
        <f t="shared" si="150"/>
        <v>Yes</v>
      </c>
      <c r="R1008" s="8" t="s">
        <v>39</v>
      </c>
      <c r="T1008" s="5" t="s">
        <v>40</v>
      </c>
      <c r="V1008" s="5" t="s">
        <v>54</v>
      </c>
      <c r="W1008" s="8" t="s">
        <v>1908</v>
      </c>
      <c r="BB1008" s="7" t="str">
        <v>Quarter 4</v>
      </c>
    </row>
    <row r="1009" spans="1:54" ht="31.4" customHeight="1" x14ac:dyDescent="0.35">
      <c r="A1009" s="210">
        <v>1008</v>
      </c>
      <c r="B1009" s="8" t="s">
        <v>1783</v>
      </c>
      <c r="C1009" s="8" t="s">
        <v>16</v>
      </c>
      <c r="D1009" s="8" t="s">
        <v>1784</v>
      </c>
      <c r="E1009" s="22"/>
      <c r="F1009" s="11"/>
      <c r="G1009" s="11"/>
      <c r="H1009" s="11"/>
      <c r="I1009" s="149" t="s">
        <v>1804</v>
      </c>
      <c r="J1009" s="216" t="str">
        <f t="shared" ca="1" si="149"/>
        <v/>
      </c>
      <c r="K1009" s="149" t="s">
        <v>43</v>
      </c>
      <c r="M1009" s="17"/>
      <c r="N1009" s="152" t="str">
        <f t="shared" si="148"/>
        <v/>
      </c>
      <c r="O1009" s="12" t="str">
        <f t="shared" si="150"/>
        <v/>
      </c>
      <c r="R1009" s="8" t="s">
        <v>57</v>
      </c>
      <c r="T1009" s="5" t="s">
        <v>57</v>
      </c>
      <c r="V1009" s="5"/>
      <c r="W1009" s="8"/>
      <c r="BB1009" s="7" t="str">
        <v>Quarter 4</v>
      </c>
    </row>
    <row r="1010" spans="1:54" ht="31.4" customHeight="1" x14ac:dyDescent="0.35">
      <c r="A1010" s="210">
        <v>1009</v>
      </c>
      <c r="B1010" s="8" t="s">
        <v>6</v>
      </c>
      <c r="C1010" s="8" t="s">
        <v>6</v>
      </c>
      <c r="D1010" s="8" t="s">
        <v>1785</v>
      </c>
      <c r="E1010" s="22">
        <v>46092</v>
      </c>
      <c r="F1010" s="11">
        <f t="shared" ref="F1010:F1026" si="157">IF($E1010="","",WORKDAY($E1010,1,$Z$33:$Z$47))</f>
        <v>46093</v>
      </c>
      <c r="G1010" s="11">
        <f t="shared" ref="G1010:G1026" si="158">IF($E1010="","",WORKDAY($E1010,10,$Z$33:$Z$47))</f>
        <v>46106</v>
      </c>
      <c r="H1010" s="11">
        <f t="shared" ref="H1010:H1041" si="159">IF($E1010="","",WORKDAY($E1010,20,$Z$33:$Z$47))</f>
        <v>46122</v>
      </c>
      <c r="I1010" s="149" t="str">
        <f t="shared" si="147"/>
        <v>Mar</v>
      </c>
      <c r="J1010" s="216" t="str">
        <f t="shared" ca="1" si="149"/>
        <v/>
      </c>
      <c r="K1010" s="149" t="s">
        <v>7</v>
      </c>
      <c r="M1010" s="17">
        <v>46097</v>
      </c>
      <c r="N1010" s="152">
        <f t="shared" si="148"/>
        <v>3</v>
      </c>
      <c r="O1010" s="12" t="str">
        <f t="shared" si="150"/>
        <v>Yes</v>
      </c>
      <c r="R1010" s="8" t="s">
        <v>39</v>
      </c>
      <c r="T1010" s="5" t="s">
        <v>40</v>
      </c>
      <c r="V1010" s="5"/>
      <c r="W1010" s="8"/>
      <c r="BB1010" s="7" t="str">
        <v>Quarter 4</v>
      </c>
    </row>
    <row r="1011" spans="1:54" ht="31.4" customHeight="1" x14ac:dyDescent="0.35">
      <c r="A1011" s="210">
        <v>1010</v>
      </c>
      <c r="B1011" s="8" t="s">
        <v>1786</v>
      </c>
      <c r="C1011" s="8" t="s">
        <v>12</v>
      </c>
      <c r="D1011" s="8" t="s">
        <v>1787</v>
      </c>
      <c r="E1011" s="22">
        <v>46093</v>
      </c>
      <c r="F1011" s="11">
        <f t="shared" si="157"/>
        <v>46094</v>
      </c>
      <c r="G1011" s="11">
        <f t="shared" si="158"/>
        <v>46107</v>
      </c>
      <c r="H1011" s="11">
        <f t="shared" si="159"/>
        <v>46125</v>
      </c>
      <c r="I1011" s="69" t="str">
        <f t="shared" si="147"/>
        <v>Mar</v>
      </c>
      <c r="J1011" s="216" t="str">
        <f t="shared" ca="1" si="149"/>
        <v/>
      </c>
      <c r="K1011" s="149" t="s">
        <v>3</v>
      </c>
      <c r="M1011" s="17">
        <v>46139</v>
      </c>
      <c r="N1011" s="152">
        <f t="shared" si="148"/>
        <v>30</v>
      </c>
      <c r="O1011" s="12" t="str">
        <f t="shared" si="150"/>
        <v>No</v>
      </c>
      <c r="R1011" s="8" t="s">
        <v>39</v>
      </c>
      <c r="T1011" s="5" t="s">
        <v>40</v>
      </c>
      <c r="V1011" s="5"/>
      <c r="W1011" s="8" t="s">
        <v>46</v>
      </c>
      <c r="BB1011" s="7" t="str">
        <v>Quarter 4</v>
      </c>
    </row>
    <row r="1012" spans="1:54" ht="31.4" customHeight="1" x14ac:dyDescent="0.35">
      <c r="A1012" s="210">
        <v>1011</v>
      </c>
      <c r="B1012" s="8" t="s">
        <v>6</v>
      </c>
      <c r="C1012" s="8" t="s">
        <v>6</v>
      </c>
      <c r="D1012" s="8" t="s">
        <v>1788</v>
      </c>
      <c r="E1012" s="22">
        <v>46093</v>
      </c>
      <c r="F1012" s="11">
        <f t="shared" si="157"/>
        <v>46094</v>
      </c>
      <c r="G1012" s="11">
        <f t="shared" si="158"/>
        <v>46107</v>
      </c>
      <c r="H1012" s="11">
        <f t="shared" si="159"/>
        <v>46125</v>
      </c>
      <c r="I1012" s="149" t="str">
        <f t="shared" si="147"/>
        <v>Mar</v>
      </c>
      <c r="J1012" s="216" t="str">
        <f t="shared" ca="1" si="149"/>
        <v/>
      </c>
      <c r="K1012" s="149" t="s">
        <v>4</v>
      </c>
      <c r="M1012" s="17">
        <v>46093</v>
      </c>
      <c r="N1012" s="152">
        <f t="shared" si="148"/>
        <v>0</v>
      </c>
      <c r="O1012" s="12" t="str">
        <f t="shared" si="150"/>
        <v>Yes</v>
      </c>
      <c r="R1012" s="8" t="s">
        <v>39</v>
      </c>
      <c r="T1012" s="5" t="s">
        <v>40</v>
      </c>
      <c r="V1012" s="5"/>
      <c r="W1012" s="8"/>
      <c r="BB1012" s="7" t="str">
        <v>Quarter 4</v>
      </c>
    </row>
    <row r="1013" spans="1:54" ht="31.4" customHeight="1" x14ac:dyDescent="0.35">
      <c r="A1013" s="210">
        <v>1012</v>
      </c>
      <c r="B1013" s="8" t="s">
        <v>55</v>
      </c>
      <c r="C1013" s="8" t="s">
        <v>13</v>
      </c>
      <c r="D1013" s="8" t="s">
        <v>1789</v>
      </c>
      <c r="E1013" s="22">
        <v>46093</v>
      </c>
      <c r="F1013" s="11">
        <f t="shared" si="157"/>
        <v>46094</v>
      </c>
      <c r="G1013" s="11">
        <f t="shared" si="158"/>
        <v>46107</v>
      </c>
      <c r="H1013" s="11">
        <f t="shared" si="159"/>
        <v>46125</v>
      </c>
      <c r="I1013" s="69" t="str">
        <f t="shared" si="147"/>
        <v>Mar</v>
      </c>
      <c r="J1013" s="216" t="str">
        <f t="shared" ca="1" si="149"/>
        <v/>
      </c>
      <c r="K1013" s="149" t="s">
        <v>4</v>
      </c>
      <c r="M1013" s="17">
        <v>46133</v>
      </c>
      <c r="N1013" s="152">
        <f t="shared" si="148"/>
        <v>26</v>
      </c>
      <c r="O1013" s="12" t="str">
        <f t="shared" si="150"/>
        <v>No</v>
      </c>
      <c r="R1013" s="8" t="s">
        <v>39</v>
      </c>
      <c r="T1013" s="5" t="s">
        <v>40</v>
      </c>
      <c r="V1013" s="5" t="s">
        <v>54</v>
      </c>
      <c r="W1013" s="8"/>
      <c r="BB1013" s="7" t="str">
        <v>Quarter 4</v>
      </c>
    </row>
    <row r="1014" spans="1:54" ht="31.4" customHeight="1" x14ac:dyDescent="0.35">
      <c r="A1014" s="210">
        <v>1013</v>
      </c>
      <c r="B1014" s="8" t="s">
        <v>6</v>
      </c>
      <c r="C1014" s="8" t="s">
        <v>6</v>
      </c>
      <c r="D1014" s="8" t="s">
        <v>1790</v>
      </c>
      <c r="E1014" s="22">
        <v>46093</v>
      </c>
      <c r="F1014" s="11">
        <f t="shared" si="157"/>
        <v>46094</v>
      </c>
      <c r="G1014" s="11">
        <f t="shared" si="158"/>
        <v>46107</v>
      </c>
      <c r="H1014" s="11">
        <f t="shared" si="159"/>
        <v>46125</v>
      </c>
      <c r="I1014" s="149" t="str">
        <f t="shared" si="147"/>
        <v>Mar</v>
      </c>
      <c r="J1014" s="216" t="str">
        <f t="shared" ca="1" si="149"/>
        <v/>
      </c>
      <c r="K1014" s="149" t="s">
        <v>7</v>
      </c>
      <c r="M1014" s="17">
        <v>46098</v>
      </c>
      <c r="N1014" s="152">
        <f t="shared" si="148"/>
        <v>3</v>
      </c>
      <c r="O1014" s="12" t="str">
        <f t="shared" si="150"/>
        <v>Yes</v>
      </c>
      <c r="R1014" s="8" t="s">
        <v>39</v>
      </c>
      <c r="T1014" s="5" t="s">
        <v>40</v>
      </c>
      <c r="V1014" s="5"/>
      <c r="W1014" s="8"/>
      <c r="BB1014" s="7" t="str">
        <v>Quarter 4</v>
      </c>
    </row>
    <row r="1015" spans="1:54" ht="31.4" customHeight="1" x14ac:dyDescent="0.35">
      <c r="A1015" s="210">
        <v>1014</v>
      </c>
      <c r="B1015" s="8" t="s">
        <v>55</v>
      </c>
      <c r="C1015" s="8" t="s">
        <v>13</v>
      </c>
      <c r="D1015" s="8" t="s">
        <v>1874</v>
      </c>
      <c r="E1015" s="22">
        <v>46093</v>
      </c>
      <c r="F1015" s="11">
        <f t="shared" si="157"/>
        <v>46094</v>
      </c>
      <c r="G1015" s="11">
        <f t="shared" si="158"/>
        <v>46107</v>
      </c>
      <c r="H1015" s="11">
        <f t="shared" si="159"/>
        <v>46125</v>
      </c>
      <c r="I1015" s="149" t="str">
        <f t="shared" si="147"/>
        <v>Mar</v>
      </c>
      <c r="J1015" s="216" t="str">
        <f t="shared" ca="1" si="149"/>
        <v/>
      </c>
      <c r="K1015" s="149" t="s">
        <v>7</v>
      </c>
      <c r="M1015" s="17">
        <v>46100</v>
      </c>
      <c r="N1015" s="152">
        <f t="shared" si="148"/>
        <v>5</v>
      </c>
      <c r="O1015" s="12" t="str">
        <f t="shared" si="150"/>
        <v>Yes</v>
      </c>
      <c r="R1015" s="8" t="s">
        <v>39</v>
      </c>
      <c r="T1015" s="5" t="s">
        <v>40</v>
      </c>
      <c r="V1015" s="5"/>
      <c r="W1015" s="8" t="s">
        <v>1775</v>
      </c>
      <c r="BB1015" s="7" t="str">
        <v>Quarter 4</v>
      </c>
    </row>
    <row r="1016" spans="1:54" ht="31.4" customHeight="1" x14ac:dyDescent="0.35">
      <c r="A1016" s="210">
        <v>1015</v>
      </c>
      <c r="B1016" s="8" t="s">
        <v>461</v>
      </c>
      <c r="C1016" s="8" t="s">
        <v>9</v>
      </c>
      <c r="D1016" s="8" t="s">
        <v>337</v>
      </c>
      <c r="E1016" s="22">
        <v>46094</v>
      </c>
      <c r="F1016" s="11">
        <f t="shared" si="157"/>
        <v>46097</v>
      </c>
      <c r="G1016" s="11">
        <f t="shared" si="158"/>
        <v>46108</v>
      </c>
      <c r="H1016" s="11">
        <f t="shared" si="159"/>
        <v>46126</v>
      </c>
      <c r="I1016" s="149" t="str">
        <f t="shared" si="147"/>
        <v>Mar</v>
      </c>
      <c r="J1016" s="216" t="str">
        <f t="shared" ca="1" si="149"/>
        <v/>
      </c>
      <c r="K1016" s="149" t="s">
        <v>3</v>
      </c>
      <c r="M1016" s="17">
        <v>46097</v>
      </c>
      <c r="N1016" s="152">
        <f t="shared" si="148"/>
        <v>1</v>
      </c>
      <c r="O1016" s="12" t="str">
        <f t="shared" si="150"/>
        <v>Yes</v>
      </c>
      <c r="R1016" s="8" t="s">
        <v>39</v>
      </c>
      <c r="T1016" s="5" t="s">
        <v>40</v>
      </c>
      <c r="V1016" s="5"/>
      <c r="W1016" s="8"/>
      <c r="BB1016" s="7" t="str">
        <v>Quarter 4</v>
      </c>
    </row>
    <row r="1017" spans="1:54" ht="31.4" customHeight="1" x14ac:dyDescent="0.35">
      <c r="A1017" s="210">
        <v>1016</v>
      </c>
      <c r="B1017" s="8" t="s">
        <v>6</v>
      </c>
      <c r="C1017" s="8" t="s">
        <v>6</v>
      </c>
      <c r="D1017" s="8" t="s">
        <v>1794</v>
      </c>
      <c r="E1017" s="22">
        <v>46096</v>
      </c>
      <c r="F1017" s="11">
        <f t="shared" si="157"/>
        <v>46097</v>
      </c>
      <c r="G1017" s="11">
        <f t="shared" si="158"/>
        <v>46108</v>
      </c>
      <c r="H1017" s="11">
        <f t="shared" si="159"/>
        <v>46126</v>
      </c>
      <c r="I1017" s="149" t="str">
        <f t="shared" si="147"/>
        <v>Mar</v>
      </c>
      <c r="J1017" s="216" t="str">
        <f t="shared" ca="1" si="149"/>
        <v/>
      </c>
      <c r="K1017" s="149" t="s">
        <v>43</v>
      </c>
      <c r="M1017" s="17">
        <v>46100</v>
      </c>
      <c r="N1017" s="152">
        <f t="shared" ref="N1017:N1069" si="160">IF($M1017="","",NETWORKDAYS($E1017,$M1017,$Z$33:$Z$47)-1)</f>
        <v>3</v>
      </c>
      <c r="O1017" s="12" t="str">
        <f t="shared" si="150"/>
        <v>Yes</v>
      </c>
      <c r="R1017" s="8" t="s">
        <v>39</v>
      </c>
      <c r="T1017" s="5" t="s">
        <v>40</v>
      </c>
      <c r="V1017" s="5"/>
      <c r="W1017" s="8"/>
      <c r="BB1017" s="7" t="str">
        <v>Quarter 4</v>
      </c>
    </row>
    <row r="1018" spans="1:54" ht="31.4" customHeight="1" x14ac:dyDescent="0.35">
      <c r="A1018" s="210">
        <v>1017</v>
      </c>
      <c r="B1018" s="8" t="s">
        <v>1796</v>
      </c>
      <c r="C1018" s="8" t="s">
        <v>5</v>
      </c>
      <c r="D1018" s="8" t="s">
        <v>1797</v>
      </c>
      <c r="E1018" s="22">
        <v>46096</v>
      </c>
      <c r="F1018" s="11">
        <f t="shared" si="157"/>
        <v>46097</v>
      </c>
      <c r="G1018" s="11">
        <f t="shared" si="158"/>
        <v>46108</v>
      </c>
      <c r="H1018" s="11">
        <f t="shared" si="159"/>
        <v>46126</v>
      </c>
      <c r="I1018" s="149" t="str">
        <f t="shared" si="147"/>
        <v>Mar</v>
      </c>
      <c r="J1018" s="216" t="str">
        <f t="shared" ca="1" si="149"/>
        <v/>
      </c>
      <c r="K1018" s="149" t="s">
        <v>43</v>
      </c>
      <c r="M1018" s="17">
        <v>46098</v>
      </c>
      <c r="N1018" s="152">
        <f t="shared" si="160"/>
        <v>1</v>
      </c>
      <c r="O1018" s="12" t="str">
        <f t="shared" si="150"/>
        <v>Yes</v>
      </c>
      <c r="R1018" s="8" t="s">
        <v>39</v>
      </c>
      <c r="T1018" s="5" t="s">
        <v>40</v>
      </c>
      <c r="V1018" s="5"/>
      <c r="W1018" s="8"/>
      <c r="BB1018" s="7" t="str">
        <v>Quarter 4</v>
      </c>
    </row>
    <row r="1019" spans="1:54" ht="31.4" customHeight="1" x14ac:dyDescent="0.35">
      <c r="A1019" s="210">
        <v>1018</v>
      </c>
      <c r="B1019" s="8" t="s">
        <v>1798</v>
      </c>
      <c r="C1019" s="8" t="s">
        <v>11</v>
      </c>
      <c r="D1019" s="8" t="s">
        <v>1799</v>
      </c>
      <c r="E1019" s="22">
        <v>46097</v>
      </c>
      <c r="F1019" s="11">
        <f t="shared" si="157"/>
        <v>46098</v>
      </c>
      <c r="G1019" s="11">
        <f t="shared" si="158"/>
        <v>46111</v>
      </c>
      <c r="H1019" s="11">
        <f t="shared" si="159"/>
        <v>46127</v>
      </c>
      <c r="I1019" s="149" t="str">
        <f t="shared" si="147"/>
        <v>Mar</v>
      </c>
      <c r="J1019" s="216" t="str">
        <f t="shared" ca="1" si="149"/>
        <v/>
      </c>
      <c r="K1019" s="149" t="s">
        <v>43</v>
      </c>
      <c r="M1019" s="17">
        <v>46097</v>
      </c>
      <c r="N1019" s="152">
        <f t="shared" si="160"/>
        <v>0</v>
      </c>
      <c r="O1019" s="12" t="str">
        <f t="shared" si="150"/>
        <v>Yes</v>
      </c>
      <c r="R1019" s="8" t="s">
        <v>39</v>
      </c>
      <c r="T1019" s="5" t="s">
        <v>40</v>
      </c>
      <c r="V1019" s="5"/>
      <c r="W1019" s="8"/>
      <c r="BB1019" s="7" t="str">
        <v>Quarter 4</v>
      </c>
    </row>
    <row r="1020" spans="1:54" ht="31.4" customHeight="1" x14ac:dyDescent="0.35">
      <c r="A1020" s="210">
        <v>1019</v>
      </c>
      <c r="B1020" s="8" t="s">
        <v>1213</v>
      </c>
      <c r="C1020" s="8" t="s">
        <v>9</v>
      </c>
      <c r="D1020" s="8" t="s">
        <v>1800</v>
      </c>
      <c r="E1020" s="22">
        <v>46097</v>
      </c>
      <c r="F1020" s="11">
        <f t="shared" si="157"/>
        <v>46098</v>
      </c>
      <c r="G1020" s="11">
        <f t="shared" si="158"/>
        <v>46111</v>
      </c>
      <c r="H1020" s="11">
        <f t="shared" si="159"/>
        <v>46127</v>
      </c>
      <c r="I1020" s="69" t="str">
        <f t="shared" si="147"/>
        <v>Mar</v>
      </c>
      <c r="J1020" s="216" t="str">
        <f t="shared" ca="1" si="149"/>
        <v/>
      </c>
      <c r="K1020" s="149" t="s">
        <v>4</v>
      </c>
      <c r="M1020" s="17">
        <v>46139</v>
      </c>
      <c r="N1020" s="152">
        <f t="shared" si="160"/>
        <v>28</v>
      </c>
      <c r="O1020" s="12" t="str">
        <f t="shared" si="150"/>
        <v>No</v>
      </c>
      <c r="R1020" s="8" t="s">
        <v>39</v>
      </c>
      <c r="T1020" s="5" t="s">
        <v>40</v>
      </c>
      <c r="V1020" s="5"/>
      <c r="W1020" s="8"/>
      <c r="BB1020" s="7" t="str">
        <v>Quarter 4</v>
      </c>
    </row>
    <row r="1021" spans="1:54" ht="31.4" customHeight="1" x14ac:dyDescent="0.35">
      <c r="A1021" s="210">
        <v>1020</v>
      </c>
      <c r="B1021" s="8" t="s">
        <v>1801</v>
      </c>
      <c r="C1021" s="8" t="s">
        <v>9</v>
      </c>
      <c r="D1021" s="8" t="s">
        <v>1810</v>
      </c>
      <c r="E1021" s="22">
        <v>46098</v>
      </c>
      <c r="F1021" s="11">
        <f t="shared" si="157"/>
        <v>46099</v>
      </c>
      <c r="G1021" s="11">
        <f t="shared" si="158"/>
        <v>46112</v>
      </c>
      <c r="H1021" s="11">
        <f t="shared" si="159"/>
        <v>46128</v>
      </c>
      <c r="I1021" s="149" t="str">
        <f t="shared" si="147"/>
        <v>Mar</v>
      </c>
      <c r="J1021" s="216" t="str">
        <f t="shared" ca="1" si="149"/>
        <v/>
      </c>
      <c r="K1021" s="149" t="s">
        <v>4</v>
      </c>
      <c r="M1021" s="17">
        <v>46105</v>
      </c>
      <c r="N1021" s="152">
        <f t="shared" si="160"/>
        <v>5</v>
      </c>
      <c r="O1021" s="12" t="str">
        <f t="shared" si="150"/>
        <v>Yes</v>
      </c>
      <c r="R1021" s="8" t="s">
        <v>39</v>
      </c>
      <c r="T1021" s="5" t="s">
        <v>40</v>
      </c>
      <c r="V1021" s="5"/>
      <c r="W1021" s="8"/>
      <c r="BB1021" s="7" t="str">
        <v>Quarter 4</v>
      </c>
    </row>
    <row r="1022" spans="1:54" ht="31.4" customHeight="1" x14ac:dyDescent="0.35">
      <c r="A1022" s="210">
        <v>1021</v>
      </c>
      <c r="B1022" s="8" t="s">
        <v>1802</v>
      </c>
      <c r="C1022" s="8" t="s">
        <v>11</v>
      </c>
      <c r="D1022" s="8" t="s">
        <v>1803</v>
      </c>
      <c r="E1022" s="22">
        <v>46098</v>
      </c>
      <c r="F1022" s="11">
        <f t="shared" si="157"/>
        <v>46099</v>
      </c>
      <c r="G1022" s="11">
        <f t="shared" si="158"/>
        <v>46112</v>
      </c>
      <c r="H1022" s="11">
        <f t="shared" si="159"/>
        <v>46128</v>
      </c>
      <c r="I1022" s="149" t="str">
        <f t="shared" si="147"/>
        <v>Mar</v>
      </c>
      <c r="J1022" s="216" t="str">
        <f t="shared" ca="1" si="149"/>
        <v/>
      </c>
      <c r="K1022" s="149" t="s">
        <v>43</v>
      </c>
      <c r="M1022" s="17">
        <v>46107</v>
      </c>
      <c r="N1022" s="152">
        <f t="shared" si="160"/>
        <v>7</v>
      </c>
      <c r="O1022" s="12" t="str">
        <f t="shared" si="150"/>
        <v>Yes</v>
      </c>
      <c r="R1022" s="8" t="s">
        <v>39</v>
      </c>
      <c r="T1022" s="5" t="s">
        <v>40</v>
      </c>
      <c r="V1022" s="5"/>
      <c r="W1022" s="8"/>
      <c r="BB1022" s="7" t="str">
        <v>Quarter 4</v>
      </c>
    </row>
    <row r="1023" spans="1:54" ht="31.4" customHeight="1" x14ac:dyDescent="0.35">
      <c r="A1023" s="210">
        <v>1022</v>
      </c>
      <c r="B1023" s="8" t="s">
        <v>6</v>
      </c>
      <c r="C1023" s="8" t="s">
        <v>6</v>
      </c>
      <c r="D1023" s="8" t="s">
        <v>1805</v>
      </c>
      <c r="E1023" s="22">
        <v>46098</v>
      </c>
      <c r="F1023" s="11">
        <f t="shared" si="157"/>
        <v>46099</v>
      </c>
      <c r="G1023" s="11">
        <f t="shared" si="158"/>
        <v>46112</v>
      </c>
      <c r="H1023" s="11">
        <f t="shared" si="159"/>
        <v>46128</v>
      </c>
      <c r="I1023" s="69" t="str">
        <f t="shared" si="147"/>
        <v>Mar</v>
      </c>
      <c r="J1023" s="216" t="str">
        <f t="shared" ca="1" si="149"/>
        <v/>
      </c>
      <c r="K1023" s="149" t="s">
        <v>7</v>
      </c>
      <c r="M1023" s="17">
        <v>46120</v>
      </c>
      <c r="N1023" s="152">
        <f t="shared" si="160"/>
        <v>14</v>
      </c>
      <c r="O1023" s="12" t="str">
        <f t="shared" si="150"/>
        <v>Yes</v>
      </c>
      <c r="R1023" s="8" t="s">
        <v>39</v>
      </c>
      <c r="T1023" s="5" t="s">
        <v>40</v>
      </c>
      <c r="V1023" s="5"/>
      <c r="W1023" s="8"/>
      <c r="BB1023" s="7" t="str">
        <v>Quarter 4</v>
      </c>
    </row>
    <row r="1024" spans="1:54" ht="31.4" customHeight="1" x14ac:dyDescent="0.35">
      <c r="A1024" s="210">
        <v>1023</v>
      </c>
      <c r="B1024" s="8" t="s">
        <v>1806</v>
      </c>
      <c r="C1024" s="8" t="s">
        <v>9</v>
      </c>
      <c r="D1024" s="8" t="s">
        <v>1807</v>
      </c>
      <c r="E1024" s="22">
        <v>46098</v>
      </c>
      <c r="F1024" s="11">
        <f t="shared" si="157"/>
        <v>46099</v>
      </c>
      <c r="G1024" s="11">
        <f t="shared" si="158"/>
        <v>46112</v>
      </c>
      <c r="H1024" s="11">
        <f t="shared" si="159"/>
        <v>46128</v>
      </c>
      <c r="I1024" s="69" t="str">
        <f t="shared" si="147"/>
        <v>Mar</v>
      </c>
      <c r="J1024" s="216" t="str">
        <f t="shared" ca="1" si="149"/>
        <v/>
      </c>
      <c r="K1024" s="149" t="s">
        <v>43</v>
      </c>
      <c r="M1024" s="17">
        <v>46111</v>
      </c>
      <c r="N1024" s="152">
        <f t="shared" si="160"/>
        <v>9</v>
      </c>
      <c r="O1024" s="12" t="str">
        <f t="shared" si="150"/>
        <v>Yes</v>
      </c>
      <c r="R1024" s="8" t="s">
        <v>39</v>
      </c>
      <c r="T1024" s="5" t="s">
        <v>40</v>
      </c>
      <c r="V1024" s="5" t="s">
        <v>87</v>
      </c>
      <c r="W1024" s="8"/>
      <c r="BB1024" s="7" t="str">
        <v>Quarter 4</v>
      </c>
    </row>
    <row r="1025" spans="1:54" ht="31.4" customHeight="1" x14ac:dyDescent="0.35">
      <c r="A1025" s="210">
        <v>1024</v>
      </c>
      <c r="B1025" s="8" t="s">
        <v>319</v>
      </c>
      <c r="C1025" s="8" t="s">
        <v>5</v>
      </c>
      <c r="D1025" s="8" t="s">
        <v>1809</v>
      </c>
      <c r="E1025" s="22">
        <v>46099</v>
      </c>
      <c r="F1025" s="11">
        <f t="shared" si="157"/>
        <v>46100</v>
      </c>
      <c r="G1025" s="11">
        <f t="shared" si="158"/>
        <v>46113</v>
      </c>
      <c r="H1025" s="11">
        <f t="shared" si="159"/>
        <v>46129</v>
      </c>
      <c r="I1025" s="149" t="str">
        <f t="shared" si="147"/>
        <v>Mar</v>
      </c>
      <c r="J1025" s="216" t="str">
        <f t="shared" ca="1" si="149"/>
        <v/>
      </c>
      <c r="K1025" s="149" t="s">
        <v>7</v>
      </c>
      <c r="M1025" s="17">
        <v>46104</v>
      </c>
      <c r="N1025" s="152">
        <f t="shared" si="160"/>
        <v>3</v>
      </c>
      <c r="O1025" s="12" t="str">
        <f t="shared" si="150"/>
        <v>Yes</v>
      </c>
      <c r="R1025" s="8" t="s">
        <v>39</v>
      </c>
      <c r="T1025" s="5" t="s">
        <v>40</v>
      </c>
      <c r="V1025" s="5"/>
      <c r="W1025" s="8"/>
      <c r="BB1025" s="7" t="str">
        <v>Quarter 4</v>
      </c>
    </row>
    <row r="1026" spans="1:54" ht="31.4" customHeight="1" x14ac:dyDescent="0.35">
      <c r="A1026" s="210">
        <v>1025</v>
      </c>
      <c r="B1026" s="8" t="s">
        <v>336</v>
      </c>
      <c r="C1026" s="8" t="s">
        <v>9</v>
      </c>
      <c r="D1026" s="8" t="s">
        <v>1811</v>
      </c>
      <c r="E1026" s="22">
        <v>46099</v>
      </c>
      <c r="F1026" s="11">
        <f t="shared" si="157"/>
        <v>46100</v>
      </c>
      <c r="G1026" s="11">
        <f t="shared" si="158"/>
        <v>46113</v>
      </c>
      <c r="H1026" s="11">
        <f t="shared" si="159"/>
        <v>46129</v>
      </c>
      <c r="I1026" s="149" t="str">
        <f t="shared" si="147"/>
        <v>Mar</v>
      </c>
      <c r="J1026" s="216" t="str">
        <f t="shared" ref="J1026:J1069" ca="1" si="161">IF($E1026="","",IF($M1026="",$H1026-TODAY(),""))</f>
        <v/>
      </c>
      <c r="K1026" s="149" t="s">
        <v>3</v>
      </c>
      <c r="M1026" s="17">
        <v>46099</v>
      </c>
      <c r="N1026" s="152">
        <f t="shared" si="160"/>
        <v>0</v>
      </c>
      <c r="O1026" s="12" t="str">
        <f t="shared" si="150"/>
        <v>Yes</v>
      </c>
      <c r="R1026" s="8" t="s">
        <v>39</v>
      </c>
      <c r="T1026" s="5" t="s">
        <v>45</v>
      </c>
      <c r="V1026" s="5" t="s">
        <v>58</v>
      </c>
      <c r="W1026" s="8" t="s">
        <v>1812</v>
      </c>
      <c r="BB1026" s="7" t="str">
        <v>Quarter 4</v>
      </c>
    </row>
    <row r="1027" spans="1:54" ht="31.4" customHeight="1" x14ac:dyDescent="0.35">
      <c r="A1027" s="210">
        <v>1026</v>
      </c>
      <c r="B1027" s="8" t="s">
        <v>55</v>
      </c>
      <c r="C1027" s="8" t="s">
        <v>13</v>
      </c>
      <c r="D1027" s="8" t="s">
        <v>1845</v>
      </c>
      <c r="E1027" s="22">
        <v>46099</v>
      </c>
      <c r="F1027" s="11">
        <f t="shared" ref="F1027:F1069" si="162">IF($E1027="","",WORKDAY($E1027,1,$Z$33:$Z$41))</f>
        <v>46100</v>
      </c>
      <c r="G1027" s="11">
        <f t="shared" ref="G1027:G1069" si="163">IF($E1027="","",WORKDAY($E1027,10,$Z$33:$Z$41))</f>
        <v>46113</v>
      </c>
      <c r="H1027" s="11">
        <f t="shared" si="159"/>
        <v>46129</v>
      </c>
      <c r="I1027" s="69" t="str">
        <f t="shared" ref="I1027:I1060" si="164">IF(ISBLANK(E1027),"",TEXT(E1027,"mmm"))</f>
        <v>Mar</v>
      </c>
      <c r="J1027" s="216" t="str">
        <f t="shared" ca="1" si="161"/>
        <v/>
      </c>
      <c r="K1027" s="149" t="s">
        <v>4</v>
      </c>
      <c r="M1027" s="17">
        <v>46134</v>
      </c>
      <c r="N1027" s="152">
        <f t="shared" si="160"/>
        <v>23</v>
      </c>
      <c r="O1027" s="12" t="str">
        <f t="shared" ref="O1027:O1069" si="165">IF(ISBLANK($M1027),"",IF($N1027&lt;21,"Yes","No"))</f>
        <v>No</v>
      </c>
      <c r="R1027" s="8" t="s">
        <v>39</v>
      </c>
      <c r="T1027" s="5" t="s">
        <v>45</v>
      </c>
      <c r="V1027" s="5" t="s">
        <v>104</v>
      </c>
      <c r="W1027" s="8" t="s">
        <v>1907</v>
      </c>
      <c r="BB1027" s="7" t="str">
        <v>Quarter 4</v>
      </c>
    </row>
    <row r="1028" spans="1:54" ht="31.4" customHeight="1" x14ac:dyDescent="0.35">
      <c r="A1028" s="210">
        <v>1027</v>
      </c>
      <c r="B1028" s="8" t="s">
        <v>1813</v>
      </c>
      <c r="C1028" s="8" t="s">
        <v>9</v>
      </c>
      <c r="D1028" s="8" t="s">
        <v>1814</v>
      </c>
      <c r="E1028" s="22">
        <v>46100</v>
      </c>
      <c r="F1028" s="11">
        <f t="shared" si="162"/>
        <v>46101</v>
      </c>
      <c r="G1028" s="11">
        <f t="shared" si="163"/>
        <v>46114</v>
      </c>
      <c r="H1028" s="11">
        <f t="shared" si="159"/>
        <v>46132</v>
      </c>
      <c r="I1028" s="149" t="str">
        <f t="shared" si="164"/>
        <v>Mar</v>
      </c>
      <c r="J1028" s="216" t="str">
        <f t="shared" ca="1" si="161"/>
        <v/>
      </c>
      <c r="K1028" s="149" t="s">
        <v>43</v>
      </c>
      <c r="M1028" s="17">
        <v>46106</v>
      </c>
      <c r="N1028" s="152">
        <f t="shared" si="160"/>
        <v>4</v>
      </c>
      <c r="O1028" s="12" t="str">
        <f t="shared" si="165"/>
        <v>Yes</v>
      </c>
      <c r="R1028" s="8" t="s">
        <v>39</v>
      </c>
      <c r="T1028" s="5" t="s">
        <v>45</v>
      </c>
      <c r="V1028" s="5" t="s">
        <v>87</v>
      </c>
      <c r="W1028" s="8" t="s">
        <v>46</v>
      </c>
      <c r="BB1028" s="7" t="str">
        <v>Quarter 4</v>
      </c>
    </row>
    <row r="1029" spans="1:54" ht="31.4" customHeight="1" x14ac:dyDescent="0.35">
      <c r="A1029" s="210">
        <v>1028</v>
      </c>
      <c r="B1029" s="8" t="s">
        <v>1816</v>
      </c>
      <c r="C1029" s="8" t="s">
        <v>9</v>
      </c>
      <c r="D1029" s="8" t="s">
        <v>1844</v>
      </c>
      <c r="E1029" s="22">
        <v>46100</v>
      </c>
      <c r="F1029" s="11">
        <f t="shared" si="162"/>
        <v>46101</v>
      </c>
      <c r="G1029" s="11">
        <f t="shared" si="163"/>
        <v>46114</v>
      </c>
      <c r="H1029" s="11">
        <f t="shared" si="159"/>
        <v>46132</v>
      </c>
      <c r="I1029" s="69" t="str">
        <f t="shared" si="164"/>
        <v>Mar</v>
      </c>
      <c r="J1029" s="216" t="str">
        <f t="shared" ca="1" si="161"/>
        <v/>
      </c>
      <c r="K1029" s="149" t="s">
        <v>3</v>
      </c>
      <c r="M1029" s="17">
        <v>46113</v>
      </c>
      <c r="N1029" s="152">
        <f t="shared" si="160"/>
        <v>9</v>
      </c>
      <c r="O1029" s="12" t="str">
        <f t="shared" si="165"/>
        <v>Yes</v>
      </c>
      <c r="R1029" s="8" t="s">
        <v>39</v>
      </c>
      <c r="T1029" s="5" t="s">
        <v>45</v>
      </c>
      <c r="V1029" s="5" t="s">
        <v>87</v>
      </c>
      <c r="W1029" s="8"/>
      <c r="BB1029" s="7" t="str">
        <v>Quarter 4</v>
      </c>
    </row>
    <row r="1030" spans="1:54" ht="31.4" customHeight="1" x14ac:dyDescent="0.35">
      <c r="A1030" s="210">
        <v>1029</v>
      </c>
      <c r="B1030" s="8" t="s">
        <v>633</v>
      </c>
      <c r="C1030" s="8" t="s">
        <v>16</v>
      </c>
      <c r="D1030" s="8" t="s">
        <v>1817</v>
      </c>
      <c r="E1030" s="22">
        <v>46100</v>
      </c>
      <c r="F1030" s="11">
        <f t="shared" si="162"/>
        <v>46101</v>
      </c>
      <c r="G1030" s="11">
        <f t="shared" si="163"/>
        <v>46114</v>
      </c>
      <c r="H1030" s="11">
        <f t="shared" si="159"/>
        <v>46132</v>
      </c>
      <c r="I1030" s="69" t="str">
        <f t="shared" si="164"/>
        <v>Mar</v>
      </c>
      <c r="J1030" s="216" t="str">
        <f t="shared" ca="1" si="161"/>
        <v/>
      </c>
      <c r="K1030" s="149" t="s">
        <v>4</v>
      </c>
      <c r="M1030" s="17">
        <v>46122</v>
      </c>
      <c r="N1030" s="152">
        <f t="shared" si="160"/>
        <v>14</v>
      </c>
      <c r="O1030" s="12" t="str">
        <f t="shared" si="165"/>
        <v>Yes</v>
      </c>
      <c r="R1030" s="8" t="s">
        <v>39</v>
      </c>
      <c r="T1030" s="5" t="s">
        <v>40</v>
      </c>
      <c r="V1030" s="5"/>
      <c r="W1030" s="8"/>
      <c r="BB1030" s="7" t="str">
        <v>Quarter 4</v>
      </c>
    </row>
    <row r="1031" spans="1:54" ht="31.4" customHeight="1" x14ac:dyDescent="0.35">
      <c r="A1031" s="210">
        <v>1030</v>
      </c>
      <c r="B1031" s="8" t="s">
        <v>6</v>
      </c>
      <c r="C1031" s="8" t="s">
        <v>6</v>
      </c>
      <c r="D1031" s="8" t="s">
        <v>1684</v>
      </c>
      <c r="E1031" s="22">
        <v>46100</v>
      </c>
      <c r="F1031" s="11">
        <f t="shared" si="162"/>
        <v>46101</v>
      </c>
      <c r="G1031" s="11">
        <f t="shared" si="163"/>
        <v>46114</v>
      </c>
      <c r="H1031" s="11">
        <f t="shared" si="159"/>
        <v>46132</v>
      </c>
      <c r="I1031" s="69" t="str">
        <f t="shared" si="164"/>
        <v>Mar</v>
      </c>
      <c r="J1031" s="216" t="str">
        <f t="shared" ca="1" si="161"/>
        <v/>
      </c>
      <c r="K1031" s="149" t="s">
        <v>4</v>
      </c>
      <c r="M1031" s="17">
        <v>46133</v>
      </c>
      <c r="N1031" s="152">
        <f t="shared" si="160"/>
        <v>21</v>
      </c>
      <c r="O1031" s="12" t="str">
        <f t="shared" si="165"/>
        <v>No</v>
      </c>
      <c r="R1031" s="8" t="s">
        <v>39</v>
      </c>
      <c r="T1031" s="5" t="s">
        <v>40</v>
      </c>
      <c r="V1031" s="5" t="s">
        <v>54</v>
      </c>
      <c r="W1031" s="8"/>
      <c r="BB1031" s="7" t="str">
        <v>Quarter 4</v>
      </c>
    </row>
    <row r="1032" spans="1:54" ht="31.4" customHeight="1" x14ac:dyDescent="0.35">
      <c r="A1032" s="210">
        <v>1031</v>
      </c>
      <c r="B1032" s="8" t="s">
        <v>826</v>
      </c>
      <c r="C1032" s="8" t="s">
        <v>5</v>
      </c>
      <c r="D1032" s="8" t="s">
        <v>789</v>
      </c>
      <c r="E1032" s="22">
        <v>46100</v>
      </c>
      <c r="F1032" s="11">
        <f t="shared" si="162"/>
        <v>46101</v>
      </c>
      <c r="G1032" s="11">
        <f t="shared" si="163"/>
        <v>46114</v>
      </c>
      <c r="H1032" s="11">
        <f t="shared" si="159"/>
        <v>46132</v>
      </c>
      <c r="I1032" s="69" t="str">
        <f t="shared" si="164"/>
        <v>Mar</v>
      </c>
      <c r="J1032" s="216">
        <f t="shared" ca="1" si="161"/>
        <v>-11</v>
      </c>
      <c r="K1032" s="149" t="s">
        <v>3</v>
      </c>
      <c r="M1032" s="17"/>
      <c r="N1032" s="152" t="str">
        <f t="shared" si="160"/>
        <v/>
      </c>
      <c r="O1032" s="12" t="str">
        <f t="shared" si="165"/>
        <v/>
      </c>
      <c r="R1032" s="8" t="s">
        <v>44</v>
      </c>
      <c r="T1032" s="5"/>
      <c r="V1032" s="5"/>
      <c r="W1032" s="8"/>
      <c r="BB1032" s="7" t="str">
        <v>Quarter 4</v>
      </c>
    </row>
    <row r="1033" spans="1:54" ht="31.4" customHeight="1" x14ac:dyDescent="0.35">
      <c r="A1033" s="210">
        <v>1032</v>
      </c>
      <c r="B1033" s="8" t="s">
        <v>1741</v>
      </c>
      <c r="C1033" s="8" t="s">
        <v>5</v>
      </c>
      <c r="D1033" s="8" t="s">
        <v>1820</v>
      </c>
      <c r="E1033" s="22">
        <v>46100</v>
      </c>
      <c r="F1033" s="11">
        <f t="shared" si="162"/>
        <v>46101</v>
      </c>
      <c r="G1033" s="11">
        <f t="shared" si="163"/>
        <v>46114</v>
      </c>
      <c r="H1033" s="11">
        <f t="shared" si="159"/>
        <v>46132</v>
      </c>
      <c r="I1033" s="149" t="str">
        <f t="shared" si="164"/>
        <v>Mar</v>
      </c>
      <c r="J1033" s="216" t="str">
        <f t="shared" ca="1" si="161"/>
        <v/>
      </c>
      <c r="K1033" s="149" t="s">
        <v>43</v>
      </c>
      <c r="M1033" s="17">
        <v>46105</v>
      </c>
      <c r="N1033" s="152">
        <f t="shared" si="160"/>
        <v>3</v>
      </c>
      <c r="O1033" s="12" t="str">
        <f t="shared" si="165"/>
        <v>Yes</v>
      </c>
      <c r="R1033" s="8" t="s">
        <v>39</v>
      </c>
      <c r="T1033" s="5" t="s">
        <v>40</v>
      </c>
      <c r="V1033" s="5"/>
      <c r="W1033" s="8"/>
      <c r="BB1033" s="7" t="str">
        <v>Quarter 4</v>
      </c>
    </row>
    <row r="1034" spans="1:54" ht="31.4" customHeight="1" x14ac:dyDescent="0.35">
      <c r="A1034" s="210">
        <v>1033</v>
      </c>
      <c r="B1034" s="8" t="s">
        <v>55</v>
      </c>
      <c r="C1034" s="8" t="s">
        <v>13</v>
      </c>
      <c r="D1034" s="8" t="s">
        <v>1821</v>
      </c>
      <c r="E1034" s="22">
        <v>46101</v>
      </c>
      <c r="F1034" s="11">
        <f t="shared" si="162"/>
        <v>46104</v>
      </c>
      <c r="G1034" s="11">
        <f t="shared" si="163"/>
        <v>46118</v>
      </c>
      <c r="H1034" s="11">
        <f t="shared" si="159"/>
        <v>46133</v>
      </c>
      <c r="I1034" s="69" t="str">
        <f t="shared" si="164"/>
        <v>Mar</v>
      </c>
      <c r="J1034" s="216" t="str">
        <f t="shared" ca="1" si="161"/>
        <v/>
      </c>
      <c r="K1034" s="149" t="s">
        <v>4</v>
      </c>
      <c r="M1034" s="17">
        <v>46119</v>
      </c>
      <c r="N1034" s="152">
        <f t="shared" si="160"/>
        <v>10</v>
      </c>
      <c r="O1034" s="12" t="str">
        <f t="shared" si="165"/>
        <v>Yes</v>
      </c>
      <c r="R1034" s="8" t="s">
        <v>39</v>
      </c>
      <c r="T1034" s="5" t="s">
        <v>45</v>
      </c>
      <c r="V1034" s="5" t="s">
        <v>87</v>
      </c>
      <c r="W1034" s="8"/>
      <c r="BB1034" s="7" t="str">
        <v>Quarter 4</v>
      </c>
    </row>
    <row r="1035" spans="1:54" ht="31.4" customHeight="1" x14ac:dyDescent="0.35">
      <c r="A1035" s="210">
        <v>1034</v>
      </c>
      <c r="B1035" s="8" t="s">
        <v>6</v>
      </c>
      <c r="C1035" s="8" t="s">
        <v>6</v>
      </c>
      <c r="D1035" s="8" t="s">
        <v>1822</v>
      </c>
      <c r="E1035" s="22">
        <v>46101</v>
      </c>
      <c r="F1035" s="11">
        <f t="shared" si="162"/>
        <v>46104</v>
      </c>
      <c r="G1035" s="11">
        <f t="shared" si="163"/>
        <v>46118</v>
      </c>
      <c r="H1035" s="11">
        <f t="shared" si="159"/>
        <v>46133</v>
      </c>
      <c r="I1035" s="149" t="str">
        <f t="shared" si="164"/>
        <v>Mar</v>
      </c>
      <c r="J1035" s="216" t="str">
        <f t="shared" ca="1" si="161"/>
        <v/>
      </c>
      <c r="K1035" s="149" t="s">
        <v>4</v>
      </c>
      <c r="M1035" s="17">
        <v>46104</v>
      </c>
      <c r="N1035" s="152">
        <f t="shared" si="160"/>
        <v>1</v>
      </c>
      <c r="O1035" s="12" t="str">
        <f t="shared" si="165"/>
        <v>Yes</v>
      </c>
      <c r="R1035" s="8" t="s">
        <v>39</v>
      </c>
      <c r="T1035" s="5" t="s">
        <v>40</v>
      </c>
      <c r="V1035" s="5"/>
      <c r="W1035" s="8"/>
      <c r="BB1035" s="7" t="str">
        <v>Quarter 4</v>
      </c>
    </row>
    <row r="1036" spans="1:54" ht="31.4" customHeight="1" x14ac:dyDescent="0.35">
      <c r="A1036" s="210">
        <v>1035</v>
      </c>
      <c r="B1036" s="8" t="s">
        <v>1824</v>
      </c>
      <c r="C1036" s="8" t="s">
        <v>12</v>
      </c>
      <c r="D1036" s="8" t="s">
        <v>1823</v>
      </c>
      <c r="E1036" s="22">
        <v>46104</v>
      </c>
      <c r="F1036" s="11">
        <f t="shared" si="162"/>
        <v>46105</v>
      </c>
      <c r="G1036" s="11">
        <f t="shared" si="163"/>
        <v>46119</v>
      </c>
      <c r="H1036" s="11">
        <f t="shared" si="159"/>
        <v>46134</v>
      </c>
      <c r="I1036" s="69" t="str">
        <f t="shared" si="164"/>
        <v>Mar</v>
      </c>
      <c r="J1036" s="216" t="str">
        <f t="shared" ca="1" si="161"/>
        <v/>
      </c>
      <c r="K1036" s="149" t="s">
        <v>7</v>
      </c>
      <c r="M1036" s="17">
        <v>46119</v>
      </c>
      <c r="N1036" s="152">
        <f t="shared" si="160"/>
        <v>9</v>
      </c>
      <c r="O1036" s="12" t="str">
        <f t="shared" si="165"/>
        <v>Yes</v>
      </c>
      <c r="R1036" s="8" t="s">
        <v>39</v>
      </c>
      <c r="T1036" s="5" t="s">
        <v>40</v>
      </c>
      <c r="V1036" s="5"/>
      <c r="W1036" s="8"/>
      <c r="BB1036" s="7" t="str">
        <v>Quarter 4</v>
      </c>
    </row>
    <row r="1037" spans="1:54" ht="31.4" customHeight="1" x14ac:dyDescent="0.35">
      <c r="A1037" s="210">
        <v>1036</v>
      </c>
      <c r="B1037" s="8" t="s">
        <v>1798</v>
      </c>
      <c r="C1037" s="8" t="s">
        <v>11</v>
      </c>
      <c r="D1037" s="8" t="s">
        <v>1825</v>
      </c>
      <c r="E1037" s="22">
        <v>46103</v>
      </c>
      <c r="F1037" s="11">
        <f t="shared" si="162"/>
        <v>46104</v>
      </c>
      <c r="G1037" s="11">
        <f t="shared" si="163"/>
        <v>46118</v>
      </c>
      <c r="H1037" s="11">
        <f t="shared" si="159"/>
        <v>46133</v>
      </c>
      <c r="I1037" s="69" t="str">
        <f t="shared" si="164"/>
        <v>Mar</v>
      </c>
      <c r="J1037" s="216" t="str">
        <f t="shared" ca="1" si="161"/>
        <v/>
      </c>
      <c r="K1037" s="149" t="s">
        <v>43</v>
      </c>
      <c r="M1037" s="17">
        <v>46111</v>
      </c>
      <c r="N1037" s="152">
        <f t="shared" si="160"/>
        <v>5</v>
      </c>
      <c r="O1037" s="12" t="str">
        <f t="shared" si="165"/>
        <v>Yes</v>
      </c>
      <c r="R1037" s="8" t="s">
        <v>39</v>
      </c>
      <c r="T1037" s="5" t="s">
        <v>40</v>
      </c>
      <c r="V1037" s="5"/>
      <c r="W1037" s="8"/>
      <c r="BB1037" s="7" t="str">
        <v>Quarter 4</v>
      </c>
    </row>
    <row r="1038" spans="1:54" ht="31.4" customHeight="1" x14ac:dyDescent="0.35">
      <c r="A1038" s="210">
        <v>1037</v>
      </c>
      <c r="B1038" s="8" t="s">
        <v>6</v>
      </c>
      <c r="C1038" s="8" t="s">
        <v>6</v>
      </c>
      <c r="D1038" s="8" t="s">
        <v>1826</v>
      </c>
      <c r="E1038" s="22">
        <v>46103</v>
      </c>
      <c r="F1038" s="11">
        <f t="shared" si="162"/>
        <v>46104</v>
      </c>
      <c r="G1038" s="11">
        <f t="shared" si="163"/>
        <v>46118</v>
      </c>
      <c r="H1038" s="11">
        <f t="shared" si="159"/>
        <v>46133</v>
      </c>
      <c r="I1038" s="69" t="str">
        <f t="shared" si="164"/>
        <v>Mar</v>
      </c>
      <c r="J1038" s="216" t="str">
        <f t="shared" ca="1" si="161"/>
        <v/>
      </c>
      <c r="K1038" s="149" t="s">
        <v>7</v>
      </c>
      <c r="M1038" s="17">
        <v>46113</v>
      </c>
      <c r="N1038" s="152">
        <f t="shared" si="160"/>
        <v>7</v>
      </c>
      <c r="O1038" s="12" t="str">
        <f t="shared" si="165"/>
        <v>Yes</v>
      </c>
      <c r="R1038" s="8" t="s">
        <v>39</v>
      </c>
      <c r="T1038" s="5" t="s">
        <v>40</v>
      </c>
      <c r="V1038" s="5"/>
      <c r="W1038" s="8"/>
      <c r="BB1038" s="7" t="str">
        <v>Quarter 4</v>
      </c>
    </row>
    <row r="1039" spans="1:54" ht="31.4" customHeight="1" x14ac:dyDescent="0.35">
      <c r="A1039" s="210">
        <v>1038</v>
      </c>
      <c r="B1039" s="8" t="s">
        <v>6</v>
      </c>
      <c r="C1039" s="8" t="s">
        <v>6</v>
      </c>
      <c r="D1039" s="8" t="s">
        <v>1827</v>
      </c>
      <c r="E1039" s="22">
        <v>46104</v>
      </c>
      <c r="F1039" s="11">
        <f t="shared" si="162"/>
        <v>46105</v>
      </c>
      <c r="G1039" s="11">
        <f t="shared" si="163"/>
        <v>46119</v>
      </c>
      <c r="H1039" s="11">
        <f t="shared" si="159"/>
        <v>46134</v>
      </c>
      <c r="I1039" s="69" t="str">
        <f t="shared" si="164"/>
        <v>Mar</v>
      </c>
      <c r="J1039" s="216" t="str">
        <f t="shared" ca="1" si="161"/>
        <v/>
      </c>
      <c r="K1039" s="149" t="s">
        <v>4</v>
      </c>
      <c r="M1039" s="17">
        <v>46119</v>
      </c>
      <c r="N1039" s="152">
        <f t="shared" si="160"/>
        <v>9</v>
      </c>
      <c r="O1039" s="12" t="str">
        <f t="shared" si="165"/>
        <v>Yes</v>
      </c>
      <c r="R1039" s="8" t="s">
        <v>39</v>
      </c>
      <c r="T1039" s="5" t="s">
        <v>40</v>
      </c>
      <c r="V1039" s="5"/>
      <c r="W1039" s="8"/>
      <c r="BB1039" s="7" t="str">
        <v>Quarter 4</v>
      </c>
    </row>
    <row r="1040" spans="1:54" ht="31.4" customHeight="1" x14ac:dyDescent="0.35">
      <c r="A1040" s="210">
        <v>1039</v>
      </c>
      <c r="B1040" s="8" t="s">
        <v>55</v>
      </c>
      <c r="C1040" s="8" t="s">
        <v>13</v>
      </c>
      <c r="D1040" s="8" t="s">
        <v>1828</v>
      </c>
      <c r="E1040" s="22">
        <v>46104</v>
      </c>
      <c r="F1040" s="11">
        <f t="shared" si="162"/>
        <v>46105</v>
      </c>
      <c r="G1040" s="11">
        <f t="shared" si="163"/>
        <v>46119</v>
      </c>
      <c r="H1040" s="11">
        <f t="shared" si="159"/>
        <v>46134</v>
      </c>
      <c r="I1040" s="149" t="str">
        <f t="shared" si="164"/>
        <v>Mar</v>
      </c>
      <c r="J1040" s="216" t="str">
        <f t="shared" ca="1" si="161"/>
        <v/>
      </c>
      <c r="K1040" s="149" t="s">
        <v>4</v>
      </c>
      <c r="M1040" s="17">
        <v>46104</v>
      </c>
      <c r="N1040" s="152">
        <f t="shared" si="160"/>
        <v>0</v>
      </c>
      <c r="O1040" s="12" t="str">
        <f t="shared" si="165"/>
        <v>Yes</v>
      </c>
      <c r="R1040" s="8" t="s">
        <v>39</v>
      </c>
      <c r="T1040" s="5" t="s">
        <v>40</v>
      </c>
      <c r="V1040" s="5"/>
      <c r="W1040" s="8"/>
      <c r="BB1040" s="7" t="str">
        <v>Quarter 4</v>
      </c>
    </row>
    <row r="1041" spans="1:54" ht="31.4" customHeight="1" x14ac:dyDescent="0.35">
      <c r="A1041" s="210">
        <v>1040</v>
      </c>
      <c r="B1041" s="8" t="s">
        <v>6</v>
      </c>
      <c r="C1041" s="8" t="s">
        <v>6</v>
      </c>
      <c r="D1041" s="8" t="s">
        <v>1829</v>
      </c>
      <c r="E1041" s="22">
        <v>46104</v>
      </c>
      <c r="F1041" s="11">
        <f t="shared" si="162"/>
        <v>46105</v>
      </c>
      <c r="G1041" s="11">
        <f t="shared" si="163"/>
        <v>46119</v>
      </c>
      <c r="H1041" s="11">
        <f t="shared" si="159"/>
        <v>46134</v>
      </c>
      <c r="I1041" s="69" t="str">
        <f t="shared" si="164"/>
        <v>Mar</v>
      </c>
      <c r="J1041" s="216" t="str">
        <f t="shared" ca="1" si="161"/>
        <v/>
      </c>
      <c r="K1041" s="149" t="s">
        <v>3</v>
      </c>
      <c r="M1041" s="17">
        <v>46141</v>
      </c>
      <c r="N1041" s="152">
        <f t="shared" si="160"/>
        <v>25</v>
      </c>
      <c r="O1041" s="12" t="str">
        <f t="shared" si="165"/>
        <v>No</v>
      </c>
      <c r="R1041" s="8" t="s">
        <v>39</v>
      </c>
      <c r="T1041" s="5" t="s">
        <v>40</v>
      </c>
      <c r="V1041" s="5"/>
      <c r="W1041" s="8" t="s">
        <v>46</v>
      </c>
      <c r="BB1041" s="7" t="str">
        <v>Quarter 4</v>
      </c>
    </row>
    <row r="1042" spans="1:54" ht="31.4" customHeight="1" x14ac:dyDescent="0.35">
      <c r="A1042" s="210">
        <v>1041</v>
      </c>
      <c r="B1042" s="8" t="s">
        <v>1117</v>
      </c>
      <c r="C1042" s="8" t="s">
        <v>12</v>
      </c>
      <c r="D1042" s="8" t="s">
        <v>1830</v>
      </c>
      <c r="E1042" s="22">
        <v>46104</v>
      </c>
      <c r="F1042" s="11">
        <f t="shared" si="162"/>
        <v>46105</v>
      </c>
      <c r="G1042" s="11">
        <f t="shared" si="163"/>
        <v>46119</v>
      </c>
      <c r="H1042" s="11">
        <f t="shared" ref="H1042:H1069" si="166">IF($E1042="","",WORKDAY($E1042,20,$Z$33:$Z$47))</f>
        <v>46134</v>
      </c>
      <c r="I1042" s="149" t="str">
        <f t="shared" si="164"/>
        <v>Mar</v>
      </c>
      <c r="J1042" s="216" t="str">
        <f t="shared" ca="1" si="161"/>
        <v/>
      </c>
      <c r="K1042" s="149" t="s">
        <v>4</v>
      </c>
      <c r="M1042" s="17">
        <v>46105</v>
      </c>
      <c r="N1042" s="152">
        <f t="shared" si="160"/>
        <v>1</v>
      </c>
      <c r="O1042" s="12" t="str">
        <f t="shared" si="165"/>
        <v>Yes</v>
      </c>
      <c r="R1042" s="8" t="s">
        <v>39</v>
      </c>
      <c r="T1042" s="5" t="s">
        <v>40</v>
      </c>
      <c r="V1042" s="5"/>
      <c r="W1042" s="8"/>
      <c r="BB1042" s="7" t="str">
        <v>Quarter 4</v>
      </c>
    </row>
    <row r="1043" spans="1:54" ht="31.4" customHeight="1" x14ac:dyDescent="0.35">
      <c r="A1043" s="210">
        <v>1042</v>
      </c>
      <c r="B1043" s="8" t="s">
        <v>6</v>
      </c>
      <c r="C1043" s="8" t="s">
        <v>6</v>
      </c>
      <c r="D1043" s="8" t="s">
        <v>1831</v>
      </c>
      <c r="E1043" s="22">
        <v>46104</v>
      </c>
      <c r="F1043" s="11">
        <f t="shared" si="162"/>
        <v>46105</v>
      </c>
      <c r="G1043" s="11">
        <f t="shared" si="163"/>
        <v>46119</v>
      </c>
      <c r="H1043" s="11">
        <f t="shared" si="166"/>
        <v>46134</v>
      </c>
      <c r="I1043" s="69" t="str">
        <f t="shared" si="164"/>
        <v>Mar</v>
      </c>
      <c r="J1043" s="216" t="str">
        <f t="shared" ca="1" si="161"/>
        <v/>
      </c>
      <c r="K1043" s="149" t="s">
        <v>43</v>
      </c>
      <c r="M1043" s="17">
        <v>46115</v>
      </c>
      <c r="N1043" s="152">
        <f t="shared" si="160"/>
        <v>8</v>
      </c>
      <c r="O1043" s="12" t="str">
        <f t="shared" si="165"/>
        <v>Yes</v>
      </c>
      <c r="R1043" s="8" t="s">
        <v>39</v>
      </c>
      <c r="T1043" s="5" t="s">
        <v>45</v>
      </c>
      <c r="V1043" s="5" t="s">
        <v>87</v>
      </c>
      <c r="W1043" s="8"/>
      <c r="BB1043" s="7" t="str">
        <v>Quarter 4</v>
      </c>
    </row>
    <row r="1044" spans="1:54" ht="31.4" customHeight="1" x14ac:dyDescent="0.35">
      <c r="A1044" s="210">
        <v>1043</v>
      </c>
      <c r="B1044" s="8" t="s">
        <v>6</v>
      </c>
      <c r="C1044" s="8" t="s">
        <v>6</v>
      </c>
      <c r="D1044" s="8" t="s">
        <v>1832</v>
      </c>
      <c r="E1044" s="22">
        <v>46104</v>
      </c>
      <c r="F1044" s="11">
        <f t="shared" si="162"/>
        <v>46105</v>
      </c>
      <c r="G1044" s="11">
        <f t="shared" si="163"/>
        <v>46119</v>
      </c>
      <c r="H1044" s="11">
        <f t="shared" si="166"/>
        <v>46134</v>
      </c>
      <c r="I1044" s="69" t="str">
        <f t="shared" si="164"/>
        <v>Mar</v>
      </c>
      <c r="J1044" s="216" t="str">
        <f t="shared" ca="1" si="161"/>
        <v/>
      </c>
      <c r="K1044" s="149" t="s">
        <v>43</v>
      </c>
      <c r="M1044" s="17">
        <v>46121</v>
      </c>
      <c r="N1044" s="152">
        <f t="shared" si="160"/>
        <v>11</v>
      </c>
      <c r="O1044" s="12" t="str">
        <f t="shared" si="165"/>
        <v>Yes</v>
      </c>
      <c r="R1044" s="8" t="s">
        <v>39</v>
      </c>
      <c r="T1044" s="5" t="s">
        <v>45</v>
      </c>
      <c r="V1044" s="5" t="s">
        <v>80</v>
      </c>
      <c r="W1044" s="8" t="s">
        <v>1909</v>
      </c>
      <c r="BB1044" s="7" t="str">
        <v>Quarter 4</v>
      </c>
    </row>
    <row r="1045" spans="1:54" ht="31.4" customHeight="1" x14ac:dyDescent="0.35">
      <c r="A1045" s="210">
        <v>1044</v>
      </c>
      <c r="B1045" s="8" t="s">
        <v>1660</v>
      </c>
      <c r="C1045" s="8" t="s">
        <v>15</v>
      </c>
      <c r="D1045" s="8" t="s">
        <v>1833</v>
      </c>
      <c r="E1045" s="22">
        <v>46104</v>
      </c>
      <c r="F1045" s="11">
        <f t="shared" si="162"/>
        <v>46105</v>
      </c>
      <c r="G1045" s="11">
        <f t="shared" si="163"/>
        <v>46119</v>
      </c>
      <c r="H1045" s="11">
        <f t="shared" si="166"/>
        <v>46134</v>
      </c>
      <c r="I1045" s="149" t="str">
        <f t="shared" si="164"/>
        <v>Mar</v>
      </c>
      <c r="J1045" s="216" t="str">
        <f t="shared" ca="1" si="161"/>
        <v/>
      </c>
      <c r="K1045" s="149" t="s">
        <v>4</v>
      </c>
      <c r="M1045" s="17">
        <v>46105</v>
      </c>
      <c r="N1045" s="152">
        <f t="shared" si="160"/>
        <v>1</v>
      </c>
      <c r="O1045" s="12" t="str">
        <f t="shared" si="165"/>
        <v>Yes</v>
      </c>
      <c r="R1045" s="8" t="s">
        <v>39</v>
      </c>
      <c r="T1045" s="5" t="s">
        <v>40</v>
      </c>
      <c r="V1045" s="5"/>
      <c r="W1045" s="8"/>
      <c r="BB1045" s="7" t="str">
        <v>Quarter 4</v>
      </c>
    </row>
    <row r="1046" spans="1:54" ht="31.4" customHeight="1" x14ac:dyDescent="0.35">
      <c r="A1046" s="210">
        <v>1045</v>
      </c>
      <c r="B1046" s="8" t="s">
        <v>6</v>
      </c>
      <c r="C1046" s="8" t="s">
        <v>6</v>
      </c>
      <c r="D1046" s="8" t="s">
        <v>1835</v>
      </c>
      <c r="E1046" s="22">
        <v>46105</v>
      </c>
      <c r="F1046" s="11">
        <f t="shared" si="162"/>
        <v>46106</v>
      </c>
      <c r="G1046" s="11">
        <f t="shared" si="163"/>
        <v>46120</v>
      </c>
      <c r="H1046" s="11">
        <f t="shared" si="166"/>
        <v>46135</v>
      </c>
      <c r="I1046" s="69" t="str">
        <f t="shared" si="164"/>
        <v>Mar</v>
      </c>
      <c r="J1046" s="216" t="str">
        <f t="shared" ca="1" si="161"/>
        <v/>
      </c>
      <c r="K1046" s="149" t="s">
        <v>3</v>
      </c>
      <c r="M1046" s="17">
        <v>46141</v>
      </c>
      <c r="N1046" s="152">
        <f t="shared" si="160"/>
        <v>24</v>
      </c>
      <c r="O1046" s="12" t="str">
        <f t="shared" si="165"/>
        <v>No</v>
      </c>
      <c r="R1046" s="8" t="s">
        <v>39</v>
      </c>
      <c r="T1046" s="5" t="s">
        <v>62</v>
      </c>
      <c r="V1046" s="5"/>
      <c r="W1046" s="8"/>
      <c r="BB1046" s="7" t="str">
        <v>Quarter 4</v>
      </c>
    </row>
    <row r="1047" spans="1:54" ht="31.4" customHeight="1" x14ac:dyDescent="0.35">
      <c r="A1047" s="210">
        <v>1046</v>
      </c>
      <c r="B1047" s="8" t="s">
        <v>1836</v>
      </c>
      <c r="C1047" s="8" t="s">
        <v>9</v>
      </c>
      <c r="D1047" s="8" t="s">
        <v>854</v>
      </c>
      <c r="E1047" s="22">
        <v>46105</v>
      </c>
      <c r="F1047" s="11">
        <f t="shared" si="162"/>
        <v>46106</v>
      </c>
      <c r="G1047" s="11">
        <f t="shared" si="163"/>
        <v>46120</v>
      </c>
      <c r="H1047" s="11">
        <f t="shared" si="166"/>
        <v>46135</v>
      </c>
      <c r="I1047" s="149" t="str">
        <f t="shared" si="164"/>
        <v>Mar</v>
      </c>
      <c r="J1047" s="216" t="str">
        <f t="shared" ca="1" si="161"/>
        <v/>
      </c>
      <c r="K1047" s="149" t="s">
        <v>4</v>
      </c>
      <c r="M1047" s="17">
        <v>46105</v>
      </c>
      <c r="N1047" s="152">
        <f t="shared" si="160"/>
        <v>0</v>
      </c>
      <c r="O1047" s="12" t="str">
        <f t="shared" si="165"/>
        <v>Yes</v>
      </c>
      <c r="R1047" s="8" t="s">
        <v>39</v>
      </c>
      <c r="T1047" s="5" t="s">
        <v>40</v>
      </c>
      <c r="V1047" s="5" t="s">
        <v>54</v>
      </c>
      <c r="W1047" s="8"/>
      <c r="BB1047" s="7" t="str">
        <v>Quarter 4</v>
      </c>
    </row>
    <row r="1048" spans="1:54" ht="31.4" customHeight="1" x14ac:dyDescent="0.35">
      <c r="A1048" s="210">
        <v>1047</v>
      </c>
      <c r="B1048" s="8" t="s">
        <v>6</v>
      </c>
      <c r="C1048" s="8" t="s">
        <v>6</v>
      </c>
      <c r="D1048" s="8" t="s">
        <v>1846</v>
      </c>
      <c r="E1048" s="22">
        <v>46105</v>
      </c>
      <c r="F1048" s="11">
        <f t="shared" si="162"/>
        <v>46106</v>
      </c>
      <c r="G1048" s="11">
        <f t="shared" si="163"/>
        <v>46120</v>
      </c>
      <c r="H1048" s="11">
        <f t="shared" si="166"/>
        <v>46135</v>
      </c>
      <c r="I1048" s="69" t="str">
        <f t="shared" si="164"/>
        <v>Mar</v>
      </c>
      <c r="J1048" s="216" t="str">
        <f t="shared" ca="1" si="161"/>
        <v/>
      </c>
      <c r="K1048" s="149" t="s">
        <v>3</v>
      </c>
      <c r="M1048" s="17">
        <v>46119</v>
      </c>
      <c r="N1048" s="152">
        <f t="shared" si="160"/>
        <v>8</v>
      </c>
      <c r="O1048" s="12" t="str">
        <f t="shared" si="165"/>
        <v>Yes</v>
      </c>
      <c r="R1048" s="8" t="s">
        <v>39</v>
      </c>
      <c r="T1048" s="5" t="s">
        <v>40</v>
      </c>
      <c r="V1048" s="5"/>
      <c r="W1048" s="8"/>
      <c r="BB1048" s="7" t="str">
        <v>Quarter 4</v>
      </c>
    </row>
    <row r="1049" spans="1:54" ht="31.4" customHeight="1" x14ac:dyDescent="0.35">
      <c r="A1049" s="210">
        <v>1048</v>
      </c>
      <c r="B1049" s="8" t="s">
        <v>55</v>
      </c>
      <c r="C1049" s="8" t="s">
        <v>13</v>
      </c>
      <c r="D1049" s="8" t="s">
        <v>1838</v>
      </c>
      <c r="E1049" s="22">
        <v>46105</v>
      </c>
      <c r="F1049" s="11">
        <f t="shared" si="162"/>
        <v>46106</v>
      </c>
      <c r="G1049" s="11">
        <f t="shared" si="163"/>
        <v>46120</v>
      </c>
      <c r="H1049" s="11">
        <f t="shared" si="166"/>
        <v>46135</v>
      </c>
      <c r="I1049" s="149" t="str">
        <f t="shared" si="164"/>
        <v>Mar</v>
      </c>
      <c r="J1049" s="216" t="str">
        <f t="shared" ca="1" si="161"/>
        <v/>
      </c>
      <c r="K1049" s="149" t="s">
        <v>43</v>
      </c>
      <c r="M1049" s="17">
        <v>46108</v>
      </c>
      <c r="N1049" s="152">
        <f t="shared" si="160"/>
        <v>3</v>
      </c>
      <c r="O1049" s="12" t="str">
        <f t="shared" si="165"/>
        <v>Yes</v>
      </c>
      <c r="R1049" s="8" t="s">
        <v>39</v>
      </c>
      <c r="T1049" s="5" t="s">
        <v>40</v>
      </c>
      <c r="V1049" s="5"/>
      <c r="W1049" s="8" t="s">
        <v>46</v>
      </c>
      <c r="BB1049" s="7" t="str">
        <v>Quarter 4</v>
      </c>
    </row>
    <row r="1050" spans="1:54" ht="31.4" customHeight="1" x14ac:dyDescent="0.35">
      <c r="A1050" s="210">
        <v>1049</v>
      </c>
      <c r="B1050" s="8" t="s">
        <v>55</v>
      </c>
      <c r="C1050" s="8" t="s">
        <v>13</v>
      </c>
      <c r="D1050" s="8" t="s">
        <v>1839</v>
      </c>
      <c r="E1050" s="22">
        <v>46105</v>
      </c>
      <c r="F1050" s="11">
        <f t="shared" si="162"/>
        <v>46106</v>
      </c>
      <c r="G1050" s="11">
        <f t="shared" si="163"/>
        <v>46120</v>
      </c>
      <c r="H1050" s="11">
        <f t="shared" si="166"/>
        <v>46135</v>
      </c>
      <c r="I1050" s="69" t="str">
        <f t="shared" si="164"/>
        <v>Mar</v>
      </c>
      <c r="J1050" s="216" t="str">
        <f t="shared" ca="1" si="161"/>
        <v/>
      </c>
      <c r="K1050" s="149" t="s">
        <v>4</v>
      </c>
      <c r="M1050" s="17">
        <v>46122</v>
      </c>
      <c r="N1050" s="152">
        <f t="shared" si="160"/>
        <v>11</v>
      </c>
      <c r="O1050" s="12" t="str">
        <f t="shared" si="165"/>
        <v>Yes</v>
      </c>
      <c r="R1050" s="8" t="s">
        <v>39</v>
      </c>
      <c r="T1050" s="5" t="s">
        <v>40</v>
      </c>
      <c r="V1050" s="5" t="s">
        <v>54</v>
      </c>
      <c r="W1050" s="8" t="s">
        <v>46</v>
      </c>
      <c r="BB1050" s="7" t="str">
        <v>Quarter 4</v>
      </c>
    </row>
    <row r="1051" spans="1:54" ht="31.4" customHeight="1" x14ac:dyDescent="0.35">
      <c r="A1051" s="210">
        <v>1050</v>
      </c>
      <c r="B1051" s="8" t="s">
        <v>1840</v>
      </c>
      <c r="C1051" s="8" t="s">
        <v>5</v>
      </c>
      <c r="D1051" s="8" t="s">
        <v>1841</v>
      </c>
      <c r="E1051" s="22">
        <v>46106</v>
      </c>
      <c r="F1051" s="11">
        <f t="shared" si="162"/>
        <v>46107</v>
      </c>
      <c r="G1051" s="11">
        <f t="shared" si="163"/>
        <v>46121</v>
      </c>
      <c r="H1051" s="11">
        <f t="shared" si="166"/>
        <v>46136</v>
      </c>
      <c r="I1051" s="149" t="str">
        <f t="shared" si="164"/>
        <v>Mar</v>
      </c>
      <c r="J1051" s="216" t="str">
        <f t="shared" ca="1" si="161"/>
        <v/>
      </c>
      <c r="K1051" s="149" t="s">
        <v>4</v>
      </c>
      <c r="M1051" s="17">
        <v>46106</v>
      </c>
      <c r="N1051" s="152">
        <f t="shared" si="160"/>
        <v>0</v>
      </c>
      <c r="O1051" s="12" t="str">
        <f t="shared" si="165"/>
        <v>Yes</v>
      </c>
      <c r="R1051" s="8" t="s">
        <v>39</v>
      </c>
      <c r="T1051" s="5" t="s">
        <v>51</v>
      </c>
      <c r="V1051" s="5" t="s">
        <v>41</v>
      </c>
      <c r="W1051" s="8"/>
      <c r="BB1051" s="7" t="str">
        <v>Quarter 4</v>
      </c>
    </row>
    <row r="1052" spans="1:54" ht="31.4" customHeight="1" x14ac:dyDescent="0.35">
      <c r="A1052" s="210">
        <v>1051</v>
      </c>
      <c r="B1052" s="8" t="s">
        <v>1843</v>
      </c>
      <c r="C1052" s="8" t="s">
        <v>9</v>
      </c>
      <c r="D1052" s="8" t="s">
        <v>1842</v>
      </c>
      <c r="E1052" s="22">
        <v>46106</v>
      </c>
      <c r="F1052" s="11">
        <f t="shared" si="162"/>
        <v>46107</v>
      </c>
      <c r="G1052" s="11">
        <f t="shared" si="163"/>
        <v>46121</v>
      </c>
      <c r="H1052" s="11">
        <f t="shared" si="166"/>
        <v>46136</v>
      </c>
      <c r="I1052" s="149" t="str">
        <f t="shared" si="164"/>
        <v>Mar</v>
      </c>
      <c r="J1052" s="216" t="str">
        <f t="shared" ca="1" si="161"/>
        <v/>
      </c>
      <c r="K1052" s="149" t="s">
        <v>3</v>
      </c>
      <c r="M1052" s="17">
        <v>46106</v>
      </c>
      <c r="N1052" s="152">
        <f t="shared" si="160"/>
        <v>0</v>
      </c>
      <c r="O1052" s="12" t="str">
        <f t="shared" si="165"/>
        <v>Yes</v>
      </c>
      <c r="R1052" s="8" t="s">
        <v>39</v>
      </c>
      <c r="T1052" s="5" t="s">
        <v>40</v>
      </c>
      <c r="V1052" s="5"/>
      <c r="W1052" s="8" t="s">
        <v>46</v>
      </c>
      <c r="BB1052" s="7" t="str">
        <v>Quarter 4</v>
      </c>
    </row>
    <row r="1053" spans="1:54" ht="31.4" customHeight="1" x14ac:dyDescent="0.35">
      <c r="A1053" s="210">
        <v>1052</v>
      </c>
      <c r="B1053" s="8" t="s">
        <v>6</v>
      </c>
      <c r="C1053" s="8" t="s">
        <v>6</v>
      </c>
      <c r="D1053" s="8" t="s">
        <v>1847</v>
      </c>
      <c r="E1053" s="22">
        <v>46106</v>
      </c>
      <c r="F1053" s="11">
        <f t="shared" si="162"/>
        <v>46107</v>
      </c>
      <c r="G1053" s="11">
        <f t="shared" si="163"/>
        <v>46121</v>
      </c>
      <c r="H1053" s="11">
        <f t="shared" si="166"/>
        <v>46136</v>
      </c>
      <c r="I1053" s="69" t="str">
        <f t="shared" si="164"/>
        <v>Mar</v>
      </c>
      <c r="J1053" s="216" t="str">
        <f t="shared" ca="1" si="161"/>
        <v/>
      </c>
      <c r="K1053" s="149" t="s">
        <v>43</v>
      </c>
      <c r="M1053" s="17">
        <v>46111</v>
      </c>
      <c r="N1053" s="152">
        <f t="shared" si="160"/>
        <v>3</v>
      </c>
      <c r="O1053" s="12" t="str">
        <f t="shared" si="165"/>
        <v>Yes</v>
      </c>
      <c r="R1053" s="8" t="s">
        <v>39</v>
      </c>
      <c r="T1053" s="5" t="s">
        <v>40</v>
      </c>
      <c r="V1053" s="5"/>
      <c r="W1053" s="8"/>
      <c r="BB1053" s="7" t="str">
        <v>Quarter 4</v>
      </c>
    </row>
    <row r="1054" spans="1:54" ht="31.4" customHeight="1" x14ac:dyDescent="0.35">
      <c r="A1054" s="210">
        <v>1053</v>
      </c>
      <c r="B1054" s="8" t="s">
        <v>1843</v>
      </c>
      <c r="C1054" s="8" t="s">
        <v>9</v>
      </c>
      <c r="D1054" s="8" t="s">
        <v>1887</v>
      </c>
      <c r="E1054" s="22">
        <v>46106</v>
      </c>
      <c r="F1054" s="11">
        <f t="shared" si="162"/>
        <v>46107</v>
      </c>
      <c r="G1054" s="11">
        <f t="shared" si="163"/>
        <v>46121</v>
      </c>
      <c r="H1054" s="11">
        <f t="shared" si="166"/>
        <v>46136</v>
      </c>
      <c r="I1054" s="149" t="str">
        <f t="shared" si="164"/>
        <v>Mar</v>
      </c>
      <c r="J1054" s="216" t="str">
        <f t="shared" ca="1" si="161"/>
        <v/>
      </c>
      <c r="K1054" s="149" t="s">
        <v>3</v>
      </c>
      <c r="M1054" s="17">
        <v>46106</v>
      </c>
      <c r="N1054" s="152">
        <f t="shared" si="160"/>
        <v>0</v>
      </c>
      <c r="O1054" s="12" t="str">
        <f t="shared" si="165"/>
        <v>Yes</v>
      </c>
      <c r="R1054" s="8" t="s">
        <v>39</v>
      </c>
      <c r="T1054" s="5" t="s">
        <v>40</v>
      </c>
      <c r="V1054" s="5"/>
      <c r="W1054" s="8"/>
      <c r="BB1054" s="7" t="str">
        <v>Quarter 4</v>
      </c>
    </row>
    <row r="1055" spans="1:54" ht="31.4" customHeight="1" x14ac:dyDescent="0.35">
      <c r="A1055" s="210">
        <v>1054</v>
      </c>
      <c r="B1055" s="8" t="s">
        <v>1843</v>
      </c>
      <c r="C1055" s="8" t="s">
        <v>9</v>
      </c>
      <c r="D1055" s="8" t="s">
        <v>1889</v>
      </c>
      <c r="E1055" s="22">
        <v>46106</v>
      </c>
      <c r="F1055" s="11">
        <f t="shared" si="162"/>
        <v>46107</v>
      </c>
      <c r="G1055" s="11">
        <f t="shared" si="163"/>
        <v>46121</v>
      </c>
      <c r="H1055" s="11">
        <f t="shared" si="166"/>
        <v>46136</v>
      </c>
      <c r="I1055" s="69" t="str">
        <f t="shared" si="164"/>
        <v>Mar</v>
      </c>
      <c r="J1055" s="216">
        <f t="shared" ca="1" si="161"/>
        <v>-7</v>
      </c>
      <c r="K1055" s="149" t="s">
        <v>3</v>
      </c>
      <c r="M1055" s="17"/>
      <c r="N1055" s="152" t="str">
        <f t="shared" si="160"/>
        <v/>
      </c>
      <c r="O1055" s="12" t="str">
        <f t="shared" si="165"/>
        <v/>
      </c>
      <c r="R1055" s="8" t="s">
        <v>44</v>
      </c>
      <c r="T1055" s="5"/>
      <c r="V1055" s="5"/>
      <c r="W1055" s="8"/>
      <c r="BB1055" s="7" t="str">
        <v>Quarter 4</v>
      </c>
    </row>
    <row r="1056" spans="1:54" ht="31.4" customHeight="1" x14ac:dyDescent="0.35">
      <c r="A1056" s="210">
        <v>1055</v>
      </c>
      <c r="B1056" s="8" t="s">
        <v>6</v>
      </c>
      <c r="C1056" s="8" t="s">
        <v>6</v>
      </c>
      <c r="D1056" s="8" t="s">
        <v>160</v>
      </c>
      <c r="E1056" s="22">
        <v>46107</v>
      </c>
      <c r="F1056" s="11">
        <f t="shared" si="162"/>
        <v>46108</v>
      </c>
      <c r="G1056" s="11">
        <f t="shared" si="163"/>
        <v>46122</v>
      </c>
      <c r="H1056" s="11">
        <f t="shared" si="166"/>
        <v>46139</v>
      </c>
      <c r="I1056" s="69" t="str">
        <f t="shared" si="164"/>
        <v>Mar</v>
      </c>
      <c r="J1056" s="216" t="str">
        <f t="shared" ca="1" si="161"/>
        <v/>
      </c>
      <c r="K1056" s="149" t="s">
        <v>43</v>
      </c>
      <c r="M1056" s="17">
        <v>46108</v>
      </c>
      <c r="N1056" s="152">
        <f t="shared" si="160"/>
        <v>1</v>
      </c>
      <c r="O1056" s="12" t="str">
        <f t="shared" si="165"/>
        <v>Yes</v>
      </c>
      <c r="R1056" s="8" t="s">
        <v>39</v>
      </c>
      <c r="T1056" s="5" t="s">
        <v>40</v>
      </c>
      <c r="V1056" s="5"/>
      <c r="W1056" s="8"/>
      <c r="BB1056" s="7" t="str">
        <v>Quarter 4</v>
      </c>
    </row>
    <row r="1057" spans="1:54" ht="31.4" customHeight="1" x14ac:dyDescent="0.35">
      <c r="A1057" s="210">
        <v>1056</v>
      </c>
      <c r="B1057" s="8" t="s">
        <v>1890</v>
      </c>
      <c r="C1057" s="8" t="s">
        <v>9</v>
      </c>
      <c r="D1057" s="8" t="s">
        <v>1891</v>
      </c>
      <c r="E1057" s="22">
        <v>46107</v>
      </c>
      <c r="F1057" s="11">
        <f t="shared" si="162"/>
        <v>46108</v>
      </c>
      <c r="G1057" s="11">
        <f t="shared" si="163"/>
        <v>46122</v>
      </c>
      <c r="H1057" s="11">
        <f t="shared" si="166"/>
        <v>46139</v>
      </c>
      <c r="I1057" s="69" t="str">
        <f t="shared" si="164"/>
        <v>Mar</v>
      </c>
      <c r="J1057" s="216" t="str">
        <f t="shared" ca="1" si="161"/>
        <v/>
      </c>
      <c r="K1057" s="149" t="s">
        <v>4</v>
      </c>
      <c r="M1057" s="17">
        <v>46126</v>
      </c>
      <c r="N1057" s="152">
        <f t="shared" si="160"/>
        <v>11</v>
      </c>
      <c r="O1057" s="12" t="str">
        <f t="shared" si="165"/>
        <v>Yes</v>
      </c>
      <c r="R1057" s="8" t="s">
        <v>39</v>
      </c>
      <c r="T1057" s="5" t="s">
        <v>40</v>
      </c>
      <c r="V1057" s="5" t="s">
        <v>54</v>
      </c>
      <c r="W1057" s="8"/>
      <c r="BB1057" s="7" t="str">
        <v>Quarter 4</v>
      </c>
    </row>
    <row r="1058" spans="1:54" ht="31.4" customHeight="1" x14ac:dyDescent="0.35">
      <c r="A1058" s="210">
        <v>1057</v>
      </c>
      <c r="B1058" s="8" t="s">
        <v>6</v>
      </c>
      <c r="C1058" s="8" t="s">
        <v>6</v>
      </c>
      <c r="D1058" s="8" t="s">
        <v>1892</v>
      </c>
      <c r="E1058" s="22">
        <v>46107</v>
      </c>
      <c r="F1058" s="11">
        <f t="shared" si="162"/>
        <v>46108</v>
      </c>
      <c r="G1058" s="11">
        <f t="shared" si="163"/>
        <v>46122</v>
      </c>
      <c r="H1058" s="11">
        <f t="shared" si="166"/>
        <v>46139</v>
      </c>
      <c r="I1058" s="149" t="str">
        <f t="shared" si="164"/>
        <v>Mar</v>
      </c>
      <c r="J1058" s="216" t="str">
        <f t="shared" ca="1" si="161"/>
        <v/>
      </c>
      <c r="K1058" s="149" t="s">
        <v>4</v>
      </c>
      <c r="M1058" s="17">
        <v>46107</v>
      </c>
      <c r="N1058" s="152">
        <f t="shared" si="160"/>
        <v>0</v>
      </c>
      <c r="O1058" s="12" t="str">
        <f t="shared" si="165"/>
        <v>Yes</v>
      </c>
      <c r="R1058" s="8" t="s">
        <v>39</v>
      </c>
      <c r="T1058" s="5" t="s">
        <v>40</v>
      </c>
      <c r="V1058" s="5"/>
      <c r="W1058" s="8"/>
      <c r="BB1058" s="7" t="str">
        <v>Quarter 4</v>
      </c>
    </row>
    <row r="1059" spans="1:54" ht="31.4" customHeight="1" x14ac:dyDescent="0.35">
      <c r="A1059" s="210">
        <v>1058</v>
      </c>
      <c r="B1059" s="8" t="s">
        <v>55</v>
      </c>
      <c r="C1059" s="8" t="s">
        <v>13</v>
      </c>
      <c r="D1059" s="8" t="s">
        <v>1893</v>
      </c>
      <c r="E1059" s="22">
        <v>46107</v>
      </c>
      <c r="F1059" s="11">
        <f t="shared" si="162"/>
        <v>46108</v>
      </c>
      <c r="G1059" s="11">
        <f t="shared" si="163"/>
        <v>46122</v>
      </c>
      <c r="H1059" s="11">
        <f t="shared" si="166"/>
        <v>46139</v>
      </c>
      <c r="I1059" s="149" t="str">
        <f t="shared" si="164"/>
        <v>Mar</v>
      </c>
      <c r="J1059" s="216" t="str">
        <f t="shared" ca="1" si="161"/>
        <v/>
      </c>
      <c r="K1059" s="149" t="s">
        <v>4</v>
      </c>
      <c r="M1059" s="17">
        <v>46111</v>
      </c>
      <c r="N1059" s="152">
        <f t="shared" si="160"/>
        <v>2</v>
      </c>
      <c r="O1059" s="12" t="str">
        <f t="shared" si="165"/>
        <v>Yes</v>
      </c>
      <c r="R1059" s="8" t="s">
        <v>39</v>
      </c>
      <c r="T1059" s="5" t="s">
        <v>40</v>
      </c>
      <c r="V1059" s="5"/>
      <c r="W1059" s="8"/>
      <c r="BB1059" s="7" t="str">
        <v>Quarter 4</v>
      </c>
    </row>
    <row r="1060" spans="1:54" ht="31.4" customHeight="1" x14ac:dyDescent="0.35">
      <c r="A1060" s="210">
        <v>1059</v>
      </c>
      <c r="B1060" s="8" t="s">
        <v>633</v>
      </c>
      <c r="C1060" s="8" t="s">
        <v>15</v>
      </c>
      <c r="D1060" s="8" t="s">
        <v>1894</v>
      </c>
      <c r="E1060" s="22">
        <v>46107</v>
      </c>
      <c r="F1060" s="11">
        <f t="shared" si="162"/>
        <v>46108</v>
      </c>
      <c r="G1060" s="11">
        <f t="shared" si="163"/>
        <v>46122</v>
      </c>
      <c r="H1060" s="11">
        <f t="shared" si="166"/>
        <v>46139</v>
      </c>
      <c r="I1060" s="149" t="str">
        <f t="shared" si="164"/>
        <v>Mar</v>
      </c>
      <c r="J1060" s="216" t="str">
        <f t="shared" ca="1" si="161"/>
        <v/>
      </c>
      <c r="K1060" s="149" t="s">
        <v>4</v>
      </c>
      <c r="M1060" s="17">
        <v>46121</v>
      </c>
      <c r="N1060" s="152">
        <f t="shared" si="160"/>
        <v>8</v>
      </c>
      <c r="O1060" s="12" t="str">
        <f t="shared" si="165"/>
        <v>Yes</v>
      </c>
      <c r="R1060" s="8" t="s">
        <v>39</v>
      </c>
      <c r="T1060" s="5" t="s">
        <v>40</v>
      </c>
      <c r="V1060" s="5"/>
      <c r="W1060" s="8"/>
      <c r="BB1060" s="7" t="str">
        <v>Quarter 4</v>
      </c>
    </row>
    <row r="1061" spans="1:54" ht="31.4" customHeight="1" x14ac:dyDescent="0.35">
      <c r="A1061" s="210">
        <v>1060</v>
      </c>
      <c r="B1061" s="8" t="s">
        <v>6</v>
      </c>
      <c r="C1061" s="8" t="s">
        <v>6</v>
      </c>
      <c r="D1061" s="8" t="s">
        <v>1896</v>
      </c>
      <c r="E1061" s="22">
        <v>46107</v>
      </c>
      <c r="F1061" s="11">
        <f t="shared" si="162"/>
        <v>46108</v>
      </c>
      <c r="G1061" s="11">
        <f t="shared" si="163"/>
        <v>46122</v>
      </c>
      <c r="H1061" s="11">
        <f t="shared" si="166"/>
        <v>46139</v>
      </c>
      <c r="I1061" s="149" t="str">
        <f t="shared" ref="I1061:I1070" si="167">IF(ISBLANK(E1061),"",TEXT(E1061,"mmm"))</f>
        <v>Mar</v>
      </c>
      <c r="J1061" s="216" t="str">
        <f t="shared" ca="1" si="161"/>
        <v/>
      </c>
      <c r="K1061" s="149" t="s">
        <v>7</v>
      </c>
      <c r="M1061" s="17">
        <v>46133</v>
      </c>
      <c r="N1061" s="152">
        <f t="shared" si="160"/>
        <v>16</v>
      </c>
      <c r="O1061" s="12" t="str">
        <f t="shared" si="165"/>
        <v>Yes</v>
      </c>
      <c r="R1061" s="8" t="s">
        <v>39</v>
      </c>
      <c r="T1061" s="5" t="s">
        <v>40</v>
      </c>
      <c r="V1061" s="5"/>
      <c r="W1061" s="8"/>
      <c r="BB1061" s="7" t="str">
        <v>Quarter 4</v>
      </c>
    </row>
    <row r="1062" spans="1:54" ht="31.4" customHeight="1" x14ac:dyDescent="0.35">
      <c r="A1062" s="210">
        <v>1061</v>
      </c>
      <c r="B1062" s="8" t="s">
        <v>237</v>
      </c>
      <c r="C1062" s="8" t="s">
        <v>14</v>
      </c>
      <c r="D1062" s="8" t="s">
        <v>238</v>
      </c>
      <c r="E1062" s="22">
        <v>46108</v>
      </c>
      <c r="F1062" s="11">
        <f t="shared" si="162"/>
        <v>46111</v>
      </c>
      <c r="G1062" s="11">
        <f t="shared" si="163"/>
        <v>46125</v>
      </c>
      <c r="H1062" s="11">
        <f t="shared" si="166"/>
        <v>46140</v>
      </c>
      <c r="I1062" s="149" t="str">
        <f t="shared" si="167"/>
        <v>Mar</v>
      </c>
      <c r="J1062" s="216" t="str">
        <f t="shared" ca="1" si="161"/>
        <v/>
      </c>
      <c r="K1062" s="149" t="s">
        <v>4</v>
      </c>
      <c r="M1062" s="17">
        <v>46113</v>
      </c>
      <c r="N1062" s="152">
        <f t="shared" si="160"/>
        <v>3</v>
      </c>
      <c r="O1062" s="12" t="str">
        <f t="shared" si="165"/>
        <v>Yes</v>
      </c>
      <c r="R1062" s="8" t="s">
        <v>39</v>
      </c>
      <c r="T1062" s="5" t="s">
        <v>40</v>
      </c>
      <c r="V1062" s="5" t="s">
        <v>54</v>
      </c>
      <c r="W1062" s="8"/>
      <c r="BB1062" s="7" t="str">
        <v>Quarter 4</v>
      </c>
    </row>
    <row r="1063" spans="1:54" ht="31.4" customHeight="1" x14ac:dyDescent="0.35">
      <c r="A1063" s="210">
        <v>1062</v>
      </c>
      <c r="B1063" s="8" t="s">
        <v>6</v>
      </c>
      <c r="C1063" s="8" t="s">
        <v>6</v>
      </c>
      <c r="D1063" s="8" t="s">
        <v>1846</v>
      </c>
      <c r="E1063" s="22">
        <v>46108</v>
      </c>
      <c r="F1063" s="11">
        <f t="shared" si="162"/>
        <v>46111</v>
      </c>
      <c r="G1063" s="11">
        <f t="shared" si="163"/>
        <v>46125</v>
      </c>
      <c r="H1063" s="11">
        <f t="shared" si="166"/>
        <v>46140</v>
      </c>
      <c r="I1063" s="149" t="str">
        <f t="shared" si="167"/>
        <v>Mar</v>
      </c>
      <c r="J1063" s="216" t="str">
        <f t="shared" ca="1" si="161"/>
        <v/>
      </c>
      <c r="K1063" s="149" t="s">
        <v>3</v>
      </c>
      <c r="M1063" s="17">
        <v>46125</v>
      </c>
      <c r="N1063" s="152">
        <f t="shared" si="160"/>
        <v>9</v>
      </c>
      <c r="O1063" s="12" t="str">
        <f t="shared" si="165"/>
        <v>Yes</v>
      </c>
      <c r="R1063" s="8" t="s">
        <v>39</v>
      </c>
      <c r="T1063" s="5" t="s">
        <v>45</v>
      </c>
      <c r="V1063" s="5" t="s">
        <v>41</v>
      </c>
      <c r="W1063" s="8"/>
      <c r="BB1063" s="7" t="str">
        <v>Quarter 4</v>
      </c>
    </row>
    <row r="1064" spans="1:54" ht="31.4" customHeight="1" x14ac:dyDescent="0.35">
      <c r="A1064" s="210">
        <v>1063</v>
      </c>
      <c r="B1064" s="8" t="s">
        <v>6</v>
      </c>
      <c r="C1064" s="8" t="s">
        <v>6</v>
      </c>
      <c r="D1064" s="8" t="s">
        <v>1898</v>
      </c>
      <c r="E1064" s="22">
        <v>46110</v>
      </c>
      <c r="F1064" s="11">
        <f t="shared" si="162"/>
        <v>46111</v>
      </c>
      <c r="G1064" s="11">
        <f t="shared" si="163"/>
        <v>46125</v>
      </c>
      <c r="H1064" s="11">
        <f t="shared" si="166"/>
        <v>46140</v>
      </c>
      <c r="I1064" s="149" t="str">
        <f t="shared" si="167"/>
        <v>Mar</v>
      </c>
      <c r="J1064" s="216">
        <f t="shared" ca="1" si="161"/>
        <v>-3</v>
      </c>
      <c r="K1064" s="149" t="s">
        <v>4</v>
      </c>
      <c r="M1064" s="17"/>
      <c r="N1064" s="152" t="str">
        <f t="shared" si="160"/>
        <v/>
      </c>
      <c r="O1064" s="12" t="str">
        <f t="shared" si="165"/>
        <v/>
      </c>
      <c r="R1064" s="8" t="s">
        <v>44</v>
      </c>
      <c r="T1064" s="5"/>
      <c r="V1064" s="5"/>
      <c r="W1064" s="8"/>
      <c r="BB1064" s="7" t="str">
        <v>Quarter 4</v>
      </c>
    </row>
    <row r="1065" spans="1:54" ht="31.4" customHeight="1" x14ac:dyDescent="0.35">
      <c r="A1065" s="210">
        <v>1064</v>
      </c>
      <c r="B1065" s="8" t="s">
        <v>6</v>
      </c>
      <c r="C1065" s="8" t="s">
        <v>6</v>
      </c>
      <c r="D1065" s="8" t="s">
        <v>1899</v>
      </c>
      <c r="E1065" s="22">
        <v>46110</v>
      </c>
      <c r="F1065" s="11">
        <f t="shared" si="162"/>
        <v>46111</v>
      </c>
      <c r="G1065" s="11">
        <f t="shared" si="163"/>
        <v>46125</v>
      </c>
      <c r="H1065" s="11">
        <f t="shared" si="166"/>
        <v>46140</v>
      </c>
      <c r="I1065" s="149" t="str">
        <f t="shared" si="167"/>
        <v>Mar</v>
      </c>
      <c r="J1065" s="216" t="str">
        <f t="shared" ca="1" si="161"/>
        <v/>
      </c>
      <c r="K1065" s="149" t="s">
        <v>43</v>
      </c>
      <c r="M1065" s="17">
        <v>46111</v>
      </c>
      <c r="N1065" s="152">
        <f t="shared" si="160"/>
        <v>0</v>
      </c>
      <c r="O1065" s="12" t="str">
        <f t="shared" si="165"/>
        <v>Yes</v>
      </c>
      <c r="R1065" s="8" t="s">
        <v>39</v>
      </c>
      <c r="T1065" s="5" t="s">
        <v>40</v>
      </c>
      <c r="V1065" s="5"/>
      <c r="W1065" s="8"/>
      <c r="BB1065" s="7" t="str">
        <v>Quarter 4</v>
      </c>
    </row>
    <row r="1066" spans="1:54" ht="31.4" customHeight="1" x14ac:dyDescent="0.35">
      <c r="A1066" s="210">
        <v>1065</v>
      </c>
      <c r="B1066" s="8" t="s">
        <v>6</v>
      </c>
      <c r="C1066" s="8" t="s">
        <v>6</v>
      </c>
      <c r="D1066" s="8" t="s">
        <v>789</v>
      </c>
      <c r="E1066" s="22">
        <v>46109</v>
      </c>
      <c r="F1066" s="11">
        <f t="shared" si="162"/>
        <v>46111</v>
      </c>
      <c r="G1066" s="11">
        <f t="shared" si="163"/>
        <v>46125</v>
      </c>
      <c r="H1066" s="11">
        <f t="shared" si="166"/>
        <v>46140</v>
      </c>
      <c r="I1066" s="149" t="str">
        <f t="shared" si="167"/>
        <v>Mar</v>
      </c>
      <c r="J1066" s="216" t="str">
        <f t="shared" ca="1" si="161"/>
        <v/>
      </c>
      <c r="K1066" s="149" t="s">
        <v>3</v>
      </c>
      <c r="M1066" s="17">
        <v>46141</v>
      </c>
      <c r="N1066" s="152">
        <f t="shared" si="160"/>
        <v>20</v>
      </c>
      <c r="O1066" s="12" t="str">
        <f t="shared" si="165"/>
        <v>Yes</v>
      </c>
      <c r="R1066" s="8" t="s">
        <v>39</v>
      </c>
      <c r="T1066" s="5" t="s">
        <v>40</v>
      </c>
      <c r="V1066" s="5"/>
      <c r="W1066" s="8"/>
      <c r="BB1066" s="7" t="str">
        <v>Quarter 4</v>
      </c>
    </row>
    <row r="1067" spans="1:54" ht="31.4" customHeight="1" x14ac:dyDescent="0.35">
      <c r="A1067" s="210">
        <v>1066</v>
      </c>
      <c r="B1067" s="8" t="s">
        <v>1072</v>
      </c>
      <c r="C1067" s="8" t="s">
        <v>6</v>
      </c>
      <c r="D1067" s="8" t="s">
        <v>1902</v>
      </c>
      <c r="E1067" s="22">
        <v>46111</v>
      </c>
      <c r="F1067" s="11">
        <f t="shared" si="162"/>
        <v>46112</v>
      </c>
      <c r="G1067" s="11">
        <f t="shared" si="163"/>
        <v>46126</v>
      </c>
      <c r="H1067" s="11">
        <f t="shared" si="166"/>
        <v>46141</v>
      </c>
      <c r="I1067" s="149" t="str">
        <f t="shared" si="167"/>
        <v>Mar</v>
      </c>
      <c r="J1067" s="216" t="str">
        <f t="shared" ca="1" si="161"/>
        <v/>
      </c>
      <c r="K1067" s="149" t="s">
        <v>43</v>
      </c>
      <c r="M1067" s="17">
        <v>46140</v>
      </c>
      <c r="N1067" s="152">
        <f t="shared" si="160"/>
        <v>19</v>
      </c>
      <c r="O1067" s="12" t="str">
        <f t="shared" si="165"/>
        <v>Yes</v>
      </c>
      <c r="R1067" s="8" t="s">
        <v>39</v>
      </c>
      <c r="T1067" s="5" t="s">
        <v>40</v>
      </c>
      <c r="V1067" s="5"/>
      <c r="W1067" s="8"/>
      <c r="BB1067" s="7" t="str">
        <v>Quarter 4</v>
      </c>
    </row>
    <row r="1068" spans="1:54" ht="31.4" customHeight="1" x14ac:dyDescent="0.35">
      <c r="A1068" s="210">
        <v>1067</v>
      </c>
      <c r="B1068" s="8" t="s">
        <v>6</v>
      </c>
      <c r="C1068" s="8" t="s">
        <v>6</v>
      </c>
      <c r="D1068" s="8" t="s">
        <v>1904</v>
      </c>
      <c r="E1068" s="22">
        <v>46111</v>
      </c>
      <c r="F1068" s="11">
        <f t="shared" si="162"/>
        <v>46112</v>
      </c>
      <c r="G1068" s="11">
        <f t="shared" si="163"/>
        <v>46126</v>
      </c>
      <c r="H1068" s="11">
        <f t="shared" si="166"/>
        <v>46141</v>
      </c>
      <c r="I1068" s="149" t="str">
        <f t="shared" si="167"/>
        <v>Mar</v>
      </c>
      <c r="J1068" s="216" t="str">
        <f t="shared" ca="1" si="161"/>
        <v/>
      </c>
      <c r="K1068" s="149" t="s">
        <v>7</v>
      </c>
      <c r="M1068" s="17">
        <v>46141</v>
      </c>
      <c r="N1068" s="152">
        <f t="shared" si="160"/>
        <v>20</v>
      </c>
      <c r="O1068" s="12" t="str">
        <f t="shared" si="165"/>
        <v>Yes</v>
      </c>
      <c r="R1068" s="8" t="s">
        <v>39</v>
      </c>
      <c r="T1068" s="5" t="s">
        <v>40</v>
      </c>
      <c r="V1068" s="5"/>
      <c r="W1068" s="8"/>
      <c r="BB1068" s="7" t="str">
        <v>Quarter 4</v>
      </c>
    </row>
    <row r="1069" spans="1:54" ht="31.4" customHeight="1" x14ac:dyDescent="0.35">
      <c r="A1069" s="210">
        <v>1068</v>
      </c>
      <c r="B1069" s="8" t="s">
        <v>6</v>
      </c>
      <c r="C1069" s="8" t="s">
        <v>6</v>
      </c>
      <c r="D1069" s="8" t="s">
        <v>1905</v>
      </c>
      <c r="E1069" s="22">
        <v>46112</v>
      </c>
      <c r="F1069" s="11">
        <f t="shared" si="162"/>
        <v>46113</v>
      </c>
      <c r="G1069" s="11">
        <f t="shared" si="163"/>
        <v>46127</v>
      </c>
      <c r="H1069" s="11">
        <f t="shared" si="166"/>
        <v>46142</v>
      </c>
      <c r="I1069" s="149" t="str">
        <f t="shared" si="167"/>
        <v>Mar</v>
      </c>
      <c r="J1069" s="216" t="str">
        <f t="shared" ca="1" si="161"/>
        <v/>
      </c>
      <c r="K1069" s="149" t="s">
        <v>43</v>
      </c>
      <c r="M1069" s="17">
        <v>46133</v>
      </c>
      <c r="N1069" s="152">
        <f t="shared" si="160"/>
        <v>13</v>
      </c>
      <c r="O1069" s="12" t="str">
        <f t="shared" si="165"/>
        <v>Yes</v>
      </c>
      <c r="R1069" s="8" t="s">
        <v>39</v>
      </c>
      <c r="T1069" s="5" t="s">
        <v>40</v>
      </c>
      <c r="V1069" s="5"/>
      <c r="W1069" s="8" t="s">
        <v>46</v>
      </c>
      <c r="BB1069" s="7" t="str">
        <v>Quarter 4</v>
      </c>
    </row>
    <row r="1070" spans="1:54" ht="31.4" customHeight="1" x14ac:dyDescent="0.35">
      <c r="I1070" s="238" t="str">
        <f t="shared" si="167"/>
        <v/>
      </c>
      <c r="O1070" s="9"/>
      <c r="V1070" s="9"/>
      <c r="W1070" s="9"/>
      <c r="BB1070" s="7" t="e">
        <v>#N/A</v>
      </c>
    </row>
    <row r="1071" spans="1:54" ht="31.4" customHeight="1" x14ac:dyDescent="0.35">
      <c r="O1071" s="9"/>
      <c r="V1071" s="9"/>
      <c r="W1071" s="9"/>
      <c r="BB1071" s="7" t="e">
        <v>#N/A</v>
      </c>
    </row>
    <row r="1072" spans="1:54" ht="31.4" customHeight="1" x14ac:dyDescent="0.35">
      <c r="O1072" s="9"/>
      <c r="V1072" s="9"/>
      <c r="W1072" s="9"/>
      <c r="BB1072" s="7" t="e">
        <v>#N/A</v>
      </c>
    </row>
    <row r="1073" spans="15:54" ht="31.4" customHeight="1" x14ac:dyDescent="0.35">
      <c r="O1073" s="9"/>
      <c r="V1073" s="9"/>
      <c r="W1073" s="9"/>
      <c r="BB1073" s="7" t="e">
        <v>#N/A</v>
      </c>
    </row>
    <row r="1074" spans="15:54" ht="31.4" customHeight="1" x14ac:dyDescent="0.35">
      <c r="O1074" s="9"/>
      <c r="V1074" s="9"/>
      <c r="W1074" s="9"/>
      <c r="BB1074" s="7" t="e">
        <v>#N/A</v>
      </c>
    </row>
    <row r="1075" spans="15:54" ht="31.4" customHeight="1" x14ac:dyDescent="0.35">
      <c r="O1075" s="9"/>
      <c r="V1075" s="9"/>
      <c r="W1075" s="9"/>
      <c r="BB1075" s="7" t="e">
        <v>#N/A</v>
      </c>
    </row>
    <row r="1076" spans="15:54" ht="31.4" customHeight="1" x14ac:dyDescent="0.35">
      <c r="O1076" s="9"/>
      <c r="V1076" s="9"/>
      <c r="W1076" s="9"/>
      <c r="BB1076" s="7" t="e">
        <v>#N/A</v>
      </c>
    </row>
    <row r="1077" spans="15:54" ht="31.4" customHeight="1" x14ac:dyDescent="0.35">
      <c r="O1077" s="9"/>
      <c r="V1077" s="9"/>
      <c r="W1077" s="9"/>
      <c r="BB1077" s="7" t="e">
        <v>#N/A</v>
      </c>
    </row>
    <row r="1078" spans="15:54" ht="31.4" customHeight="1" x14ac:dyDescent="0.35">
      <c r="O1078" s="9"/>
      <c r="V1078" s="9"/>
      <c r="W1078" s="9"/>
      <c r="BB1078" s="7" t="e">
        <v>#N/A</v>
      </c>
    </row>
    <row r="1079" spans="15:54" ht="31.4" customHeight="1" x14ac:dyDescent="0.35">
      <c r="O1079" s="9"/>
      <c r="V1079" s="9"/>
      <c r="W1079" s="9"/>
      <c r="BB1079" s="7" t="e">
        <v>#N/A</v>
      </c>
    </row>
    <row r="1080" spans="15:54" ht="31.4" customHeight="1" x14ac:dyDescent="0.35">
      <c r="O1080" s="9"/>
      <c r="V1080" s="9"/>
      <c r="W1080" s="9"/>
      <c r="BB1080" s="7" t="e">
        <v>#N/A</v>
      </c>
    </row>
    <row r="1081" spans="15:54" ht="31.4" customHeight="1" x14ac:dyDescent="0.35">
      <c r="O1081" s="9"/>
      <c r="V1081" s="9"/>
      <c r="W1081" s="9"/>
      <c r="BB1081" s="7" t="e">
        <v>#N/A</v>
      </c>
    </row>
    <row r="1082" spans="15:54" ht="31.4" customHeight="1" x14ac:dyDescent="0.35">
      <c r="O1082" s="9"/>
      <c r="V1082" s="9"/>
      <c r="W1082" s="9"/>
      <c r="BB1082" s="7" t="e">
        <v>#N/A</v>
      </c>
    </row>
    <row r="1083" spans="15:54" ht="31.4" customHeight="1" x14ac:dyDescent="0.35">
      <c r="O1083" s="9"/>
      <c r="V1083" s="9"/>
      <c r="W1083" s="9"/>
      <c r="BB1083" s="7" t="e">
        <v>#N/A</v>
      </c>
    </row>
    <row r="1084" spans="15:54" ht="31.4" customHeight="1" x14ac:dyDescent="0.35">
      <c r="O1084" s="9"/>
      <c r="V1084" s="9"/>
      <c r="W1084" s="9"/>
      <c r="BB1084" s="7" t="e">
        <v>#N/A</v>
      </c>
    </row>
    <row r="1085" spans="15:54" ht="31.4" customHeight="1" x14ac:dyDescent="0.35">
      <c r="O1085" s="9"/>
      <c r="V1085" s="9"/>
      <c r="W1085" s="9"/>
      <c r="BB1085" s="7" t="e">
        <v>#N/A</v>
      </c>
    </row>
    <row r="1086" spans="15:54" ht="31.4" customHeight="1" x14ac:dyDescent="0.35">
      <c r="O1086" s="9"/>
      <c r="V1086" s="9"/>
      <c r="W1086" s="9"/>
      <c r="BB1086" s="7" t="e">
        <v>#N/A</v>
      </c>
    </row>
    <row r="1087" spans="15:54" ht="31.4" customHeight="1" x14ac:dyDescent="0.35">
      <c r="O1087" s="9"/>
      <c r="V1087" s="9"/>
      <c r="W1087" s="9"/>
      <c r="BB1087" s="7" t="e">
        <v>#N/A</v>
      </c>
    </row>
    <row r="1088" spans="15:54" ht="31.4" customHeight="1" x14ac:dyDescent="0.35">
      <c r="O1088" s="9"/>
      <c r="V1088" s="9"/>
      <c r="W1088" s="9"/>
      <c r="BB1088" s="7" t="e">
        <v>#N/A</v>
      </c>
    </row>
    <row r="1089" spans="15:54" ht="31.4" customHeight="1" x14ac:dyDescent="0.35">
      <c r="O1089" s="9"/>
      <c r="V1089" s="9"/>
      <c r="W1089" s="9"/>
      <c r="BB1089" s="7" t="e">
        <v>#N/A</v>
      </c>
    </row>
    <row r="1090" spans="15:54" ht="31.4" customHeight="1" x14ac:dyDescent="0.35">
      <c r="O1090" s="9"/>
      <c r="V1090" s="9"/>
      <c r="W1090" s="9"/>
      <c r="BB1090" s="7" t="e">
        <v>#N/A</v>
      </c>
    </row>
    <row r="1091" spans="15:54" ht="31.4" customHeight="1" x14ac:dyDescent="0.35">
      <c r="O1091" s="9"/>
      <c r="V1091" s="9"/>
      <c r="W1091" s="9"/>
      <c r="BB1091" s="7" t="e">
        <v>#N/A</v>
      </c>
    </row>
    <row r="1092" spans="15:54" ht="31.4" customHeight="1" x14ac:dyDescent="0.35">
      <c r="O1092" s="9"/>
      <c r="V1092" s="9"/>
      <c r="W1092" s="9"/>
      <c r="BB1092" s="7" t="e">
        <v>#N/A</v>
      </c>
    </row>
    <row r="1093" spans="15:54" ht="31.4" customHeight="1" x14ac:dyDescent="0.35">
      <c r="O1093" s="9"/>
      <c r="V1093" s="9"/>
      <c r="W1093" s="9"/>
      <c r="BB1093" s="7" t="e">
        <v>#N/A</v>
      </c>
    </row>
    <row r="1094" spans="15:54" ht="31.4" customHeight="1" x14ac:dyDescent="0.35">
      <c r="O1094" s="9"/>
      <c r="V1094" s="9"/>
      <c r="W1094" s="9"/>
      <c r="BB1094" s="7" t="e">
        <v>#N/A</v>
      </c>
    </row>
    <row r="1095" spans="15:54" ht="31.4" customHeight="1" x14ac:dyDescent="0.35">
      <c r="O1095" s="9"/>
      <c r="V1095" s="9"/>
      <c r="W1095" s="9"/>
      <c r="BB1095" s="7" t="e">
        <v>#N/A</v>
      </c>
    </row>
    <row r="1096" spans="15:54" ht="31.4" customHeight="1" x14ac:dyDescent="0.35">
      <c r="O1096" s="9"/>
      <c r="V1096" s="9"/>
      <c r="W1096" s="9"/>
      <c r="BB1096" s="7" t="e">
        <v>#N/A</v>
      </c>
    </row>
    <row r="1097" spans="15:54" ht="31.4" customHeight="1" x14ac:dyDescent="0.35">
      <c r="O1097" s="9"/>
      <c r="V1097" s="9"/>
      <c r="W1097" s="9"/>
      <c r="BB1097" s="7" t="e">
        <v>#N/A</v>
      </c>
    </row>
    <row r="1098" spans="15:54" ht="31.4" customHeight="1" x14ac:dyDescent="0.35">
      <c r="O1098" s="9"/>
      <c r="V1098" s="9"/>
      <c r="W1098" s="9"/>
      <c r="BB1098" s="7" t="e">
        <v>#N/A</v>
      </c>
    </row>
    <row r="1099" spans="15:54" ht="31.4" customHeight="1" x14ac:dyDescent="0.35">
      <c r="O1099" s="9"/>
      <c r="V1099" s="9"/>
      <c r="W1099" s="9"/>
      <c r="BB1099" s="7" t="e">
        <v>#N/A</v>
      </c>
    </row>
    <row r="1100" spans="15:54" ht="31.4" customHeight="1" x14ac:dyDescent="0.35">
      <c r="O1100" s="9"/>
      <c r="V1100" s="9"/>
      <c r="W1100" s="9"/>
      <c r="BB1100" s="7" t="e">
        <v>#N/A</v>
      </c>
    </row>
    <row r="1101" spans="15:54" ht="31.4" customHeight="1" x14ac:dyDescent="0.35">
      <c r="O1101" s="9"/>
      <c r="V1101" s="9"/>
      <c r="W1101" s="9"/>
      <c r="BB1101" s="7" t="e">
        <v>#N/A</v>
      </c>
    </row>
    <row r="1102" spans="15:54" ht="31.4" customHeight="1" x14ac:dyDescent="0.35">
      <c r="O1102" s="9"/>
      <c r="V1102" s="9"/>
      <c r="W1102" s="9"/>
      <c r="BB1102" s="7" t="e">
        <v>#N/A</v>
      </c>
    </row>
    <row r="1103" spans="15:54" ht="31.4" customHeight="1" x14ac:dyDescent="0.35">
      <c r="O1103" s="9"/>
      <c r="V1103" s="9"/>
      <c r="W1103" s="9"/>
      <c r="BB1103" s="7" t="e">
        <v>#N/A</v>
      </c>
    </row>
    <row r="1104" spans="15:54" ht="31.4" customHeight="1" x14ac:dyDescent="0.35">
      <c r="O1104" s="9"/>
      <c r="V1104" s="9"/>
      <c r="W1104" s="9"/>
      <c r="BB1104" s="7" t="e">
        <v>#N/A</v>
      </c>
    </row>
    <row r="1105" spans="15:54" ht="31.4" customHeight="1" x14ac:dyDescent="0.35">
      <c r="O1105" s="9"/>
      <c r="V1105" s="9"/>
      <c r="W1105" s="9"/>
      <c r="BB1105" s="7" t="e">
        <v>#N/A</v>
      </c>
    </row>
    <row r="1106" spans="15:54" ht="31.4" customHeight="1" x14ac:dyDescent="0.35">
      <c r="O1106" s="9"/>
      <c r="V1106" s="9"/>
      <c r="W1106" s="9"/>
      <c r="BB1106" s="7" t="e">
        <v>#N/A</v>
      </c>
    </row>
    <row r="1107" spans="15:54" ht="31.4" customHeight="1" x14ac:dyDescent="0.35">
      <c r="O1107" s="9"/>
      <c r="V1107" s="9"/>
      <c r="W1107" s="9"/>
      <c r="BB1107" s="7" t="e">
        <v>#N/A</v>
      </c>
    </row>
    <row r="1108" spans="15:54" ht="31.4" customHeight="1" x14ac:dyDescent="0.35">
      <c r="O1108" s="9"/>
      <c r="V1108" s="9"/>
      <c r="W1108" s="9"/>
      <c r="BB1108" s="7" t="e">
        <v>#N/A</v>
      </c>
    </row>
    <row r="1109" spans="15:54" ht="31.4" customHeight="1" x14ac:dyDescent="0.35">
      <c r="O1109" s="9"/>
      <c r="V1109" s="9"/>
      <c r="W1109" s="9"/>
      <c r="BB1109" s="7" t="e">
        <v>#N/A</v>
      </c>
    </row>
    <row r="1110" spans="15:54" ht="31.4" customHeight="1" x14ac:dyDescent="0.35">
      <c r="O1110" s="9"/>
      <c r="V1110" s="9"/>
      <c r="W1110" s="9"/>
      <c r="BB1110" s="7" t="e">
        <v>#N/A</v>
      </c>
    </row>
    <row r="1111" spans="15:54" ht="31.4" customHeight="1" x14ac:dyDescent="0.35">
      <c r="O1111" s="9"/>
      <c r="V1111" s="9"/>
      <c r="W1111" s="9"/>
      <c r="BB1111" s="7" t="e">
        <v>#N/A</v>
      </c>
    </row>
    <row r="1112" spans="15:54" ht="31.4" customHeight="1" x14ac:dyDescent="0.35">
      <c r="O1112" s="9"/>
      <c r="V1112" s="9"/>
      <c r="W1112" s="9"/>
      <c r="BB1112" s="7" t="e">
        <v>#N/A</v>
      </c>
    </row>
    <row r="1113" spans="15:54" ht="31.4" customHeight="1" x14ac:dyDescent="0.35">
      <c r="O1113" s="9"/>
      <c r="V1113" s="9"/>
      <c r="W1113" s="9"/>
      <c r="BB1113" s="7" t="e">
        <v>#N/A</v>
      </c>
    </row>
    <row r="1114" spans="15:54" ht="31.4" customHeight="1" x14ac:dyDescent="0.35">
      <c r="O1114" s="9"/>
      <c r="V1114" s="9"/>
      <c r="W1114" s="9"/>
      <c r="BB1114" s="7" t="e">
        <v>#N/A</v>
      </c>
    </row>
    <row r="1115" spans="15:54" ht="31.4" customHeight="1" x14ac:dyDescent="0.35">
      <c r="O1115" s="9"/>
      <c r="V1115" s="9"/>
      <c r="W1115" s="9"/>
      <c r="BB1115" s="7" t="e">
        <v>#N/A</v>
      </c>
    </row>
    <row r="1116" spans="15:54" ht="31.4" customHeight="1" x14ac:dyDescent="0.35">
      <c r="O1116" s="9"/>
      <c r="V1116" s="9"/>
      <c r="W1116" s="9"/>
      <c r="BB1116" s="7" t="e">
        <v>#N/A</v>
      </c>
    </row>
    <row r="1117" spans="15:54" ht="31.4" customHeight="1" x14ac:dyDescent="0.35">
      <c r="O1117" s="9"/>
      <c r="V1117" s="9"/>
      <c r="W1117" s="9"/>
      <c r="BB1117" s="7" t="e">
        <v>#N/A</v>
      </c>
    </row>
    <row r="1118" spans="15:54" ht="31.4" customHeight="1" x14ac:dyDescent="0.35">
      <c r="O1118" s="9"/>
      <c r="V1118" s="9"/>
      <c r="W1118" s="9"/>
      <c r="BB1118" s="7" t="e">
        <v>#N/A</v>
      </c>
    </row>
    <row r="1119" spans="15:54" ht="31.4" customHeight="1" x14ac:dyDescent="0.35">
      <c r="O1119" s="9"/>
      <c r="V1119" s="9"/>
      <c r="W1119" s="9"/>
      <c r="BB1119" s="7" t="e">
        <v>#N/A</v>
      </c>
    </row>
    <row r="1120" spans="15:54" ht="31.4" customHeight="1" x14ac:dyDescent="0.35">
      <c r="O1120" s="9"/>
      <c r="V1120" s="9"/>
      <c r="W1120" s="9"/>
      <c r="BB1120" s="7" t="e">
        <v>#N/A</v>
      </c>
    </row>
    <row r="1121" spans="15:54" ht="31.4" customHeight="1" x14ac:dyDescent="0.35">
      <c r="O1121" s="9"/>
      <c r="V1121" s="9"/>
      <c r="W1121" s="9"/>
      <c r="BB1121" s="7" t="e">
        <v>#N/A</v>
      </c>
    </row>
    <row r="1122" spans="15:54" ht="31.4" customHeight="1" x14ac:dyDescent="0.35">
      <c r="O1122" s="9"/>
      <c r="V1122" s="9"/>
      <c r="W1122" s="9"/>
      <c r="BB1122" s="7" t="e">
        <v>#N/A</v>
      </c>
    </row>
    <row r="1123" spans="15:54" ht="31.4" customHeight="1" x14ac:dyDescent="0.35">
      <c r="O1123" s="9"/>
      <c r="V1123" s="9"/>
      <c r="W1123" s="9"/>
      <c r="BB1123" s="7" t="e">
        <v>#N/A</v>
      </c>
    </row>
    <row r="1124" spans="15:54" ht="31.4" customHeight="1" x14ac:dyDescent="0.35">
      <c r="O1124" s="9"/>
      <c r="V1124" s="9"/>
      <c r="W1124" s="9"/>
      <c r="BB1124" s="7" t="e">
        <v>#N/A</v>
      </c>
    </row>
    <row r="1125" spans="15:54" ht="31.4" customHeight="1" x14ac:dyDescent="0.35">
      <c r="O1125" s="9"/>
      <c r="V1125" s="9"/>
      <c r="W1125" s="9"/>
      <c r="BB1125" s="7" t="e">
        <v>#N/A</v>
      </c>
    </row>
    <row r="1126" spans="15:54" ht="31.4" customHeight="1" x14ac:dyDescent="0.35">
      <c r="O1126" s="9"/>
      <c r="V1126" s="9"/>
      <c r="W1126" s="9"/>
      <c r="BB1126" s="7" t="e">
        <v>#N/A</v>
      </c>
    </row>
    <row r="1127" spans="15:54" ht="31.4" customHeight="1" x14ac:dyDescent="0.35">
      <c r="O1127" s="9"/>
      <c r="V1127" s="9"/>
      <c r="W1127" s="9"/>
      <c r="BB1127" s="7" t="e">
        <v>#N/A</v>
      </c>
    </row>
    <row r="1128" spans="15:54" ht="31.4" customHeight="1" x14ac:dyDescent="0.35">
      <c r="O1128" s="9"/>
      <c r="V1128" s="9"/>
      <c r="W1128" s="9"/>
      <c r="BB1128" s="7" t="e">
        <v>#N/A</v>
      </c>
    </row>
    <row r="1129" spans="15:54" ht="31.4" customHeight="1" x14ac:dyDescent="0.35">
      <c r="O1129" s="9"/>
      <c r="V1129" s="9"/>
      <c r="W1129" s="9"/>
      <c r="BB1129" s="7" t="e">
        <v>#N/A</v>
      </c>
    </row>
    <row r="1130" spans="15:54" ht="31.4" customHeight="1" x14ac:dyDescent="0.35">
      <c r="O1130" s="9"/>
      <c r="V1130" s="9"/>
      <c r="W1130" s="9"/>
      <c r="BB1130" s="7" t="e">
        <v>#N/A</v>
      </c>
    </row>
    <row r="1131" spans="15:54" ht="31.4" customHeight="1" x14ac:dyDescent="0.35">
      <c r="O1131" s="9"/>
      <c r="V1131" s="9"/>
      <c r="W1131" s="9"/>
      <c r="BB1131" s="7" t="e">
        <v>#N/A</v>
      </c>
    </row>
    <row r="1132" spans="15:54" ht="31.4" customHeight="1" x14ac:dyDescent="0.35">
      <c r="O1132" s="9"/>
      <c r="V1132" s="9"/>
      <c r="W1132" s="9"/>
      <c r="BB1132" s="7" t="e">
        <v>#N/A</v>
      </c>
    </row>
    <row r="1133" spans="15:54" ht="31.4" customHeight="1" x14ac:dyDescent="0.35">
      <c r="O1133" s="9"/>
      <c r="V1133" s="9"/>
      <c r="W1133" s="9"/>
      <c r="BB1133" s="7" t="e">
        <v>#N/A</v>
      </c>
    </row>
    <row r="1134" spans="15:54" ht="31.4" customHeight="1" x14ac:dyDescent="0.35">
      <c r="O1134" s="9"/>
      <c r="V1134" s="9"/>
      <c r="W1134" s="9"/>
      <c r="BB1134" s="7" t="e">
        <v>#N/A</v>
      </c>
    </row>
    <row r="1135" spans="15:54" ht="31.4" customHeight="1" x14ac:dyDescent="0.35">
      <c r="O1135" s="9"/>
      <c r="V1135" s="9"/>
      <c r="W1135" s="9"/>
      <c r="BB1135" s="7" t="e">
        <v>#N/A</v>
      </c>
    </row>
    <row r="1136" spans="15:54" ht="31.4" customHeight="1" x14ac:dyDescent="0.35">
      <c r="O1136" s="9"/>
      <c r="V1136" s="9"/>
      <c r="W1136" s="9"/>
      <c r="BB1136" s="7" t="e">
        <v>#N/A</v>
      </c>
    </row>
    <row r="1137" spans="15:54" ht="31.4" customHeight="1" x14ac:dyDescent="0.35">
      <c r="O1137" s="9"/>
      <c r="V1137" s="9"/>
      <c r="W1137" s="9"/>
      <c r="BB1137" s="7" t="e">
        <v>#N/A</v>
      </c>
    </row>
    <row r="1138" spans="15:54" ht="31.4" customHeight="1" x14ac:dyDescent="0.35">
      <c r="O1138" s="9"/>
      <c r="V1138" s="9"/>
      <c r="W1138" s="9"/>
      <c r="BB1138" s="7" t="e">
        <v>#N/A</v>
      </c>
    </row>
    <row r="1139" spans="15:54" ht="31.4" customHeight="1" x14ac:dyDescent="0.35">
      <c r="O1139" s="9"/>
      <c r="V1139" s="9"/>
      <c r="W1139" s="9"/>
      <c r="BB1139" s="7" t="e">
        <v>#N/A</v>
      </c>
    </row>
    <row r="1140" spans="15:54" ht="31.4" customHeight="1" x14ac:dyDescent="0.35">
      <c r="O1140" s="9"/>
      <c r="V1140" s="9"/>
      <c r="W1140" s="9"/>
      <c r="BB1140" s="7" t="e">
        <v>#N/A</v>
      </c>
    </row>
    <row r="1141" spans="15:54" ht="31.4" customHeight="1" x14ac:dyDescent="0.35">
      <c r="O1141" s="9"/>
      <c r="V1141" s="9"/>
      <c r="W1141" s="9"/>
      <c r="BB1141" s="7" t="e">
        <v>#N/A</v>
      </c>
    </row>
    <row r="1142" spans="15:54" ht="31.4" customHeight="1" x14ac:dyDescent="0.35">
      <c r="O1142" s="9"/>
      <c r="V1142" s="9"/>
      <c r="W1142" s="9"/>
      <c r="BB1142" s="7" t="e">
        <v>#N/A</v>
      </c>
    </row>
    <row r="1143" spans="15:54" ht="31.4" customHeight="1" x14ac:dyDescent="0.35">
      <c r="O1143" s="9"/>
      <c r="V1143" s="9"/>
      <c r="W1143" s="9"/>
      <c r="BB1143" s="7" t="e">
        <v>#N/A</v>
      </c>
    </row>
    <row r="1144" spans="15:54" ht="31.4" customHeight="1" x14ac:dyDescent="0.35">
      <c r="O1144" s="9"/>
      <c r="V1144" s="9"/>
      <c r="W1144" s="9"/>
      <c r="BB1144" s="7" t="e">
        <v>#N/A</v>
      </c>
    </row>
    <row r="1145" spans="15:54" ht="31.4" customHeight="1" x14ac:dyDescent="0.35">
      <c r="O1145" s="9"/>
      <c r="V1145" s="9"/>
      <c r="W1145" s="9"/>
      <c r="BB1145" s="7" t="e">
        <v>#N/A</v>
      </c>
    </row>
    <row r="1146" spans="15:54" ht="31.4" customHeight="1" x14ac:dyDescent="0.35">
      <c r="O1146" s="9"/>
      <c r="V1146" s="9"/>
      <c r="W1146" s="9"/>
      <c r="BB1146" s="7" t="e">
        <v>#N/A</v>
      </c>
    </row>
    <row r="1147" spans="15:54" ht="31.4" customHeight="1" x14ac:dyDescent="0.35">
      <c r="O1147" s="9"/>
      <c r="V1147" s="9"/>
      <c r="W1147" s="9"/>
      <c r="BB1147" s="7" t="e">
        <v>#N/A</v>
      </c>
    </row>
    <row r="1148" spans="15:54" ht="31.4" customHeight="1" x14ac:dyDescent="0.35">
      <c r="O1148" s="9"/>
      <c r="V1148" s="9"/>
      <c r="W1148" s="9"/>
      <c r="BB1148" s="7" t="e">
        <v>#N/A</v>
      </c>
    </row>
    <row r="1149" spans="15:54" ht="31.4" customHeight="1" x14ac:dyDescent="0.35">
      <c r="O1149" s="9"/>
      <c r="V1149" s="9"/>
      <c r="W1149" s="9"/>
      <c r="BB1149" s="7" t="e">
        <v>#N/A</v>
      </c>
    </row>
    <row r="1150" spans="15:54" ht="31.4" customHeight="1" x14ac:dyDescent="0.35">
      <c r="O1150" s="9"/>
      <c r="V1150" s="9"/>
      <c r="W1150" s="9"/>
      <c r="BB1150" s="7" t="e">
        <v>#N/A</v>
      </c>
    </row>
    <row r="1151" spans="15:54" ht="31.4" customHeight="1" x14ac:dyDescent="0.35">
      <c r="O1151" s="9"/>
      <c r="V1151" s="9"/>
      <c r="W1151" s="9"/>
      <c r="BB1151" s="7" t="e">
        <v>#N/A</v>
      </c>
    </row>
    <row r="1152" spans="15:54" ht="31.4" customHeight="1" x14ac:dyDescent="0.35">
      <c r="O1152" s="9"/>
      <c r="V1152" s="9"/>
      <c r="W1152" s="9"/>
      <c r="BB1152" s="7" t="e">
        <v>#N/A</v>
      </c>
    </row>
    <row r="1153" spans="15:54" ht="31.4" customHeight="1" x14ac:dyDescent="0.35">
      <c r="O1153" s="9"/>
      <c r="V1153" s="9"/>
      <c r="W1153" s="9"/>
      <c r="BB1153" s="7" t="e">
        <v>#N/A</v>
      </c>
    </row>
    <row r="1154" spans="15:54" ht="31.4" customHeight="1" x14ac:dyDescent="0.35">
      <c r="O1154" s="9"/>
      <c r="V1154" s="9"/>
      <c r="W1154" s="9"/>
      <c r="BB1154" s="7" t="e">
        <v>#N/A</v>
      </c>
    </row>
    <row r="1155" spans="15:54" ht="31.4" customHeight="1" x14ac:dyDescent="0.35">
      <c r="O1155" s="9"/>
      <c r="V1155" s="9"/>
      <c r="W1155" s="9"/>
      <c r="BB1155" s="7" t="e">
        <v>#N/A</v>
      </c>
    </row>
    <row r="1156" spans="15:54" ht="31.4" customHeight="1" x14ac:dyDescent="0.35">
      <c r="O1156" s="9"/>
      <c r="V1156" s="9"/>
      <c r="W1156" s="9"/>
      <c r="BB1156" s="7" t="e">
        <v>#N/A</v>
      </c>
    </row>
    <row r="1157" spans="15:54" ht="31.4" customHeight="1" x14ac:dyDescent="0.35">
      <c r="O1157" s="9"/>
      <c r="V1157" s="9"/>
      <c r="W1157" s="9"/>
      <c r="BB1157" s="7" t="e">
        <v>#N/A</v>
      </c>
    </row>
    <row r="1158" spans="15:54" ht="31.4" customHeight="1" x14ac:dyDescent="0.35">
      <c r="O1158" s="9"/>
      <c r="V1158" s="9"/>
      <c r="W1158" s="9"/>
      <c r="BB1158" s="7" t="e">
        <v>#N/A</v>
      </c>
    </row>
    <row r="1159" spans="15:54" ht="31.4" customHeight="1" x14ac:dyDescent="0.35">
      <c r="O1159" s="9"/>
      <c r="V1159" s="9"/>
      <c r="W1159" s="9"/>
      <c r="BB1159" s="7" t="e">
        <v>#N/A</v>
      </c>
    </row>
    <row r="1160" spans="15:54" ht="31.4" customHeight="1" x14ac:dyDescent="0.35">
      <c r="O1160" s="9"/>
      <c r="V1160" s="9"/>
      <c r="W1160" s="9"/>
      <c r="BB1160" s="7" t="e">
        <v>#N/A</v>
      </c>
    </row>
    <row r="1161" spans="15:54" ht="31.4" customHeight="1" x14ac:dyDescent="0.35">
      <c r="O1161" s="9"/>
      <c r="V1161" s="9"/>
      <c r="W1161" s="9"/>
      <c r="BB1161" s="7" t="e">
        <v>#N/A</v>
      </c>
    </row>
    <row r="1162" spans="15:54" ht="31.4" customHeight="1" x14ac:dyDescent="0.35">
      <c r="O1162" s="9"/>
      <c r="V1162" s="9"/>
      <c r="W1162" s="9"/>
      <c r="BB1162" s="7" t="e">
        <v>#N/A</v>
      </c>
    </row>
    <row r="1163" spans="15:54" ht="31.4" customHeight="1" x14ac:dyDescent="0.35">
      <c r="O1163" s="9"/>
      <c r="V1163" s="9"/>
      <c r="W1163" s="9"/>
      <c r="BB1163" s="7" t="e">
        <v>#N/A</v>
      </c>
    </row>
    <row r="1164" spans="15:54" ht="31.4" customHeight="1" x14ac:dyDescent="0.35">
      <c r="O1164" s="9"/>
      <c r="V1164" s="9"/>
      <c r="W1164" s="9"/>
      <c r="BB1164" s="7" t="e">
        <v>#N/A</v>
      </c>
    </row>
    <row r="1165" spans="15:54" ht="31.4" customHeight="1" x14ac:dyDescent="0.35">
      <c r="O1165" s="9"/>
      <c r="V1165" s="9"/>
      <c r="W1165" s="9"/>
      <c r="BB1165" s="7" t="e">
        <v>#N/A</v>
      </c>
    </row>
    <row r="1166" spans="15:54" ht="31.4" customHeight="1" x14ac:dyDescent="0.35">
      <c r="O1166" s="9"/>
      <c r="V1166" s="9"/>
      <c r="W1166" s="9"/>
      <c r="BB1166" s="7" t="e">
        <v>#N/A</v>
      </c>
    </row>
    <row r="1167" spans="15:54" ht="31.4" customHeight="1" x14ac:dyDescent="0.35">
      <c r="O1167" s="9"/>
      <c r="V1167" s="9"/>
      <c r="W1167" s="9"/>
      <c r="BB1167" s="7" t="e">
        <v>#N/A</v>
      </c>
    </row>
    <row r="1168" spans="15:54" ht="31.4" customHeight="1" x14ac:dyDescent="0.35">
      <c r="O1168" s="9"/>
      <c r="V1168" s="9"/>
      <c r="W1168" s="9"/>
      <c r="BB1168" s="7" t="e">
        <v>#N/A</v>
      </c>
    </row>
    <row r="1169" spans="15:54" ht="31.4" customHeight="1" x14ac:dyDescent="0.35">
      <c r="O1169" s="9"/>
      <c r="V1169" s="9"/>
      <c r="W1169" s="9"/>
      <c r="BB1169" s="7" t="e">
        <v>#N/A</v>
      </c>
    </row>
    <row r="1170" spans="15:54" ht="31.4" customHeight="1" x14ac:dyDescent="0.35">
      <c r="O1170" s="9"/>
      <c r="V1170" s="9"/>
      <c r="W1170" s="9"/>
      <c r="BB1170" s="7" t="e">
        <v>#N/A</v>
      </c>
    </row>
    <row r="1171" spans="15:54" ht="31.4" customHeight="1" x14ac:dyDescent="0.35">
      <c r="O1171" s="9"/>
      <c r="V1171" s="9"/>
      <c r="W1171" s="9"/>
      <c r="BB1171" s="7" t="e">
        <v>#N/A</v>
      </c>
    </row>
    <row r="1172" spans="15:54" ht="31.4" customHeight="1" x14ac:dyDescent="0.35">
      <c r="O1172" s="9"/>
      <c r="V1172" s="9"/>
      <c r="W1172" s="9"/>
      <c r="BB1172" s="7" t="e">
        <v>#N/A</v>
      </c>
    </row>
    <row r="1173" spans="15:54" ht="31.4" customHeight="1" x14ac:dyDescent="0.35">
      <c r="O1173" s="9"/>
      <c r="V1173" s="9"/>
      <c r="W1173" s="9"/>
      <c r="BB1173" s="7" t="e">
        <v>#N/A</v>
      </c>
    </row>
    <row r="1174" spans="15:54" ht="31.4" customHeight="1" x14ac:dyDescent="0.35">
      <c r="O1174" s="9"/>
      <c r="V1174" s="9"/>
      <c r="W1174" s="9"/>
      <c r="BB1174" s="7" t="e">
        <v>#N/A</v>
      </c>
    </row>
    <row r="1175" spans="15:54" ht="31.4" customHeight="1" x14ac:dyDescent="0.35">
      <c r="O1175" s="9"/>
      <c r="V1175" s="9"/>
      <c r="W1175" s="9"/>
      <c r="BB1175" s="7" t="e">
        <v>#N/A</v>
      </c>
    </row>
    <row r="1176" spans="15:54" ht="31.4" customHeight="1" x14ac:dyDescent="0.35">
      <c r="O1176" s="9"/>
      <c r="V1176" s="9"/>
      <c r="W1176" s="9"/>
      <c r="BB1176" s="7" t="e">
        <v>#N/A</v>
      </c>
    </row>
    <row r="1177" spans="15:54" ht="31.4" customHeight="1" x14ac:dyDescent="0.35">
      <c r="O1177" s="9"/>
      <c r="V1177" s="9"/>
      <c r="W1177" s="9"/>
      <c r="BB1177" s="7" t="e">
        <v>#N/A</v>
      </c>
    </row>
    <row r="1178" spans="15:54" ht="31.4" customHeight="1" x14ac:dyDescent="0.35">
      <c r="O1178" s="9"/>
      <c r="V1178" s="9"/>
      <c r="W1178" s="9"/>
      <c r="BB1178" s="7" t="e">
        <v>#N/A</v>
      </c>
    </row>
    <row r="1179" spans="15:54" ht="31.4" customHeight="1" x14ac:dyDescent="0.35">
      <c r="O1179" s="9"/>
      <c r="V1179" s="9"/>
      <c r="W1179" s="9"/>
      <c r="BB1179" s="7" t="e">
        <v>#N/A</v>
      </c>
    </row>
    <row r="1180" spans="15:54" ht="31.4" customHeight="1" x14ac:dyDescent="0.35">
      <c r="O1180" s="9"/>
      <c r="V1180" s="9"/>
      <c r="W1180" s="9"/>
      <c r="BB1180" s="7" t="e">
        <v>#N/A</v>
      </c>
    </row>
    <row r="1181" spans="15:54" ht="31.4" customHeight="1" x14ac:dyDescent="0.35">
      <c r="O1181" s="9"/>
      <c r="V1181" s="9"/>
      <c r="W1181" s="9"/>
      <c r="BB1181" s="7" t="e">
        <v>#N/A</v>
      </c>
    </row>
    <row r="1182" spans="15:54" ht="31.4" customHeight="1" x14ac:dyDescent="0.35">
      <c r="O1182" s="9"/>
      <c r="V1182" s="9"/>
      <c r="W1182" s="9"/>
      <c r="BB1182" s="7" t="e">
        <v>#N/A</v>
      </c>
    </row>
    <row r="1183" spans="15:54" ht="31.4" customHeight="1" x14ac:dyDescent="0.35">
      <c r="O1183" s="9"/>
      <c r="V1183" s="9"/>
      <c r="W1183" s="9"/>
      <c r="BB1183" s="7" t="e">
        <v>#N/A</v>
      </c>
    </row>
    <row r="1184" spans="15:54" ht="31.4" customHeight="1" x14ac:dyDescent="0.35">
      <c r="O1184" s="9"/>
      <c r="V1184" s="9"/>
      <c r="W1184" s="9"/>
      <c r="BB1184" s="7" t="e">
        <v>#N/A</v>
      </c>
    </row>
    <row r="1185" spans="15:54" ht="31.4" customHeight="1" x14ac:dyDescent="0.35">
      <c r="O1185" s="9"/>
      <c r="V1185" s="9"/>
      <c r="W1185" s="9"/>
      <c r="BB1185" s="7" t="e">
        <v>#N/A</v>
      </c>
    </row>
    <row r="1186" spans="15:54" ht="31.4" customHeight="1" x14ac:dyDescent="0.35">
      <c r="O1186" s="9"/>
      <c r="V1186" s="9"/>
      <c r="W1186" s="9"/>
      <c r="BB1186" s="7" t="e">
        <v>#N/A</v>
      </c>
    </row>
    <row r="1187" spans="15:54" ht="31.4" customHeight="1" x14ac:dyDescent="0.35">
      <c r="O1187" s="9"/>
      <c r="V1187" s="9"/>
      <c r="W1187" s="9"/>
      <c r="BB1187" s="7" t="e">
        <v>#N/A</v>
      </c>
    </row>
    <row r="1188" spans="15:54" ht="31.4" customHeight="1" x14ac:dyDescent="0.35">
      <c r="O1188" s="9"/>
      <c r="V1188" s="9"/>
      <c r="W1188" s="9"/>
      <c r="BB1188" s="7" t="e">
        <v>#N/A</v>
      </c>
    </row>
    <row r="1189" spans="15:54" ht="31.4" customHeight="1" x14ac:dyDescent="0.35">
      <c r="O1189" s="9"/>
      <c r="V1189" s="9"/>
      <c r="W1189" s="9"/>
      <c r="BB1189" s="7" t="e">
        <v>#N/A</v>
      </c>
    </row>
    <row r="1190" spans="15:54" ht="31.4" customHeight="1" x14ac:dyDescent="0.35">
      <c r="O1190" s="9"/>
      <c r="V1190" s="9"/>
      <c r="W1190" s="9"/>
      <c r="BB1190" s="7" t="e">
        <v>#N/A</v>
      </c>
    </row>
    <row r="1191" spans="15:54" ht="31.4" customHeight="1" x14ac:dyDescent="0.35">
      <c r="O1191" s="9"/>
      <c r="V1191" s="9"/>
      <c r="W1191" s="9"/>
      <c r="BB1191" s="7" t="e">
        <v>#N/A</v>
      </c>
    </row>
    <row r="1192" spans="15:54" ht="31.4" customHeight="1" x14ac:dyDescent="0.35">
      <c r="O1192" s="9"/>
      <c r="V1192" s="9"/>
      <c r="W1192" s="9"/>
      <c r="BB1192" s="7" t="e">
        <v>#N/A</v>
      </c>
    </row>
    <row r="1193" spans="15:54" ht="31.4" customHeight="1" x14ac:dyDescent="0.35">
      <c r="O1193" s="9"/>
      <c r="V1193" s="9"/>
      <c r="W1193" s="9"/>
      <c r="BB1193" s="7" t="e">
        <v>#N/A</v>
      </c>
    </row>
    <row r="1194" spans="15:54" ht="31.4" customHeight="1" x14ac:dyDescent="0.35">
      <c r="O1194" s="9"/>
      <c r="V1194" s="9"/>
      <c r="W1194" s="9"/>
      <c r="BB1194" s="7" t="e">
        <v>#N/A</v>
      </c>
    </row>
    <row r="1195" spans="15:54" ht="31.4" customHeight="1" x14ac:dyDescent="0.35">
      <c r="O1195" s="9"/>
      <c r="V1195" s="9"/>
      <c r="W1195" s="9"/>
      <c r="BB1195" s="7" t="e">
        <v>#N/A</v>
      </c>
    </row>
    <row r="1196" spans="15:54" ht="31.4" customHeight="1" x14ac:dyDescent="0.35">
      <c r="O1196" s="9"/>
      <c r="V1196" s="9"/>
      <c r="W1196" s="9"/>
      <c r="BB1196" s="7" t="e">
        <v>#N/A</v>
      </c>
    </row>
    <row r="1197" spans="15:54" ht="31.4" customHeight="1" x14ac:dyDescent="0.35">
      <c r="O1197" s="9"/>
      <c r="V1197" s="9"/>
      <c r="W1197" s="9"/>
      <c r="BB1197" s="7" t="e">
        <v>#N/A</v>
      </c>
    </row>
    <row r="1198" spans="15:54" ht="31.4" customHeight="1" x14ac:dyDescent="0.35">
      <c r="O1198" s="9"/>
      <c r="V1198" s="9"/>
      <c r="W1198" s="9"/>
      <c r="BB1198" s="7" t="e">
        <v>#N/A</v>
      </c>
    </row>
    <row r="1199" spans="15:54" ht="31.4" customHeight="1" x14ac:dyDescent="0.35">
      <c r="O1199" s="9"/>
      <c r="V1199" s="9"/>
      <c r="W1199" s="9"/>
      <c r="BB1199" s="7" t="e">
        <v>#N/A</v>
      </c>
    </row>
    <row r="1200" spans="15:54" ht="31.4" customHeight="1" x14ac:dyDescent="0.35">
      <c r="O1200" s="9"/>
      <c r="V1200" s="9"/>
      <c r="W1200" s="9"/>
      <c r="BB1200" s="7" t="e">
        <v>#N/A</v>
      </c>
    </row>
    <row r="1201" spans="15:54" ht="31.4" customHeight="1" x14ac:dyDescent="0.35">
      <c r="O1201" s="9"/>
      <c r="V1201" s="9"/>
      <c r="W1201" s="9"/>
      <c r="BB1201" s="7" t="e">
        <v>#N/A</v>
      </c>
    </row>
    <row r="1202" spans="15:54" ht="31.4" customHeight="1" x14ac:dyDescent="0.35">
      <c r="O1202" s="9"/>
      <c r="V1202" s="9"/>
      <c r="W1202" s="9"/>
      <c r="BB1202" s="7" t="e">
        <v>#N/A</v>
      </c>
    </row>
    <row r="1203" spans="15:54" ht="31.4" customHeight="1" x14ac:dyDescent="0.35">
      <c r="O1203" s="9"/>
      <c r="V1203" s="9"/>
      <c r="W1203" s="9"/>
      <c r="BB1203" s="7" t="e">
        <v>#N/A</v>
      </c>
    </row>
    <row r="1204" spans="15:54" ht="31.4" customHeight="1" x14ac:dyDescent="0.35">
      <c r="O1204" s="9"/>
      <c r="V1204" s="9"/>
      <c r="W1204" s="9"/>
      <c r="BB1204" s="7" t="e">
        <v>#N/A</v>
      </c>
    </row>
    <row r="1205" spans="15:54" ht="31.4" customHeight="1" x14ac:dyDescent="0.35">
      <c r="O1205" s="9"/>
      <c r="V1205" s="9"/>
      <c r="W1205" s="9"/>
      <c r="BB1205" s="7" t="e">
        <v>#N/A</v>
      </c>
    </row>
    <row r="1206" spans="15:54" ht="31.4" customHeight="1" x14ac:dyDescent="0.35">
      <c r="O1206" s="9"/>
      <c r="V1206" s="9"/>
      <c r="W1206" s="9"/>
      <c r="BB1206" s="7" t="e">
        <v>#N/A</v>
      </c>
    </row>
    <row r="1207" spans="15:54" ht="31.4" customHeight="1" x14ac:dyDescent="0.35">
      <c r="O1207" s="9"/>
      <c r="V1207" s="9"/>
      <c r="W1207" s="9"/>
      <c r="BB1207" s="7" t="e">
        <v>#N/A</v>
      </c>
    </row>
    <row r="1208" spans="15:54" ht="31.4" customHeight="1" x14ac:dyDescent="0.35">
      <c r="O1208" s="9"/>
      <c r="V1208" s="9"/>
      <c r="W1208" s="9"/>
      <c r="BB1208" s="7" t="e">
        <v>#N/A</v>
      </c>
    </row>
    <row r="1209" spans="15:54" ht="31.4" customHeight="1" x14ac:dyDescent="0.35">
      <c r="O1209" s="9"/>
      <c r="V1209" s="9"/>
      <c r="W1209" s="9"/>
      <c r="BB1209" s="7" t="e">
        <v>#N/A</v>
      </c>
    </row>
    <row r="1210" spans="15:54" ht="31.4" customHeight="1" x14ac:dyDescent="0.35">
      <c r="O1210" s="9"/>
      <c r="V1210" s="9"/>
      <c r="W1210" s="9"/>
      <c r="BB1210" s="7" t="e">
        <v>#N/A</v>
      </c>
    </row>
    <row r="1211" spans="15:54" ht="31.4" customHeight="1" x14ac:dyDescent="0.35">
      <c r="O1211" s="9"/>
      <c r="V1211" s="9"/>
      <c r="W1211" s="9"/>
      <c r="BB1211" s="7" t="e">
        <v>#N/A</v>
      </c>
    </row>
    <row r="1212" spans="15:54" ht="31.4" customHeight="1" x14ac:dyDescent="0.35">
      <c r="O1212" s="9"/>
      <c r="V1212" s="9"/>
      <c r="W1212" s="9"/>
      <c r="BB1212" s="7" t="e">
        <v>#N/A</v>
      </c>
    </row>
    <row r="1213" spans="15:54" ht="31.4" customHeight="1" x14ac:dyDescent="0.35">
      <c r="O1213" s="9"/>
      <c r="V1213" s="9"/>
      <c r="W1213" s="9"/>
      <c r="BB1213" s="7" t="e">
        <v>#N/A</v>
      </c>
    </row>
    <row r="1214" spans="15:54" ht="31.4" customHeight="1" x14ac:dyDescent="0.35">
      <c r="O1214" s="9"/>
      <c r="V1214" s="9"/>
      <c r="W1214" s="9"/>
      <c r="BB1214" s="7" t="e">
        <v>#N/A</v>
      </c>
    </row>
    <row r="1215" spans="15:54" ht="31.4" customHeight="1" x14ac:dyDescent="0.35">
      <c r="O1215" s="9"/>
      <c r="V1215" s="9"/>
      <c r="W1215" s="9"/>
      <c r="BB1215" s="7" t="e">
        <v>#N/A</v>
      </c>
    </row>
    <row r="1216" spans="15:54" ht="31.4" customHeight="1" x14ac:dyDescent="0.35">
      <c r="O1216" s="9"/>
      <c r="V1216" s="9"/>
      <c r="W1216" s="9"/>
      <c r="BB1216" s="7" t="e">
        <v>#N/A</v>
      </c>
    </row>
    <row r="1217" spans="15:54" ht="31.4" customHeight="1" x14ac:dyDescent="0.35">
      <c r="O1217" s="9"/>
      <c r="V1217" s="9"/>
      <c r="W1217" s="9"/>
      <c r="BB1217" s="7" t="e">
        <v>#N/A</v>
      </c>
    </row>
    <row r="1218" spans="15:54" ht="31.4" customHeight="1" x14ac:dyDescent="0.35">
      <c r="O1218" s="9"/>
      <c r="V1218" s="9"/>
      <c r="W1218" s="9"/>
      <c r="BB1218" s="7" t="e">
        <v>#N/A</v>
      </c>
    </row>
    <row r="1219" spans="15:54" ht="31.4" customHeight="1" x14ac:dyDescent="0.35">
      <c r="O1219" s="9"/>
      <c r="V1219" s="9"/>
      <c r="W1219" s="9"/>
      <c r="BB1219" s="7" t="e">
        <v>#N/A</v>
      </c>
    </row>
    <row r="1220" spans="15:54" ht="31.4" customHeight="1" x14ac:dyDescent="0.35">
      <c r="O1220" s="9"/>
      <c r="V1220" s="9"/>
      <c r="W1220" s="9"/>
      <c r="BB1220" s="7" t="e">
        <v>#N/A</v>
      </c>
    </row>
    <row r="1221" spans="15:54" ht="31.4" customHeight="1" x14ac:dyDescent="0.35">
      <c r="O1221" s="9"/>
      <c r="V1221" s="9"/>
      <c r="W1221" s="9"/>
      <c r="BB1221" s="7" t="e">
        <v>#N/A</v>
      </c>
    </row>
    <row r="1222" spans="15:54" ht="31.4" customHeight="1" x14ac:dyDescent="0.35">
      <c r="O1222" s="9"/>
      <c r="V1222" s="9"/>
      <c r="W1222" s="9"/>
      <c r="BB1222" s="7" t="e">
        <v>#N/A</v>
      </c>
    </row>
    <row r="1223" spans="15:54" ht="31.4" customHeight="1" x14ac:dyDescent="0.35">
      <c r="O1223" s="9"/>
      <c r="V1223" s="9"/>
      <c r="W1223" s="9"/>
      <c r="BB1223" s="7" t="e">
        <v>#N/A</v>
      </c>
    </row>
    <row r="1224" spans="15:54" ht="31.4" customHeight="1" x14ac:dyDescent="0.35">
      <c r="O1224" s="9"/>
      <c r="V1224" s="9"/>
      <c r="W1224" s="9"/>
      <c r="BB1224" s="7" t="e">
        <v>#N/A</v>
      </c>
    </row>
    <row r="1225" spans="15:54" ht="31.4" customHeight="1" x14ac:dyDescent="0.35">
      <c r="O1225" s="9"/>
      <c r="V1225" s="9"/>
      <c r="W1225" s="9"/>
      <c r="BB1225" s="7" t="e">
        <v>#N/A</v>
      </c>
    </row>
    <row r="1226" spans="15:54" ht="31.4" customHeight="1" x14ac:dyDescent="0.35">
      <c r="O1226" s="9"/>
      <c r="V1226" s="9"/>
      <c r="W1226" s="9"/>
      <c r="BB1226" s="7" t="e">
        <v>#N/A</v>
      </c>
    </row>
    <row r="1227" spans="15:54" ht="31.4" customHeight="1" x14ac:dyDescent="0.35">
      <c r="O1227" s="9"/>
      <c r="V1227" s="9"/>
      <c r="W1227" s="9"/>
      <c r="BB1227" s="7" t="e">
        <v>#N/A</v>
      </c>
    </row>
    <row r="1228" spans="15:54" ht="31.4" customHeight="1" x14ac:dyDescent="0.35">
      <c r="O1228" s="9"/>
      <c r="V1228" s="9"/>
      <c r="W1228" s="9"/>
      <c r="BB1228" s="7" t="e">
        <v>#N/A</v>
      </c>
    </row>
    <row r="1229" spans="15:54" ht="31.4" customHeight="1" x14ac:dyDescent="0.35">
      <c r="O1229" s="9"/>
      <c r="V1229" s="9"/>
      <c r="W1229" s="9"/>
      <c r="BB1229" s="7" t="e">
        <v>#N/A</v>
      </c>
    </row>
    <row r="1230" spans="15:54" ht="31.4" customHeight="1" x14ac:dyDescent="0.35">
      <c r="O1230" s="9"/>
      <c r="V1230" s="9"/>
      <c r="W1230" s="9"/>
      <c r="BB1230" s="7" t="e">
        <v>#N/A</v>
      </c>
    </row>
    <row r="1231" spans="15:54" ht="31.4" customHeight="1" x14ac:dyDescent="0.35">
      <c r="O1231" s="9"/>
      <c r="V1231" s="9"/>
      <c r="W1231" s="9"/>
      <c r="BB1231" s="7" t="e">
        <v>#N/A</v>
      </c>
    </row>
    <row r="1232" spans="15:54" ht="31.4" customHeight="1" x14ac:dyDescent="0.35">
      <c r="O1232" s="9"/>
      <c r="V1232" s="9"/>
      <c r="W1232" s="9"/>
      <c r="BB1232" s="7" t="e">
        <v>#N/A</v>
      </c>
    </row>
    <row r="1233" spans="15:54" ht="31.4" customHeight="1" x14ac:dyDescent="0.35">
      <c r="O1233" s="9"/>
      <c r="V1233" s="9"/>
      <c r="W1233" s="9"/>
      <c r="BB1233" s="7" t="e">
        <v>#N/A</v>
      </c>
    </row>
    <row r="1234" spans="15:54" ht="31.4" customHeight="1" x14ac:dyDescent="0.35">
      <c r="O1234" s="9"/>
      <c r="V1234" s="9"/>
      <c r="W1234" s="9"/>
      <c r="BB1234" s="7" t="e">
        <v>#N/A</v>
      </c>
    </row>
    <row r="1235" spans="15:54" ht="31.4" customHeight="1" x14ac:dyDescent="0.35">
      <c r="O1235" s="9"/>
      <c r="V1235" s="9"/>
      <c r="W1235" s="9"/>
      <c r="BB1235" s="7" t="e">
        <v>#N/A</v>
      </c>
    </row>
    <row r="1236" spans="15:54" ht="31.4" customHeight="1" x14ac:dyDescent="0.35">
      <c r="O1236" s="9"/>
      <c r="V1236" s="9"/>
      <c r="W1236" s="9"/>
      <c r="BB1236" s="7" t="e">
        <v>#N/A</v>
      </c>
    </row>
    <row r="1237" spans="15:54" ht="31.4" customHeight="1" x14ac:dyDescent="0.35">
      <c r="O1237" s="9"/>
      <c r="V1237" s="9"/>
      <c r="W1237" s="9"/>
      <c r="BB1237" s="7" t="e">
        <v>#N/A</v>
      </c>
    </row>
    <row r="1238" spans="15:54" ht="31.4" customHeight="1" x14ac:dyDescent="0.35">
      <c r="O1238" s="9"/>
      <c r="V1238" s="9"/>
      <c r="W1238" s="9"/>
      <c r="BB1238" s="7" t="e">
        <v>#N/A</v>
      </c>
    </row>
    <row r="1239" spans="15:54" ht="31.4" customHeight="1" x14ac:dyDescent="0.35">
      <c r="O1239" s="9"/>
      <c r="V1239" s="9"/>
      <c r="W1239" s="9"/>
      <c r="BB1239" s="7" t="e">
        <v>#N/A</v>
      </c>
    </row>
    <row r="1240" spans="15:54" ht="31.4" customHeight="1" x14ac:dyDescent="0.35">
      <c r="O1240" s="9"/>
      <c r="V1240" s="9"/>
      <c r="W1240" s="9"/>
      <c r="BB1240" s="7" t="e">
        <v>#N/A</v>
      </c>
    </row>
    <row r="1241" spans="15:54" ht="31.4" customHeight="1" x14ac:dyDescent="0.35">
      <c r="O1241" s="9"/>
      <c r="V1241" s="9"/>
      <c r="W1241" s="9"/>
      <c r="BB1241" s="7" t="e">
        <v>#N/A</v>
      </c>
    </row>
    <row r="1242" spans="15:54" ht="31.4" customHeight="1" x14ac:dyDescent="0.35">
      <c r="O1242" s="9"/>
      <c r="V1242" s="9"/>
      <c r="W1242" s="9"/>
      <c r="BB1242" s="7" t="e">
        <v>#N/A</v>
      </c>
    </row>
    <row r="1243" spans="15:54" ht="31.4" customHeight="1" x14ac:dyDescent="0.35">
      <c r="O1243" s="9"/>
      <c r="V1243" s="9"/>
      <c r="W1243" s="9"/>
      <c r="BB1243" s="7" t="e">
        <v>#N/A</v>
      </c>
    </row>
    <row r="1244" spans="15:54" ht="31.4" customHeight="1" x14ac:dyDescent="0.35">
      <c r="O1244" s="9"/>
      <c r="V1244" s="9"/>
      <c r="W1244" s="9"/>
      <c r="BB1244" s="7" t="e">
        <v>#N/A</v>
      </c>
    </row>
    <row r="1245" spans="15:54" ht="31.4" customHeight="1" x14ac:dyDescent="0.35">
      <c r="O1245" s="9"/>
      <c r="V1245" s="9"/>
      <c r="W1245" s="9"/>
      <c r="BB1245" s="7" t="e">
        <v>#N/A</v>
      </c>
    </row>
    <row r="1246" spans="15:54" ht="31.4" customHeight="1" x14ac:dyDescent="0.35">
      <c r="O1246" s="9"/>
      <c r="V1246" s="9"/>
      <c r="W1246" s="9"/>
      <c r="BB1246" s="7" t="e">
        <v>#N/A</v>
      </c>
    </row>
    <row r="1247" spans="15:54" ht="31.4" customHeight="1" x14ac:dyDescent="0.35">
      <c r="O1247" s="9"/>
      <c r="V1247" s="9"/>
      <c r="W1247" s="9"/>
      <c r="BB1247" s="7" t="e">
        <v>#N/A</v>
      </c>
    </row>
    <row r="1248" spans="15:54" ht="31.4" customHeight="1" x14ac:dyDescent="0.35">
      <c r="O1248" s="9"/>
      <c r="V1248" s="9"/>
      <c r="W1248" s="9"/>
      <c r="BB1248" s="7" t="e">
        <v>#N/A</v>
      </c>
    </row>
    <row r="1249" spans="15:54" ht="31.4" customHeight="1" x14ac:dyDescent="0.35">
      <c r="O1249" s="9"/>
      <c r="V1249" s="9"/>
      <c r="W1249" s="9"/>
      <c r="BB1249" s="7" t="e">
        <v>#N/A</v>
      </c>
    </row>
    <row r="1250" spans="15:54" ht="31.4" customHeight="1" x14ac:dyDescent="0.35">
      <c r="O1250" s="9"/>
      <c r="V1250" s="9"/>
      <c r="W1250" s="9"/>
      <c r="BB1250" s="7" t="e">
        <v>#N/A</v>
      </c>
    </row>
    <row r="1251" spans="15:54" ht="31.4" customHeight="1" x14ac:dyDescent="0.35">
      <c r="O1251" s="9"/>
      <c r="V1251" s="9"/>
      <c r="W1251" s="9"/>
      <c r="BB1251" s="7" t="e">
        <v>#N/A</v>
      </c>
    </row>
    <row r="1252" spans="15:54" ht="31.4" customHeight="1" x14ac:dyDescent="0.35">
      <c r="O1252" s="9"/>
      <c r="V1252" s="9"/>
      <c r="W1252" s="9"/>
      <c r="BB1252" s="7" t="e">
        <v>#N/A</v>
      </c>
    </row>
    <row r="1253" spans="15:54" ht="31.4" customHeight="1" x14ac:dyDescent="0.35">
      <c r="O1253" s="9"/>
      <c r="V1253" s="9"/>
      <c r="W1253" s="9"/>
      <c r="BB1253" s="7" t="e">
        <v>#N/A</v>
      </c>
    </row>
    <row r="1254" spans="15:54" ht="31.4" customHeight="1" x14ac:dyDescent="0.35">
      <c r="O1254" s="9"/>
      <c r="V1254" s="9"/>
      <c r="W1254" s="9"/>
      <c r="BB1254" s="7" t="e">
        <v>#N/A</v>
      </c>
    </row>
    <row r="1255" spans="15:54" ht="31.4" customHeight="1" x14ac:dyDescent="0.35">
      <c r="O1255" s="9"/>
      <c r="V1255" s="9"/>
      <c r="W1255" s="9"/>
      <c r="BB1255" s="7" t="e">
        <v>#N/A</v>
      </c>
    </row>
    <row r="1256" spans="15:54" ht="31.4" customHeight="1" x14ac:dyDescent="0.35">
      <c r="O1256" s="9"/>
      <c r="V1256" s="9"/>
      <c r="W1256" s="9"/>
      <c r="BB1256" s="7" t="e">
        <v>#N/A</v>
      </c>
    </row>
    <row r="1257" spans="15:54" ht="31.4" customHeight="1" x14ac:dyDescent="0.35">
      <c r="O1257" s="9"/>
      <c r="V1257" s="9"/>
      <c r="W1257" s="9"/>
      <c r="BB1257" s="7" t="e">
        <v>#N/A</v>
      </c>
    </row>
    <row r="1258" spans="15:54" ht="31.4" customHeight="1" x14ac:dyDescent="0.35">
      <c r="O1258" s="9"/>
      <c r="V1258" s="9"/>
      <c r="W1258" s="9"/>
      <c r="BB1258" s="7" t="e">
        <v>#N/A</v>
      </c>
    </row>
    <row r="1259" spans="15:54" ht="31.4" customHeight="1" x14ac:dyDescent="0.35">
      <c r="O1259" s="9"/>
      <c r="V1259" s="9"/>
      <c r="W1259" s="9"/>
      <c r="BB1259" s="7" t="e">
        <v>#N/A</v>
      </c>
    </row>
    <row r="1260" spans="15:54" ht="31.4" customHeight="1" x14ac:dyDescent="0.35">
      <c r="O1260" s="9"/>
      <c r="V1260" s="9"/>
      <c r="W1260" s="9"/>
      <c r="BB1260" s="7" t="e">
        <v>#N/A</v>
      </c>
    </row>
    <row r="1261" spans="15:54" ht="31.4" customHeight="1" x14ac:dyDescent="0.35">
      <c r="O1261" s="9"/>
      <c r="V1261" s="9"/>
      <c r="W1261" s="9"/>
      <c r="BB1261" s="7" t="e">
        <v>#N/A</v>
      </c>
    </row>
    <row r="1262" spans="15:54" ht="31.4" customHeight="1" x14ac:dyDescent="0.35">
      <c r="O1262" s="9"/>
      <c r="V1262" s="9"/>
      <c r="W1262" s="9"/>
      <c r="BB1262" s="7" t="e">
        <v>#N/A</v>
      </c>
    </row>
    <row r="1263" spans="15:54" ht="31.4" customHeight="1" x14ac:dyDescent="0.35">
      <c r="O1263" s="9"/>
      <c r="V1263" s="9"/>
      <c r="W1263" s="9"/>
      <c r="BB1263" s="7" t="e">
        <v>#N/A</v>
      </c>
    </row>
    <row r="1264" spans="15:54" ht="31.4" customHeight="1" x14ac:dyDescent="0.35">
      <c r="O1264" s="9"/>
      <c r="V1264" s="9"/>
      <c r="W1264" s="9"/>
      <c r="BB1264" s="7" t="e">
        <v>#N/A</v>
      </c>
    </row>
    <row r="1265" spans="15:54" ht="31.4" customHeight="1" x14ac:dyDescent="0.35">
      <c r="O1265" s="9"/>
      <c r="V1265" s="9"/>
      <c r="W1265" s="9"/>
      <c r="BB1265" s="7" t="e">
        <v>#N/A</v>
      </c>
    </row>
    <row r="1266" spans="15:54" ht="31.4" customHeight="1" x14ac:dyDescent="0.35">
      <c r="O1266" s="9"/>
      <c r="V1266" s="9"/>
      <c r="W1266" s="9"/>
      <c r="BB1266" s="7" t="e">
        <v>#N/A</v>
      </c>
    </row>
    <row r="1267" spans="15:54" ht="31.4" customHeight="1" x14ac:dyDescent="0.35">
      <c r="O1267" s="9"/>
      <c r="V1267" s="9"/>
      <c r="W1267" s="9"/>
      <c r="BB1267" s="7" t="e">
        <v>#N/A</v>
      </c>
    </row>
    <row r="1268" spans="15:54" ht="31.4" customHeight="1" x14ac:dyDescent="0.35">
      <c r="O1268" s="9"/>
      <c r="V1268" s="9"/>
      <c r="W1268" s="9"/>
      <c r="BB1268" s="7" t="e">
        <v>#N/A</v>
      </c>
    </row>
    <row r="1269" spans="15:54" ht="31.4" customHeight="1" x14ac:dyDescent="0.35">
      <c r="O1269" s="9"/>
      <c r="V1269" s="9"/>
      <c r="W1269" s="9"/>
      <c r="BB1269" s="7" t="e">
        <v>#N/A</v>
      </c>
    </row>
    <row r="1270" spans="15:54" ht="31.4" customHeight="1" x14ac:dyDescent="0.35">
      <c r="O1270" s="9"/>
      <c r="V1270" s="9"/>
      <c r="W1270" s="9"/>
      <c r="BB1270" s="7" t="e">
        <v>#N/A</v>
      </c>
    </row>
    <row r="1271" spans="15:54" ht="31.4" customHeight="1" x14ac:dyDescent="0.35">
      <c r="O1271" s="9"/>
      <c r="V1271" s="9"/>
      <c r="W1271" s="9"/>
      <c r="BB1271" s="7" t="e">
        <v>#N/A</v>
      </c>
    </row>
    <row r="1272" spans="15:54" ht="31.4" customHeight="1" x14ac:dyDescent="0.35">
      <c r="O1272" s="9"/>
      <c r="V1272" s="9"/>
      <c r="W1272" s="9"/>
      <c r="BB1272" s="7" t="e">
        <v>#N/A</v>
      </c>
    </row>
    <row r="1273" spans="15:54" ht="31.4" customHeight="1" x14ac:dyDescent="0.35">
      <c r="O1273" s="9"/>
      <c r="V1273" s="9"/>
      <c r="W1273" s="9"/>
      <c r="BB1273" s="7" t="e">
        <v>#N/A</v>
      </c>
    </row>
    <row r="1274" spans="15:54" ht="31.4" customHeight="1" x14ac:dyDescent="0.35">
      <c r="O1274" s="9"/>
      <c r="V1274" s="9"/>
      <c r="W1274" s="9"/>
      <c r="BB1274" s="7" t="e">
        <v>#N/A</v>
      </c>
    </row>
    <row r="1275" spans="15:54" ht="31.4" customHeight="1" x14ac:dyDescent="0.35">
      <c r="O1275" s="9"/>
      <c r="V1275" s="9"/>
      <c r="W1275" s="9"/>
      <c r="BB1275" s="7" t="e">
        <v>#N/A</v>
      </c>
    </row>
    <row r="1276" spans="15:54" ht="31.4" customHeight="1" x14ac:dyDescent="0.35">
      <c r="O1276" s="9"/>
      <c r="V1276" s="9"/>
      <c r="W1276" s="9"/>
      <c r="BB1276" s="7" t="e">
        <v>#N/A</v>
      </c>
    </row>
    <row r="1277" spans="15:54" ht="31.4" customHeight="1" x14ac:dyDescent="0.35">
      <c r="O1277" s="9"/>
      <c r="V1277" s="9"/>
      <c r="W1277" s="9"/>
      <c r="BB1277" s="7" t="e">
        <v>#N/A</v>
      </c>
    </row>
    <row r="1278" spans="15:54" ht="31.4" customHeight="1" x14ac:dyDescent="0.35">
      <c r="O1278" s="9"/>
      <c r="V1278" s="9"/>
      <c r="W1278" s="9"/>
      <c r="BB1278" s="7" t="e">
        <v>#N/A</v>
      </c>
    </row>
    <row r="1279" spans="15:54" ht="31.4" customHeight="1" x14ac:dyDescent="0.35">
      <c r="O1279" s="9"/>
      <c r="V1279" s="9"/>
      <c r="W1279" s="9"/>
      <c r="BB1279" s="7" t="e">
        <v>#N/A</v>
      </c>
    </row>
    <row r="1280" spans="15:54" ht="31.4" customHeight="1" x14ac:dyDescent="0.35">
      <c r="O1280" s="9"/>
      <c r="V1280" s="9"/>
      <c r="W1280" s="9"/>
      <c r="BB1280" s="7" t="e">
        <v>#N/A</v>
      </c>
    </row>
    <row r="1281" spans="15:54" ht="31.4" customHeight="1" x14ac:dyDescent="0.35">
      <c r="O1281" s="9"/>
      <c r="V1281" s="9"/>
      <c r="W1281" s="9"/>
      <c r="BB1281" s="7" t="e">
        <v>#N/A</v>
      </c>
    </row>
    <row r="1282" spans="15:54" ht="31.4" customHeight="1" x14ac:dyDescent="0.35">
      <c r="O1282" s="9"/>
      <c r="V1282" s="9"/>
      <c r="W1282" s="9"/>
      <c r="BB1282" s="7" t="e">
        <v>#N/A</v>
      </c>
    </row>
    <row r="1283" spans="15:54" ht="31.4" customHeight="1" x14ac:dyDescent="0.35">
      <c r="O1283" s="9"/>
      <c r="V1283" s="9"/>
      <c r="W1283" s="9"/>
      <c r="BB1283" s="7" t="e">
        <v>#N/A</v>
      </c>
    </row>
    <row r="1284" spans="15:54" ht="31.4" customHeight="1" x14ac:dyDescent="0.35">
      <c r="O1284" s="9"/>
      <c r="V1284" s="9"/>
      <c r="W1284" s="9"/>
      <c r="BB1284" s="7" t="e">
        <v>#N/A</v>
      </c>
    </row>
    <row r="1285" spans="15:54" ht="31.4" customHeight="1" x14ac:dyDescent="0.35">
      <c r="O1285" s="9"/>
      <c r="V1285" s="9"/>
      <c r="W1285" s="9"/>
      <c r="BB1285" s="7" t="e">
        <v>#N/A</v>
      </c>
    </row>
    <row r="1286" spans="15:54" ht="31.4" customHeight="1" x14ac:dyDescent="0.35">
      <c r="O1286" s="9"/>
      <c r="V1286" s="9"/>
      <c r="W1286" s="9"/>
      <c r="BB1286" s="7" t="e">
        <v>#N/A</v>
      </c>
    </row>
    <row r="1287" spans="15:54" ht="31.4" customHeight="1" x14ac:dyDescent="0.35">
      <c r="O1287" s="9"/>
      <c r="V1287" s="9"/>
      <c r="W1287" s="9"/>
      <c r="BB1287" s="7" t="e">
        <v>#N/A</v>
      </c>
    </row>
    <row r="1288" spans="15:54" ht="31.4" customHeight="1" x14ac:dyDescent="0.35">
      <c r="O1288" s="9"/>
      <c r="V1288" s="9"/>
      <c r="W1288" s="9"/>
      <c r="BB1288" s="7" t="e">
        <v>#N/A</v>
      </c>
    </row>
    <row r="1289" spans="15:54" ht="31.4" customHeight="1" x14ac:dyDescent="0.35">
      <c r="O1289" s="9"/>
      <c r="V1289" s="9"/>
      <c r="W1289" s="9"/>
      <c r="BB1289" s="7" t="e">
        <v>#N/A</v>
      </c>
    </row>
    <row r="1290" spans="15:54" ht="31.4" customHeight="1" x14ac:dyDescent="0.35">
      <c r="O1290" s="9"/>
      <c r="V1290" s="9"/>
      <c r="W1290" s="9"/>
      <c r="BB1290" s="7" t="e">
        <v>#N/A</v>
      </c>
    </row>
    <row r="1291" spans="15:54" ht="31.4" customHeight="1" x14ac:dyDescent="0.35">
      <c r="O1291" s="9"/>
      <c r="V1291" s="9"/>
      <c r="W1291" s="9"/>
      <c r="BB1291" s="7" t="e">
        <v>#N/A</v>
      </c>
    </row>
    <row r="1292" spans="15:54" ht="31.4" customHeight="1" x14ac:dyDescent="0.35">
      <c r="O1292" s="9"/>
      <c r="V1292" s="9"/>
      <c r="W1292" s="9"/>
      <c r="BB1292" s="7" t="e">
        <v>#N/A</v>
      </c>
    </row>
    <row r="1293" spans="15:54" ht="31.4" customHeight="1" x14ac:dyDescent="0.35">
      <c r="O1293" s="9"/>
      <c r="V1293" s="9"/>
      <c r="W1293" s="9"/>
      <c r="BB1293" s="7" t="e">
        <v>#N/A</v>
      </c>
    </row>
    <row r="1294" spans="15:54" ht="31.4" customHeight="1" x14ac:dyDescent="0.35">
      <c r="O1294" s="9"/>
      <c r="V1294" s="9"/>
      <c r="W1294" s="9"/>
      <c r="BB1294" s="7" t="e">
        <v>#N/A</v>
      </c>
    </row>
    <row r="1295" spans="15:54" ht="31.4" customHeight="1" x14ac:dyDescent="0.35">
      <c r="O1295" s="9"/>
      <c r="V1295" s="9"/>
      <c r="W1295" s="9"/>
      <c r="BB1295" s="7" t="e">
        <v>#N/A</v>
      </c>
    </row>
    <row r="1296" spans="15:54" ht="31.4" customHeight="1" x14ac:dyDescent="0.35">
      <c r="O1296" s="9"/>
      <c r="V1296" s="9"/>
      <c r="W1296" s="9"/>
      <c r="BB1296" s="7" t="e">
        <v>#N/A</v>
      </c>
    </row>
    <row r="1297" spans="15:54" ht="31.4" customHeight="1" x14ac:dyDescent="0.35">
      <c r="O1297" s="9"/>
      <c r="V1297" s="9"/>
      <c r="W1297" s="9"/>
      <c r="BB1297" s="7" t="e">
        <v>#N/A</v>
      </c>
    </row>
    <row r="1298" spans="15:54" ht="31.4" customHeight="1" x14ac:dyDescent="0.35">
      <c r="O1298" s="9"/>
      <c r="V1298" s="9"/>
      <c r="W1298" s="9"/>
      <c r="BB1298" s="7" t="e">
        <v>#N/A</v>
      </c>
    </row>
    <row r="1299" spans="15:54" ht="31.4" customHeight="1" x14ac:dyDescent="0.35">
      <c r="O1299" s="9"/>
      <c r="V1299" s="9"/>
      <c r="W1299" s="9"/>
      <c r="BB1299" s="7" t="e">
        <v>#N/A</v>
      </c>
    </row>
    <row r="1300" spans="15:54" ht="31.4" customHeight="1" x14ac:dyDescent="0.35">
      <c r="O1300" s="9"/>
      <c r="V1300" s="9"/>
      <c r="W1300" s="9"/>
      <c r="BB1300" s="7" t="e">
        <v>#N/A</v>
      </c>
    </row>
    <row r="1301" spans="15:54" ht="31.4" customHeight="1" x14ac:dyDescent="0.35">
      <c r="O1301" s="9"/>
      <c r="V1301" s="9"/>
      <c r="W1301" s="9"/>
      <c r="BB1301" s="7" t="e">
        <v>#N/A</v>
      </c>
    </row>
    <row r="1302" spans="15:54" ht="31.4" customHeight="1" x14ac:dyDescent="0.35">
      <c r="O1302" s="9"/>
      <c r="V1302" s="9"/>
      <c r="W1302" s="9"/>
      <c r="BB1302" s="7" t="e">
        <v>#N/A</v>
      </c>
    </row>
    <row r="1303" spans="15:54" ht="31.4" customHeight="1" x14ac:dyDescent="0.35">
      <c r="O1303" s="9"/>
      <c r="V1303" s="9"/>
      <c r="W1303" s="9"/>
      <c r="BB1303" s="7" t="e">
        <v>#N/A</v>
      </c>
    </row>
    <row r="1304" spans="15:54" ht="31.4" customHeight="1" x14ac:dyDescent="0.35">
      <c r="O1304" s="9"/>
      <c r="V1304" s="9"/>
      <c r="W1304" s="9"/>
      <c r="BB1304" s="7" t="e">
        <v>#N/A</v>
      </c>
    </row>
    <row r="1305" spans="15:54" ht="31.4" customHeight="1" x14ac:dyDescent="0.35">
      <c r="O1305" s="9"/>
      <c r="V1305" s="9"/>
      <c r="W1305" s="9"/>
      <c r="BB1305" s="7" t="e">
        <v>#N/A</v>
      </c>
    </row>
    <row r="1306" spans="15:54" ht="31.4" customHeight="1" x14ac:dyDescent="0.35">
      <c r="O1306" s="9"/>
      <c r="V1306" s="9"/>
      <c r="W1306" s="9"/>
      <c r="BB1306" s="7" t="e">
        <v>#N/A</v>
      </c>
    </row>
    <row r="1307" spans="15:54" ht="31.4" customHeight="1" x14ac:dyDescent="0.35">
      <c r="O1307" s="9"/>
      <c r="V1307" s="9"/>
      <c r="W1307" s="9"/>
      <c r="BB1307" s="7" t="e">
        <v>#N/A</v>
      </c>
    </row>
    <row r="1308" spans="15:54" ht="31.4" customHeight="1" x14ac:dyDescent="0.35">
      <c r="O1308" s="9"/>
      <c r="V1308" s="9"/>
      <c r="W1308" s="9"/>
      <c r="BB1308" s="7" t="e">
        <v>#N/A</v>
      </c>
    </row>
    <row r="1309" spans="15:54" ht="31.4" customHeight="1" x14ac:dyDescent="0.35">
      <c r="O1309" s="9"/>
      <c r="V1309" s="9"/>
      <c r="W1309" s="9"/>
      <c r="BB1309" s="7" t="e">
        <v>#N/A</v>
      </c>
    </row>
    <row r="1310" spans="15:54" ht="31.4" customHeight="1" x14ac:dyDescent="0.35">
      <c r="O1310" s="9"/>
      <c r="V1310" s="9"/>
      <c r="W1310" s="9"/>
      <c r="BB1310" s="7" t="e">
        <v>#N/A</v>
      </c>
    </row>
    <row r="1311" spans="15:54" ht="31.4" customHeight="1" x14ac:dyDescent="0.35">
      <c r="O1311" s="9"/>
      <c r="V1311" s="9"/>
      <c r="W1311" s="9"/>
      <c r="BB1311" s="7" t="e">
        <v>#N/A</v>
      </c>
    </row>
    <row r="1312" spans="15:54" ht="31.4" customHeight="1" x14ac:dyDescent="0.35">
      <c r="O1312" s="9"/>
      <c r="V1312" s="9"/>
      <c r="W1312" s="9"/>
      <c r="BB1312" s="7" t="e">
        <v>#N/A</v>
      </c>
    </row>
    <row r="1313" spans="15:54" ht="31.4" customHeight="1" x14ac:dyDescent="0.35">
      <c r="O1313" s="9"/>
      <c r="V1313" s="9"/>
      <c r="W1313" s="9"/>
      <c r="BB1313" s="7" t="e">
        <v>#N/A</v>
      </c>
    </row>
    <row r="1314" spans="15:54" ht="31.4" customHeight="1" x14ac:dyDescent="0.35">
      <c r="O1314" s="9"/>
      <c r="V1314" s="9"/>
      <c r="W1314" s="9"/>
      <c r="BB1314" s="7" t="e">
        <v>#N/A</v>
      </c>
    </row>
    <row r="1315" spans="15:54" ht="31.4" customHeight="1" x14ac:dyDescent="0.35">
      <c r="O1315" s="9"/>
      <c r="V1315" s="9"/>
      <c r="W1315" s="9"/>
      <c r="BB1315" s="7" t="e">
        <v>#N/A</v>
      </c>
    </row>
    <row r="1316" spans="15:54" ht="31.4" customHeight="1" x14ac:dyDescent="0.35">
      <c r="O1316" s="9"/>
      <c r="V1316" s="9"/>
      <c r="W1316" s="9"/>
      <c r="BB1316" s="7" t="e">
        <v>#N/A</v>
      </c>
    </row>
    <row r="1317" spans="15:54" ht="31.4" customHeight="1" x14ac:dyDescent="0.35">
      <c r="O1317" s="9"/>
      <c r="V1317" s="9"/>
      <c r="W1317" s="9"/>
      <c r="BB1317" s="7" t="e">
        <v>#N/A</v>
      </c>
    </row>
    <row r="1318" spans="15:54" ht="31.4" customHeight="1" x14ac:dyDescent="0.35">
      <c r="O1318" s="9"/>
      <c r="V1318" s="9"/>
      <c r="W1318" s="9"/>
      <c r="BB1318" s="7" t="e">
        <v>#N/A</v>
      </c>
    </row>
    <row r="1319" spans="15:54" ht="31.4" customHeight="1" x14ac:dyDescent="0.35">
      <c r="O1319" s="9"/>
      <c r="V1319" s="9"/>
      <c r="W1319" s="9"/>
      <c r="BB1319" s="7" t="e">
        <v>#N/A</v>
      </c>
    </row>
    <row r="1320" spans="15:54" ht="31.4" customHeight="1" x14ac:dyDescent="0.35">
      <c r="O1320" s="9"/>
      <c r="V1320" s="9"/>
      <c r="W1320" s="9"/>
      <c r="BB1320" s="7" t="e">
        <v>#N/A</v>
      </c>
    </row>
    <row r="1321" spans="15:54" ht="31.4" customHeight="1" x14ac:dyDescent="0.35">
      <c r="O1321" s="9"/>
      <c r="V1321" s="9"/>
      <c r="W1321" s="9"/>
      <c r="BB1321" s="7" t="e">
        <v>#N/A</v>
      </c>
    </row>
    <row r="1322" spans="15:54" ht="31.4" customHeight="1" x14ac:dyDescent="0.35">
      <c r="O1322" s="9"/>
      <c r="V1322" s="9"/>
      <c r="W1322" s="9"/>
      <c r="BB1322" s="7" t="e">
        <v>#N/A</v>
      </c>
    </row>
    <row r="1323" spans="15:54" ht="31.4" customHeight="1" x14ac:dyDescent="0.35">
      <c r="O1323" s="9"/>
      <c r="V1323" s="9"/>
      <c r="W1323" s="9"/>
      <c r="BB1323" s="7" t="e">
        <v>#N/A</v>
      </c>
    </row>
    <row r="1324" spans="15:54" ht="31.4" customHeight="1" x14ac:dyDescent="0.35">
      <c r="O1324" s="9"/>
      <c r="V1324" s="9"/>
      <c r="W1324" s="9"/>
      <c r="BB1324" s="7" t="e">
        <v>#N/A</v>
      </c>
    </row>
    <row r="1325" spans="15:54" ht="31.4" customHeight="1" x14ac:dyDescent="0.35">
      <c r="O1325" s="9"/>
      <c r="V1325" s="9"/>
      <c r="W1325" s="9"/>
      <c r="BB1325" s="7" t="e">
        <v>#N/A</v>
      </c>
    </row>
    <row r="1326" spans="15:54" ht="31.4" customHeight="1" x14ac:dyDescent="0.35">
      <c r="O1326" s="9"/>
      <c r="V1326" s="9"/>
      <c r="W1326" s="9"/>
      <c r="BB1326" s="7" t="e">
        <v>#N/A</v>
      </c>
    </row>
    <row r="1327" spans="15:54" ht="31.4" customHeight="1" x14ac:dyDescent="0.35">
      <c r="O1327" s="9"/>
      <c r="V1327" s="9"/>
      <c r="W1327" s="9"/>
      <c r="BB1327" s="7" t="e">
        <v>#N/A</v>
      </c>
    </row>
    <row r="1328" spans="15:54" ht="31.4" customHeight="1" x14ac:dyDescent="0.35">
      <c r="O1328" s="9"/>
      <c r="V1328" s="9"/>
      <c r="W1328" s="9"/>
      <c r="BB1328" s="7" t="e">
        <v>#N/A</v>
      </c>
    </row>
    <row r="1329" spans="15:54" ht="31.4" customHeight="1" x14ac:dyDescent="0.35">
      <c r="O1329" s="9"/>
      <c r="V1329" s="9"/>
      <c r="W1329" s="9"/>
      <c r="BB1329" s="7" t="e">
        <v>#N/A</v>
      </c>
    </row>
    <row r="1330" spans="15:54" ht="31.4" customHeight="1" x14ac:dyDescent="0.35">
      <c r="O1330" s="9"/>
      <c r="V1330" s="9"/>
      <c r="W1330" s="9"/>
      <c r="BB1330" s="7" t="e">
        <v>#N/A</v>
      </c>
    </row>
    <row r="1331" spans="15:54" ht="31.4" customHeight="1" x14ac:dyDescent="0.35">
      <c r="O1331" s="9"/>
      <c r="V1331" s="9"/>
      <c r="W1331" s="9"/>
      <c r="BB1331" s="7" t="e">
        <v>#N/A</v>
      </c>
    </row>
    <row r="1332" spans="15:54" ht="31.4" customHeight="1" x14ac:dyDescent="0.35">
      <c r="O1332" s="9"/>
      <c r="V1332" s="9"/>
      <c r="W1332" s="9"/>
      <c r="BB1332" s="7" t="e">
        <v>#N/A</v>
      </c>
    </row>
    <row r="1333" spans="15:54" ht="31.4" customHeight="1" x14ac:dyDescent="0.35">
      <c r="O1333" s="9"/>
      <c r="V1333" s="9"/>
      <c r="W1333" s="9"/>
      <c r="BB1333" s="7" t="e">
        <v>#N/A</v>
      </c>
    </row>
    <row r="1334" spans="15:54" ht="31.4" customHeight="1" x14ac:dyDescent="0.35">
      <c r="O1334" s="9"/>
      <c r="V1334" s="9"/>
      <c r="W1334" s="9"/>
      <c r="BB1334" s="7" t="e">
        <v>#N/A</v>
      </c>
    </row>
    <row r="1335" spans="15:54" ht="31.4" customHeight="1" x14ac:dyDescent="0.35">
      <c r="O1335" s="9"/>
      <c r="V1335" s="9"/>
      <c r="W1335" s="9"/>
      <c r="BB1335" s="7" t="e">
        <v>#N/A</v>
      </c>
    </row>
    <row r="1336" spans="15:54" ht="31.4" customHeight="1" x14ac:dyDescent="0.35">
      <c r="O1336" s="9"/>
      <c r="V1336" s="9"/>
      <c r="W1336" s="9"/>
      <c r="BB1336" s="7" t="e">
        <v>#N/A</v>
      </c>
    </row>
    <row r="1337" spans="15:54" ht="31.4" customHeight="1" x14ac:dyDescent="0.35">
      <c r="O1337" s="9"/>
      <c r="V1337" s="9"/>
      <c r="W1337" s="9"/>
      <c r="BB1337" s="7" t="e">
        <v>#N/A</v>
      </c>
    </row>
    <row r="1338" spans="15:54" ht="31.4" customHeight="1" x14ac:dyDescent="0.35">
      <c r="O1338" s="9"/>
      <c r="V1338" s="9"/>
      <c r="W1338" s="9"/>
      <c r="BB1338" s="7" t="e">
        <v>#N/A</v>
      </c>
    </row>
    <row r="1339" spans="15:54" ht="31.4" customHeight="1" x14ac:dyDescent="0.35">
      <c r="O1339" s="9"/>
      <c r="V1339" s="9"/>
      <c r="W1339" s="9"/>
      <c r="BB1339" s="7" t="e">
        <v>#N/A</v>
      </c>
    </row>
    <row r="1340" spans="15:54" ht="31.4" customHeight="1" x14ac:dyDescent="0.35">
      <c r="O1340" s="9"/>
      <c r="V1340" s="9"/>
      <c r="W1340" s="9"/>
      <c r="BB1340" s="7" t="e">
        <v>#N/A</v>
      </c>
    </row>
    <row r="1341" spans="15:54" ht="31.4" customHeight="1" x14ac:dyDescent="0.35">
      <c r="O1341" s="9"/>
      <c r="V1341" s="9"/>
      <c r="W1341" s="9"/>
      <c r="BB1341" s="7" t="e">
        <v>#N/A</v>
      </c>
    </row>
    <row r="1342" spans="15:54" ht="31.4" customHeight="1" x14ac:dyDescent="0.35">
      <c r="O1342" s="9"/>
      <c r="V1342" s="9"/>
      <c r="W1342" s="9"/>
      <c r="BB1342" s="7" t="e">
        <v>#N/A</v>
      </c>
    </row>
    <row r="1343" spans="15:54" ht="31.4" customHeight="1" x14ac:dyDescent="0.35">
      <c r="O1343" s="9"/>
      <c r="V1343" s="9"/>
      <c r="W1343" s="9"/>
      <c r="BB1343" s="7" t="e">
        <v>#N/A</v>
      </c>
    </row>
    <row r="1344" spans="15:54" ht="31.4" customHeight="1" x14ac:dyDescent="0.35">
      <c r="O1344" s="9"/>
      <c r="V1344" s="9"/>
      <c r="W1344" s="9"/>
      <c r="BB1344" s="7" t="e">
        <v>#N/A</v>
      </c>
    </row>
    <row r="1345" spans="15:54" ht="31.4" customHeight="1" x14ac:dyDescent="0.35">
      <c r="O1345" s="9"/>
      <c r="V1345" s="9"/>
      <c r="W1345" s="9"/>
      <c r="BB1345" s="7" t="e">
        <v>#N/A</v>
      </c>
    </row>
    <row r="1346" spans="15:54" ht="31.4" customHeight="1" x14ac:dyDescent="0.35">
      <c r="O1346" s="9"/>
      <c r="V1346" s="9"/>
      <c r="W1346" s="9"/>
      <c r="BB1346" s="7" t="e">
        <v>#N/A</v>
      </c>
    </row>
    <row r="1347" spans="15:54" ht="31.4" customHeight="1" x14ac:dyDescent="0.35">
      <c r="O1347" s="9"/>
      <c r="V1347" s="9"/>
      <c r="W1347" s="9"/>
      <c r="BB1347" s="7" t="e">
        <v>#N/A</v>
      </c>
    </row>
    <row r="1348" spans="15:54" ht="31.4" customHeight="1" x14ac:dyDescent="0.35">
      <c r="O1348" s="9"/>
      <c r="V1348" s="9"/>
      <c r="W1348" s="9"/>
      <c r="BB1348" s="7" t="e">
        <v>#N/A</v>
      </c>
    </row>
    <row r="1349" spans="15:54" ht="31.4" customHeight="1" x14ac:dyDescent="0.35">
      <c r="O1349" s="9"/>
      <c r="V1349" s="9"/>
      <c r="W1349" s="9"/>
      <c r="BB1349" s="7" t="e">
        <v>#N/A</v>
      </c>
    </row>
    <row r="1350" spans="15:54" ht="31.4" customHeight="1" x14ac:dyDescent="0.35">
      <c r="O1350" s="9"/>
      <c r="V1350" s="9"/>
      <c r="W1350" s="9"/>
      <c r="BB1350" s="7" t="e">
        <v>#N/A</v>
      </c>
    </row>
    <row r="1351" spans="15:54" ht="31.4" customHeight="1" x14ac:dyDescent="0.35">
      <c r="O1351" s="9"/>
      <c r="V1351" s="9"/>
      <c r="W1351" s="9"/>
      <c r="BB1351" s="7" t="e">
        <v>#N/A</v>
      </c>
    </row>
    <row r="1352" spans="15:54" ht="31.4" customHeight="1" x14ac:dyDescent="0.35">
      <c r="O1352" s="9"/>
      <c r="V1352" s="9"/>
      <c r="W1352" s="9"/>
      <c r="BB1352" s="7" t="e">
        <v>#N/A</v>
      </c>
    </row>
    <row r="1353" spans="15:54" ht="31.4" customHeight="1" x14ac:dyDescent="0.35">
      <c r="O1353" s="9"/>
      <c r="V1353" s="9"/>
      <c r="W1353" s="9"/>
      <c r="BB1353" s="7" t="e">
        <v>#N/A</v>
      </c>
    </row>
    <row r="1354" spans="15:54" ht="31.4" customHeight="1" x14ac:dyDescent="0.35">
      <c r="O1354" s="9"/>
      <c r="V1354" s="9"/>
      <c r="W1354" s="9"/>
      <c r="BB1354" s="7" t="e">
        <v>#N/A</v>
      </c>
    </row>
    <row r="1355" spans="15:54" ht="31.4" customHeight="1" x14ac:dyDescent="0.35">
      <c r="O1355" s="9"/>
      <c r="V1355" s="9"/>
      <c r="W1355" s="9"/>
      <c r="BB1355" s="7" t="e">
        <v>#N/A</v>
      </c>
    </row>
    <row r="1356" spans="15:54" ht="31.4" customHeight="1" x14ac:dyDescent="0.35">
      <c r="O1356" s="9"/>
      <c r="V1356" s="9"/>
      <c r="W1356" s="9"/>
      <c r="BB1356" s="7" t="e">
        <v>#N/A</v>
      </c>
    </row>
    <row r="1357" spans="15:54" ht="31.4" customHeight="1" x14ac:dyDescent="0.35">
      <c r="O1357" s="9"/>
      <c r="V1357" s="9"/>
      <c r="W1357" s="9"/>
      <c r="BB1357" s="7" t="e">
        <v>#N/A</v>
      </c>
    </row>
    <row r="1358" spans="15:54" ht="31.4" customHeight="1" x14ac:dyDescent="0.35">
      <c r="O1358" s="9"/>
      <c r="V1358" s="9"/>
      <c r="W1358" s="9"/>
      <c r="BB1358" s="7" t="e">
        <v>#N/A</v>
      </c>
    </row>
    <row r="1359" spans="15:54" ht="31.4" customHeight="1" x14ac:dyDescent="0.35">
      <c r="O1359" s="9"/>
      <c r="V1359" s="9"/>
      <c r="W1359" s="9"/>
      <c r="BB1359" s="7" t="e">
        <v>#N/A</v>
      </c>
    </row>
    <row r="1360" spans="15:54" ht="31.4" customHeight="1" x14ac:dyDescent="0.35">
      <c r="O1360" s="9"/>
      <c r="V1360" s="9"/>
      <c r="W1360" s="9"/>
      <c r="BB1360" s="7" t="e">
        <v>#N/A</v>
      </c>
    </row>
    <row r="1361" spans="15:54" ht="31.4" customHeight="1" x14ac:dyDescent="0.35">
      <c r="O1361" s="9"/>
      <c r="V1361" s="9"/>
      <c r="W1361" s="9"/>
      <c r="BB1361" s="7" t="e">
        <v>#N/A</v>
      </c>
    </row>
    <row r="1362" spans="15:54" ht="31.4" customHeight="1" x14ac:dyDescent="0.35">
      <c r="O1362" s="9"/>
      <c r="V1362" s="9"/>
      <c r="W1362" s="9"/>
      <c r="BB1362" s="7" t="e">
        <v>#N/A</v>
      </c>
    </row>
    <row r="1363" spans="15:54" ht="31.4" customHeight="1" x14ac:dyDescent="0.35">
      <c r="O1363" s="9"/>
      <c r="V1363" s="9"/>
      <c r="W1363" s="9"/>
      <c r="BB1363" s="7" t="e">
        <v>#N/A</v>
      </c>
    </row>
    <row r="1364" spans="15:54" ht="31.4" customHeight="1" x14ac:dyDescent="0.35">
      <c r="O1364" s="9"/>
      <c r="V1364" s="9"/>
      <c r="W1364" s="9"/>
      <c r="BB1364" s="7" t="e">
        <v>#N/A</v>
      </c>
    </row>
    <row r="1365" spans="15:54" ht="31.4" customHeight="1" x14ac:dyDescent="0.35">
      <c r="O1365" s="9"/>
      <c r="V1365" s="9"/>
      <c r="W1365" s="9"/>
      <c r="BB1365" s="7" t="e">
        <v>#N/A</v>
      </c>
    </row>
    <row r="1366" spans="15:54" ht="31.4" customHeight="1" x14ac:dyDescent="0.35">
      <c r="O1366" s="9"/>
      <c r="V1366" s="9"/>
      <c r="W1366" s="9"/>
      <c r="BB1366" s="7" t="e">
        <v>#N/A</v>
      </c>
    </row>
    <row r="1367" spans="15:54" ht="31.4" customHeight="1" x14ac:dyDescent="0.35">
      <c r="O1367" s="9"/>
      <c r="V1367" s="9"/>
      <c r="W1367" s="9"/>
      <c r="BB1367" s="7" t="e">
        <v>#N/A</v>
      </c>
    </row>
    <row r="1368" spans="15:54" ht="31.4" customHeight="1" x14ac:dyDescent="0.35">
      <c r="O1368" s="9"/>
      <c r="V1368" s="9"/>
      <c r="W1368" s="9"/>
      <c r="BB1368" s="7" t="e">
        <v>#N/A</v>
      </c>
    </row>
    <row r="1369" spans="15:54" ht="31.4" customHeight="1" x14ac:dyDescent="0.35">
      <c r="O1369" s="9"/>
      <c r="V1369" s="9"/>
      <c r="W1369" s="9"/>
      <c r="BB1369" s="7" t="e">
        <v>#N/A</v>
      </c>
    </row>
    <row r="1370" spans="15:54" ht="31.4" customHeight="1" x14ac:dyDescent="0.35">
      <c r="O1370" s="9"/>
      <c r="V1370" s="9"/>
      <c r="W1370" s="9"/>
      <c r="BB1370" s="7" t="e">
        <v>#N/A</v>
      </c>
    </row>
    <row r="1371" spans="15:54" ht="31.4" customHeight="1" x14ac:dyDescent="0.35">
      <c r="O1371" s="9"/>
      <c r="V1371" s="9"/>
      <c r="W1371" s="9"/>
      <c r="BB1371" s="7" t="e">
        <v>#N/A</v>
      </c>
    </row>
    <row r="1372" spans="15:54" ht="31.4" customHeight="1" x14ac:dyDescent="0.35">
      <c r="O1372" s="9"/>
      <c r="V1372" s="9"/>
      <c r="W1372" s="9"/>
      <c r="BB1372" s="7" t="e">
        <v>#N/A</v>
      </c>
    </row>
    <row r="1373" spans="15:54" ht="31.4" customHeight="1" x14ac:dyDescent="0.35">
      <c r="O1373" s="9"/>
      <c r="V1373" s="9"/>
      <c r="W1373" s="9"/>
      <c r="BB1373" s="7" t="e">
        <v>#N/A</v>
      </c>
    </row>
    <row r="1374" spans="15:54" ht="31.4" customHeight="1" x14ac:dyDescent="0.35">
      <c r="O1374" s="9"/>
      <c r="V1374" s="9"/>
      <c r="W1374" s="9"/>
      <c r="BB1374" s="7" t="e">
        <v>#N/A</v>
      </c>
    </row>
    <row r="1375" spans="15:54" ht="31.4" customHeight="1" x14ac:dyDescent="0.35">
      <c r="O1375" s="9"/>
      <c r="V1375" s="9"/>
      <c r="W1375" s="9"/>
      <c r="BB1375" s="7" t="e">
        <v>#N/A</v>
      </c>
    </row>
    <row r="1376" spans="15:54" ht="31.4" customHeight="1" x14ac:dyDescent="0.35">
      <c r="O1376" s="9"/>
      <c r="V1376" s="9"/>
      <c r="W1376" s="9"/>
      <c r="BB1376" s="7" t="e">
        <v>#N/A</v>
      </c>
    </row>
    <row r="1377" spans="15:54" ht="31.4" customHeight="1" x14ac:dyDescent="0.35">
      <c r="O1377" s="9"/>
      <c r="V1377" s="9"/>
      <c r="W1377" s="9"/>
      <c r="BB1377" s="7" t="e">
        <v>#N/A</v>
      </c>
    </row>
    <row r="1378" spans="15:54" ht="31.4" customHeight="1" x14ac:dyDescent="0.35">
      <c r="O1378" s="9"/>
      <c r="V1378" s="9"/>
      <c r="W1378" s="9"/>
      <c r="BB1378" s="7" t="e">
        <v>#N/A</v>
      </c>
    </row>
    <row r="1379" spans="15:54" ht="31.4" customHeight="1" x14ac:dyDescent="0.35">
      <c r="O1379" s="9"/>
      <c r="V1379" s="9"/>
      <c r="W1379" s="9"/>
      <c r="BB1379" s="7" t="e">
        <v>#N/A</v>
      </c>
    </row>
    <row r="1380" spans="15:54" ht="31.4" customHeight="1" x14ac:dyDescent="0.35">
      <c r="O1380" s="9"/>
      <c r="V1380" s="9"/>
      <c r="W1380" s="9"/>
      <c r="BB1380" s="7" t="e">
        <v>#N/A</v>
      </c>
    </row>
    <row r="1381" spans="15:54" ht="31.4" customHeight="1" x14ac:dyDescent="0.35">
      <c r="O1381" s="9"/>
      <c r="V1381" s="9"/>
      <c r="W1381" s="9"/>
      <c r="BB1381" s="7" t="e">
        <v>#N/A</v>
      </c>
    </row>
    <row r="1382" spans="15:54" ht="31.4" customHeight="1" x14ac:dyDescent="0.35">
      <c r="O1382" s="9"/>
      <c r="V1382" s="9"/>
      <c r="W1382" s="9"/>
      <c r="BB1382" s="7" t="e">
        <v>#N/A</v>
      </c>
    </row>
    <row r="1383" spans="15:54" ht="31.4" customHeight="1" x14ac:dyDescent="0.35">
      <c r="O1383" s="9"/>
      <c r="V1383" s="9"/>
      <c r="W1383" s="9"/>
      <c r="BB1383" s="7" t="e">
        <v>#N/A</v>
      </c>
    </row>
    <row r="1384" spans="15:54" ht="31.4" customHeight="1" x14ac:dyDescent="0.35">
      <c r="O1384" s="9"/>
      <c r="V1384" s="9"/>
      <c r="W1384" s="9"/>
      <c r="BB1384" s="7" t="e">
        <v>#N/A</v>
      </c>
    </row>
    <row r="1385" spans="15:54" ht="31.4" customHeight="1" x14ac:dyDescent="0.35">
      <c r="O1385" s="9"/>
      <c r="V1385" s="9"/>
      <c r="W1385" s="9"/>
      <c r="BB1385" s="7" t="e">
        <v>#N/A</v>
      </c>
    </row>
    <row r="1386" spans="15:54" ht="31.4" customHeight="1" x14ac:dyDescent="0.35">
      <c r="O1386" s="9"/>
      <c r="V1386" s="9"/>
      <c r="W1386" s="9"/>
      <c r="BB1386" s="7" t="e">
        <v>#N/A</v>
      </c>
    </row>
    <row r="1387" spans="15:54" ht="31.4" customHeight="1" x14ac:dyDescent="0.35">
      <c r="O1387" s="9"/>
      <c r="V1387" s="9"/>
      <c r="W1387" s="9"/>
      <c r="BB1387" s="7" t="e">
        <v>#N/A</v>
      </c>
    </row>
    <row r="1388" spans="15:54" ht="31.4" customHeight="1" x14ac:dyDescent="0.35">
      <c r="O1388" s="9"/>
      <c r="V1388" s="9"/>
      <c r="W1388" s="9"/>
      <c r="BB1388" s="7" t="e">
        <v>#N/A</v>
      </c>
    </row>
    <row r="1389" spans="15:54" ht="31.4" customHeight="1" x14ac:dyDescent="0.35">
      <c r="O1389" s="9"/>
      <c r="V1389" s="9"/>
      <c r="W1389" s="9"/>
      <c r="BB1389" s="7" t="e">
        <v>#N/A</v>
      </c>
    </row>
    <row r="1390" spans="15:54" ht="31.4" customHeight="1" x14ac:dyDescent="0.35">
      <c r="O1390" s="9"/>
      <c r="V1390" s="9"/>
      <c r="W1390" s="9"/>
      <c r="BB1390" s="7" t="e">
        <v>#N/A</v>
      </c>
    </row>
    <row r="1391" spans="15:54" ht="31.4" customHeight="1" x14ac:dyDescent="0.35">
      <c r="O1391" s="9"/>
      <c r="V1391" s="9"/>
      <c r="W1391" s="9"/>
      <c r="BB1391" s="7" t="e">
        <v>#N/A</v>
      </c>
    </row>
    <row r="1392" spans="15:54" ht="31.4" customHeight="1" x14ac:dyDescent="0.35">
      <c r="O1392" s="9"/>
      <c r="V1392" s="9"/>
      <c r="W1392" s="9"/>
      <c r="BB1392" s="7" t="e">
        <v>#N/A</v>
      </c>
    </row>
    <row r="1393" spans="15:54" ht="31.4" customHeight="1" x14ac:dyDescent="0.35">
      <c r="O1393" s="9"/>
      <c r="V1393" s="9"/>
      <c r="W1393" s="9"/>
      <c r="BB1393" s="7" t="e">
        <v>#N/A</v>
      </c>
    </row>
    <row r="1394" spans="15:54" ht="31.4" customHeight="1" x14ac:dyDescent="0.35">
      <c r="O1394" s="9"/>
      <c r="V1394" s="9"/>
      <c r="W1394" s="9"/>
      <c r="BB1394" s="7" t="e">
        <v>#N/A</v>
      </c>
    </row>
    <row r="1395" spans="15:54" ht="31.4" customHeight="1" x14ac:dyDescent="0.35">
      <c r="O1395" s="9"/>
      <c r="V1395" s="9"/>
      <c r="W1395" s="9"/>
      <c r="BB1395" s="7" t="e">
        <v>#N/A</v>
      </c>
    </row>
    <row r="1396" spans="15:54" ht="31.4" customHeight="1" x14ac:dyDescent="0.35">
      <c r="O1396" s="9"/>
      <c r="V1396" s="9"/>
      <c r="W1396" s="9"/>
      <c r="BB1396" s="7" t="e">
        <v>#N/A</v>
      </c>
    </row>
    <row r="1397" spans="15:54" ht="31.4" customHeight="1" x14ac:dyDescent="0.35">
      <c r="O1397" s="9"/>
      <c r="V1397" s="9"/>
      <c r="W1397" s="9"/>
      <c r="BB1397" s="7" t="e">
        <v>#N/A</v>
      </c>
    </row>
    <row r="1398" spans="15:54" ht="31.4" customHeight="1" x14ac:dyDescent="0.35">
      <c r="O1398" s="9"/>
      <c r="V1398" s="9"/>
      <c r="W1398" s="9"/>
      <c r="BB1398" s="7" t="e">
        <v>#N/A</v>
      </c>
    </row>
    <row r="1399" spans="15:54" ht="31.4" customHeight="1" x14ac:dyDescent="0.35">
      <c r="O1399" s="9"/>
      <c r="V1399" s="9"/>
      <c r="W1399" s="9"/>
      <c r="BB1399" s="7" t="e">
        <v>#N/A</v>
      </c>
    </row>
    <row r="1400" spans="15:54" ht="31.4" customHeight="1" x14ac:dyDescent="0.35">
      <c r="O1400" s="9"/>
      <c r="V1400" s="9"/>
      <c r="W1400" s="9"/>
      <c r="BB1400" s="7" t="e">
        <v>#N/A</v>
      </c>
    </row>
    <row r="1401" spans="15:54" ht="31.4" customHeight="1" x14ac:dyDescent="0.35">
      <c r="O1401" s="9"/>
      <c r="V1401" s="9"/>
      <c r="W1401" s="9"/>
      <c r="BB1401" s="7" t="e">
        <v>#N/A</v>
      </c>
    </row>
    <row r="1402" spans="15:54" ht="31.4" customHeight="1" x14ac:dyDescent="0.35">
      <c r="O1402" s="9"/>
      <c r="V1402" s="9"/>
      <c r="W1402" s="9"/>
      <c r="BB1402" s="7" t="e">
        <v>#N/A</v>
      </c>
    </row>
    <row r="1403" spans="15:54" ht="31.4" customHeight="1" x14ac:dyDescent="0.35">
      <c r="O1403" s="9"/>
      <c r="V1403" s="9"/>
      <c r="W1403" s="9"/>
      <c r="BB1403" s="7" t="e">
        <v>#N/A</v>
      </c>
    </row>
    <row r="1404" spans="15:54" ht="31.4" customHeight="1" x14ac:dyDescent="0.35">
      <c r="O1404" s="9"/>
      <c r="V1404" s="9"/>
      <c r="W1404" s="9"/>
      <c r="BB1404" s="7" t="e">
        <v>#N/A</v>
      </c>
    </row>
    <row r="1405" spans="15:54" ht="31.4" customHeight="1" x14ac:dyDescent="0.35">
      <c r="O1405" s="9"/>
      <c r="V1405" s="9"/>
      <c r="W1405" s="9"/>
      <c r="BB1405" s="7" t="e">
        <v>#N/A</v>
      </c>
    </row>
    <row r="1406" spans="15:54" ht="31.4" customHeight="1" x14ac:dyDescent="0.35">
      <c r="O1406" s="9"/>
      <c r="V1406" s="9"/>
      <c r="W1406" s="9"/>
      <c r="BB1406" s="7" t="e">
        <v>#N/A</v>
      </c>
    </row>
    <row r="1407" spans="15:54" ht="31.4" customHeight="1" x14ac:dyDescent="0.35">
      <c r="O1407" s="9"/>
      <c r="V1407" s="9"/>
      <c r="W1407" s="9"/>
      <c r="BB1407" s="7" t="e">
        <v>#N/A</v>
      </c>
    </row>
    <row r="1408" spans="15:54" ht="31.4" customHeight="1" x14ac:dyDescent="0.35">
      <c r="O1408" s="9"/>
      <c r="V1408" s="9"/>
      <c r="W1408" s="9"/>
      <c r="BB1408" s="7" t="e">
        <v>#N/A</v>
      </c>
    </row>
    <row r="1409" spans="15:54" ht="31.4" customHeight="1" x14ac:dyDescent="0.35">
      <c r="O1409" s="9"/>
      <c r="V1409" s="9"/>
      <c r="W1409" s="9"/>
      <c r="BB1409" s="7" t="e">
        <v>#N/A</v>
      </c>
    </row>
    <row r="1410" spans="15:54" ht="31.4" customHeight="1" x14ac:dyDescent="0.35">
      <c r="O1410" s="9"/>
      <c r="V1410" s="9"/>
      <c r="W1410" s="9"/>
      <c r="BB1410" s="7" t="e">
        <v>#N/A</v>
      </c>
    </row>
    <row r="1411" spans="15:54" ht="31.4" customHeight="1" x14ac:dyDescent="0.35">
      <c r="O1411" s="9"/>
      <c r="V1411" s="9"/>
      <c r="W1411" s="9"/>
      <c r="BB1411" s="7" t="e">
        <v>#N/A</v>
      </c>
    </row>
    <row r="1412" spans="15:54" ht="31.4" customHeight="1" x14ac:dyDescent="0.35">
      <c r="O1412" s="9"/>
      <c r="V1412" s="9"/>
      <c r="W1412" s="9"/>
      <c r="BB1412" s="7" t="e">
        <v>#N/A</v>
      </c>
    </row>
    <row r="1413" spans="15:54" ht="31.4" customHeight="1" x14ac:dyDescent="0.35">
      <c r="O1413" s="9"/>
      <c r="V1413" s="9"/>
      <c r="W1413" s="9"/>
      <c r="BB1413" s="7" t="e">
        <v>#N/A</v>
      </c>
    </row>
    <row r="1414" spans="15:54" ht="31.4" customHeight="1" x14ac:dyDescent="0.35">
      <c r="O1414" s="9"/>
      <c r="V1414" s="9"/>
      <c r="W1414" s="9"/>
      <c r="BB1414" s="7" t="e">
        <v>#N/A</v>
      </c>
    </row>
    <row r="1415" spans="15:54" ht="31.4" customHeight="1" x14ac:dyDescent="0.35">
      <c r="O1415" s="9"/>
      <c r="V1415" s="9"/>
      <c r="W1415" s="9"/>
      <c r="BB1415" s="7" t="e">
        <v>#N/A</v>
      </c>
    </row>
    <row r="1416" spans="15:54" ht="31.4" customHeight="1" x14ac:dyDescent="0.35">
      <c r="O1416" s="9"/>
      <c r="V1416" s="9"/>
      <c r="W1416" s="9"/>
      <c r="BB1416" s="7" t="e">
        <v>#N/A</v>
      </c>
    </row>
    <row r="1417" spans="15:54" ht="31.4" customHeight="1" x14ac:dyDescent="0.35">
      <c r="O1417" s="9"/>
      <c r="V1417" s="9"/>
      <c r="W1417" s="9"/>
      <c r="BB1417" s="7" t="e">
        <v>#N/A</v>
      </c>
    </row>
    <row r="1418" spans="15:54" ht="31.4" customHeight="1" x14ac:dyDescent="0.35">
      <c r="O1418" s="9"/>
      <c r="V1418" s="9"/>
      <c r="W1418" s="9"/>
      <c r="BB1418" s="7" t="e">
        <v>#N/A</v>
      </c>
    </row>
    <row r="1419" spans="15:54" ht="31.4" customHeight="1" x14ac:dyDescent="0.35">
      <c r="O1419" s="9"/>
      <c r="V1419" s="9"/>
      <c r="W1419" s="9"/>
      <c r="BB1419" s="7" t="e">
        <v>#N/A</v>
      </c>
    </row>
    <row r="1420" spans="15:54" ht="31.4" customHeight="1" x14ac:dyDescent="0.35">
      <c r="O1420" s="9"/>
      <c r="V1420" s="9"/>
      <c r="W1420" s="9"/>
      <c r="BB1420" s="7" t="e">
        <v>#N/A</v>
      </c>
    </row>
    <row r="1421" spans="15:54" ht="31.4" customHeight="1" x14ac:dyDescent="0.35">
      <c r="O1421" s="9"/>
      <c r="V1421" s="9"/>
      <c r="W1421" s="9"/>
      <c r="BB1421" s="7" t="e">
        <v>#N/A</v>
      </c>
    </row>
    <row r="1422" spans="15:54" ht="31.4" customHeight="1" x14ac:dyDescent="0.35">
      <c r="O1422" s="9"/>
      <c r="V1422" s="9"/>
      <c r="W1422" s="9"/>
      <c r="BB1422" s="7" t="e">
        <v>#N/A</v>
      </c>
    </row>
    <row r="1423" spans="15:54" ht="31.4" customHeight="1" x14ac:dyDescent="0.35">
      <c r="O1423" s="9"/>
      <c r="V1423" s="9"/>
      <c r="W1423" s="9"/>
      <c r="BB1423" s="7" t="e">
        <v>#N/A</v>
      </c>
    </row>
    <row r="1424" spans="15:54" ht="31.4" customHeight="1" x14ac:dyDescent="0.35">
      <c r="O1424" s="9"/>
      <c r="V1424" s="9"/>
      <c r="W1424" s="9"/>
      <c r="BB1424" s="7" t="e">
        <v>#N/A</v>
      </c>
    </row>
    <row r="1425" spans="15:54" ht="31.4" customHeight="1" x14ac:dyDescent="0.35">
      <c r="O1425" s="9"/>
      <c r="V1425" s="9"/>
      <c r="W1425" s="9"/>
      <c r="BB1425" s="7" t="e">
        <v>#N/A</v>
      </c>
    </row>
    <row r="1426" spans="15:54" ht="31.4" customHeight="1" x14ac:dyDescent="0.35">
      <c r="O1426" s="9"/>
      <c r="V1426" s="9"/>
      <c r="W1426" s="9"/>
      <c r="BB1426" s="7" t="e">
        <v>#N/A</v>
      </c>
    </row>
    <row r="1427" spans="15:54" ht="31.4" customHeight="1" x14ac:dyDescent="0.35">
      <c r="O1427" s="9"/>
      <c r="V1427" s="9"/>
      <c r="W1427" s="9"/>
      <c r="BB1427" s="7" t="e">
        <v>#N/A</v>
      </c>
    </row>
    <row r="1428" spans="15:54" ht="31.4" customHeight="1" x14ac:dyDescent="0.35">
      <c r="O1428" s="9"/>
      <c r="V1428" s="9"/>
      <c r="W1428" s="9"/>
      <c r="BB1428" s="7" t="e">
        <v>#N/A</v>
      </c>
    </row>
    <row r="1429" spans="15:54" ht="31.4" customHeight="1" x14ac:dyDescent="0.35">
      <c r="O1429" s="9"/>
      <c r="V1429" s="9"/>
      <c r="W1429" s="9"/>
      <c r="BB1429" s="7" t="e">
        <v>#N/A</v>
      </c>
    </row>
    <row r="1430" spans="15:54" ht="31.4" customHeight="1" x14ac:dyDescent="0.35">
      <c r="O1430" s="9"/>
      <c r="V1430" s="9"/>
      <c r="W1430" s="9"/>
      <c r="BB1430" s="7" t="e">
        <v>#N/A</v>
      </c>
    </row>
    <row r="1431" spans="15:54" ht="31.4" customHeight="1" x14ac:dyDescent="0.35">
      <c r="O1431" s="9"/>
      <c r="V1431" s="9"/>
      <c r="W1431" s="9"/>
      <c r="BB1431" s="7" t="e">
        <v>#N/A</v>
      </c>
    </row>
    <row r="1432" spans="15:54" ht="31.4" customHeight="1" x14ac:dyDescent="0.35">
      <c r="O1432" s="9"/>
      <c r="V1432" s="9"/>
      <c r="W1432" s="9"/>
      <c r="BB1432" s="7" t="e">
        <v>#N/A</v>
      </c>
    </row>
    <row r="1433" spans="15:54" ht="31.4" customHeight="1" x14ac:dyDescent="0.35">
      <c r="O1433" s="9"/>
      <c r="V1433" s="9"/>
      <c r="W1433" s="9"/>
      <c r="BB1433" s="7" t="e">
        <v>#N/A</v>
      </c>
    </row>
    <row r="1434" spans="15:54" ht="31.4" customHeight="1" x14ac:dyDescent="0.35">
      <c r="O1434" s="9"/>
      <c r="V1434" s="9"/>
      <c r="W1434" s="9"/>
      <c r="BB1434" s="7" t="e">
        <v>#N/A</v>
      </c>
    </row>
    <row r="1435" spans="15:54" ht="31.4" customHeight="1" x14ac:dyDescent="0.35">
      <c r="O1435" s="9"/>
      <c r="V1435" s="9"/>
      <c r="W1435" s="9"/>
      <c r="BB1435" s="7" t="e">
        <v>#N/A</v>
      </c>
    </row>
    <row r="1436" spans="15:54" ht="31.4" customHeight="1" x14ac:dyDescent="0.35">
      <c r="O1436" s="9"/>
      <c r="V1436" s="9"/>
      <c r="W1436" s="9"/>
      <c r="BB1436" s="7" t="e">
        <v>#N/A</v>
      </c>
    </row>
    <row r="1437" spans="15:54" ht="31.4" customHeight="1" x14ac:dyDescent="0.35">
      <c r="O1437" s="9"/>
      <c r="V1437" s="9"/>
      <c r="W1437" s="9"/>
      <c r="BB1437" s="7" t="e">
        <v>#N/A</v>
      </c>
    </row>
    <row r="1438" spans="15:54" ht="31.4" customHeight="1" x14ac:dyDescent="0.35">
      <c r="O1438" s="9"/>
      <c r="V1438" s="9"/>
      <c r="W1438" s="9"/>
      <c r="BB1438" s="7" t="e">
        <v>#N/A</v>
      </c>
    </row>
    <row r="1439" spans="15:54" ht="31.4" customHeight="1" x14ac:dyDescent="0.35">
      <c r="O1439" s="9"/>
      <c r="V1439" s="9"/>
      <c r="W1439" s="9"/>
      <c r="BB1439" s="7" t="e">
        <v>#N/A</v>
      </c>
    </row>
    <row r="1440" spans="15:54" ht="31.4" customHeight="1" x14ac:dyDescent="0.35">
      <c r="O1440" s="9"/>
      <c r="V1440" s="9"/>
      <c r="W1440" s="9"/>
      <c r="BB1440" s="7" t="e">
        <v>#N/A</v>
      </c>
    </row>
    <row r="1441" spans="15:54" ht="31.4" customHeight="1" x14ac:dyDescent="0.35">
      <c r="O1441" s="9"/>
      <c r="V1441" s="9"/>
      <c r="W1441" s="9"/>
      <c r="BB1441" s="7" t="e">
        <v>#N/A</v>
      </c>
    </row>
    <row r="1442" spans="15:54" ht="31.4" customHeight="1" x14ac:dyDescent="0.35">
      <c r="O1442" s="9"/>
      <c r="V1442" s="9"/>
      <c r="W1442" s="9"/>
      <c r="BB1442" s="7" t="e">
        <v>#N/A</v>
      </c>
    </row>
    <row r="1443" spans="15:54" ht="31.4" customHeight="1" x14ac:dyDescent="0.35">
      <c r="O1443" s="9"/>
      <c r="V1443" s="9"/>
      <c r="W1443" s="9"/>
      <c r="BB1443" s="7" t="e">
        <v>#N/A</v>
      </c>
    </row>
    <row r="1444" spans="15:54" ht="31.4" customHeight="1" x14ac:dyDescent="0.35">
      <c r="O1444" s="9"/>
      <c r="V1444" s="9"/>
      <c r="W1444" s="9"/>
      <c r="BB1444" s="7" t="e">
        <v>#N/A</v>
      </c>
    </row>
    <row r="1445" spans="15:54" ht="31.4" customHeight="1" x14ac:dyDescent="0.35">
      <c r="O1445" s="9"/>
      <c r="V1445" s="9"/>
      <c r="W1445" s="9"/>
      <c r="BB1445" s="7" t="e">
        <v>#N/A</v>
      </c>
    </row>
    <row r="1446" spans="15:54" ht="31.4" customHeight="1" x14ac:dyDescent="0.35">
      <c r="O1446" s="9"/>
      <c r="V1446" s="9"/>
      <c r="W1446" s="9"/>
      <c r="BB1446" s="7" t="e">
        <v>#N/A</v>
      </c>
    </row>
    <row r="1447" spans="15:54" ht="31.4" customHeight="1" x14ac:dyDescent="0.35">
      <c r="O1447" s="9"/>
      <c r="V1447" s="9"/>
      <c r="W1447" s="9"/>
      <c r="BB1447" s="7" t="e">
        <v>#N/A</v>
      </c>
    </row>
    <row r="1448" spans="15:54" ht="31.4" customHeight="1" x14ac:dyDescent="0.35">
      <c r="O1448" s="9"/>
      <c r="V1448" s="9"/>
      <c r="W1448" s="9"/>
      <c r="BB1448" s="7" t="e">
        <v>#N/A</v>
      </c>
    </row>
    <row r="1449" spans="15:54" ht="31.4" customHeight="1" x14ac:dyDescent="0.35">
      <c r="O1449" s="9"/>
      <c r="V1449" s="9"/>
      <c r="W1449" s="9"/>
      <c r="BB1449" s="7" t="e">
        <v>#N/A</v>
      </c>
    </row>
    <row r="1450" spans="15:54" ht="31.4" customHeight="1" x14ac:dyDescent="0.35">
      <c r="O1450" s="9"/>
      <c r="V1450" s="9"/>
      <c r="W1450" s="9"/>
      <c r="BB1450" s="7" t="e">
        <v>#N/A</v>
      </c>
    </row>
    <row r="1451" spans="15:54" ht="31.4" customHeight="1" x14ac:dyDescent="0.35">
      <c r="O1451" s="9"/>
      <c r="V1451" s="9"/>
      <c r="W1451" s="9"/>
      <c r="BB1451" s="7" t="e">
        <v>#N/A</v>
      </c>
    </row>
    <row r="1452" spans="15:54" ht="31.4" customHeight="1" x14ac:dyDescent="0.35">
      <c r="O1452" s="9"/>
      <c r="V1452" s="9"/>
      <c r="W1452" s="9"/>
      <c r="BB1452" s="7" t="e">
        <v>#N/A</v>
      </c>
    </row>
    <row r="1453" spans="15:54" ht="31.4" customHeight="1" x14ac:dyDescent="0.35">
      <c r="O1453" s="9"/>
      <c r="V1453" s="9"/>
      <c r="W1453" s="9"/>
      <c r="BB1453" s="7" t="e">
        <v>#N/A</v>
      </c>
    </row>
    <row r="1454" spans="15:54" ht="31.4" customHeight="1" x14ac:dyDescent="0.35">
      <c r="O1454" s="9"/>
      <c r="V1454" s="9"/>
      <c r="W1454" s="9"/>
      <c r="BB1454" s="7" t="e">
        <v>#N/A</v>
      </c>
    </row>
    <row r="1455" spans="15:54" ht="31.4" customHeight="1" x14ac:dyDescent="0.35">
      <c r="O1455" s="9"/>
      <c r="V1455" s="9"/>
      <c r="W1455" s="9"/>
      <c r="BB1455" s="7" t="e">
        <v>#N/A</v>
      </c>
    </row>
    <row r="1456" spans="15:54" ht="31.4" customHeight="1" x14ac:dyDescent="0.35">
      <c r="O1456" s="9"/>
      <c r="V1456" s="9"/>
      <c r="W1456" s="9"/>
      <c r="BB1456" s="7" t="e">
        <v>#N/A</v>
      </c>
    </row>
    <row r="1457" spans="15:54" ht="31.4" customHeight="1" x14ac:dyDescent="0.35">
      <c r="O1457" s="9"/>
      <c r="V1457" s="9"/>
      <c r="W1457" s="9"/>
      <c r="BB1457" s="7" t="e">
        <v>#N/A</v>
      </c>
    </row>
    <row r="1458" spans="15:54" ht="31.4" customHeight="1" x14ac:dyDescent="0.35">
      <c r="O1458" s="9"/>
      <c r="V1458" s="9"/>
      <c r="W1458" s="9"/>
      <c r="BB1458" s="7" t="e">
        <v>#N/A</v>
      </c>
    </row>
    <row r="1459" spans="15:54" ht="31.4" customHeight="1" x14ac:dyDescent="0.35">
      <c r="O1459" s="9"/>
      <c r="V1459" s="9"/>
      <c r="W1459" s="9"/>
      <c r="BB1459" s="7" t="e">
        <v>#N/A</v>
      </c>
    </row>
    <row r="1460" spans="15:54" ht="31.4" customHeight="1" x14ac:dyDescent="0.35">
      <c r="O1460" s="9"/>
      <c r="V1460" s="9"/>
      <c r="W1460" s="9"/>
      <c r="BB1460" s="7" t="e">
        <v>#N/A</v>
      </c>
    </row>
    <row r="1461" spans="15:54" ht="31.4" customHeight="1" x14ac:dyDescent="0.35">
      <c r="O1461" s="9"/>
      <c r="V1461" s="9"/>
      <c r="W1461" s="9"/>
      <c r="BB1461" s="7" t="e">
        <v>#N/A</v>
      </c>
    </row>
    <row r="1462" spans="15:54" ht="31.4" customHeight="1" x14ac:dyDescent="0.35">
      <c r="O1462" s="9"/>
      <c r="V1462" s="9"/>
      <c r="W1462" s="9"/>
      <c r="BB1462" s="7" t="e">
        <v>#N/A</v>
      </c>
    </row>
    <row r="1463" spans="15:54" ht="31.4" customHeight="1" x14ac:dyDescent="0.35">
      <c r="O1463" s="9"/>
      <c r="V1463" s="9"/>
      <c r="W1463" s="9"/>
      <c r="BB1463" s="7" t="e">
        <v>#N/A</v>
      </c>
    </row>
    <row r="1464" spans="15:54" ht="31.4" customHeight="1" x14ac:dyDescent="0.35">
      <c r="O1464" s="9"/>
      <c r="V1464" s="9"/>
      <c r="W1464" s="9"/>
      <c r="BB1464" s="7" t="e">
        <v>#N/A</v>
      </c>
    </row>
    <row r="1465" spans="15:54" ht="31.4" customHeight="1" x14ac:dyDescent="0.35">
      <c r="O1465" s="9"/>
      <c r="V1465" s="9"/>
      <c r="W1465" s="9"/>
      <c r="BB1465" s="7" t="e">
        <v>#N/A</v>
      </c>
    </row>
    <row r="1466" spans="15:54" ht="31.4" customHeight="1" x14ac:dyDescent="0.35">
      <c r="O1466" s="9"/>
      <c r="V1466" s="9"/>
      <c r="W1466" s="9"/>
      <c r="BB1466" s="7" t="e">
        <v>#N/A</v>
      </c>
    </row>
    <row r="1467" spans="15:54" ht="31.4" customHeight="1" x14ac:dyDescent="0.35">
      <c r="O1467" s="9"/>
      <c r="V1467" s="9"/>
      <c r="W1467" s="9"/>
      <c r="BB1467" s="7" t="e">
        <v>#N/A</v>
      </c>
    </row>
    <row r="1468" spans="15:54" ht="31.4" customHeight="1" x14ac:dyDescent="0.35">
      <c r="O1468" s="9"/>
      <c r="V1468" s="9"/>
      <c r="W1468" s="9"/>
      <c r="BB1468" s="7" t="e">
        <v>#N/A</v>
      </c>
    </row>
    <row r="1469" spans="15:54" ht="31.4" customHeight="1" x14ac:dyDescent="0.35">
      <c r="O1469" s="9"/>
      <c r="V1469" s="9"/>
      <c r="W1469" s="9"/>
      <c r="BB1469" s="7" t="e">
        <v>#N/A</v>
      </c>
    </row>
    <row r="1470" spans="15:54" ht="31.4" customHeight="1" x14ac:dyDescent="0.35">
      <c r="O1470" s="9"/>
      <c r="V1470" s="9"/>
      <c r="W1470" s="9"/>
      <c r="BB1470" s="7" t="e">
        <v>#N/A</v>
      </c>
    </row>
    <row r="1471" spans="15:54" ht="31.4" customHeight="1" x14ac:dyDescent="0.35">
      <c r="O1471" s="9"/>
      <c r="V1471" s="9"/>
      <c r="W1471" s="9"/>
      <c r="BB1471" s="7" t="e">
        <v>#N/A</v>
      </c>
    </row>
    <row r="1472" spans="15:54" ht="31.4" customHeight="1" x14ac:dyDescent="0.35">
      <c r="O1472" s="9"/>
      <c r="V1472" s="9"/>
      <c r="W1472" s="9"/>
      <c r="BB1472" s="7" t="e">
        <v>#N/A</v>
      </c>
    </row>
    <row r="1473" spans="15:54" ht="31.4" customHeight="1" x14ac:dyDescent="0.35">
      <c r="O1473" s="9"/>
      <c r="V1473" s="9"/>
      <c r="W1473" s="9"/>
      <c r="BB1473" s="7" t="e">
        <v>#N/A</v>
      </c>
    </row>
    <row r="1474" spans="15:54" ht="31.4" customHeight="1" x14ac:dyDescent="0.35">
      <c r="O1474" s="9"/>
      <c r="V1474" s="9"/>
      <c r="W1474" s="9"/>
      <c r="BB1474" s="7" t="e">
        <v>#N/A</v>
      </c>
    </row>
    <row r="1475" spans="15:54" ht="31.4" customHeight="1" x14ac:dyDescent="0.35">
      <c r="O1475" s="9"/>
      <c r="V1475" s="9"/>
      <c r="W1475" s="9"/>
      <c r="BB1475" s="7" t="e">
        <v>#N/A</v>
      </c>
    </row>
    <row r="1476" spans="15:54" ht="31.4" customHeight="1" x14ac:dyDescent="0.35">
      <c r="O1476" s="9"/>
      <c r="V1476" s="9"/>
      <c r="W1476" s="9"/>
      <c r="BB1476" s="7" t="e">
        <v>#N/A</v>
      </c>
    </row>
    <row r="1477" spans="15:54" ht="31.4" customHeight="1" x14ac:dyDescent="0.35">
      <c r="O1477" s="9"/>
      <c r="V1477" s="9"/>
      <c r="W1477" s="9"/>
      <c r="BB1477" s="7" t="e">
        <v>#N/A</v>
      </c>
    </row>
    <row r="1478" spans="15:54" ht="31.4" customHeight="1" x14ac:dyDescent="0.35">
      <c r="O1478" s="9"/>
      <c r="V1478" s="9"/>
      <c r="W1478" s="9"/>
      <c r="BB1478" s="7" t="e">
        <v>#N/A</v>
      </c>
    </row>
    <row r="1479" spans="15:54" ht="31.4" customHeight="1" x14ac:dyDescent="0.35">
      <c r="O1479" s="9"/>
      <c r="V1479" s="9"/>
      <c r="W1479" s="9"/>
      <c r="BB1479" s="7" t="e">
        <v>#N/A</v>
      </c>
    </row>
    <row r="1480" spans="15:54" ht="31.4" customHeight="1" x14ac:dyDescent="0.35">
      <c r="O1480" s="9"/>
      <c r="V1480" s="9"/>
      <c r="W1480" s="9"/>
      <c r="BB1480" s="7" t="e">
        <v>#N/A</v>
      </c>
    </row>
    <row r="1481" spans="15:54" ht="31.4" customHeight="1" x14ac:dyDescent="0.35">
      <c r="O1481" s="9"/>
      <c r="V1481" s="9"/>
      <c r="W1481" s="9"/>
      <c r="BB1481" s="7" t="e">
        <v>#N/A</v>
      </c>
    </row>
    <row r="1482" spans="15:54" ht="31.4" customHeight="1" x14ac:dyDescent="0.35">
      <c r="O1482" s="9"/>
      <c r="V1482" s="9"/>
      <c r="W1482" s="9"/>
      <c r="BB1482" s="7" t="e">
        <v>#N/A</v>
      </c>
    </row>
    <row r="1483" spans="15:54" ht="31.4" customHeight="1" x14ac:dyDescent="0.35">
      <c r="O1483" s="9"/>
      <c r="V1483" s="9"/>
      <c r="W1483" s="9"/>
      <c r="BB1483" s="7" t="e">
        <v>#N/A</v>
      </c>
    </row>
    <row r="1484" spans="15:54" ht="31.4" customHeight="1" x14ac:dyDescent="0.35">
      <c r="O1484" s="9"/>
      <c r="V1484" s="9"/>
      <c r="W1484" s="9"/>
      <c r="BB1484" s="7" t="e">
        <v>#N/A</v>
      </c>
    </row>
    <row r="1485" spans="15:54" ht="31.4" customHeight="1" x14ac:dyDescent="0.35">
      <c r="O1485" s="9"/>
      <c r="V1485" s="9"/>
      <c r="W1485" s="9"/>
      <c r="BB1485" s="7" t="e">
        <v>#N/A</v>
      </c>
    </row>
    <row r="1486" spans="15:54" ht="31.4" customHeight="1" x14ac:dyDescent="0.35">
      <c r="O1486" s="9"/>
      <c r="V1486" s="9"/>
      <c r="W1486" s="9"/>
      <c r="BB1486" s="7" t="e">
        <v>#N/A</v>
      </c>
    </row>
    <row r="1487" spans="15:54" ht="31.4" customHeight="1" x14ac:dyDescent="0.35">
      <c r="O1487" s="9"/>
      <c r="V1487" s="9"/>
      <c r="W1487" s="9"/>
      <c r="BB1487" s="7" t="e">
        <v>#N/A</v>
      </c>
    </row>
    <row r="1488" spans="15:54" ht="31.4" customHeight="1" x14ac:dyDescent="0.35">
      <c r="O1488" s="9"/>
      <c r="V1488" s="9"/>
      <c r="W1488" s="9"/>
      <c r="BB1488" s="7" t="e">
        <v>#N/A</v>
      </c>
    </row>
    <row r="1489" spans="15:54" ht="31.4" customHeight="1" x14ac:dyDescent="0.35">
      <c r="O1489" s="9"/>
      <c r="V1489" s="9"/>
      <c r="W1489" s="9"/>
      <c r="BB1489" s="7" t="e">
        <v>#N/A</v>
      </c>
    </row>
    <row r="1490" spans="15:54" ht="31.4" customHeight="1" x14ac:dyDescent="0.35">
      <c r="O1490" s="9"/>
      <c r="V1490" s="9"/>
      <c r="W1490" s="9"/>
      <c r="BB1490" s="7" t="e">
        <v>#N/A</v>
      </c>
    </row>
    <row r="1491" spans="15:54" ht="31.4" customHeight="1" x14ac:dyDescent="0.35">
      <c r="O1491" s="9"/>
      <c r="V1491" s="9"/>
      <c r="W1491" s="9"/>
      <c r="BB1491" s="7" t="e">
        <v>#N/A</v>
      </c>
    </row>
    <row r="1492" spans="15:54" ht="31.4" customHeight="1" x14ac:dyDescent="0.35">
      <c r="O1492" s="9"/>
      <c r="V1492" s="9"/>
      <c r="W1492" s="9"/>
      <c r="BB1492" s="7" t="e">
        <v>#N/A</v>
      </c>
    </row>
    <row r="1493" spans="15:54" ht="31.4" customHeight="1" x14ac:dyDescent="0.35">
      <c r="O1493" s="9"/>
      <c r="V1493" s="9"/>
      <c r="W1493" s="9"/>
      <c r="BB1493" s="7" t="e">
        <v>#N/A</v>
      </c>
    </row>
    <row r="1494" spans="15:54" ht="31.4" customHeight="1" x14ac:dyDescent="0.35">
      <c r="O1494" s="9"/>
      <c r="V1494" s="9"/>
      <c r="W1494" s="9"/>
      <c r="BB1494" s="7" t="e">
        <v>#N/A</v>
      </c>
    </row>
    <row r="1495" spans="15:54" ht="31.4" customHeight="1" x14ac:dyDescent="0.35">
      <c r="O1495" s="9"/>
      <c r="V1495" s="9"/>
      <c r="W1495" s="9"/>
      <c r="BB1495" s="7" t="e">
        <v>#N/A</v>
      </c>
    </row>
    <row r="1496" spans="15:54" ht="31.4" customHeight="1" x14ac:dyDescent="0.35">
      <c r="O1496" s="9"/>
      <c r="V1496" s="9"/>
      <c r="W1496" s="9"/>
      <c r="BB1496" s="7" t="e">
        <v>#N/A</v>
      </c>
    </row>
    <row r="1497" spans="15:54" ht="31.4" customHeight="1" x14ac:dyDescent="0.35">
      <c r="O1497" s="9"/>
      <c r="V1497" s="9"/>
      <c r="W1497" s="9"/>
      <c r="BB1497" s="7" t="e">
        <v>#N/A</v>
      </c>
    </row>
    <row r="1498" spans="15:54" ht="31.4" customHeight="1" x14ac:dyDescent="0.35">
      <c r="O1498" s="9"/>
      <c r="V1498" s="9"/>
      <c r="W1498" s="9"/>
      <c r="BB1498" s="7" t="e">
        <v>#N/A</v>
      </c>
    </row>
    <row r="1499" spans="15:54" ht="31.4" customHeight="1" x14ac:dyDescent="0.35">
      <c r="O1499" s="9"/>
      <c r="V1499" s="9"/>
      <c r="W1499" s="9"/>
      <c r="BB1499" s="7" t="e">
        <v>#N/A</v>
      </c>
    </row>
    <row r="1500" spans="15:54" ht="31.4" customHeight="1" x14ac:dyDescent="0.35">
      <c r="O1500" s="9"/>
      <c r="V1500" s="9"/>
      <c r="W1500" s="9"/>
      <c r="BB1500" s="7" t="e">
        <v>#N/A</v>
      </c>
    </row>
    <row r="1501" spans="15:54" ht="31.4" customHeight="1" x14ac:dyDescent="0.35">
      <c r="O1501" s="9"/>
      <c r="V1501" s="9"/>
      <c r="W1501" s="9"/>
      <c r="BB1501" s="7" t="e">
        <v>#N/A</v>
      </c>
    </row>
    <row r="1502" spans="15:54" ht="31.4" customHeight="1" x14ac:dyDescent="0.35">
      <c r="O1502" s="9"/>
      <c r="V1502" s="9"/>
      <c r="W1502" s="9"/>
      <c r="BB1502" s="7" t="e">
        <v>#N/A</v>
      </c>
    </row>
    <row r="1503" spans="15:54" ht="31.4" customHeight="1" x14ac:dyDescent="0.35">
      <c r="O1503" s="9"/>
      <c r="V1503" s="9"/>
      <c r="W1503" s="9"/>
      <c r="BB1503" s="7" t="e">
        <v>#N/A</v>
      </c>
    </row>
    <row r="1504" spans="15:54" ht="31.4" customHeight="1" x14ac:dyDescent="0.35">
      <c r="O1504" s="9"/>
      <c r="V1504" s="9"/>
      <c r="W1504" s="9"/>
      <c r="BB1504" s="7" t="e">
        <v>#N/A</v>
      </c>
    </row>
    <row r="1505" spans="15:54" ht="31.4" customHeight="1" x14ac:dyDescent="0.35">
      <c r="O1505" s="9"/>
      <c r="V1505" s="9"/>
      <c r="W1505" s="9"/>
      <c r="BB1505" s="7" t="e">
        <v>#N/A</v>
      </c>
    </row>
    <row r="1506" spans="15:54" ht="31.4" customHeight="1" x14ac:dyDescent="0.35">
      <c r="O1506" s="9"/>
      <c r="V1506" s="9"/>
      <c r="W1506" s="9"/>
      <c r="BB1506" s="7" t="e">
        <v>#N/A</v>
      </c>
    </row>
    <row r="1507" spans="15:54" ht="31.4" customHeight="1" x14ac:dyDescent="0.35">
      <c r="O1507" s="9"/>
      <c r="V1507" s="9"/>
      <c r="W1507" s="9"/>
      <c r="BB1507" s="7" t="e">
        <v>#N/A</v>
      </c>
    </row>
    <row r="1508" spans="15:54" ht="31.4" customHeight="1" x14ac:dyDescent="0.35">
      <c r="O1508" s="9"/>
      <c r="V1508" s="9"/>
      <c r="W1508" s="9"/>
      <c r="BB1508" s="7" t="e">
        <v>#N/A</v>
      </c>
    </row>
    <row r="1509" spans="15:54" ht="31.4" customHeight="1" x14ac:dyDescent="0.35">
      <c r="O1509" s="9"/>
      <c r="V1509" s="9"/>
      <c r="W1509" s="9"/>
      <c r="BB1509" s="7" t="e">
        <v>#N/A</v>
      </c>
    </row>
    <row r="1510" spans="15:54" ht="31.4" customHeight="1" x14ac:dyDescent="0.35">
      <c r="O1510" s="9"/>
      <c r="V1510" s="9"/>
      <c r="W1510" s="9"/>
      <c r="BB1510" s="7" t="e">
        <v>#N/A</v>
      </c>
    </row>
    <row r="1511" spans="15:54" ht="31.4" customHeight="1" x14ac:dyDescent="0.35">
      <c r="O1511" s="9"/>
      <c r="V1511" s="9"/>
      <c r="W1511" s="9"/>
      <c r="BB1511" s="7" t="e">
        <v>#N/A</v>
      </c>
    </row>
    <row r="1512" spans="15:54" ht="31.4" customHeight="1" x14ac:dyDescent="0.35">
      <c r="O1512" s="9"/>
      <c r="V1512" s="9"/>
      <c r="W1512" s="9"/>
      <c r="BB1512" s="7" t="e">
        <v>#N/A</v>
      </c>
    </row>
    <row r="1513" spans="15:54" ht="31.4" customHeight="1" x14ac:dyDescent="0.35">
      <c r="O1513" s="9"/>
      <c r="V1513" s="9"/>
      <c r="W1513" s="9"/>
      <c r="BB1513" s="7" t="e">
        <v>#N/A</v>
      </c>
    </row>
    <row r="1514" spans="15:54" ht="31.4" customHeight="1" x14ac:dyDescent="0.35">
      <c r="O1514" s="9"/>
      <c r="V1514" s="9"/>
      <c r="W1514" s="9"/>
      <c r="BB1514" s="7" t="e">
        <v>#N/A</v>
      </c>
    </row>
    <row r="1515" spans="15:54" ht="31.4" customHeight="1" x14ac:dyDescent="0.35">
      <c r="O1515" s="9"/>
      <c r="V1515" s="9"/>
      <c r="W1515" s="9"/>
      <c r="BB1515" s="7" t="e">
        <v>#N/A</v>
      </c>
    </row>
    <row r="1516" spans="15:54" ht="31.4" customHeight="1" x14ac:dyDescent="0.35">
      <c r="O1516" s="9"/>
      <c r="V1516" s="9"/>
      <c r="W1516" s="9"/>
      <c r="BB1516" s="7" t="e">
        <v>#N/A</v>
      </c>
    </row>
    <row r="1517" spans="15:54" ht="31.4" customHeight="1" x14ac:dyDescent="0.35">
      <c r="O1517" s="9"/>
      <c r="V1517" s="9"/>
      <c r="W1517" s="9"/>
      <c r="BB1517" s="7" t="e">
        <v>#N/A</v>
      </c>
    </row>
    <row r="1518" spans="15:54" ht="31.4" customHeight="1" x14ac:dyDescent="0.35">
      <c r="O1518" s="9"/>
      <c r="V1518" s="9"/>
      <c r="W1518" s="9"/>
      <c r="BB1518" s="7" t="e">
        <v>#N/A</v>
      </c>
    </row>
    <row r="1519" spans="15:54" ht="31.4" customHeight="1" x14ac:dyDescent="0.35">
      <c r="O1519" s="9"/>
      <c r="V1519" s="9"/>
      <c r="W1519" s="9"/>
      <c r="BB1519" s="7" t="e">
        <v>#N/A</v>
      </c>
    </row>
    <row r="1520" spans="15:54" ht="31.4" customHeight="1" x14ac:dyDescent="0.35">
      <c r="O1520" s="9"/>
      <c r="V1520" s="9"/>
      <c r="W1520" s="9"/>
      <c r="BB1520" s="7" t="e">
        <v>#N/A</v>
      </c>
    </row>
    <row r="1521" spans="15:54" ht="31.4" customHeight="1" x14ac:dyDescent="0.35">
      <c r="O1521" s="9"/>
      <c r="V1521" s="9"/>
      <c r="W1521" s="9"/>
      <c r="BB1521" s="7" t="e">
        <v>#N/A</v>
      </c>
    </row>
    <row r="1522" spans="15:54" ht="31.4" customHeight="1" x14ac:dyDescent="0.35">
      <c r="O1522" s="9"/>
      <c r="V1522" s="9"/>
      <c r="W1522" s="9"/>
      <c r="BB1522" s="7" t="e">
        <v>#N/A</v>
      </c>
    </row>
    <row r="1523" spans="15:54" ht="31.4" customHeight="1" x14ac:dyDescent="0.35">
      <c r="O1523" s="9"/>
      <c r="V1523" s="9"/>
      <c r="W1523" s="9"/>
      <c r="BB1523" s="7" t="e">
        <v>#N/A</v>
      </c>
    </row>
    <row r="1524" spans="15:54" ht="31.4" customHeight="1" x14ac:dyDescent="0.35">
      <c r="O1524" s="9"/>
      <c r="V1524" s="9"/>
      <c r="W1524" s="9"/>
      <c r="BB1524" s="7" t="e">
        <v>#N/A</v>
      </c>
    </row>
    <row r="1525" spans="15:54" ht="31.4" customHeight="1" x14ac:dyDescent="0.35">
      <c r="O1525" s="9"/>
      <c r="V1525" s="9"/>
      <c r="W1525" s="9"/>
      <c r="BB1525" s="7" t="e">
        <v>#N/A</v>
      </c>
    </row>
    <row r="1526" spans="15:54" ht="31.4" customHeight="1" x14ac:dyDescent="0.35">
      <c r="O1526" s="9"/>
      <c r="V1526" s="9"/>
      <c r="W1526" s="9"/>
      <c r="BB1526" s="7" t="e">
        <v>#N/A</v>
      </c>
    </row>
    <row r="1527" spans="15:54" ht="31.4" customHeight="1" x14ac:dyDescent="0.35">
      <c r="O1527" s="9"/>
      <c r="V1527" s="9"/>
      <c r="W1527" s="9"/>
      <c r="BB1527" s="7" t="e">
        <v>#N/A</v>
      </c>
    </row>
    <row r="1528" spans="15:54" ht="31.4" customHeight="1" x14ac:dyDescent="0.35">
      <c r="O1528" s="9"/>
      <c r="V1528" s="9"/>
      <c r="W1528" s="9"/>
      <c r="BB1528" s="7" t="e">
        <v>#N/A</v>
      </c>
    </row>
    <row r="1529" spans="15:54" ht="31.4" customHeight="1" x14ac:dyDescent="0.35">
      <c r="O1529" s="9"/>
      <c r="V1529" s="9"/>
      <c r="W1529" s="9"/>
      <c r="BB1529" s="7" t="e">
        <v>#N/A</v>
      </c>
    </row>
    <row r="1530" spans="15:54" ht="31.4" customHeight="1" x14ac:dyDescent="0.35">
      <c r="O1530" s="9"/>
      <c r="V1530" s="9"/>
      <c r="W1530" s="9"/>
      <c r="BB1530" s="7" t="e">
        <v>#N/A</v>
      </c>
    </row>
    <row r="1531" spans="15:54" ht="31.4" customHeight="1" x14ac:dyDescent="0.35">
      <c r="O1531" s="9"/>
      <c r="V1531" s="9"/>
      <c r="W1531" s="9"/>
      <c r="BB1531" s="7" t="e">
        <v>#N/A</v>
      </c>
    </row>
    <row r="1532" spans="15:54" ht="31.4" customHeight="1" x14ac:dyDescent="0.35">
      <c r="O1532" s="9"/>
      <c r="V1532" s="9"/>
      <c r="W1532" s="9"/>
      <c r="BB1532" s="7" t="e">
        <v>#N/A</v>
      </c>
    </row>
    <row r="1533" spans="15:54" ht="31.4" customHeight="1" x14ac:dyDescent="0.35">
      <c r="O1533" s="9"/>
      <c r="V1533" s="9"/>
      <c r="W1533" s="9"/>
      <c r="BB1533" s="7" t="e">
        <v>#N/A</v>
      </c>
    </row>
    <row r="1534" spans="15:54" ht="31.4" customHeight="1" x14ac:dyDescent="0.35">
      <c r="O1534" s="9"/>
      <c r="V1534" s="9"/>
      <c r="W1534" s="9"/>
      <c r="BB1534" s="7" t="e">
        <v>#N/A</v>
      </c>
    </row>
    <row r="1535" spans="15:54" ht="31.4" customHeight="1" x14ac:dyDescent="0.35">
      <c r="O1535" s="9"/>
      <c r="V1535" s="9"/>
      <c r="W1535" s="9"/>
      <c r="BB1535" s="7" t="e">
        <v>#N/A</v>
      </c>
    </row>
    <row r="1536" spans="15:54" ht="31.4" customHeight="1" x14ac:dyDescent="0.35">
      <c r="O1536" s="9"/>
      <c r="V1536" s="9"/>
      <c r="W1536" s="9"/>
      <c r="BB1536" s="7" t="e">
        <v>#N/A</v>
      </c>
    </row>
    <row r="1537" spans="15:54" ht="31.4" customHeight="1" x14ac:dyDescent="0.35">
      <c r="O1537" s="9"/>
      <c r="V1537" s="9"/>
      <c r="W1537" s="9"/>
      <c r="BB1537" s="7" t="e">
        <v>#N/A</v>
      </c>
    </row>
    <row r="1538" spans="15:54" ht="31.4" customHeight="1" x14ac:dyDescent="0.35">
      <c r="O1538" s="9"/>
      <c r="V1538" s="9"/>
      <c r="W1538" s="9"/>
      <c r="BB1538" s="7" t="e">
        <v>#N/A</v>
      </c>
    </row>
    <row r="1539" spans="15:54" ht="31.4" customHeight="1" x14ac:dyDescent="0.35">
      <c r="O1539" s="9"/>
      <c r="V1539" s="9"/>
      <c r="W1539" s="9"/>
      <c r="BB1539" s="7" t="e">
        <v>#N/A</v>
      </c>
    </row>
    <row r="1540" spans="15:54" ht="31.4" customHeight="1" x14ac:dyDescent="0.35">
      <c r="O1540" s="9"/>
      <c r="V1540" s="9"/>
      <c r="W1540" s="9"/>
      <c r="BB1540" s="7" t="e">
        <v>#N/A</v>
      </c>
    </row>
    <row r="1541" spans="15:54" ht="31.4" customHeight="1" x14ac:dyDescent="0.35">
      <c r="O1541" s="9"/>
      <c r="V1541" s="9"/>
      <c r="W1541" s="9"/>
      <c r="BB1541" s="7" t="e">
        <v>#N/A</v>
      </c>
    </row>
    <row r="1542" spans="15:54" ht="31.4" customHeight="1" x14ac:dyDescent="0.35">
      <c r="O1542" s="9"/>
      <c r="V1542" s="9"/>
      <c r="W1542" s="9"/>
      <c r="BB1542" s="7" t="e">
        <v>#N/A</v>
      </c>
    </row>
    <row r="1543" spans="15:54" ht="31.4" customHeight="1" x14ac:dyDescent="0.35">
      <c r="O1543" s="9"/>
      <c r="V1543" s="9"/>
      <c r="W1543" s="9"/>
      <c r="BB1543" s="7" t="e">
        <v>#N/A</v>
      </c>
    </row>
    <row r="1544" spans="15:54" ht="31.4" customHeight="1" x14ac:dyDescent="0.35">
      <c r="O1544" s="9"/>
      <c r="V1544" s="9"/>
      <c r="W1544" s="9"/>
      <c r="BB1544" s="7" t="e">
        <v>#N/A</v>
      </c>
    </row>
    <row r="1545" spans="15:54" ht="31.4" customHeight="1" x14ac:dyDescent="0.35">
      <c r="O1545" s="9"/>
      <c r="V1545" s="9"/>
      <c r="W1545" s="9"/>
      <c r="BB1545" s="7" t="e">
        <v>#N/A</v>
      </c>
    </row>
    <row r="1546" spans="15:54" ht="31.4" customHeight="1" x14ac:dyDescent="0.35">
      <c r="O1546" s="9"/>
      <c r="V1546" s="9"/>
      <c r="W1546" s="9"/>
      <c r="BB1546" s="7" t="e">
        <v>#N/A</v>
      </c>
    </row>
    <row r="1547" spans="15:54" ht="31.4" customHeight="1" x14ac:dyDescent="0.35">
      <c r="O1547" s="9"/>
      <c r="V1547" s="9"/>
      <c r="W1547" s="9"/>
      <c r="BB1547" s="7" t="e">
        <v>#N/A</v>
      </c>
    </row>
    <row r="1548" spans="15:54" ht="31.4" customHeight="1" x14ac:dyDescent="0.35">
      <c r="O1548" s="9"/>
      <c r="V1548" s="9"/>
      <c r="W1548" s="9"/>
      <c r="BB1548" s="7" t="e">
        <v>#N/A</v>
      </c>
    </row>
    <row r="1549" spans="15:54" ht="31.4" customHeight="1" x14ac:dyDescent="0.35">
      <c r="O1549" s="9"/>
      <c r="V1549" s="9"/>
      <c r="W1549" s="9"/>
      <c r="BB1549" s="7" t="e">
        <v>#N/A</v>
      </c>
    </row>
    <row r="1550" spans="15:54" ht="31.4" customHeight="1" x14ac:dyDescent="0.35">
      <c r="O1550" s="9"/>
      <c r="V1550" s="9"/>
      <c r="W1550" s="9"/>
      <c r="BB1550" s="7" t="e">
        <v>#N/A</v>
      </c>
    </row>
    <row r="1551" spans="15:54" ht="31.4" customHeight="1" x14ac:dyDescent="0.35">
      <c r="O1551" s="9"/>
      <c r="V1551" s="9"/>
      <c r="W1551" s="9"/>
      <c r="BB1551" s="7" t="e">
        <v>#N/A</v>
      </c>
    </row>
    <row r="1552" spans="15:54" ht="31.4" customHeight="1" x14ac:dyDescent="0.35">
      <c r="O1552" s="9"/>
      <c r="V1552" s="9"/>
      <c r="W1552" s="9"/>
      <c r="BB1552" s="7" t="e">
        <v>#N/A</v>
      </c>
    </row>
    <row r="1553" spans="15:54" ht="31.4" customHeight="1" x14ac:dyDescent="0.35">
      <c r="O1553" s="9"/>
      <c r="V1553" s="9"/>
      <c r="W1553" s="9"/>
      <c r="BB1553" s="7" t="e">
        <v>#N/A</v>
      </c>
    </row>
    <row r="1554" spans="15:54" ht="31.4" customHeight="1" x14ac:dyDescent="0.35">
      <c r="O1554" s="9"/>
      <c r="V1554" s="9"/>
      <c r="W1554" s="9"/>
      <c r="BB1554" s="7" t="e">
        <v>#N/A</v>
      </c>
    </row>
    <row r="1555" spans="15:54" ht="31.4" customHeight="1" x14ac:dyDescent="0.35">
      <c r="O1555" s="9"/>
      <c r="V1555" s="9"/>
      <c r="W1555" s="9"/>
      <c r="BB1555" s="7" t="e">
        <v>#N/A</v>
      </c>
    </row>
    <row r="1556" spans="15:54" ht="31.4" customHeight="1" x14ac:dyDescent="0.35">
      <c r="O1556" s="9"/>
      <c r="V1556" s="9"/>
      <c r="W1556" s="9"/>
      <c r="BB1556" s="7" t="e">
        <v>#N/A</v>
      </c>
    </row>
    <row r="1557" spans="15:54" ht="31.4" customHeight="1" x14ac:dyDescent="0.35">
      <c r="O1557" s="9"/>
      <c r="V1557" s="9"/>
      <c r="W1557" s="9"/>
      <c r="BB1557" s="7" t="e">
        <v>#N/A</v>
      </c>
    </row>
    <row r="1558" spans="15:54" ht="31.4" customHeight="1" x14ac:dyDescent="0.35">
      <c r="O1558" s="9"/>
      <c r="V1558" s="9"/>
      <c r="W1558" s="9"/>
      <c r="BB1558" s="7" t="e">
        <v>#N/A</v>
      </c>
    </row>
    <row r="1559" spans="15:54" ht="31.4" customHeight="1" x14ac:dyDescent="0.35">
      <c r="O1559" s="9"/>
      <c r="V1559" s="9"/>
      <c r="W1559" s="9"/>
      <c r="BB1559" s="7" t="e">
        <v>#N/A</v>
      </c>
    </row>
    <row r="1560" spans="15:54" ht="31.4" customHeight="1" x14ac:dyDescent="0.35">
      <c r="O1560" s="9"/>
      <c r="V1560" s="9"/>
      <c r="W1560" s="9"/>
      <c r="BB1560" s="7" t="e">
        <v>#N/A</v>
      </c>
    </row>
    <row r="1561" spans="15:54" ht="31.4" customHeight="1" x14ac:dyDescent="0.35">
      <c r="O1561" s="9"/>
      <c r="V1561" s="9"/>
      <c r="W1561" s="9"/>
      <c r="BB1561" s="7" t="e">
        <v>#N/A</v>
      </c>
    </row>
    <row r="1562" spans="15:54" ht="31.4" customHeight="1" x14ac:dyDescent="0.35">
      <c r="O1562" s="9"/>
      <c r="V1562" s="9"/>
      <c r="W1562" s="9"/>
      <c r="BB1562" s="7" t="e">
        <v>#N/A</v>
      </c>
    </row>
    <row r="1563" spans="15:54" ht="31.4" customHeight="1" x14ac:dyDescent="0.35">
      <c r="O1563" s="9"/>
      <c r="V1563" s="9"/>
      <c r="W1563" s="9"/>
      <c r="BB1563" s="7" t="e">
        <v>#N/A</v>
      </c>
    </row>
    <row r="1564" spans="15:54" ht="31.4" customHeight="1" x14ac:dyDescent="0.35">
      <c r="O1564" s="9"/>
      <c r="V1564" s="9"/>
      <c r="W1564" s="9"/>
      <c r="BB1564" s="7" t="e">
        <v>#N/A</v>
      </c>
    </row>
    <row r="1565" spans="15:54" ht="31.4" customHeight="1" x14ac:dyDescent="0.35">
      <c r="O1565" s="9"/>
      <c r="V1565" s="9"/>
      <c r="W1565" s="9"/>
      <c r="BB1565" s="7" t="e">
        <v>#N/A</v>
      </c>
    </row>
    <row r="1566" spans="15:54" ht="31.4" customHeight="1" x14ac:dyDescent="0.35">
      <c r="O1566" s="9"/>
      <c r="V1566" s="9"/>
      <c r="W1566" s="9"/>
      <c r="BB1566" s="7" t="e">
        <v>#N/A</v>
      </c>
    </row>
    <row r="1567" spans="15:54" ht="31.4" customHeight="1" x14ac:dyDescent="0.35">
      <c r="O1567" s="9"/>
      <c r="V1567" s="9"/>
      <c r="W1567" s="9"/>
      <c r="BB1567" s="7" t="e">
        <v>#N/A</v>
      </c>
    </row>
    <row r="1568" spans="15:54" ht="31.4" customHeight="1" x14ac:dyDescent="0.35">
      <c r="O1568" s="9"/>
      <c r="V1568" s="9"/>
      <c r="W1568" s="9"/>
      <c r="BB1568" s="7" t="e">
        <v>#N/A</v>
      </c>
    </row>
    <row r="1569" spans="15:54" ht="31.4" customHeight="1" x14ac:dyDescent="0.35">
      <c r="O1569" s="9"/>
      <c r="V1569" s="9"/>
      <c r="W1569" s="9"/>
      <c r="BB1569" s="7" t="e">
        <v>#N/A</v>
      </c>
    </row>
    <row r="1570" spans="15:54" ht="31.4" customHeight="1" x14ac:dyDescent="0.35">
      <c r="O1570" s="9"/>
      <c r="V1570" s="9"/>
      <c r="W1570" s="9"/>
      <c r="BB1570" s="7" t="e">
        <v>#N/A</v>
      </c>
    </row>
    <row r="1571" spans="15:54" ht="31.4" customHeight="1" x14ac:dyDescent="0.35">
      <c r="O1571" s="9"/>
      <c r="V1571" s="9"/>
      <c r="W1571" s="9"/>
      <c r="BB1571" s="7" t="e">
        <v>#N/A</v>
      </c>
    </row>
    <row r="1572" spans="15:54" ht="31.4" customHeight="1" x14ac:dyDescent="0.35">
      <c r="O1572" s="9"/>
      <c r="V1572" s="9"/>
      <c r="W1572" s="9"/>
      <c r="BB1572" s="7" t="e">
        <v>#N/A</v>
      </c>
    </row>
    <row r="1573" spans="15:54" ht="31.4" customHeight="1" x14ac:dyDescent="0.35">
      <c r="O1573" s="9"/>
      <c r="V1573" s="9"/>
      <c r="W1573" s="9"/>
      <c r="BB1573" s="7" t="e">
        <v>#N/A</v>
      </c>
    </row>
    <row r="1574" spans="15:54" ht="31.4" customHeight="1" x14ac:dyDescent="0.35">
      <c r="O1574" s="9"/>
      <c r="V1574" s="9"/>
      <c r="W1574" s="9"/>
      <c r="BB1574" s="7" t="e">
        <v>#N/A</v>
      </c>
    </row>
    <row r="1575" spans="15:54" ht="31.4" customHeight="1" x14ac:dyDescent="0.35">
      <c r="O1575" s="9"/>
      <c r="V1575" s="9"/>
      <c r="W1575" s="9"/>
      <c r="BB1575" s="7" t="e">
        <v>#N/A</v>
      </c>
    </row>
    <row r="1576" spans="15:54" ht="31.4" customHeight="1" x14ac:dyDescent="0.35">
      <c r="O1576" s="9"/>
      <c r="V1576" s="9"/>
      <c r="W1576" s="9"/>
      <c r="BB1576" s="7" t="e">
        <v>#N/A</v>
      </c>
    </row>
    <row r="1577" spans="15:54" ht="31.4" customHeight="1" x14ac:dyDescent="0.35">
      <c r="O1577" s="9"/>
      <c r="V1577" s="9"/>
      <c r="W1577" s="9"/>
      <c r="BB1577" s="7" t="e">
        <v>#N/A</v>
      </c>
    </row>
    <row r="1578" spans="15:54" ht="31.4" customHeight="1" x14ac:dyDescent="0.35">
      <c r="O1578" s="9"/>
      <c r="V1578" s="9"/>
      <c r="W1578" s="9"/>
      <c r="BB1578" s="7" t="e">
        <v>#N/A</v>
      </c>
    </row>
    <row r="1579" spans="15:54" ht="31.4" customHeight="1" x14ac:dyDescent="0.35">
      <c r="O1579" s="9"/>
      <c r="V1579" s="9"/>
      <c r="W1579" s="9"/>
      <c r="BB1579" s="7" t="e">
        <v>#N/A</v>
      </c>
    </row>
    <row r="1580" spans="15:54" ht="31.4" customHeight="1" x14ac:dyDescent="0.35">
      <c r="O1580" s="9"/>
      <c r="V1580" s="9"/>
      <c r="W1580" s="9"/>
      <c r="BB1580" s="7" t="e">
        <v>#N/A</v>
      </c>
    </row>
    <row r="1581" spans="15:54" ht="31.4" customHeight="1" x14ac:dyDescent="0.35">
      <c r="O1581" s="9"/>
      <c r="V1581" s="9"/>
      <c r="W1581" s="9"/>
      <c r="BB1581" s="7" t="e">
        <v>#N/A</v>
      </c>
    </row>
    <row r="1582" spans="15:54" ht="31.4" customHeight="1" x14ac:dyDescent="0.35">
      <c r="O1582" s="9"/>
      <c r="V1582" s="9"/>
      <c r="W1582" s="9"/>
      <c r="BB1582" s="7" t="e">
        <v>#N/A</v>
      </c>
    </row>
    <row r="1583" spans="15:54" ht="31.4" customHeight="1" x14ac:dyDescent="0.35">
      <c r="O1583" s="9"/>
      <c r="V1583" s="9"/>
      <c r="W1583" s="9"/>
      <c r="BB1583" s="7" t="e">
        <v>#N/A</v>
      </c>
    </row>
    <row r="1584" spans="15:54" ht="31.4" customHeight="1" x14ac:dyDescent="0.35">
      <c r="O1584" s="9"/>
      <c r="V1584" s="9"/>
      <c r="W1584" s="9"/>
      <c r="BB1584" s="7" t="e">
        <v>#N/A</v>
      </c>
    </row>
    <row r="1585" spans="15:54" ht="31.4" customHeight="1" x14ac:dyDescent="0.35">
      <c r="O1585" s="9"/>
      <c r="V1585" s="9"/>
      <c r="W1585" s="9"/>
      <c r="BB1585" s="7" t="e">
        <v>#N/A</v>
      </c>
    </row>
    <row r="1586" spans="15:54" ht="31.4" customHeight="1" x14ac:dyDescent="0.35">
      <c r="O1586" s="9"/>
      <c r="V1586" s="9"/>
      <c r="W1586" s="9"/>
      <c r="BB1586" s="7" t="e">
        <v>#N/A</v>
      </c>
    </row>
    <row r="1587" spans="15:54" ht="31.4" customHeight="1" x14ac:dyDescent="0.35">
      <c r="O1587" s="9"/>
      <c r="V1587" s="9"/>
      <c r="W1587" s="9"/>
      <c r="BB1587" s="7" t="e">
        <v>#N/A</v>
      </c>
    </row>
    <row r="1588" spans="15:54" ht="31.4" customHeight="1" x14ac:dyDescent="0.35">
      <c r="O1588" s="9"/>
      <c r="V1588" s="9"/>
      <c r="W1588" s="9"/>
      <c r="BB1588" s="7" t="e">
        <v>#N/A</v>
      </c>
    </row>
    <row r="1589" spans="15:54" ht="31.4" customHeight="1" x14ac:dyDescent="0.35">
      <c r="O1589" s="9"/>
      <c r="V1589" s="9"/>
      <c r="W1589" s="9"/>
      <c r="BB1589" s="7" t="e">
        <v>#N/A</v>
      </c>
    </row>
    <row r="1590" spans="15:54" ht="31.4" customHeight="1" x14ac:dyDescent="0.35">
      <c r="O1590" s="9"/>
      <c r="V1590" s="9"/>
      <c r="W1590" s="9"/>
      <c r="BB1590" s="7" t="e">
        <v>#N/A</v>
      </c>
    </row>
    <row r="1591" spans="15:54" ht="31.4" customHeight="1" x14ac:dyDescent="0.35">
      <c r="O1591" s="9"/>
      <c r="V1591" s="9"/>
      <c r="W1591" s="9"/>
      <c r="BB1591" s="7" t="e">
        <v>#N/A</v>
      </c>
    </row>
    <row r="1592" spans="15:54" ht="31.4" customHeight="1" x14ac:dyDescent="0.35">
      <c r="O1592" s="9"/>
      <c r="V1592" s="9"/>
      <c r="W1592" s="9"/>
      <c r="BB1592" s="7" t="e">
        <v>#N/A</v>
      </c>
    </row>
    <row r="1593" spans="15:54" ht="31.4" customHeight="1" x14ac:dyDescent="0.35">
      <c r="O1593" s="9"/>
      <c r="V1593" s="9"/>
      <c r="W1593" s="9"/>
      <c r="BB1593" s="7" t="e">
        <v>#N/A</v>
      </c>
    </row>
    <row r="1594" spans="15:54" ht="31.4" customHeight="1" x14ac:dyDescent="0.35">
      <c r="O1594" s="9"/>
      <c r="V1594" s="9"/>
      <c r="W1594" s="9"/>
      <c r="BB1594" s="7" t="e">
        <v>#N/A</v>
      </c>
    </row>
    <row r="1595" spans="15:54" ht="31.4" customHeight="1" x14ac:dyDescent="0.35">
      <c r="O1595" s="9"/>
      <c r="V1595" s="9"/>
      <c r="W1595" s="9"/>
      <c r="BB1595" s="7" t="e">
        <v>#N/A</v>
      </c>
    </row>
    <row r="1596" spans="15:54" ht="31.4" customHeight="1" x14ac:dyDescent="0.35">
      <c r="O1596" s="9"/>
      <c r="V1596" s="9"/>
      <c r="W1596" s="9"/>
      <c r="BB1596" s="7" t="e">
        <v>#N/A</v>
      </c>
    </row>
    <row r="1597" spans="15:54" ht="31.4" customHeight="1" x14ac:dyDescent="0.35">
      <c r="O1597" s="9"/>
      <c r="V1597" s="9"/>
      <c r="W1597" s="9"/>
      <c r="BB1597" s="7" t="e">
        <v>#N/A</v>
      </c>
    </row>
    <row r="1598" spans="15:54" ht="31.4" customHeight="1" x14ac:dyDescent="0.35">
      <c r="O1598" s="9"/>
      <c r="V1598" s="9"/>
      <c r="W1598" s="9"/>
      <c r="BB1598" s="7" t="e">
        <v>#N/A</v>
      </c>
    </row>
    <row r="1599" spans="15:54" ht="31.4" customHeight="1" x14ac:dyDescent="0.35">
      <c r="O1599" s="9"/>
      <c r="V1599" s="9"/>
      <c r="W1599" s="9"/>
      <c r="BB1599" s="7" t="e">
        <v>#N/A</v>
      </c>
    </row>
    <row r="1600" spans="15:54" ht="31.4" customHeight="1" x14ac:dyDescent="0.35">
      <c r="O1600" s="9"/>
      <c r="V1600" s="9"/>
      <c r="W1600" s="9"/>
      <c r="BB1600" s="7" t="e">
        <v>#N/A</v>
      </c>
    </row>
    <row r="1601" spans="15:54" ht="31.4" customHeight="1" x14ac:dyDescent="0.35">
      <c r="O1601" s="9"/>
      <c r="V1601" s="9"/>
      <c r="W1601" s="9"/>
      <c r="BB1601" s="7" t="e">
        <v>#N/A</v>
      </c>
    </row>
    <row r="1602" spans="15:54" ht="31.4" customHeight="1" x14ac:dyDescent="0.35">
      <c r="O1602" s="9"/>
      <c r="V1602" s="9"/>
      <c r="W1602" s="9"/>
      <c r="BB1602" s="7" t="e">
        <v>#N/A</v>
      </c>
    </row>
    <row r="1603" spans="15:54" ht="31.4" customHeight="1" x14ac:dyDescent="0.35">
      <c r="O1603" s="9"/>
      <c r="V1603" s="9"/>
      <c r="W1603" s="9"/>
      <c r="BB1603" s="7" t="e">
        <v>#N/A</v>
      </c>
    </row>
    <row r="1604" spans="15:54" ht="31.4" customHeight="1" x14ac:dyDescent="0.35">
      <c r="O1604" s="9"/>
      <c r="V1604" s="9"/>
      <c r="W1604" s="9"/>
      <c r="BB1604" s="7" t="e">
        <v>#N/A</v>
      </c>
    </row>
    <row r="1605" spans="15:54" ht="31.4" customHeight="1" x14ac:dyDescent="0.35">
      <c r="O1605" s="9"/>
      <c r="V1605" s="9"/>
      <c r="W1605" s="9"/>
      <c r="BB1605" s="7" t="e">
        <v>#N/A</v>
      </c>
    </row>
    <row r="1606" spans="15:54" ht="31.4" customHeight="1" x14ac:dyDescent="0.35">
      <c r="O1606" s="9"/>
      <c r="V1606" s="9"/>
      <c r="W1606" s="9"/>
      <c r="BB1606" s="7" t="e">
        <v>#N/A</v>
      </c>
    </row>
    <row r="1607" spans="15:54" ht="31.4" customHeight="1" x14ac:dyDescent="0.35">
      <c r="O1607" s="9"/>
      <c r="V1607" s="9"/>
      <c r="W1607" s="9"/>
      <c r="BB1607" s="7" t="e">
        <v>#N/A</v>
      </c>
    </row>
    <row r="1608" spans="15:54" ht="31.4" customHeight="1" x14ac:dyDescent="0.35">
      <c r="O1608" s="9"/>
      <c r="V1608" s="9"/>
      <c r="W1608" s="9"/>
      <c r="BB1608" s="7" t="e">
        <v>#N/A</v>
      </c>
    </row>
    <row r="1609" spans="15:54" ht="31.4" customHeight="1" x14ac:dyDescent="0.35">
      <c r="O1609" s="9"/>
      <c r="V1609" s="9"/>
      <c r="W1609" s="9"/>
      <c r="BB1609" s="7" t="e">
        <v>#N/A</v>
      </c>
    </row>
    <row r="1610" spans="15:54" ht="31.4" customHeight="1" x14ac:dyDescent="0.35">
      <c r="O1610" s="9"/>
      <c r="V1610" s="9"/>
      <c r="W1610" s="9"/>
      <c r="BB1610" s="7" t="e">
        <v>#N/A</v>
      </c>
    </row>
    <row r="1611" spans="15:54" ht="31.4" customHeight="1" x14ac:dyDescent="0.35">
      <c r="O1611" s="9"/>
      <c r="V1611" s="9"/>
      <c r="W1611" s="9"/>
      <c r="BB1611" s="7" t="e">
        <v>#N/A</v>
      </c>
    </row>
    <row r="1612" spans="15:54" ht="31.4" customHeight="1" x14ac:dyDescent="0.35">
      <c r="O1612" s="9"/>
      <c r="V1612" s="9"/>
      <c r="W1612" s="9"/>
      <c r="BB1612" s="7" t="e">
        <v>#N/A</v>
      </c>
    </row>
    <row r="1613" spans="15:54" ht="31.4" customHeight="1" x14ac:dyDescent="0.35">
      <c r="O1613" s="9"/>
      <c r="V1613" s="9"/>
      <c r="W1613" s="9"/>
      <c r="BB1613" s="7" t="e">
        <v>#N/A</v>
      </c>
    </row>
    <row r="1614" spans="15:54" ht="31.4" customHeight="1" x14ac:dyDescent="0.35">
      <c r="O1614" s="9"/>
      <c r="V1614" s="9"/>
      <c r="W1614" s="9"/>
      <c r="BB1614" s="7" t="e">
        <v>#N/A</v>
      </c>
    </row>
    <row r="1615" spans="15:54" ht="31.4" customHeight="1" x14ac:dyDescent="0.35">
      <c r="O1615" s="9"/>
      <c r="V1615" s="9"/>
      <c r="W1615" s="9"/>
      <c r="BB1615" s="7" t="e">
        <v>#N/A</v>
      </c>
    </row>
    <row r="1616" spans="15:54" ht="31.4" customHeight="1" x14ac:dyDescent="0.35">
      <c r="O1616" s="9"/>
      <c r="V1616" s="9"/>
      <c r="W1616" s="9"/>
      <c r="BB1616" s="7" t="e">
        <v>#N/A</v>
      </c>
    </row>
    <row r="1617" spans="15:54" ht="31.4" customHeight="1" x14ac:dyDescent="0.35">
      <c r="O1617" s="9"/>
      <c r="V1617" s="9"/>
      <c r="W1617" s="9"/>
      <c r="BB1617" s="7" t="e">
        <v>#N/A</v>
      </c>
    </row>
    <row r="1618" spans="15:54" ht="31.4" customHeight="1" x14ac:dyDescent="0.35">
      <c r="O1618" s="9"/>
      <c r="V1618" s="9"/>
      <c r="W1618" s="9"/>
      <c r="BB1618" s="7" t="e">
        <v>#N/A</v>
      </c>
    </row>
    <row r="1619" spans="15:54" ht="31.4" customHeight="1" x14ac:dyDescent="0.35">
      <c r="O1619" s="9"/>
      <c r="V1619" s="9"/>
      <c r="W1619" s="9"/>
      <c r="BB1619" s="7" t="e">
        <v>#N/A</v>
      </c>
    </row>
    <row r="1620" spans="15:54" ht="31.4" customHeight="1" x14ac:dyDescent="0.35">
      <c r="O1620" s="9"/>
      <c r="V1620" s="9"/>
      <c r="W1620" s="9"/>
      <c r="BB1620" s="7" t="e">
        <v>#N/A</v>
      </c>
    </row>
    <row r="1621" spans="15:54" ht="31.4" customHeight="1" x14ac:dyDescent="0.35">
      <c r="O1621" s="9"/>
      <c r="V1621" s="9"/>
      <c r="W1621" s="9"/>
      <c r="BB1621" s="7" t="e">
        <v>#N/A</v>
      </c>
    </row>
    <row r="1622" spans="15:54" ht="31.4" customHeight="1" x14ac:dyDescent="0.35">
      <c r="O1622" s="9"/>
      <c r="V1622" s="9"/>
      <c r="W1622" s="9"/>
      <c r="BB1622" s="7" t="e">
        <v>#N/A</v>
      </c>
    </row>
    <row r="1623" spans="15:54" ht="31.4" customHeight="1" x14ac:dyDescent="0.35">
      <c r="O1623" s="9"/>
      <c r="V1623" s="9"/>
      <c r="W1623" s="9"/>
      <c r="BB1623" s="7" t="e">
        <v>#N/A</v>
      </c>
    </row>
    <row r="1624" spans="15:54" ht="31.4" customHeight="1" x14ac:dyDescent="0.35">
      <c r="O1624" s="9"/>
      <c r="V1624" s="9"/>
      <c r="W1624" s="9"/>
      <c r="BB1624" s="7" t="e">
        <v>#N/A</v>
      </c>
    </row>
    <row r="1625" spans="15:54" ht="31.4" customHeight="1" x14ac:dyDescent="0.35">
      <c r="O1625" s="9"/>
      <c r="V1625" s="9"/>
      <c r="W1625" s="9"/>
      <c r="BB1625" s="7" t="e">
        <v>#N/A</v>
      </c>
    </row>
    <row r="1626" spans="15:54" ht="31.4" customHeight="1" x14ac:dyDescent="0.35">
      <c r="O1626" s="9"/>
      <c r="V1626" s="9"/>
      <c r="W1626" s="9"/>
      <c r="BB1626" s="7" t="e">
        <v>#N/A</v>
      </c>
    </row>
    <row r="1627" spans="15:54" ht="31.4" customHeight="1" x14ac:dyDescent="0.35">
      <c r="O1627" s="9"/>
      <c r="V1627" s="9"/>
      <c r="W1627" s="9"/>
      <c r="BB1627" s="7" t="e">
        <v>#N/A</v>
      </c>
    </row>
    <row r="1628" spans="15:54" ht="31.4" customHeight="1" x14ac:dyDescent="0.35">
      <c r="O1628" s="9"/>
      <c r="V1628" s="9"/>
      <c r="W1628" s="9"/>
      <c r="BB1628" s="7" t="e">
        <v>#N/A</v>
      </c>
    </row>
    <row r="1629" spans="15:54" ht="31.4" customHeight="1" x14ac:dyDescent="0.35">
      <c r="O1629" s="9"/>
      <c r="V1629" s="9"/>
      <c r="W1629" s="9"/>
      <c r="BB1629" s="7" t="e">
        <v>#N/A</v>
      </c>
    </row>
    <row r="1630" spans="15:54" ht="31.4" customHeight="1" x14ac:dyDescent="0.35">
      <c r="O1630" s="9"/>
      <c r="V1630" s="9"/>
      <c r="W1630" s="9"/>
      <c r="BB1630" s="7" t="e">
        <v>#N/A</v>
      </c>
    </row>
    <row r="1631" spans="15:54" ht="31.4" customHeight="1" x14ac:dyDescent="0.35">
      <c r="O1631" s="9"/>
      <c r="V1631" s="9"/>
      <c r="W1631" s="9"/>
      <c r="BB1631" s="7" t="e">
        <v>#N/A</v>
      </c>
    </row>
    <row r="1632" spans="15:54" ht="31.4" customHeight="1" x14ac:dyDescent="0.35">
      <c r="O1632" s="9"/>
      <c r="V1632" s="9"/>
      <c r="W1632" s="9"/>
      <c r="BB1632" s="7" t="e">
        <v>#N/A</v>
      </c>
    </row>
    <row r="1633" spans="15:54" ht="31.4" customHeight="1" x14ac:dyDescent="0.35">
      <c r="O1633" s="9"/>
      <c r="V1633" s="9"/>
      <c r="W1633" s="9"/>
      <c r="BB1633" s="7" t="e">
        <v>#N/A</v>
      </c>
    </row>
    <row r="1634" spans="15:54" ht="31.4" customHeight="1" x14ac:dyDescent="0.35">
      <c r="O1634" s="9"/>
      <c r="V1634" s="9"/>
      <c r="W1634" s="9"/>
      <c r="BB1634" s="7" t="e">
        <v>#N/A</v>
      </c>
    </row>
    <row r="1635" spans="15:54" ht="31.4" customHeight="1" x14ac:dyDescent="0.35">
      <c r="O1635" s="9"/>
      <c r="V1635" s="9"/>
      <c r="W1635" s="9"/>
      <c r="BB1635" s="7" t="e">
        <v>#N/A</v>
      </c>
    </row>
    <row r="1636" spans="15:54" ht="31.4" customHeight="1" x14ac:dyDescent="0.35">
      <c r="O1636" s="9"/>
      <c r="V1636" s="9"/>
      <c r="W1636" s="9"/>
      <c r="BB1636" s="7" t="e">
        <v>#N/A</v>
      </c>
    </row>
    <row r="1637" spans="15:54" ht="31.4" customHeight="1" x14ac:dyDescent="0.35">
      <c r="O1637" s="9"/>
      <c r="V1637" s="9"/>
      <c r="W1637" s="9"/>
      <c r="BB1637" s="7" t="e">
        <v>#N/A</v>
      </c>
    </row>
    <row r="1638" spans="15:54" ht="31.4" customHeight="1" x14ac:dyDescent="0.35">
      <c r="O1638" s="9"/>
      <c r="V1638" s="9"/>
      <c r="W1638" s="9"/>
      <c r="BB1638" s="7" t="e">
        <v>#N/A</v>
      </c>
    </row>
    <row r="1639" spans="15:54" ht="31.4" customHeight="1" x14ac:dyDescent="0.35">
      <c r="O1639" s="9"/>
      <c r="V1639" s="9"/>
      <c r="W1639" s="9"/>
      <c r="BB1639" s="7" t="e">
        <v>#N/A</v>
      </c>
    </row>
    <row r="1640" spans="15:54" ht="31.4" customHeight="1" x14ac:dyDescent="0.35">
      <c r="O1640" s="9"/>
      <c r="V1640" s="9"/>
      <c r="W1640" s="9"/>
      <c r="BB1640" s="7" t="e">
        <v>#N/A</v>
      </c>
    </row>
    <row r="1641" spans="15:54" ht="31.4" customHeight="1" x14ac:dyDescent="0.35">
      <c r="O1641" s="9"/>
      <c r="V1641" s="9"/>
      <c r="W1641" s="9"/>
      <c r="BB1641" s="7" t="e">
        <v>#N/A</v>
      </c>
    </row>
    <row r="1642" spans="15:54" ht="31.4" customHeight="1" x14ac:dyDescent="0.35">
      <c r="O1642" s="9"/>
      <c r="V1642" s="9"/>
      <c r="W1642" s="9"/>
      <c r="BB1642" s="7" t="e">
        <v>#N/A</v>
      </c>
    </row>
    <row r="1643" spans="15:54" ht="31.4" customHeight="1" x14ac:dyDescent="0.35">
      <c r="O1643" s="9"/>
      <c r="V1643" s="9"/>
      <c r="W1643" s="9"/>
      <c r="BB1643" s="7" t="e">
        <v>#N/A</v>
      </c>
    </row>
    <row r="1644" spans="15:54" ht="31.4" customHeight="1" x14ac:dyDescent="0.35">
      <c r="O1644" s="9"/>
      <c r="V1644" s="9"/>
      <c r="W1644" s="9"/>
      <c r="BB1644" s="7" t="e">
        <v>#N/A</v>
      </c>
    </row>
    <row r="1645" spans="15:54" ht="31.4" customHeight="1" x14ac:dyDescent="0.35">
      <c r="O1645" s="9"/>
      <c r="V1645" s="9"/>
      <c r="W1645" s="9"/>
      <c r="BB1645" s="7" t="e">
        <v>#N/A</v>
      </c>
    </row>
    <row r="1646" spans="15:54" ht="31.4" customHeight="1" x14ac:dyDescent="0.35">
      <c r="O1646" s="9"/>
      <c r="V1646" s="9"/>
      <c r="W1646" s="9"/>
      <c r="BB1646" s="7" t="e">
        <v>#N/A</v>
      </c>
    </row>
    <row r="1647" spans="15:54" ht="31.4" customHeight="1" x14ac:dyDescent="0.35">
      <c r="O1647" s="9"/>
      <c r="V1647" s="9"/>
      <c r="W1647" s="9"/>
      <c r="BB1647" s="7" t="e">
        <v>#N/A</v>
      </c>
    </row>
    <row r="1648" spans="15:54" ht="31.4" customHeight="1" x14ac:dyDescent="0.35">
      <c r="O1648" s="9"/>
      <c r="V1648" s="9"/>
      <c r="W1648" s="9"/>
      <c r="BB1648" s="7" t="e">
        <v>#N/A</v>
      </c>
    </row>
    <row r="1649" spans="15:54" ht="31.4" customHeight="1" x14ac:dyDescent="0.35">
      <c r="O1649" s="9"/>
      <c r="V1649" s="9"/>
      <c r="W1649" s="9"/>
      <c r="BB1649" s="7" t="e">
        <v>#N/A</v>
      </c>
    </row>
    <row r="1650" spans="15:54" ht="31.4" customHeight="1" x14ac:dyDescent="0.35">
      <c r="O1650" s="9"/>
      <c r="V1650" s="9"/>
      <c r="W1650" s="9"/>
      <c r="BB1650" s="7" t="e">
        <v>#N/A</v>
      </c>
    </row>
    <row r="1651" spans="15:54" ht="31.4" customHeight="1" x14ac:dyDescent="0.35">
      <c r="O1651" s="9"/>
      <c r="V1651" s="9"/>
      <c r="W1651" s="9"/>
      <c r="BB1651" s="7" t="e">
        <v>#N/A</v>
      </c>
    </row>
    <row r="1652" spans="15:54" ht="31.4" customHeight="1" x14ac:dyDescent="0.35">
      <c r="O1652" s="9"/>
      <c r="V1652" s="9"/>
      <c r="W1652" s="9"/>
      <c r="BB1652" s="7" t="e">
        <v>#N/A</v>
      </c>
    </row>
    <row r="1653" spans="15:54" ht="31.4" customHeight="1" x14ac:dyDescent="0.35">
      <c r="O1653" s="9"/>
      <c r="V1653" s="9"/>
      <c r="W1653" s="9"/>
      <c r="BB1653" s="7" t="e">
        <v>#N/A</v>
      </c>
    </row>
    <row r="1654" spans="15:54" ht="31.4" customHeight="1" x14ac:dyDescent="0.35">
      <c r="O1654" s="9"/>
      <c r="V1654" s="9"/>
      <c r="W1654" s="9"/>
      <c r="BB1654" s="7" t="e">
        <v>#N/A</v>
      </c>
    </row>
    <row r="1655" spans="15:54" ht="31.4" customHeight="1" x14ac:dyDescent="0.35">
      <c r="O1655" s="9"/>
      <c r="V1655" s="9"/>
      <c r="W1655" s="9"/>
      <c r="BB1655" s="7" t="e">
        <v>#N/A</v>
      </c>
    </row>
    <row r="1656" spans="15:54" ht="31.4" customHeight="1" x14ac:dyDescent="0.35">
      <c r="O1656" s="9"/>
      <c r="V1656" s="9"/>
      <c r="W1656" s="9"/>
      <c r="BB1656" s="7" t="e">
        <v>#N/A</v>
      </c>
    </row>
    <row r="1657" spans="15:54" ht="31.4" customHeight="1" x14ac:dyDescent="0.35">
      <c r="O1657" s="9"/>
      <c r="V1657" s="9"/>
      <c r="W1657" s="9"/>
      <c r="BB1657" s="7" t="e">
        <v>#N/A</v>
      </c>
    </row>
    <row r="1658" spans="15:54" ht="31.4" customHeight="1" x14ac:dyDescent="0.35">
      <c r="O1658" s="9"/>
      <c r="V1658" s="9"/>
      <c r="W1658" s="9"/>
      <c r="BB1658" s="7" t="e">
        <v>#N/A</v>
      </c>
    </row>
    <row r="1659" spans="15:54" ht="31.4" customHeight="1" x14ac:dyDescent="0.35">
      <c r="O1659" s="9"/>
      <c r="V1659" s="9"/>
      <c r="W1659" s="9"/>
      <c r="BB1659" s="7" t="e">
        <v>#N/A</v>
      </c>
    </row>
    <row r="1660" spans="15:54" ht="31.4" customHeight="1" x14ac:dyDescent="0.35">
      <c r="O1660" s="9"/>
      <c r="V1660" s="9"/>
      <c r="W1660" s="9"/>
      <c r="BB1660" s="7" t="e">
        <v>#N/A</v>
      </c>
    </row>
    <row r="1661" spans="15:54" ht="31.4" customHeight="1" x14ac:dyDescent="0.35">
      <c r="O1661" s="9"/>
      <c r="V1661" s="9"/>
      <c r="W1661" s="9"/>
      <c r="BB1661" s="7" t="e">
        <v>#N/A</v>
      </c>
    </row>
    <row r="1662" spans="15:54" ht="31.4" customHeight="1" x14ac:dyDescent="0.35">
      <c r="O1662" s="9"/>
      <c r="V1662" s="9"/>
      <c r="W1662" s="9"/>
      <c r="BB1662" s="7" t="e">
        <v>#N/A</v>
      </c>
    </row>
    <row r="1663" spans="15:54" ht="31.4" customHeight="1" x14ac:dyDescent="0.35">
      <c r="O1663" s="9"/>
      <c r="V1663" s="9"/>
      <c r="W1663" s="9"/>
      <c r="BB1663" s="7" t="e">
        <v>#N/A</v>
      </c>
    </row>
    <row r="1664" spans="15:54" ht="31.4" customHeight="1" x14ac:dyDescent="0.35">
      <c r="O1664" s="9"/>
      <c r="V1664" s="9"/>
      <c r="W1664" s="9"/>
      <c r="BB1664" s="7" t="e">
        <v>#N/A</v>
      </c>
    </row>
    <row r="1665" spans="15:54" ht="31.4" customHeight="1" x14ac:dyDescent="0.35">
      <c r="O1665" s="9"/>
      <c r="V1665" s="9"/>
      <c r="W1665" s="9"/>
      <c r="BB1665" s="7" t="e">
        <v>#N/A</v>
      </c>
    </row>
    <row r="1666" spans="15:54" ht="31.4" customHeight="1" x14ac:dyDescent="0.35">
      <c r="O1666" s="9"/>
      <c r="V1666" s="9"/>
      <c r="W1666" s="9"/>
      <c r="BB1666" s="7" t="e">
        <v>#N/A</v>
      </c>
    </row>
    <row r="1667" spans="15:54" ht="31.4" customHeight="1" x14ac:dyDescent="0.35">
      <c r="O1667" s="9"/>
      <c r="V1667" s="9"/>
      <c r="W1667" s="9"/>
      <c r="BB1667" s="7" t="e">
        <v>#N/A</v>
      </c>
    </row>
    <row r="1668" spans="15:54" ht="31.4" customHeight="1" x14ac:dyDescent="0.35">
      <c r="O1668" s="9"/>
      <c r="V1668" s="9"/>
      <c r="W1668" s="9"/>
      <c r="BB1668" s="7" t="e">
        <v>#N/A</v>
      </c>
    </row>
    <row r="1669" spans="15:54" ht="31.4" customHeight="1" x14ac:dyDescent="0.35">
      <c r="O1669" s="9"/>
      <c r="V1669" s="9"/>
      <c r="W1669" s="9"/>
      <c r="BB1669" s="7" t="e">
        <v>#N/A</v>
      </c>
    </row>
    <row r="1670" spans="15:54" ht="31.4" customHeight="1" x14ac:dyDescent="0.35">
      <c r="O1670" s="9"/>
      <c r="V1670" s="9"/>
      <c r="W1670" s="9"/>
      <c r="BB1670" s="7" t="e">
        <v>#N/A</v>
      </c>
    </row>
    <row r="1671" spans="15:54" ht="31.4" customHeight="1" x14ac:dyDescent="0.35">
      <c r="O1671" s="9"/>
      <c r="V1671" s="9"/>
      <c r="W1671" s="9"/>
      <c r="BB1671" s="7" t="e">
        <v>#N/A</v>
      </c>
    </row>
    <row r="1672" spans="15:54" ht="31.4" customHeight="1" x14ac:dyDescent="0.35">
      <c r="O1672" s="9"/>
      <c r="V1672" s="9"/>
      <c r="W1672" s="9"/>
      <c r="BB1672" s="7" t="e">
        <v>#N/A</v>
      </c>
    </row>
    <row r="1673" spans="15:54" ht="31.4" customHeight="1" x14ac:dyDescent="0.35">
      <c r="O1673" s="9"/>
      <c r="V1673" s="9"/>
      <c r="W1673" s="9"/>
      <c r="BB1673" s="7" t="e">
        <v>#N/A</v>
      </c>
    </row>
    <row r="1674" spans="15:54" ht="31.4" customHeight="1" x14ac:dyDescent="0.35">
      <c r="O1674" s="9"/>
      <c r="V1674" s="9"/>
      <c r="W1674" s="9"/>
      <c r="BB1674" s="7" t="e">
        <v>#N/A</v>
      </c>
    </row>
    <row r="1675" spans="15:54" ht="31.4" customHeight="1" x14ac:dyDescent="0.35">
      <c r="O1675" s="9"/>
      <c r="V1675" s="9"/>
      <c r="W1675" s="9"/>
      <c r="BB1675" s="7" t="e">
        <v>#N/A</v>
      </c>
    </row>
    <row r="1676" spans="15:54" ht="31.4" customHeight="1" x14ac:dyDescent="0.35">
      <c r="O1676" s="9"/>
      <c r="V1676" s="9"/>
      <c r="W1676" s="9"/>
      <c r="BB1676" s="7" t="e">
        <v>#N/A</v>
      </c>
    </row>
    <row r="1677" spans="15:54" ht="31.4" customHeight="1" x14ac:dyDescent="0.35">
      <c r="O1677" s="9"/>
      <c r="V1677" s="9"/>
      <c r="W1677" s="9"/>
      <c r="BB1677" s="7" t="e">
        <v>#N/A</v>
      </c>
    </row>
    <row r="1678" spans="15:54" ht="31.4" customHeight="1" x14ac:dyDescent="0.35">
      <c r="O1678" s="9"/>
      <c r="V1678" s="9"/>
      <c r="W1678" s="9"/>
      <c r="BB1678" s="7" t="e">
        <v>#N/A</v>
      </c>
    </row>
    <row r="1679" spans="15:54" ht="31.4" customHeight="1" x14ac:dyDescent="0.35">
      <c r="O1679" s="9"/>
      <c r="V1679" s="9"/>
      <c r="W1679" s="9"/>
      <c r="BB1679" s="7" t="e">
        <v>#N/A</v>
      </c>
    </row>
    <row r="1680" spans="15:54" ht="31.4" customHeight="1" x14ac:dyDescent="0.35">
      <c r="O1680" s="9"/>
      <c r="V1680" s="9"/>
      <c r="W1680" s="9"/>
      <c r="BB1680" s="7" t="e">
        <v>#N/A</v>
      </c>
    </row>
    <row r="1681" spans="15:54" ht="31.4" customHeight="1" x14ac:dyDescent="0.35">
      <c r="O1681" s="9"/>
      <c r="V1681" s="9"/>
      <c r="W1681" s="9"/>
      <c r="BB1681" s="7" t="e">
        <v>#N/A</v>
      </c>
    </row>
    <row r="1682" spans="15:54" ht="31.4" customHeight="1" x14ac:dyDescent="0.35">
      <c r="O1682" s="9"/>
      <c r="V1682" s="9"/>
      <c r="W1682" s="9"/>
      <c r="BB1682" s="7" t="e">
        <v>#N/A</v>
      </c>
    </row>
    <row r="1683" spans="15:54" ht="31.4" customHeight="1" x14ac:dyDescent="0.35">
      <c r="O1683" s="9"/>
      <c r="V1683" s="9"/>
      <c r="W1683" s="9"/>
      <c r="BB1683" s="7" t="e">
        <v>#N/A</v>
      </c>
    </row>
    <row r="1684" spans="15:54" ht="31.4" customHeight="1" x14ac:dyDescent="0.35">
      <c r="O1684" s="9"/>
      <c r="V1684" s="9"/>
      <c r="W1684" s="9"/>
      <c r="BB1684" s="7" t="e">
        <v>#N/A</v>
      </c>
    </row>
    <row r="1685" spans="15:54" ht="31.4" customHeight="1" x14ac:dyDescent="0.35">
      <c r="O1685" s="9"/>
      <c r="V1685" s="9"/>
      <c r="W1685" s="9"/>
      <c r="BB1685" s="7" t="e">
        <v>#N/A</v>
      </c>
    </row>
    <row r="1686" spans="15:54" ht="31.4" customHeight="1" x14ac:dyDescent="0.35">
      <c r="O1686" s="9"/>
      <c r="V1686" s="9"/>
      <c r="W1686" s="9"/>
      <c r="BB1686" s="7" t="e">
        <v>#N/A</v>
      </c>
    </row>
    <row r="1687" spans="15:54" ht="31.4" customHeight="1" x14ac:dyDescent="0.35">
      <c r="O1687" s="9"/>
      <c r="V1687" s="9"/>
      <c r="W1687" s="9"/>
      <c r="BB1687" s="7" t="e">
        <v>#N/A</v>
      </c>
    </row>
    <row r="1688" spans="15:54" ht="31.4" customHeight="1" x14ac:dyDescent="0.35">
      <c r="O1688" s="9"/>
      <c r="V1688" s="9"/>
      <c r="W1688" s="9"/>
      <c r="BB1688" s="7" t="e">
        <v>#N/A</v>
      </c>
    </row>
    <row r="1689" spans="15:54" ht="31.4" customHeight="1" x14ac:dyDescent="0.35">
      <c r="O1689" s="9"/>
      <c r="V1689" s="9"/>
      <c r="W1689" s="9"/>
      <c r="BB1689" s="7" t="e">
        <v>#N/A</v>
      </c>
    </row>
    <row r="1690" spans="15:54" ht="31.4" customHeight="1" x14ac:dyDescent="0.35">
      <c r="O1690" s="9"/>
      <c r="V1690" s="9"/>
      <c r="W1690" s="9"/>
      <c r="BB1690" s="7" t="e">
        <v>#N/A</v>
      </c>
    </row>
    <row r="1691" spans="15:54" ht="31.4" customHeight="1" x14ac:dyDescent="0.35">
      <c r="O1691" s="9"/>
      <c r="V1691" s="9"/>
      <c r="W1691" s="9"/>
      <c r="BB1691" s="7" t="e">
        <v>#N/A</v>
      </c>
    </row>
    <row r="1692" spans="15:54" ht="31.4" customHeight="1" x14ac:dyDescent="0.35">
      <c r="O1692" s="9"/>
      <c r="V1692" s="9"/>
      <c r="W1692" s="9"/>
      <c r="BB1692" s="7" t="e">
        <v>#N/A</v>
      </c>
    </row>
    <row r="1693" spans="15:54" ht="31.4" customHeight="1" x14ac:dyDescent="0.35">
      <c r="O1693" s="9"/>
      <c r="V1693" s="9"/>
      <c r="W1693" s="9"/>
      <c r="BB1693" s="7" t="e">
        <v>#N/A</v>
      </c>
    </row>
    <row r="1694" spans="15:54" ht="31.4" customHeight="1" x14ac:dyDescent="0.35">
      <c r="O1694" s="9"/>
      <c r="V1694" s="9"/>
      <c r="W1694" s="9"/>
      <c r="BB1694" s="7" t="e">
        <v>#N/A</v>
      </c>
    </row>
    <row r="1695" spans="15:54" ht="31.4" customHeight="1" x14ac:dyDescent="0.35">
      <c r="O1695" s="9"/>
      <c r="V1695" s="9"/>
      <c r="W1695" s="9"/>
      <c r="BB1695" s="7" t="e">
        <v>#N/A</v>
      </c>
    </row>
    <row r="1696" spans="15:54" ht="31.4" customHeight="1" x14ac:dyDescent="0.35">
      <c r="O1696" s="9"/>
      <c r="V1696" s="9"/>
      <c r="W1696" s="9"/>
      <c r="BB1696" s="7" t="e">
        <v>#N/A</v>
      </c>
    </row>
    <row r="1697" spans="15:54" ht="31.4" customHeight="1" x14ac:dyDescent="0.35">
      <c r="O1697" s="9"/>
      <c r="V1697" s="9"/>
      <c r="W1697" s="9"/>
      <c r="BB1697" s="7" t="e">
        <v>#N/A</v>
      </c>
    </row>
    <row r="1698" spans="15:54" ht="31.4" customHeight="1" x14ac:dyDescent="0.35">
      <c r="O1698" s="9"/>
      <c r="V1698" s="9"/>
      <c r="W1698" s="9"/>
      <c r="BB1698" s="7" t="e">
        <v>#N/A</v>
      </c>
    </row>
    <row r="1699" spans="15:54" ht="31.4" customHeight="1" x14ac:dyDescent="0.35">
      <c r="O1699" s="9"/>
      <c r="V1699" s="9"/>
      <c r="W1699" s="9"/>
      <c r="BB1699" s="7" t="e">
        <v>#N/A</v>
      </c>
    </row>
    <row r="1700" spans="15:54" ht="31.4" customHeight="1" x14ac:dyDescent="0.35">
      <c r="O1700" s="9"/>
      <c r="V1700" s="9"/>
      <c r="W1700" s="9"/>
      <c r="BB1700" s="7" t="e">
        <v>#N/A</v>
      </c>
    </row>
    <row r="1701" spans="15:54" ht="31.4" customHeight="1" x14ac:dyDescent="0.35">
      <c r="O1701" s="9"/>
      <c r="V1701" s="9"/>
      <c r="W1701" s="9"/>
      <c r="BB1701" s="7" t="e">
        <v>#N/A</v>
      </c>
    </row>
    <row r="1702" spans="15:54" ht="31.4" customHeight="1" x14ac:dyDescent="0.35">
      <c r="O1702" s="9"/>
      <c r="V1702" s="9"/>
      <c r="W1702" s="9"/>
      <c r="BB1702" s="7" t="e">
        <v>#N/A</v>
      </c>
    </row>
    <row r="1703" spans="15:54" ht="31.4" customHeight="1" x14ac:dyDescent="0.35">
      <c r="O1703" s="9"/>
      <c r="V1703" s="9"/>
      <c r="W1703" s="9"/>
      <c r="BB1703" s="7" t="e">
        <v>#N/A</v>
      </c>
    </row>
    <row r="1704" spans="15:54" ht="31.4" customHeight="1" x14ac:dyDescent="0.35">
      <c r="O1704" s="9"/>
      <c r="V1704" s="9"/>
      <c r="W1704" s="9"/>
      <c r="BB1704" s="7" t="e">
        <v>#N/A</v>
      </c>
    </row>
    <row r="1705" spans="15:54" ht="31.4" customHeight="1" x14ac:dyDescent="0.35">
      <c r="O1705" s="9"/>
      <c r="V1705" s="9"/>
      <c r="W1705" s="9"/>
      <c r="BB1705" s="7" t="e">
        <v>#N/A</v>
      </c>
    </row>
    <row r="1706" spans="15:54" ht="31.4" customHeight="1" x14ac:dyDescent="0.35">
      <c r="O1706" s="9"/>
      <c r="V1706" s="9"/>
      <c r="W1706" s="9"/>
      <c r="BB1706" s="7" t="e">
        <v>#N/A</v>
      </c>
    </row>
    <row r="1707" spans="15:54" ht="31.4" customHeight="1" x14ac:dyDescent="0.35">
      <c r="O1707" s="9"/>
      <c r="V1707" s="9"/>
      <c r="W1707" s="9"/>
      <c r="BB1707" s="7" t="e">
        <v>#N/A</v>
      </c>
    </row>
    <row r="1708" spans="15:54" ht="31.4" customHeight="1" x14ac:dyDescent="0.35">
      <c r="O1708" s="9"/>
      <c r="V1708" s="9"/>
      <c r="W1708" s="9"/>
      <c r="BB1708" s="7" t="e">
        <v>#N/A</v>
      </c>
    </row>
    <row r="1709" spans="15:54" ht="31.4" customHeight="1" x14ac:dyDescent="0.35">
      <c r="O1709" s="9"/>
      <c r="V1709" s="9"/>
      <c r="W1709" s="9"/>
      <c r="BB1709" s="7" t="e">
        <v>#N/A</v>
      </c>
    </row>
    <row r="1710" spans="15:54" ht="31.4" customHeight="1" x14ac:dyDescent="0.35">
      <c r="O1710" s="9"/>
      <c r="V1710" s="9"/>
      <c r="W1710" s="9"/>
      <c r="BB1710" s="7" t="e">
        <v>#N/A</v>
      </c>
    </row>
    <row r="1711" spans="15:54" ht="31.4" customHeight="1" x14ac:dyDescent="0.35">
      <c r="O1711" s="9"/>
      <c r="V1711" s="9"/>
      <c r="W1711" s="9"/>
      <c r="BB1711" s="7" t="e">
        <v>#N/A</v>
      </c>
    </row>
    <row r="1712" spans="15:54" ht="31.4" customHeight="1" x14ac:dyDescent="0.35">
      <c r="O1712" s="9"/>
      <c r="V1712" s="9"/>
      <c r="W1712" s="9"/>
      <c r="BB1712" s="7" t="e">
        <v>#N/A</v>
      </c>
    </row>
    <row r="1713" spans="15:54" ht="31.4" customHeight="1" x14ac:dyDescent="0.35">
      <c r="O1713" s="9"/>
      <c r="V1713" s="9"/>
      <c r="W1713" s="9"/>
      <c r="BB1713" s="7" t="e">
        <v>#N/A</v>
      </c>
    </row>
    <row r="1714" spans="15:54" ht="31.4" customHeight="1" x14ac:dyDescent="0.35">
      <c r="O1714" s="9"/>
      <c r="V1714" s="9"/>
      <c r="W1714" s="9"/>
      <c r="BB1714" s="7" t="e">
        <v>#N/A</v>
      </c>
    </row>
    <row r="1715" spans="15:54" ht="31.4" customHeight="1" x14ac:dyDescent="0.35">
      <c r="O1715" s="9"/>
      <c r="V1715" s="9"/>
      <c r="W1715" s="9"/>
      <c r="BB1715" s="7" t="e">
        <v>#N/A</v>
      </c>
    </row>
    <row r="1716" spans="15:54" ht="31.4" customHeight="1" x14ac:dyDescent="0.35">
      <c r="O1716" s="9"/>
      <c r="V1716" s="9"/>
      <c r="W1716" s="9"/>
      <c r="BB1716" s="7" t="e">
        <v>#N/A</v>
      </c>
    </row>
    <row r="1717" spans="15:54" ht="31.4" customHeight="1" x14ac:dyDescent="0.35">
      <c r="O1717" s="9"/>
      <c r="V1717" s="9"/>
      <c r="W1717" s="9"/>
      <c r="BB1717" s="7" t="e">
        <v>#N/A</v>
      </c>
    </row>
    <row r="1718" spans="15:54" ht="31.4" customHeight="1" x14ac:dyDescent="0.35">
      <c r="O1718" s="9"/>
      <c r="V1718" s="9"/>
      <c r="W1718" s="9"/>
      <c r="BB1718" s="7" t="e">
        <v>#N/A</v>
      </c>
    </row>
    <row r="1719" spans="15:54" ht="31.4" customHeight="1" x14ac:dyDescent="0.35">
      <c r="O1719" s="9"/>
      <c r="V1719" s="9"/>
      <c r="W1719" s="9"/>
      <c r="BB1719" s="7" t="e">
        <v>#N/A</v>
      </c>
    </row>
    <row r="1720" spans="15:54" ht="31.4" customHeight="1" x14ac:dyDescent="0.35">
      <c r="O1720" s="9"/>
      <c r="V1720" s="9"/>
      <c r="W1720" s="9"/>
      <c r="BB1720" s="7" t="e">
        <v>#N/A</v>
      </c>
    </row>
    <row r="1721" spans="15:54" ht="31.4" customHeight="1" x14ac:dyDescent="0.35">
      <c r="O1721" s="9"/>
      <c r="V1721" s="9"/>
      <c r="W1721" s="9"/>
      <c r="BB1721" s="7" t="e">
        <v>#N/A</v>
      </c>
    </row>
    <row r="1722" spans="15:54" ht="31.4" customHeight="1" x14ac:dyDescent="0.35">
      <c r="O1722" s="9"/>
      <c r="V1722" s="9"/>
      <c r="W1722" s="9"/>
      <c r="BB1722" s="7" t="e">
        <v>#N/A</v>
      </c>
    </row>
    <row r="1723" spans="15:54" ht="31.4" customHeight="1" x14ac:dyDescent="0.35">
      <c r="O1723" s="9"/>
      <c r="V1723" s="9"/>
      <c r="W1723" s="9"/>
      <c r="BB1723" s="7" t="e">
        <v>#N/A</v>
      </c>
    </row>
    <row r="1724" spans="15:54" ht="31.4" customHeight="1" x14ac:dyDescent="0.35">
      <c r="O1724" s="9"/>
      <c r="V1724" s="9"/>
      <c r="W1724" s="9"/>
      <c r="BB1724" s="7" t="e">
        <v>#N/A</v>
      </c>
    </row>
    <row r="1725" spans="15:54" ht="31.4" customHeight="1" x14ac:dyDescent="0.35">
      <c r="O1725" s="9"/>
      <c r="V1725" s="9"/>
      <c r="W1725" s="9"/>
      <c r="BB1725" s="7" t="e">
        <v>#N/A</v>
      </c>
    </row>
    <row r="1726" spans="15:54" ht="31.4" customHeight="1" x14ac:dyDescent="0.35">
      <c r="O1726" s="9"/>
      <c r="V1726" s="9"/>
      <c r="W1726" s="9"/>
      <c r="BB1726" s="7" t="e">
        <v>#N/A</v>
      </c>
    </row>
    <row r="1727" spans="15:54" ht="31.4" customHeight="1" x14ac:dyDescent="0.35">
      <c r="O1727" s="9"/>
      <c r="V1727" s="9"/>
      <c r="W1727" s="9"/>
      <c r="BB1727" s="7" t="e">
        <v>#N/A</v>
      </c>
    </row>
    <row r="1728" spans="15:54" ht="31.4" customHeight="1" x14ac:dyDescent="0.35">
      <c r="O1728" s="9"/>
      <c r="V1728" s="9"/>
      <c r="W1728" s="9"/>
      <c r="BB1728" s="7" t="e">
        <v>#N/A</v>
      </c>
    </row>
    <row r="1729" spans="15:54" ht="31.4" customHeight="1" x14ac:dyDescent="0.35">
      <c r="O1729" s="9"/>
      <c r="V1729" s="9"/>
      <c r="W1729" s="9"/>
      <c r="BB1729" s="7" t="e">
        <v>#N/A</v>
      </c>
    </row>
    <row r="1730" spans="15:54" ht="31.4" customHeight="1" x14ac:dyDescent="0.35">
      <c r="O1730" s="9"/>
      <c r="V1730" s="9"/>
      <c r="W1730" s="9"/>
      <c r="BB1730" s="7" t="e">
        <v>#N/A</v>
      </c>
    </row>
    <row r="1731" spans="15:54" ht="31.4" customHeight="1" x14ac:dyDescent="0.35">
      <c r="O1731" s="9"/>
      <c r="V1731" s="9"/>
      <c r="W1731" s="9"/>
      <c r="BB1731" s="7" t="e">
        <v>#N/A</v>
      </c>
    </row>
    <row r="1732" spans="15:54" ht="31.4" customHeight="1" x14ac:dyDescent="0.35">
      <c r="O1732" s="9"/>
      <c r="V1732" s="9"/>
      <c r="W1732" s="9"/>
      <c r="BB1732" s="7" t="e">
        <v>#N/A</v>
      </c>
    </row>
    <row r="1733" spans="15:54" ht="31.4" customHeight="1" x14ac:dyDescent="0.35">
      <c r="O1733" s="9"/>
      <c r="V1733" s="9"/>
      <c r="W1733" s="9"/>
      <c r="BB1733" s="7" t="e">
        <v>#N/A</v>
      </c>
    </row>
    <row r="1734" spans="15:54" ht="31.4" customHeight="1" x14ac:dyDescent="0.35">
      <c r="O1734" s="9"/>
      <c r="V1734" s="9"/>
      <c r="W1734" s="9"/>
      <c r="BB1734" s="7" t="e">
        <v>#N/A</v>
      </c>
    </row>
    <row r="1735" spans="15:54" ht="31.4" customHeight="1" x14ac:dyDescent="0.35">
      <c r="O1735" s="9"/>
      <c r="V1735" s="9"/>
      <c r="W1735" s="9"/>
      <c r="BB1735" s="7" t="e">
        <v>#N/A</v>
      </c>
    </row>
    <row r="1736" spans="15:54" ht="31.4" customHeight="1" x14ac:dyDescent="0.35">
      <c r="O1736" s="9"/>
      <c r="V1736" s="9"/>
      <c r="W1736" s="9"/>
      <c r="BB1736" s="7" t="e">
        <v>#N/A</v>
      </c>
    </row>
    <row r="1737" spans="15:54" ht="31.4" customHeight="1" x14ac:dyDescent="0.35">
      <c r="O1737" s="9"/>
      <c r="V1737" s="9"/>
      <c r="W1737" s="9"/>
      <c r="BB1737" s="7" t="e">
        <v>#N/A</v>
      </c>
    </row>
    <row r="1738" spans="15:54" ht="31.4" customHeight="1" x14ac:dyDescent="0.35">
      <c r="O1738" s="9"/>
      <c r="V1738" s="9"/>
      <c r="W1738" s="9"/>
      <c r="BB1738" s="7" t="e">
        <v>#N/A</v>
      </c>
    </row>
    <row r="1739" spans="15:54" ht="31.4" customHeight="1" x14ac:dyDescent="0.35">
      <c r="O1739" s="9"/>
      <c r="V1739" s="9"/>
      <c r="W1739" s="9"/>
      <c r="BB1739" s="7" t="e">
        <v>#N/A</v>
      </c>
    </row>
    <row r="1740" spans="15:54" ht="31.4" customHeight="1" x14ac:dyDescent="0.35">
      <c r="O1740" s="9"/>
      <c r="V1740" s="9"/>
      <c r="W1740" s="9"/>
      <c r="BB1740" s="7" t="e">
        <v>#N/A</v>
      </c>
    </row>
    <row r="1741" spans="15:54" ht="31.4" customHeight="1" x14ac:dyDescent="0.35">
      <c r="O1741" s="9"/>
      <c r="V1741" s="9"/>
      <c r="W1741" s="9"/>
      <c r="BB1741" s="7" t="e">
        <v>#N/A</v>
      </c>
    </row>
    <row r="1742" spans="15:54" ht="31.4" customHeight="1" x14ac:dyDescent="0.35">
      <c r="O1742" s="9"/>
      <c r="V1742" s="9"/>
      <c r="W1742" s="9"/>
      <c r="BB1742" s="7" t="e">
        <v>#N/A</v>
      </c>
    </row>
    <row r="1743" spans="15:54" ht="31.4" customHeight="1" x14ac:dyDescent="0.35">
      <c r="O1743" s="9"/>
      <c r="V1743" s="9"/>
      <c r="W1743" s="9"/>
      <c r="BB1743" s="7" t="e">
        <v>#N/A</v>
      </c>
    </row>
    <row r="1744" spans="15:54" ht="31.4" customHeight="1" x14ac:dyDescent="0.35">
      <c r="O1744" s="9"/>
      <c r="V1744" s="9"/>
      <c r="W1744" s="9"/>
      <c r="BB1744" s="7" t="e">
        <v>#N/A</v>
      </c>
    </row>
    <row r="1745" spans="15:54" ht="31.4" customHeight="1" x14ac:dyDescent="0.35">
      <c r="O1745" s="9"/>
      <c r="V1745" s="9"/>
      <c r="W1745" s="9"/>
      <c r="BB1745" s="7" t="e">
        <v>#N/A</v>
      </c>
    </row>
    <row r="1746" spans="15:54" ht="31.4" customHeight="1" x14ac:dyDescent="0.35">
      <c r="O1746" s="9"/>
      <c r="V1746" s="9"/>
      <c r="W1746" s="9"/>
      <c r="BB1746" s="7" t="e">
        <v>#N/A</v>
      </c>
    </row>
    <row r="1747" spans="15:54" ht="31.4" customHeight="1" x14ac:dyDescent="0.35">
      <c r="O1747" s="9"/>
      <c r="V1747" s="9"/>
      <c r="W1747" s="9"/>
      <c r="BB1747" s="7" t="e">
        <v>#N/A</v>
      </c>
    </row>
    <row r="1748" spans="15:54" ht="31.4" customHeight="1" x14ac:dyDescent="0.35">
      <c r="O1748" s="9"/>
      <c r="V1748" s="9"/>
      <c r="W1748" s="9"/>
      <c r="BB1748" s="7" t="e">
        <v>#N/A</v>
      </c>
    </row>
    <row r="1749" spans="15:54" ht="31.4" customHeight="1" x14ac:dyDescent="0.35">
      <c r="O1749" s="9"/>
      <c r="V1749" s="9"/>
      <c r="W1749" s="9"/>
      <c r="BB1749" s="7" t="e">
        <v>#N/A</v>
      </c>
    </row>
    <row r="1750" spans="15:54" ht="31.4" customHeight="1" x14ac:dyDescent="0.35">
      <c r="O1750" s="9"/>
      <c r="V1750" s="9"/>
      <c r="W1750" s="9"/>
      <c r="BB1750" s="7" t="e">
        <v>#N/A</v>
      </c>
    </row>
    <row r="1751" spans="15:54" ht="31.4" customHeight="1" x14ac:dyDescent="0.35">
      <c r="O1751" s="9"/>
      <c r="V1751" s="9"/>
      <c r="W1751" s="9"/>
      <c r="BB1751" s="7" t="e">
        <v>#N/A</v>
      </c>
    </row>
    <row r="1752" spans="15:54" ht="31.4" customHeight="1" x14ac:dyDescent="0.35">
      <c r="O1752" s="9"/>
      <c r="V1752" s="9"/>
      <c r="W1752" s="9"/>
      <c r="BB1752" s="7" t="e">
        <v>#N/A</v>
      </c>
    </row>
    <row r="1753" spans="15:54" ht="31.4" customHeight="1" x14ac:dyDescent="0.35">
      <c r="O1753" s="9"/>
      <c r="V1753" s="9"/>
      <c r="W1753" s="9"/>
      <c r="BB1753" s="7" t="e">
        <v>#N/A</v>
      </c>
    </row>
    <row r="1754" spans="15:54" ht="31.4" customHeight="1" x14ac:dyDescent="0.35">
      <c r="O1754" s="9"/>
      <c r="V1754" s="9"/>
      <c r="W1754" s="9"/>
      <c r="BB1754" s="7" t="e">
        <v>#N/A</v>
      </c>
    </row>
    <row r="1755" spans="15:54" ht="31.4" customHeight="1" x14ac:dyDescent="0.35">
      <c r="O1755" s="9"/>
      <c r="V1755" s="9"/>
      <c r="W1755" s="9"/>
      <c r="BB1755" s="7" t="e">
        <v>#N/A</v>
      </c>
    </row>
    <row r="1756" spans="15:54" ht="31.4" customHeight="1" x14ac:dyDescent="0.35">
      <c r="O1756" s="9"/>
      <c r="V1756" s="9"/>
      <c r="W1756" s="9"/>
      <c r="BB1756" s="7" t="e">
        <v>#N/A</v>
      </c>
    </row>
    <row r="1757" spans="15:54" ht="31.4" customHeight="1" x14ac:dyDescent="0.35">
      <c r="O1757" s="9"/>
      <c r="V1757" s="9"/>
      <c r="W1757" s="9"/>
      <c r="BB1757" s="7" t="e">
        <v>#N/A</v>
      </c>
    </row>
    <row r="1758" spans="15:54" ht="31.4" customHeight="1" x14ac:dyDescent="0.35">
      <c r="O1758" s="9"/>
      <c r="V1758" s="9"/>
      <c r="W1758" s="9"/>
      <c r="BB1758" s="7" t="e">
        <v>#N/A</v>
      </c>
    </row>
    <row r="1759" spans="15:54" ht="31.4" customHeight="1" x14ac:dyDescent="0.35">
      <c r="O1759" s="9"/>
      <c r="V1759" s="9"/>
      <c r="W1759" s="9"/>
      <c r="BB1759" s="7" t="e">
        <v>#N/A</v>
      </c>
    </row>
    <row r="1760" spans="15:54" ht="31.4" customHeight="1" x14ac:dyDescent="0.35">
      <c r="O1760" s="9"/>
      <c r="V1760" s="9"/>
      <c r="W1760" s="9"/>
      <c r="BB1760" s="7" t="e">
        <v>#N/A</v>
      </c>
    </row>
    <row r="1761" spans="15:54" ht="31.4" customHeight="1" x14ac:dyDescent="0.35">
      <c r="O1761" s="9"/>
      <c r="V1761" s="9"/>
      <c r="W1761" s="9"/>
      <c r="BB1761" s="7" t="e">
        <v>#N/A</v>
      </c>
    </row>
    <row r="1762" spans="15:54" ht="31.4" customHeight="1" x14ac:dyDescent="0.35">
      <c r="O1762" s="9"/>
      <c r="V1762" s="9"/>
      <c r="W1762" s="9"/>
      <c r="BB1762" s="7" t="e">
        <v>#N/A</v>
      </c>
    </row>
    <row r="1763" spans="15:54" ht="31.4" customHeight="1" x14ac:dyDescent="0.35">
      <c r="O1763" s="9"/>
      <c r="V1763" s="9"/>
      <c r="W1763" s="9"/>
      <c r="BB1763" s="7" t="e">
        <v>#N/A</v>
      </c>
    </row>
    <row r="1764" spans="15:54" ht="31.4" customHeight="1" x14ac:dyDescent="0.35">
      <c r="O1764" s="9"/>
      <c r="V1764" s="9"/>
      <c r="W1764" s="9"/>
      <c r="BB1764" s="7" t="e">
        <v>#N/A</v>
      </c>
    </row>
    <row r="1765" spans="15:54" ht="31.4" customHeight="1" x14ac:dyDescent="0.35">
      <c r="O1765" s="9"/>
      <c r="V1765" s="9"/>
      <c r="W1765" s="9"/>
      <c r="BB1765" s="7" t="e">
        <v>#N/A</v>
      </c>
    </row>
    <row r="1766" spans="15:54" ht="31.4" customHeight="1" x14ac:dyDescent="0.35">
      <c r="O1766" s="9"/>
      <c r="V1766" s="9"/>
      <c r="W1766" s="9"/>
      <c r="BB1766" s="7" t="e">
        <v>#N/A</v>
      </c>
    </row>
    <row r="1767" spans="15:54" ht="31.4" customHeight="1" x14ac:dyDescent="0.35">
      <c r="O1767" s="9"/>
      <c r="V1767" s="9"/>
      <c r="W1767" s="9"/>
      <c r="BB1767" s="7" t="e">
        <v>#N/A</v>
      </c>
    </row>
    <row r="1768" spans="15:54" ht="31.4" customHeight="1" x14ac:dyDescent="0.35">
      <c r="O1768" s="9"/>
      <c r="V1768" s="9"/>
      <c r="W1768" s="9"/>
      <c r="BB1768" s="7" t="e">
        <v>#N/A</v>
      </c>
    </row>
    <row r="1769" spans="15:54" ht="31.4" customHeight="1" x14ac:dyDescent="0.35">
      <c r="O1769" s="9"/>
      <c r="V1769" s="9"/>
      <c r="W1769" s="9"/>
      <c r="BB1769" s="7" t="e">
        <v>#N/A</v>
      </c>
    </row>
    <row r="1770" spans="15:54" ht="31.4" customHeight="1" x14ac:dyDescent="0.35">
      <c r="O1770" s="9"/>
      <c r="V1770" s="9"/>
      <c r="W1770" s="9"/>
      <c r="BB1770" s="7" t="e">
        <v>#N/A</v>
      </c>
    </row>
    <row r="1771" spans="15:54" ht="31.4" customHeight="1" x14ac:dyDescent="0.35">
      <c r="O1771" s="9"/>
      <c r="V1771" s="9"/>
      <c r="W1771" s="9"/>
      <c r="BB1771" s="7" t="e">
        <v>#N/A</v>
      </c>
    </row>
    <row r="1772" spans="15:54" ht="31.4" customHeight="1" x14ac:dyDescent="0.35">
      <c r="O1772" s="9"/>
      <c r="V1772" s="9"/>
      <c r="W1772" s="9"/>
      <c r="BB1772" s="7" t="e">
        <v>#N/A</v>
      </c>
    </row>
    <row r="1773" spans="15:54" ht="31.4" customHeight="1" x14ac:dyDescent="0.35">
      <c r="O1773" s="9"/>
      <c r="V1773" s="9"/>
      <c r="W1773" s="9"/>
      <c r="BB1773" s="7" t="e">
        <v>#N/A</v>
      </c>
    </row>
    <row r="1774" spans="15:54" ht="31.4" customHeight="1" x14ac:dyDescent="0.35">
      <c r="O1774" s="9"/>
      <c r="V1774" s="9"/>
      <c r="W1774" s="9"/>
      <c r="BB1774" s="7" t="e">
        <v>#N/A</v>
      </c>
    </row>
    <row r="1775" spans="15:54" ht="31.4" customHeight="1" x14ac:dyDescent="0.35">
      <c r="O1775" s="9"/>
      <c r="V1775" s="9"/>
      <c r="W1775" s="9"/>
      <c r="BB1775" s="7" t="e">
        <v>#N/A</v>
      </c>
    </row>
    <row r="1776" spans="15:54" ht="31.4" customHeight="1" x14ac:dyDescent="0.35">
      <c r="O1776" s="9"/>
      <c r="V1776" s="9"/>
      <c r="W1776" s="9"/>
      <c r="BB1776" s="7" t="e">
        <v>#N/A</v>
      </c>
    </row>
    <row r="1777" spans="15:54" ht="31.4" customHeight="1" x14ac:dyDescent="0.35">
      <c r="O1777" s="9"/>
      <c r="V1777" s="9"/>
      <c r="W1777" s="9"/>
      <c r="BB1777" s="7" t="e">
        <v>#N/A</v>
      </c>
    </row>
    <row r="1778" spans="15:54" ht="31.4" customHeight="1" x14ac:dyDescent="0.35">
      <c r="O1778" s="9"/>
      <c r="V1778" s="9"/>
      <c r="W1778" s="9"/>
      <c r="BB1778" s="7" t="e">
        <v>#N/A</v>
      </c>
    </row>
    <row r="1779" spans="15:54" ht="31.4" customHeight="1" x14ac:dyDescent="0.35">
      <c r="O1779" s="9"/>
      <c r="V1779" s="9"/>
      <c r="W1779" s="9"/>
      <c r="BB1779" s="7" t="e">
        <v>#N/A</v>
      </c>
    </row>
    <row r="1780" spans="15:54" ht="31.4" customHeight="1" x14ac:dyDescent="0.35">
      <c r="O1780" s="9"/>
      <c r="V1780" s="9"/>
      <c r="W1780" s="9"/>
      <c r="BB1780" s="7" t="e">
        <v>#N/A</v>
      </c>
    </row>
    <row r="1781" spans="15:54" ht="31.4" customHeight="1" x14ac:dyDescent="0.35">
      <c r="O1781" s="9"/>
      <c r="V1781" s="9"/>
      <c r="W1781" s="9"/>
      <c r="BB1781" s="7" t="e">
        <v>#N/A</v>
      </c>
    </row>
    <row r="1782" spans="15:54" ht="31.4" customHeight="1" x14ac:dyDescent="0.35">
      <c r="O1782" s="9"/>
      <c r="V1782" s="9"/>
      <c r="W1782" s="9"/>
      <c r="BB1782" s="7" t="e">
        <v>#N/A</v>
      </c>
    </row>
    <row r="1783" spans="15:54" ht="31.4" customHeight="1" x14ac:dyDescent="0.35">
      <c r="O1783" s="9"/>
      <c r="V1783" s="9"/>
      <c r="W1783" s="9"/>
      <c r="BB1783" s="7" t="e">
        <v>#N/A</v>
      </c>
    </row>
    <row r="1784" spans="15:54" ht="31.4" customHeight="1" x14ac:dyDescent="0.35">
      <c r="O1784" s="9"/>
      <c r="V1784" s="9"/>
      <c r="W1784" s="9"/>
      <c r="BB1784" s="7" t="e">
        <v>#N/A</v>
      </c>
    </row>
    <row r="1785" spans="15:54" ht="31.4" customHeight="1" x14ac:dyDescent="0.35">
      <c r="O1785" s="9"/>
      <c r="V1785" s="9"/>
      <c r="W1785" s="9"/>
      <c r="BB1785" s="7" t="e">
        <v>#N/A</v>
      </c>
    </row>
    <row r="1786" spans="15:54" ht="31.4" customHeight="1" x14ac:dyDescent="0.35">
      <c r="O1786" s="9"/>
      <c r="V1786" s="9"/>
      <c r="W1786" s="9"/>
      <c r="BB1786" s="7" t="e">
        <v>#N/A</v>
      </c>
    </row>
    <row r="1787" spans="15:54" ht="31.4" customHeight="1" x14ac:dyDescent="0.35">
      <c r="O1787" s="9"/>
      <c r="V1787" s="9"/>
      <c r="W1787" s="9"/>
      <c r="BB1787" s="7" t="e">
        <v>#N/A</v>
      </c>
    </row>
    <row r="1788" spans="15:54" ht="31.4" customHeight="1" x14ac:dyDescent="0.35">
      <c r="O1788" s="9"/>
      <c r="V1788" s="9"/>
      <c r="W1788" s="9"/>
    </row>
    <row r="1789" spans="15:54" ht="31.4" customHeight="1" x14ac:dyDescent="0.35">
      <c r="O1789" s="9"/>
      <c r="V1789" s="9"/>
      <c r="W1789" s="9"/>
    </row>
    <row r="1790" spans="15:54" ht="31.4" customHeight="1" x14ac:dyDescent="0.35">
      <c r="O1790" s="9"/>
      <c r="V1790" s="9"/>
      <c r="W1790" s="9"/>
    </row>
    <row r="1791" spans="15:54" ht="31.4" customHeight="1" x14ac:dyDescent="0.35">
      <c r="O1791" s="9"/>
      <c r="V1791" s="9"/>
      <c r="W1791" s="9"/>
    </row>
    <row r="1792" spans="15:54" ht="31.4" customHeight="1" x14ac:dyDescent="0.35">
      <c r="O1792" s="9"/>
      <c r="V1792" s="9"/>
      <c r="W1792" s="9"/>
    </row>
    <row r="1793" spans="15:23" ht="31.4" customHeight="1" x14ac:dyDescent="0.35">
      <c r="O1793" s="9"/>
      <c r="V1793" s="9"/>
      <c r="W1793" s="9"/>
    </row>
    <row r="1794" spans="15:23" ht="31.4" customHeight="1" x14ac:dyDescent="0.35">
      <c r="O1794" s="9"/>
      <c r="V1794" s="9"/>
      <c r="W1794" s="9"/>
    </row>
    <row r="1795" spans="15:23" ht="31.4" customHeight="1" x14ac:dyDescent="0.35">
      <c r="O1795" s="9"/>
      <c r="V1795" s="9"/>
      <c r="W1795" s="9"/>
    </row>
    <row r="1796" spans="15:23" ht="31.4" customHeight="1" x14ac:dyDescent="0.35">
      <c r="O1796" s="9"/>
      <c r="V1796" s="9"/>
      <c r="W1796" s="9"/>
    </row>
    <row r="1797" spans="15:23" ht="31.4" customHeight="1" x14ac:dyDescent="0.35">
      <c r="O1797" s="9"/>
      <c r="V1797" s="9"/>
      <c r="W1797" s="9"/>
    </row>
    <row r="1798" spans="15:23" ht="31.4" customHeight="1" x14ac:dyDescent="0.35">
      <c r="O1798" s="9"/>
      <c r="V1798" s="9"/>
      <c r="W1798" s="9"/>
    </row>
    <row r="1799" spans="15:23" ht="31.4" customHeight="1" x14ac:dyDescent="0.35">
      <c r="O1799" s="9"/>
      <c r="V1799" s="9"/>
      <c r="W1799" s="9"/>
    </row>
    <row r="1800" spans="15:23" ht="31.4" customHeight="1" x14ac:dyDescent="0.35">
      <c r="O1800" s="9"/>
      <c r="V1800" s="9"/>
      <c r="W1800" s="9"/>
    </row>
    <row r="1801" spans="15:23" ht="31.4" customHeight="1" x14ac:dyDescent="0.35">
      <c r="O1801" s="9"/>
      <c r="V1801" s="9"/>
      <c r="W1801" s="9"/>
    </row>
    <row r="1802" spans="15:23" ht="31.4" customHeight="1" x14ac:dyDescent="0.35">
      <c r="O1802" s="9"/>
      <c r="V1802" s="9"/>
      <c r="W1802" s="9"/>
    </row>
    <row r="1803" spans="15:23" ht="31.4" customHeight="1" x14ac:dyDescent="0.35">
      <c r="O1803" s="9"/>
      <c r="V1803" s="9"/>
      <c r="W1803" s="9"/>
    </row>
    <row r="1804" spans="15:23" ht="31.4" customHeight="1" x14ac:dyDescent="0.35">
      <c r="O1804" s="9"/>
      <c r="V1804" s="9"/>
      <c r="W1804" s="9"/>
    </row>
    <row r="1805" spans="15:23" ht="31.4" customHeight="1" x14ac:dyDescent="0.35">
      <c r="O1805" s="9"/>
      <c r="V1805" s="9"/>
      <c r="W1805" s="9"/>
    </row>
    <row r="1806" spans="15:23" ht="31.4" customHeight="1" x14ac:dyDescent="0.35">
      <c r="O1806" s="9"/>
      <c r="V1806" s="9"/>
      <c r="W1806" s="9"/>
    </row>
    <row r="1807" spans="15:23" ht="31.4" customHeight="1" x14ac:dyDescent="0.35">
      <c r="O1807" s="9"/>
      <c r="V1807" s="9"/>
      <c r="W1807" s="9"/>
    </row>
    <row r="1808" spans="15:23" ht="31.4" customHeight="1" x14ac:dyDescent="0.35">
      <c r="O1808" s="9"/>
      <c r="V1808" s="9"/>
      <c r="W1808" s="9"/>
    </row>
    <row r="1809" spans="15:23" ht="31.4" customHeight="1" x14ac:dyDescent="0.35">
      <c r="O1809" s="9"/>
      <c r="V1809" s="9"/>
      <c r="W1809" s="9"/>
    </row>
    <row r="1810" spans="15:23" ht="31.4" customHeight="1" x14ac:dyDescent="0.35">
      <c r="O1810" s="9"/>
      <c r="V1810" s="9"/>
      <c r="W1810" s="9"/>
    </row>
    <row r="1811" spans="15:23" ht="31.4" customHeight="1" x14ac:dyDescent="0.35">
      <c r="O1811" s="9"/>
      <c r="V1811" s="9"/>
      <c r="W1811" s="9"/>
    </row>
    <row r="1812" spans="15:23" ht="31.4" customHeight="1" x14ac:dyDescent="0.35">
      <c r="O1812" s="9"/>
      <c r="V1812" s="9"/>
      <c r="W1812" s="9"/>
    </row>
    <row r="1813" spans="15:23" ht="31.4" customHeight="1" x14ac:dyDescent="0.35">
      <c r="O1813" s="9"/>
      <c r="V1813" s="9"/>
      <c r="W1813" s="9"/>
    </row>
    <row r="1814" spans="15:23" ht="31.4" customHeight="1" x14ac:dyDescent="0.35">
      <c r="O1814" s="9"/>
      <c r="V1814" s="9"/>
      <c r="W1814" s="9"/>
    </row>
    <row r="1815" spans="15:23" ht="31.4" customHeight="1" x14ac:dyDescent="0.35">
      <c r="O1815" s="9"/>
      <c r="V1815" s="9"/>
      <c r="W1815" s="9"/>
    </row>
    <row r="1816" spans="15:23" ht="31.4" customHeight="1" x14ac:dyDescent="0.35">
      <c r="O1816" s="9"/>
      <c r="V1816" s="9"/>
      <c r="W1816" s="9"/>
    </row>
    <row r="1817" spans="15:23" ht="31.4" customHeight="1" x14ac:dyDescent="0.35">
      <c r="O1817" s="9"/>
      <c r="V1817" s="9"/>
      <c r="W1817" s="9"/>
    </row>
    <row r="1818" spans="15:23" ht="31.4" customHeight="1" x14ac:dyDescent="0.35">
      <c r="O1818" s="9"/>
      <c r="V1818" s="9"/>
      <c r="W1818" s="9"/>
    </row>
    <row r="1819" spans="15:23" ht="31.4" customHeight="1" x14ac:dyDescent="0.35">
      <c r="O1819" s="9"/>
      <c r="V1819" s="9"/>
      <c r="W1819" s="9"/>
    </row>
    <row r="1820" spans="15:23" ht="31.4" customHeight="1" x14ac:dyDescent="0.35">
      <c r="O1820" s="9"/>
      <c r="V1820" s="9"/>
      <c r="W1820" s="9"/>
    </row>
    <row r="1821" spans="15:23" ht="31.4" customHeight="1" x14ac:dyDescent="0.35">
      <c r="O1821" s="9"/>
      <c r="V1821" s="9"/>
      <c r="W1821" s="9"/>
    </row>
    <row r="1822" spans="15:23" ht="31.4" customHeight="1" x14ac:dyDescent="0.35">
      <c r="O1822" s="9"/>
      <c r="V1822" s="9"/>
      <c r="W1822" s="9"/>
    </row>
    <row r="1823" spans="15:23" ht="31.4" customHeight="1" x14ac:dyDescent="0.35">
      <c r="O1823" s="9"/>
      <c r="V1823" s="9"/>
      <c r="W1823" s="9"/>
    </row>
    <row r="1824" spans="15:23" ht="31.4" customHeight="1" x14ac:dyDescent="0.35">
      <c r="O1824" s="9"/>
      <c r="V1824" s="9"/>
      <c r="W1824" s="9"/>
    </row>
    <row r="1825" spans="15:23" ht="31.4" customHeight="1" x14ac:dyDescent="0.35">
      <c r="O1825" s="9"/>
      <c r="V1825" s="9"/>
      <c r="W1825" s="9"/>
    </row>
    <row r="1826" spans="15:23" ht="31.4" customHeight="1" x14ac:dyDescent="0.35">
      <c r="O1826" s="9"/>
      <c r="V1826" s="9"/>
      <c r="W1826" s="9"/>
    </row>
    <row r="1827" spans="15:23" ht="31.4" customHeight="1" x14ac:dyDescent="0.35">
      <c r="O1827" s="9"/>
      <c r="V1827" s="9"/>
      <c r="W1827" s="9"/>
    </row>
    <row r="1828" spans="15:23" ht="31.4" customHeight="1" x14ac:dyDescent="0.35">
      <c r="O1828" s="9"/>
      <c r="V1828" s="9"/>
      <c r="W1828" s="9"/>
    </row>
    <row r="1829" spans="15:23" ht="31.4" customHeight="1" x14ac:dyDescent="0.35">
      <c r="O1829" s="9"/>
      <c r="V1829" s="9"/>
      <c r="W1829" s="9"/>
    </row>
    <row r="1830" spans="15:23" ht="31.4" customHeight="1" x14ac:dyDescent="0.35">
      <c r="O1830" s="9"/>
      <c r="V1830" s="9"/>
      <c r="W1830" s="9"/>
    </row>
    <row r="1831" spans="15:23" ht="31.4" customHeight="1" x14ac:dyDescent="0.35">
      <c r="O1831" s="9"/>
      <c r="V1831" s="9"/>
      <c r="W1831" s="9"/>
    </row>
    <row r="1832" spans="15:23" ht="31.4" customHeight="1" x14ac:dyDescent="0.35">
      <c r="O1832" s="9"/>
      <c r="V1832" s="9"/>
      <c r="W1832" s="9"/>
    </row>
    <row r="1833" spans="15:23" ht="31.4" customHeight="1" x14ac:dyDescent="0.35">
      <c r="O1833" s="9"/>
      <c r="V1833" s="9"/>
      <c r="W1833" s="9"/>
    </row>
    <row r="1834" spans="15:23" ht="31.4" customHeight="1" x14ac:dyDescent="0.35">
      <c r="O1834" s="9"/>
      <c r="V1834" s="9"/>
      <c r="W1834" s="9"/>
    </row>
    <row r="1835" spans="15:23" ht="31.4" customHeight="1" x14ac:dyDescent="0.35">
      <c r="O1835" s="9"/>
      <c r="V1835" s="9"/>
      <c r="W1835" s="9"/>
    </row>
    <row r="1836" spans="15:23" ht="31.4" customHeight="1" x14ac:dyDescent="0.35">
      <c r="O1836" s="9"/>
      <c r="V1836" s="9"/>
      <c r="W1836" s="9"/>
    </row>
    <row r="1837" spans="15:23" ht="31.4" customHeight="1" x14ac:dyDescent="0.35">
      <c r="O1837" s="9"/>
      <c r="V1837" s="9"/>
      <c r="W1837" s="9"/>
    </row>
    <row r="1838" spans="15:23" ht="31.4" customHeight="1" x14ac:dyDescent="0.35">
      <c r="O1838" s="9"/>
      <c r="V1838" s="9"/>
      <c r="W1838" s="9"/>
    </row>
    <row r="1839" spans="15:23" ht="31.4" customHeight="1" x14ac:dyDescent="0.35">
      <c r="O1839" s="9"/>
      <c r="V1839" s="9"/>
      <c r="W1839" s="9"/>
    </row>
    <row r="1840" spans="15:23" ht="31.4" customHeight="1" x14ac:dyDescent="0.35">
      <c r="O1840" s="9"/>
      <c r="V1840" s="9"/>
      <c r="W1840" s="9"/>
    </row>
    <row r="1841" spans="15:23" ht="31.4" customHeight="1" x14ac:dyDescent="0.35">
      <c r="O1841" s="9"/>
      <c r="V1841" s="9"/>
      <c r="W1841" s="9"/>
    </row>
    <row r="1842" spans="15:23" ht="31.4" customHeight="1" x14ac:dyDescent="0.35">
      <c r="O1842" s="9"/>
      <c r="V1842" s="9"/>
      <c r="W1842" s="9"/>
    </row>
    <row r="1843" spans="15:23" ht="31.4" customHeight="1" x14ac:dyDescent="0.35">
      <c r="O1843" s="9"/>
      <c r="V1843" s="9"/>
      <c r="W1843" s="9"/>
    </row>
    <row r="1844" spans="15:23" ht="31.4" customHeight="1" x14ac:dyDescent="0.35">
      <c r="O1844" s="9"/>
      <c r="V1844" s="9"/>
      <c r="W1844" s="9"/>
    </row>
    <row r="1845" spans="15:23" ht="31.4" customHeight="1" x14ac:dyDescent="0.35">
      <c r="O1845" s="9"/>
      <c r="V1845" s="9"/>
      <c r="W1845" s="9"/>
    </row>
    <row r="1846" spans="15:23" ht="31.4" customHeight="1" x14ac:dyDescent="0.35">
      <c r="O1846" s="9"/>
      <c r="V1846" s="9"/>
      <c r="W1846" s="9"/>
    </row>
    <row r="1847" spans="15:23" ht="31.4" customHeight="1" x14ac:dyDescent="0.35">
      <c r="O1847" s="9"/>
      <c r="V1847" s="9"/>
      <c r="W1847" s="9"/>
    </row>
    <row r="1848" spans="15:23" ht="31.4" customHeight="1" x14ac:dyDescent="0.35">
      <c r="O1848" s="9"/>
      <c r="V1848" s="9"/>
      <c r="W1848" s="9"/>
    </row>
    <row r="1849" spans="15:23" ht="31.4" customHeight="1" x14ac:dyDescent="0.35">
      <c r="O1849" s="9"/>
      <c r="V1849" s="9"/>
      <c r="W1849" s="9"/>
    </row>
    <row r="1850" spans="15:23" ht="31.4" customHeight="1" x14ac:dyDescent="0.35">
      <c r="O1850" s="9"/>
      <c r="V1850" s="9"/>
      <c r="W1850" s="9"/>
    </row>
    <row r="1851" spans="15:23" ht="31.4" customHeight="1" x14ac:dyDescent="0.35">
      <c r="O1851" s="9"/>
      <c r="V1851" s="9"/>
      <c r="W1851" s="9"/>
    </row>
    <row r="1852" spans="15:23" ht="31.4" customHeight="1" x14ac:dyDescent="0.35">
      <c r="O1852" s="9"/>
      <c r="V1852" s="9"/>
      <c r="W1852" s="9"/>
    </row>
    <row r="1853" spans="15:23" ht="31.4" customHeight="1" x14ac:dyDescent="0.35">
      <c r="O1853" s="9"/>
      <c r="V1853" s="9"/>
      <c r="W1853" s="9"/>
    </row>
    <row r="1854" spans="15:23" ht="31.4" customHeight="1" x14ac:dyDescent="0.35">
      <c r="O1854" s="9"/>
      <c r="V1854" s="9"/>
      <c r="W1854" s="9"/>
    </row>
    <row r="1855" spans="15:23" ht="31.4" customHeight="1" x14ac:dyDescent="0.35">
      <c r="O1855" s="9"/>
      <c r="V1855" s="9"/>
      <c r="W1855" s="9"/>
    </row>
    <row r="1856" spans="15:23" ht="31.4" customHeight="1" x14ac:dyDescent="0.35">
      <c r="O1856" s="9"/>
      <c r="V1856" s="9"/>
      <c r="W1856" s="9"/>
    </row>
    <row r="1857" spans="15:23" ht="31.4" customHeight="1" x14ac:dyDescent="0.35">
      <c r="O1857" s="9"/>
      <c r="V1857" s="9"/>
      <c r="W1857" s="9"/>
    </row>
    <row r="1858" spans="15:23" ht="31.4" customHeight="1" x14ac:dyDescent="0.35">
      <c r="O1858" s="9"/>
      <c r="V1858" s="9"/>
      <c r="W1858" s="9"/>
    </row>
    <row r="1859" spans="15:23" ht="31.4" customHeight="1" x14ac:dyDescent="0.35">
      <c r="O1859" s="9"/>
      <c r="V1859" s="9"/>
      <c r="W1859" s="9"/>
    </row>
    <row r="1860" spans="15:23" ht="31.4" customHeight="1" x14ac:dyDescent="0.35">
      <c r="O1860" s="9"/>
      <c r="V1860" s="9"/>
      <c r="W1860" s="9"/>
    </row>
    <row r="1861" spans="15:23" ht="31.4" customHeight="1" x14ac:dyDescent="0.35">
      <c r="O1861" s="9"/>
      <c r="V1861" s="9"/>
      <c r="W1861" s="9"/>
    </row>
    <row r="1862" spans="15:23" ht="31.4" customHeight="1" x14ac:dyDescent="0.35">
      <c r="O1862" s="9"/>
      <c r="V1862" s="9"/>
      <c r="W1862" s="9"/>
    </row>
    <row r="1863" spans="15:23" ht="31.4" customHeight="1" x14ac:dyDescent="0.35">
      <c r="O1863" s="9"/>
      <c r="V1863" s="9"/>
      <c r="W1863" s="9"/>
    </row>
    <row r="1864" spans="15:23" ht="31.4" customHeight="1" x14ac:dyDescent="0.35">
      <c r="O1864" s="9"/>
      <c r="V1864" s="9"/>
      <c r="W1864" s="9"/>
    </row>
    <row r="1865" spans="15:23" ht="31.4" customHeight="1" x14ac:dyDescent="0.35">
      <c r="O1865" s="9"/>
      <c r="V1865" s="9"/>
      <c r="W1865" s="9"/>
    </row>
    <row r="1866" spans="15:23" ht="31.4" customHeight="1" x14ac:dyDescent="0.35">
      <c r="O1866" s="9"/>
      <c r="V1866" s="9"/>
      <c r="W1866" s="9"/>
    </row>
    <row r="1867" spans="15:23" ht="31.4" customHeight="1" x14ac:dyDescent="0.35">
      <c r="O1867" s="9"/>
      <c r="V1867" s="9"/>
      <c r="W1867" s="9"/>
    </row>
    <row r="1868" spans="15:23" ht="31.4" customHeight="1" x14ac:dyDescent="0.35">
      <c r="O1868" s="9"/>
      <c r="V1868" s="9"/>
      <c r="W1868" s="9"/>
    </row>
    <row r="1869" spans="15:23" ht="31.4" customHeight="1" x14ac:dyDescent="0.35">
      <c r="O1869" s="9"/>
      <c r="V1869" s="9"/>
      <c r="W1869" s="9"/>
    </row>
    <row r="1870" spans="15:23" ht="31.4" customHeight="1" x14ac:dyDescent="0.35">
      <c r="O1870" s="9"/>
      <c r="V1870" s="9"/>
      <c r="W1870" s="9"/>
    </row>
    <row r="1871" spans="15:23" ht="31.4" customHeight="1" x14ac:dyDescent="0.35">
      <c r="O1871" s="9"/>
      <c r="V1871" s="9"/>
      <c r="W1871" s="9"/>
    </row>
    <row r="1872" spans="15:23" ht="31.4" customHeight="1" x14ac:dyDescent="0.35">
      <c r="O1872" s="9"/>
      <c r="V1872" s="9"/>
      <c r="W1872" s="9"/>
    </row>
    <row r="1873" spans="15:23" ht="31.4" customHeight="1" x14ac:dyDescent="0.35">
      <c r="O1873" s="9"/>
      <c r="V1873" s="9"/>
      <c r="W1873" s="9"/>
    </row>
    <row r="1874" spans="15:23" ht="31.4" customHeight="1" x14ac:dyDescent="0.35">
      <c r="O1874" s="9"/>
      <c r="V1874" s="9"/>
      <c r="W1874" s="9"/>
    </row>
    <row r="1875" spans="15:23" ht="31.4" customHeight="1" x14ac:dyDescent="0.35">
      <c r="O1875" s="9"/>
      <c r="V1875" s="9"/>
      <c r="W1875" s="9"/>
    </row>
    <row r="1876" spans="15:23" ht="31.4" customHeight="1" x14ac:dyDescent="0.35">
      <c r="O1876" s="9"/>
      <c r="V1876" s="9"/>
      <c r="W1876" s="9"/>
    </row>
    <row r="1877" spans="15:23" ht="31.4" customHeight="1" x14ac:dyDescent="0.35">
      <c r="O1877" s="9"/>
      <c r="V1877" s="9"/>
      <c r="W1877" s="9"/>
    </row>
    <row r="1878" spans="15:23" ht="31.4" customHeight="1" x14ac:dyDescent="0.35">
      <c r="O1878" s="9"/>
      <c r="V1878" s="9"/>
      <c r="W1878" s="9"/>
    </row>
    <row r="1879" spans="15:23" ht="31.4" customHeight="1" x14ac:dyDescent="0.35">
      <c r="O1879" s="9"/>
      <c r="V1879" s="9"/>
      <c r="W1879" s="9"/>
    </row>
    <row r="1880" spans="15:23" ht="31.4" customHeight="1" x14ac:dyDescent="0.35">
      <c r="O1880" s="9"/>
      <c r="V1880" s="9"/>
      <c r="W1880" s="9"/>
    </row>
    <row r="1881" spans="15:23" ht="31.4" customHeight="1" x14ac:dyDescent="0.35">
      <c r="O1881" s="9"/>
      <c r="V1881" s="9"/>
      <c r="W1881" s="9"/>
    </row>
    <row r="1882" spans="15:23" ht="31.4" customHeight="1" x14ac:dyDescent="0.35">
      <c r="O1882" s="9"/>
      <c r="V1882" s="9"/>
      <c r="W1882" s="9"/>
    </row>
    <row r="1883" spans="15:23" ht="31.4" customHeight="1" x14ac:dyDescent="0.35">
      <c r="O1883" s="9"/>
      <c r="V1883" s="9"/>
      <c r="W1883" s="9"/>
    </row>
    <row r="1884" spans="15:23" ht="31.4" customHeight="1" x14ac:dyDescent="0.35">
      <c r="O1884" s="9"/>
      <c r="V1884" s="9"/>
      <c r="W1884" s="9"/>
    </row>
    <row r="1885" spans="15:23" ht="31.4" customHeight="1" x14ac:dyDescent="0.35">
      <c r="O1885" s="9"/>
      <c r="V1885" s="9"/>
      <c r="W1885" s="9"/>
    </row>
    <row r="1886" spans="15:23" ht="31.4" customHeight="1" x14ac:dyDescent="0.35">
      <c r="O1886" s="9"/>
      <c r="V1886" s="9"/>
      <c r="W1886" s="9"/>
    </row>
    <row r="1887" spans="15:23" ht="31.4" customHeight="1" x14ac:dyDescent="0.35">
      <c r="O1887" s="9"/>
      <c r="V1887" s="9"/>
      <c r="W1887" s="9"/>
    </row>
    <row r="1888" spans="15:23" ht="31.4" customHeight="1" x14ac:dyDescent="0.35">
      <c r="O1888" s="9"/>
      <c r="V1888" s="9"/>
      <c r="W1888" s="9"/>
    </row>
    <row r="1889" spans="15:23" ht="31.4" customHeight="1" x14ac:dyDescent="0.35">
      <c r="O1889" s="9"/>
      <c r="V1889" s="9"/>
      <c r="W1889" s="9"/>
    </row>
    <row r="1890" spans="15:23" ht="31.4" customHeight="1" x14ac:dyDescent="0.35">
      <c r="O1890" s="9"/>
      <c r="V1890" s="9"/>
      <c r="W1890" s="9"/>
    </row>
    <row r="1891" spans="15:23" ht="31.4" customHeight="1" x14ac:dyDescent="0.35">
      <c r="O1891" s="9"/>
      <c r="V1891" s="9"/>
      <c r="W1891" s="9"/>
    </row>
    <row r="1892" spans="15:23" ht="31.4" customHeight="1" x14ac:dyDescent="0.35">
      <c r="O1892" s="9"/>
      <c r="V1892" s="9"/>
      <c r="W1892" s="9"/>
    </row>
    <row r="1893" spans="15:23" ht="31.4" customHeight="1" x14ac:dyDescent="0.35">
      <c r="O1893" s="9"/>
      <c r="V1893" s="9"/>
      <c r="W1893" s="9"/>
    </row>
    <row r="1894" spans="15:23" ht="31.4" customHeight="1" x14ac:dyDescent="0.35">
      <c r="O1894" s="9"/>
      <c r="V1894" s="9"/>
      <c r="W1894" s="9"/>
    </row>
    <row r="1895" spans="15:23" ht="31.4" customHeight="1" x14ac:dyDescent="0.35">
      <c r="O1895" s="9"/>
      <c r="V1895" s="9"/>
      <c r="W1895" s="9"/>
    </row>
    <row r="1896" spans="15:23" ht="31.4" customHeight="1" x14ac:dyDescent="0.35">
      <c r="O1896" s="9"/>
      <c r="V1896" s="9"/>
      <c r="W1896" s="9"/>
    </row>
    <row r="1897" spans="15:23" ht="31.4" customHeight="1" x14ac:dyDescent="0.35">
      <c r="O1897" s="9"/>
      <c r="V1897" s="9"/>
      <c r="W1897" s="9"/>
    </row>
    <row r="1898" spans="15:23" ht="31.4" customHeight="1" x14ac:dyDescent="0.35">
      <c r="O1898" s="9"/>
      <c r="V1898" s="9"/>
      <c r="W1898" s="9"/>
    </row>
    <row r="1899" spans="15:23" ht="31.4" customHeight="1" x14ac:dyDescent="0.35">
      <c r="O1899" s="9"/>
      <c r="V1899" s="9"/>
      <c r="W1899" s="9"/>
    </row>
    <row r="1900" spans="15:23" ht="31.4" customHeight="1" x14ac:dyDescent="0.35">
      <c r="O1900" s="9"/>
      <c r="V1900" s="9"/>
      <c r="W1900" s="9"/>
    </row>
    <row r="1901" spans="15:23" ht="31.4" customHeight="1" x14ac:dyDescent="0.35">
      <c r="O1901" s="9"/>
      <c r="V1901" s="9"/>
      <c r="W1901" s="9"/>
    </row>
    <row r="1902" spans="15:23" ht="31.4" customHeight="1" x14ac:dyDescent="0.35">
      <c r="O1902" s="9"/>
      <c r="V1902" s="9"/>
      <c r="W1902" s="9"/>
    </row>
    <row r="1903" spans="15:23" ht="31.4" customHeight="1" x14ac:dyDescent="0.35">
      <c r="O1903" s="9"/>
      <c r="V1903" s="9"/>
      <c r="W1903" s="9"/>
    </row>
    <row r="1904" spans="15:23" ht="31.4" customHeight="1" x14ac:dyDescent="0.35">
      <c r="O1904" s="9"/>
      <c r="V1904" s="9"/>
      <c r="W1904" s="9"/>
    </row>
    <row r="1905" spans="15:23" ht="31.4" customHeight="1" x14ac:dyDescent="0.35">
      <c r="O1905" s="9"/>
      <c r="V1905" s="9"/>
      <c r="W1905" s="9"/>
    </row>
    <row r="1906" spans="15:23" ht="31.4" customHeight="1" x14ac:dyDescent="0.35">
      <c r="O1906" s="9"/>
      <c r="V1906" s="9"/>
      <c r="W1906" s="9"/>
    </row>
    <row r="1907" spans="15:23" ht="31.4" customHeight="1" x14ac:dyDescent="0.35">
      <c r="O1907" s="9"/>
      <c r="V1907" s="9"/>
      <c r="W1907" s="9"/>
    </row>
    <row r="1908" spans="15:23" ht="31.4" customHeight="1" x14ac:dyDescent="0.35">
      <c r="O1908" s="9"/>
      <c r="V1908" s="9"/>
      <c r="W1908" s="9"/>
    </row>
    <row r="1909" spans="15:23" ht="31.4" customHeight="1" x14ac:dyDescent="0.35">
      <c r="O1909" s="9"/>
      <c r="V1909" s="9"/>
      <c r="W1909" s="9"/>
    </row>
    <row r="1910" spans="15:23" ht="31.4" customHeight="1" x14ac:dyDescent="0.35">
      <c r="O1910" s="9"/>
      <c r="V1910" s="9"/>
      <c r="W1910" s="9"/>
    </row>
    <row r="1911" spans="15:23" ht="31.4" customHeight="1" x14ac:dyDescent="0.35">
      <c r="O1911" s="9"/>
      <c r="V1911" s="9"/>
      <c r="W1911" s="9"/>
    </row>
    <row r="1912" spans="15:23" ht="31.4" customHeight="1" x14ac:dyDescent="0.35">
      <c r="O1912" s="9"/>
      <c r="V1912" s="9"/>
      <c r="W1912" s="9"/>
    </row>
    <row r="1913" spans="15:23" ht="31.4" customHeight="1" x14ac:dyDescent="0.35">
      <c r="O1913" s="9"/>
      <c r="V1913" s="9"/>
      <c r="W1913" s="9"/>
    </row>
    <row r="1914" spans="15:23" ht="31.4" customHeight="1" x14ac:dyDescent="0.35">
      <c r="O1914" s="9"/>
      <c r="V1914" s="9"/>
      <c r="W1914" s="9"/>
    </row>
    <row r="1915" spans="15:23" ht="31.4" customHeight="1" x14ac:dyDescent="0.35">
      <c r="O1915" s="9"/>
      <c r="V1915" s="9"/>
      <c r="W1915" s="9"/>
    </row>
    <row r="1916" spans="15:23" ht="31.4" customHeight="1" x14ac:dyDescent="0.35">
      <c r="O1916" s="9"/>
      <c r="V1916" s="9"/>
      <c r="W1916" s="9"/>
    </row>
    <row r="1917" spans="15:23" ht="31.4" customHeight="1" x14ac:dyDescent="0.35">
      <c r="O1917" s="9"/>
      <c r="V1917" s="9"/>
      <c r="W1917" s="9"/>
    </row>
    <row r="1918" spans="15:23" ht="31.4" customHeight="1" x14ac:dyDescent="0.35">
      <c r="O1918" s="9"/>
      <c r="V1918" s="9"/>
      <c r="W1918" s="9"/>
    </row>
    <row r="1919" spans="15:23" ht="31.4" customHeight="1" x14ac:dyDescent="0.35">
      <c r="O1919" s="9"/>
      <c r="V1919" s="9"/>
      <c r="W1919" s="9"/>
    </row>
    <row r="1920" spans="15:23" ht="31.4" customHeight="1" x14ac:dyDescent="0.35">
      <c r="O1920" s="9"/>
      <c r="V1920" s="9"/>
      <c r="W1920" s="9"/>
    </row>
    <row r="1921" spans="15:23" ht="31.4" customHeight="1" x14ac:dyDescent="0.35">
      <c r="O1921" s="9"/>
      <c r="V1921" s="9"/>
      <c r="W1921" s="9"/>
    </row>
    <row r="1922" spans="15:23" ht="31.4" customHeight="1" x14ac:dyDescent="0.35">
      <c r="O1922" s="9"/>
      <c r="V1922" s="9"/>
      <c r="W1922" s="9"/>
    </row>
    <row r="1923" spans="15:23" ht="31.4" customHeight="1" x14ac:dyDescent="0.35">
      <c r="O1923" s="9"/>
      <c r="V1923" s="9"/>
      <c r="W1923" s="9"/>
    </row>
    <row r="1924" spans="15:23" ht="31.4" customHeight="1" x14ac:dyDescent="0.35">
      <c r="O1924" s="9"/>
      <c r="V1924" s="9"/>
      <c r="W1924" s="9"/>
    </row>
    <row r="1925" spans="15:23" ht="31.4" customHeight="1" x14ac:dyDescent="0.35">
      <c r="O1925" s="9"/>
      <c r="V1925" s="9"/>
      <c r="W1925" s="9"/>
    </row>
    <row r="1926" spans="15:23" ht="31.4" customHeight="1" x14ac:dyDescent="0.35">
      <c r="O1926" s="9"/>
      <c r="V1926" s="9"/>
      <c r="W1926" s="9"/>
    </row>
    <row r="1927" spans="15:23" ht="31.4" customHeight="1" x14ac:dyDescent="0.35">
      <c r="O1927" s="9"/>
      <c r="V1927" s="9"/>
      <c r="W1927" s="9"/>
    </row>
    <row r="1928" spans="15:23" ht="31.4" customHeight="1" x14ac:dyDescent="0.35">
      <c r="O1928" s="9"/>
      <c r="V1928" s="9"/>
      <c r="W1928" s="9"/>
    </row>
    <row r="1929" spans="15:23" ht="31.4" customHeight="1" x14ac:dyDescent="0.35">
      <c r="O1929" s="9"/>
      <c r="V1929" s="9"/>
      <c r="W1929" s="9"/>
    </row>
    <row r="1930" spans="15:23" ht="31.4" customHeight="1" x14ac:dyDescent="0.35">
      <c r="O1930" s="9"/>
      <c r="V1930" s="9"/>
      <c r="W1930" s="9"/>
    </row>
    <row r="1931" spans="15:23" ht="31.4" customHeight="1" x14ac:dyDescent="0.35">
      <c r="O1931" s="9"/>
      <c r="V1931" s="9"/>
      <c r="W1931" s="9"/>
    </row>
    <row r="1932" spans="15:23" ht="31.4" customHeight="1" x14ac:dyDescent="0.35">
      <c r="O1932" s="9"/>
      <c r="V1932" s="9"/>
      <c r="W1932" s="9"/>
    </row>
    <row r="1933" spans="15:23" ht="31.4" customHeight="1" x14ac:dyDescent="0.35">
      <c r="O1933" s="9"/>
      <c r="V1933" s="9"/>
      <c r="W1933" s="9"/>
    </row>
    <row r="1934" spans="15:23" ht="31.4" customHeight="1" x14ac:dyDescent="0.35">
      <c r="O1934" s="9"/>
      <c r="V1934" s="9"/>
      <c r="W1934" s="9"/>
    </row>
    <row r="1935" spans="15:23" ht="31.4" customHeight="1" x14ac:dyDescent="0.35">
      <c r="O1935" s="9"/>
      <c r="V1935" s="9"/>
      <c r="W1935" s="9"/>
    </row>
    <row r="1936" spans="15:23" ht="31.4" customHeight="1" x14ac:dyDescent="0.35">
      <c r="O1936" s="9"/>
      <c r="V1936" s="9"/>
      <c r="W1936" s="9"/>
    </row>
    <row r="1937" spans="15:23" ht="31.4" customHeight="1" x14ac:dyDescent="0.35">
      <c r="O1937" s="9"/>
      <c r="V1937" s="9"/>
      <c r="W1937" s="9"/>
    </row>
    <row r="1938" spans="15:23" ht="31.4" customHeight="1" x14ac:dyDescent="0.35">
      <c r="O1938" s="9"/>
      <c r="V1938" s="9"/>
      <c r="W1938" s="9"/>
    </row>
    <row r="1939" spans="15:23" ht="31.4" customHeight="1" x14ac:dyDescent="0.35">
      <c r="O1939" s="9"/>
      <c r="V1939" s="9"/>
      <c r="W1939" s="9"/>
    </row>
    <row r="1940" spans="15:23" ht="31.4" customHeight="1" x14ac:dyDescent="0.35">
      <c r="O1940" s="9"/>
      <c r="V1940" s="9"/>
      <c r="W1940" s="9"/>
    </row>
    <row r="1941" spans="15:23" ht="31.4" customHeight="1" x14ac:dyDescent="0.35">
      <c r="O1941" s="9"/>
      <c r="V1941" s="9"/>
      <c r="W1941" s="9"/>
    </row>
    <row r="1942" spans="15:23" ht="31.4" customHeight="1" x14ac:dyDescent="0.35">
      <c r="O1942" s="9"/>
      <c r="V1942" s="9"/>
      <c r="W1942" s="9"/>
    </row>
    <row r="1943" spans="15:23" ht="31.4" customHeight="1" x14ac:dyDescent="0.35">
      <c r="O1943" s="9"/>
      <c r="V1943" s="9"/>
      <c r="W1943" s="9"/>
    </row>
    <row r="1944" spans="15:23" ht="31.4" customHeight="1" x14ac:dyDescent="0.35">
      <c r="O1944" s="9"/>
      <c r="V1944" s="9"/>
      <c r="W1944" s="9"/>
    </row>
    <row r="1945" spans="15:23" ht="31.4" customHeight="1" x14ac:dyDescent="0.35">
      <c r="O1945" s="9"/>
      <c r="V1945" s="9"/>
      <c r="W1945" s="9"/>
    </row>
    <row r="1946" spans="15:23" ht="31.4" customHeight="1" x14ac:dyDescent="0.35">
      <c r="O1946" s="9"/>
      <c r="V1946" s="9"/>
      <c r="W1946" s="9"/>
    </row>
    <row r="1947" spans="15:23" ht="31.4" customHeight="1" x14ac:dyDescent="0.35">
      <c r="O1947" s="9"/>
      <c r="V1947" s="9"/>
      <c r="W1947" s="9"/>
    </row>
    <row r="1948" spans="15:23" ht="31.4" customHeight="1" x14ac:dyDescent="0.35">
      <c r="O1948" s="9"/>
      <c r="V1948" s="9"/>
      <c r="W1948" s="9"/>
    </row>
    <row r="1949" spans="15:23" ht="31.4" customHeight="1" x14ac:dyDescent="0.35">
      <c r="O1949" s="9"/>
      <c r="V1949" s="9"/>
      <c r="W1949" s="9"/>
    </row>
    <row r="1950" spans="15:23" ht="31.4" customHeight="1" x14ac:dyDescent="0.35">
      <c r="O1950" s="9"/>
      <c r="V1950" s="9"/>
      <c r="W1950" s="9"/>
    </row>
    <row r="1951" spans="15:23" ht="31.4" customHeight="1" x14ac:dyDescent="0.35">
      <c r="O1951" s="9"/>
      <c r="V1951" s="9"/>
      <c r="W1951" s="9"/>
    </row>
    <row r="1952" spans="15:23" ht="31.4" customHeight="1" x14ac:dyDescent="0.35">
      <c r="O1952" s="9"/>
      <c r="V1952" s="9"/>
      <c r="W1952" s="9"/>
    </row>
    <row r="1953" spans="15:23" ht="31.4" customHeight="1" x14ac:dyDescent="0.35">
      <c r="O1953" s="9"/>
      <c r="V1953" s="9"/>
      <c r="W1953" s="9"/>
    </row>
    <row r="1954" spans="15:23" ht="31.4" customHeight="1" x14ac:dyDescent="0.35">
      <c r="O1954" s="9"/>
      <c r="V1954" s="9"/>
      <c r="W1954" s="9"/>
    </row>
    <row r="1955" spans="15:23" ht="31.4" customHeight="1" x14ac:dyDescent="0.35">
      <c r="O1955" s="9"/>
      <c r="V1955" s="9"/>
      <c r="W1955" s="9"/>
    </row>
    <row r="1956" spans="15:23" ht="31.4" customHeight="1" x14ac:dyDescent="0.35">
      <c r="O1956" s="9"/>
      <c r="V1956" s="9"/>
      <c r="W1956" s="9"/>
    </row>
    <row r="1957" spans="15:23" ht="31.4" customHeight="1" x14ac:dyDescent="0.35">
      <c r="O1957" s="9"/>
      <c r="V1957" s="9"/>
      <c r="W1957" s="9"/>
    </row>
    <row r="1958" spans="15:23" ht="31.4" customHeight="1" x14ac:dyDescent="0.35">
      <c r="O1958" s="9"/>
      <c r="V1958" s="9"/>
      <c r="W1958" s="9"/>
    </row>
    <row r="1959" spans="15:23" ht="31.4" customHeight="1" x14ac:dyDescent="0.35">
      <c r="O1959" s="9"/>
      <c r="V1959" s="9"/>
      <c r="W1959" s="9"/>
    </row>
    <row r="1960" spans="15:23" ht="31.4" customHeight="1" x14ac:dyDescent="0.35">
      <c r="O1960" s="9"/>
      <c r="V1960" s="9"/>
      <c r="W1960" s="9"/>
    </row>
    <row r="1961" spans="15:23" ht="31.4" customHeight="1" x14ac:dyDescent="0.35">
      <c r="O1961" s="9"/>
      <c r="V1961" s="9"/>
      <c r="W1961" s="9"/>
    </row>
    <row r="1962" spans="15:23" ht="31.4" customHeight="1" x14ac:dyDescent="0.35">
      <c r="O1962" s="9"/>
      <c r="V1962" s="9"/>
      <c r="W1962" s="9"/>
    </row>
    <row r="1963" spans="15:23" ht="31.4" customHeight="1" x14ac:dyDescent="0.35">
      <c r="O1963" s="9"/>
      <c r="V1963" s="9"/>
      <c r="W1963" s="9"/>
    </row>
    <row r="1964" spans="15:23" ht="31.4" customHeight="1" x14ac:dyDescent="0.35">
      <c r="O1964" s="9"/>
      <c r="V1964" s="9"/>
      <c r="W1964" s="9"/>
    </row>
    <row r="1965" spans="15:23" ht="31.4" customHeight="1" x14ac:dyDescent="0.35">
      <c r="O1965" s="9"/>
      <c r="V1965" s="9"/>
      <c r="W1965" s="9"/>
    </row>
    <row r="1966" spans="15:23" ht="31.4" customHeight="1" x14ac:dyDescent="0.35">
      <c r="O1966" s="9"/>
      <c r="V1966" s="9"/>
      <c r="W1966" s="9"/>
    </row>
    <row r="1967" spans="15:23" ht="31.4" customHeight="1" x14ac:dyDescent="0.35">
      <c r="O1967" s="9"/>
      <c r="V1967" s="9"/>
      <c r="W1967" s="9"/>
    </row>
    <row r="1968" spans="15:23" ht="31.4" customHeight="1" x14ac:dyDescent="0.35">
      <c r="O1968" s="9"/>
      <c r="V1968" s="9"/>
      <c r="W1968" s="9"/>
    </row>
    <row r="1969" spans="15:23" ht="31.4" customHeight="1" x14ac:dyDescent="0.35">
      <c r="O1969" s="9"/>
      <c r="V1969" s="9"/>
      <c r="W1969" s="9"/>
    </row>
    <row r="1970" spans="15:23" ht="31.4" customHeight="1" x14ac:dyDescent="0.35">
      <c r="O1970" s="9"/>
      <c r="V1970" s="9"/>
      <c r="W1970" s="9"/>
    </row>
    <row r="1971" spans="15:23" ht="31.4" customHeight="1" x14ac:dyDescent="0.35">
      <c r="O1971" s="9"/>
      <c r="V1971" s="9"/>
      <c r="W1971" s="9"/>
    </row>
    <row r="1972" spans="15:23" ht="31.4" customHeight="1" x14ac:dyDescent="0.35">
      <c r="O1972" s="9"/>
      <c r="V1972" s="9"/>
      <c r="W1972" s="9"/>
    </row>
    <row r="1973" spans="15:23" ht="31.4" customHeight="1" x14ac:dyDescent="0.35">
      <c r="O1973" s="9"/>
      <c r="V1973" s="9"/>
      <c r="W1973" s="9"/>
    </row>
    <row r="1974" spans="15:23" ht="31.4" customHeight="1" x14ac:dyDescent="0.35">
      <c r="O1974" s="9"/>
      <c r="V1974" s="9"/>
      <c r="W1974" s="9"/>
    </row>
    <row r="1975" spans="15:23" ht="31.4" customHeight="1" x14ac:dyDescent="0.35">
      <c r="O1975" s="9"/>
      <c r="V1975" s="9"/>
      <c r="W1975" s="9"/>
    </row>
    <row r="1976" spans="15:23" ht="31.4" customHeight="1" x14ac:dyDescent="0.35">
      <c r="O1976" s="9"/>
      <c r="V1976" s="9"/>
      <c r="W1976" s="9"/>
    </row>
    <row r="1977" spans="15:23" ht="31.4" customHeight="1" x14ac:dyDescent="0.35">
      <c r="O1977" s="9"/>
      <c r="V1977" s="9"/>
      <c r="W1977" s="9"/>
    </row>
    <row r="1978" spans="15:23" ht="31.4" customHeight="1" x14ac:dyDescent="0.35">
      <c r="O1978" s="9"/>
      <c r="V1978" s="9"/>
      <c r="W1978" s="9"/>
    </row>
    <row r="1979" spans="15:23" ht="31.4" customHeight="1" x14ac:dyDescent="0.35">
      <c r="O1979" s="9"/>
      <c r="V1979" s="9"/>
      <c r="W1979" s="9"/>
    </row>
    <row r="1980" spans="15:23" ht="31.4" customHeight="1" x14ac:dyDescent="0.35">
      <c r="O1980" s="9"/>
      <c r="V1980" s="9"/>
      <c r="W1980" s="9"/>
    </row>
    <row r="1981" spans="15:23" ht="31.4" customHeight="1" x14ac:dyDescent="0.35">
      <c r="O1981" s="9"/>
      <c r="V1981" s="9"/>
      <c r="W1981" s="9"/>
    </row>
    <row r="1982" spans="15:23" ht="31.4" customHeight="1" x14ac:dyDescent="0.35">
      <c r="O1982" s="9"/>
      <c r="V1982" s="9"/>
      <c r="W1982" s="9"/>
    </row>
    <row r="1983" spans="15:23" ht="31.4" customHeight="1" x14ac:dyDescent="0.35">
      <c r="O1983" s="9"/>
      <c r="V1983" s="9"/>
      <c r="W1983" s="9"/>
    </row>
    <row r="1984" spans="15:23" ht="31.4" customHeight="1" x14ac:dyDescent="0.35">
      <c r="O1984" s="9"/>
      <c r="V1984" s="9"/>
      <c r="W1984" s="9"/>
    </row>
    <row r="1985" spans="15:23" ht="31.4" customHeight="1" x14ac:dyDescent="0.35">
      <c r="O1985" s="9"/>
      <c r="V1985" s="9"/>
      <c r="W1985" s="9"/>
    </row>
    <row r="1986" spans="15:23" ht="31.4" customHeight="1" x14ac:dyDescent="0.35">
      <c r="O1986" s="9"/>
      <c r="V1986" s="9"/>
      <c r="W1986" s="9"/>
    </row>
    <row r="1987" spans="15:23" ht="31.4" customHeight="1" x14ac:dyDescent="0.35">
      <c r="O1987" s="9"/>
      <c r="V1987" s="9"/>
      <c r="W1987" s="9"/>
    </row>
    <row r="1988" spans="15:23" ht="31.4" customHeight="1" x14ac:dyDescent="0.35">
      <c r="O1988" s="9"/>
      <c r="V1988" s="9"/>
      <c r="W1988" s="9"/>
    </row>
    <row r="1989" spans="15:23" ht="31.4" customHeight="1" x14ac:dyDescent="0.35">
      <c r="O1989" s="9"/>
      <c r="V1989" s="9"/>
      <c r="W1989" s="9"/>
    </row>
    <row r="1990" spans="15:23" ht="31.4" customHeight="1" x14ac:dyDescent="0.35">
      <c r="O1990" s="9"/>
      <c r="V1990" s="9"/>
      <c r="W1990" s="9"/>
    </row>
    <row r="1991" spans="15:23" ht="31.4" customHeight="1" x14ac:dyDescent="0.35">
      <c r="O1991" s="9"/>
      <c r="V1991" s="9"/>
      <c r="W1991" s="9"/>
    </row>
    <row r="1992" spans="15:23" ht="31.4" customHeight="1" x14ac:dyDescent="0.35">
      <c r="O1992" s="9"/>
      <c r="V1992" s="9"/>
      <c r="W1992" s="9"/>
    </row>
    <row r="1993" spans="15:23" ht="31.4" customHeight="1" x14ac:dyDescent="0.35">
      <c r="O1993" s="9"/>
      <c r="V1993" s="9"/>
      <c r="W1993" s="9"/>
    </row>
    <row r="1994" spans="15:23" ht="31.4" customHeight="1" x14ac:dyDescent="0.35">
      <c r="O1994" s="9"/>
      <c r="V1994" s="9"/>
      <c r="W1994" s="9"/>
    </row>
    <row r="1995" spans="15:23" ht="31.4" customHeight="1" x14ac:dyDescent="0.35">
      <c r="O1995" s="9"/>
      <c r="V1995" s="9"/>
      <c r="W1995" s="9"/>
    </row>
    <row r="1996" spans="15:23" ht="31.4" customHeight="1" x14ac:dyDescent="0.35">
      <c r="O1996" s="9"/>
      <c r="V1996" s="9"/>
      <c r="W1996" s="9"/>
    </row>
    <row r="1997" spans="15:23" ht="31.4" customHeight="1" x14ac:dyDescent="0.35">
      <c r="O1997" s="9"/>
      <c r="V1997" s="9"/>
      <c r="W1997" s="9"/>
    </row>
    <row r="1998" spans="15:23" ht="31.4" customHeight="1" x14ac:dyDescent="0.35">
      <c r="O1998" s="9"/>
      <c r="V1998" s="9"/>
      <c r="W1998" s="9"/>
    </row>
    <row r="1999" spans="15:23" ht="31.4" customHeight="1" x14ac:dyDescent="0.35">
      <c r="O1999" s="9"/>
      <c r="V1999" s="9"/>
      <c r="W1999" s="9"/>
    </row>
    <row r="2000" spans="15:23" ht="31.4" customHeight="1" x14ac:dyDescent="0.35">
      <c r="O2000" s="9"/>
      <c r="V2000" s="9"/>
      <c r="W2000" s="9"/>
    </row>
    <row r="2001" spans="15:23" ht="31.4" customHeight="1" x14ac:dyDescent="0.35">
      <c r="O2001" s="9"/>
      <c r="V2001" s="9"/>
      <c r="W2001" s="9"/>
    </row>
    <row r="2002" spans="15:23" ht="31.4" customHeight="1" x14ac:dyDescent="0.35">
      <c r="O2002" s="9"/>
      <c r="V2002" s="9"/>
      <c r="W2002" s="9"/>
    </row>
    <row r="2003" spans="15:23" ht="31.4" customHeight="1" x14ac:dyDescent="0.35">
      <c r="O2003" s="9"/>
      <c r="V2003" s="9"/>
      <c r="W2003" s="9"/>
    </row>
    <row r="2004" spans="15:23" ht="31.4" customHeight="1" x14ac:dyDescent="0.35">
      <c r="O2004" s="9"/>
      <c r="V2004" s="9"/>
      <c r="W2004" s="9"/>
    </row>
    <row r="2005" spans="15:23" ht="31.4" customHeight="1" x14ac:dyDescent="0.35">
      <c r="O2005" s="9"/>
      <c r="V2005" s="9"/>
      <c r="W2005" s="9"/>
    </row>
    <row r="2006" spans="15:23" ht="31.4" customHeight="1" x14ac:dyDescent="0.35">
      <c r="O2006" s="9"/>
      <c r="V2006" s="9"/>
      <c r="W2006" s="9"/>
    </row>
    <row r="2007" spans="15:23" ht="31.4" customHeight="1" x14ac:dyDescent="0.35">
      <c r="O2007" s="9"/>
      <c r="V2007" s="9"/>
      <c r="W2007" s="9"/>
    </row>
    <row r="2008" spans="15:23" ht="31.4" customHeight="1" x14ac:dyDescent="0.35">
      <c r="O2008" s="9"/>
      <c r="V2008" s="9"/>
      <c r="W2008" s="9"/>
    </row>
    <row r="2009" spans="15:23" ht="31.4" customHeight="1" x14ac:dyDescent="0.35">
      <c r="O2009" s="9"/>
      <c r="V2009" s="9"/>
      <c r="W2009" s="9"/>
    </row>
    <row r="2010" spans="15:23" ht="31.4" customHeight="1" x14ac:dyDescent="0.35">
      <c r="O2010" s="9"/>
      <c r="V2010" s="9"/>
      <c r="W2010" s="9"/>
    </row>
    <row r="2011" spans="15:23" ht="31.4" customHeight="1" x14ac:dyDescent="0.35">
      <c r="O2011" s="9"/>
      <c r="V2011" s="9"/>
      <c r="W2011" s="9"/>
    </row>
    <row r="2012" spans="15:23" ht="31.4" customHeight="1" x14ac:dyDescent="0.35">
      <c r="O2012" s="9"/>
      <c r="V2012" s="9"/>
      <c r="W2012" s="9"/>
    </row>
    <row r="2013" spans="15:23" ht="31.4" customHeight="1" x14ac:dyDescent="0.35">
      <c r="O2013" s="9"/>
      <c r="V2013" s="9"/>
      <c r="W2013" s="9"/>
    </row>
    <row r="2014" spans="15:23" ht="31.4" customHeight="1" x14ac:dyDescent="0.35">
      <c r="O2014" s="9"/>
      <c r="V2014" s="9"/>
      <c r="W2014" s="9"/>
    </row>
    <row r="2015" spans="15:23" ht="31.4" customHeight="1" x14ac:dyDescent="0.35">
      <c r="O2015" s="9"/>
      <c r="V2015" s="9"/>
      <c r="W2015" s="9"/>
    </row>
    <row r="2016" spans="15:23" ht="31.4" customHeight="1" x14ac:dyDescent="0.35">
      <c r="O2016" s="9"/>
      <c r="V2016" s="9"/>
      <c r="W2016" s="9"/>
    </row>
    <row r="2017" spans="15:23" ht="31.4" customHeight="1" x14ac:dyDescent="0.35">
      <c r="O2017" s="9"/>
      <c r="V2017" s="9"/>
      <c r="W2017" s="9"/>
    </row>
    <row r="2018" spans="15:23" ht="31.4" customHeight="1" x14ac:dyDescent="0.35">
      <c r="O2018" s="9"/>
      <c r="V2018" s="9"/>
      <c r="W2018" s="9"/>
    </row>
    <row r="2019" spans="15:23" ht="31.4" customHeight="1" x14ac:dyDescent="0.35">
      <c r="O2019" s="9"/>
      <c r="V2019" s="9"/>
      <c r="W2019" s="9"/>
    </row>
    <row r="2020" spans="15:23" ht="31.4" customHeight="1" x14ac:dyDescent="0.35">
      <c r="O2020" s="9"/>
      <c r="V2020" s="9"/>
      <c r="W2020" s="9"/>
    </row>
    <row r="2021" spans="15:23" ht="31.4" customHeight="1" x14ac:dyDescent="0.35">
      <c r="O2021" s="9"/>
      <c r="V2021" s="9"/>
      <c r="W2021" s="9"/>
    </row>
    <row r="2022" spans="15:23" ht="31.4" customHeight="1" x14ac:dyDescent="0.35">
      <c r="O2022" s="9"/>
      <c r="V2022" s="9"/>
      <c r="W2022" s="9"/>
    </row>
    <row r="2023" spans="15:23" ht="31.4" customHeight="1" x14ac:dyDescent="0.35">
      <c r="O2023" s="9"/>
      <c r="V2023" s="9"/>
      <c r="W2023" s="9"/>
    </row>
    <row r="2024" spans="15:23" ht="31.4" customHeight="1" x14ac:dyDescent="0.35">
      <c r="O2024" s="9"/>
      <c r="V2024" s="9"/>
      <c r="W2024" s="9"/>
    </row>
    <row r="2025" spans="15:23" ht="31.4" customHeight="1" x14ac:dyDescent="0.35">
      <c r="O2025" s="9"/>
      <c r="V2025" s="9"/>
      <c r="W2025" s="9"/>
    </row>
    <row r="2026" spans="15:23" ht="31.4" customHeight="1" x14ac:dyDescent="0.35">
      <c r="O2026" s="9"/>
      <c r="V2026" s="9"/>
      <c r="W2026" s="9"/>
    </row>
    <row r="2027" spans="15:23" ht="31.4" customHeight="1" x14ac:dyDescent="0.35">
      <c r="O2027" s="9"/>
      <c r="V2027" s="9"/>
      <c r="W2027" s="9"/>
    </row>
    <row r="2028" spans="15:23" ht="31.4" customHeight="1" x14ac:dyDescent="0.35">
      <c r="O2028" s="9"/>
      <c r="V2028" s="9"/>
      <c r="W2028" s="9"/>
    </row>
    <row r="2029" spans="15:23" ht="31.4" customHeight="1" x14ac:dyDescent="0.35">
      <c r="O2029" s="9"/>
      <c r="V2029" s="9"/>
      <c r="W2029" s="9"/>
    </row>
    <row r="2030" spans="15:23" ht="31.4" customHeight="1" x14ac:dyDescent="0.35">
      <c r="O2030" s="9"/>
      <c r="V2030" s="9"/>
      <c r="W2030" s="9"/>
    </row>
    <row r="2031" spans="15:23" ht="31.4" customHeight="1" x14ac:dyDescent="0.35">
      <c r="O2031" s="9"/>
      <c r="V2031" s="9"/>
      <c r="W2031" s="9"/>
    </row>
    <row r="2032" spans="15:23" ht="31.4" customHeight="1" x14ac:dyDescent="0.35">
      <c r="O2032" s="9"/>
      <c r="V2032" s="9"/>
      <c r="W2032" s="9"/>
    </row>
    <row r="2033" spans="15:23" ht="31.4" customHeight="1" x14ac:dyDescent="0.35">
      <c r="O2033" s="9"/>
      <c r="V2033" s="9"/>
      <c r="W2033" s="9"/>
    </row>
    <row r="2034" spans="15:23" ht="31.4" customHeight="1" x14ac:dyDescent="0.35">
      <c r="O2034" s="9"/>
      <c r="V2034" s="9"/>
      <c r="W2034" s="9"/>
    </row>
    <row r="2035" spans="15:23" ht="31.4" customHeight="1" x14ac:dyDescent="0.35">
      <c r="O2035" s="9"/>
      <c r="V2035" s="9"/>
      <c r="W2035" s="9"/>
    </row>
    <row r="2036" spans="15:23" ht="31.4" customHeight="1" x14ac:dyDescent="0.35">
      <c r="O2036" s="9"/>
      <c r="V2036" s="9"/>
      <c r="W2036" s="9"/>
    </row>
    <row r="2037" spans="15:23" ht="31.4" customHeight="1" x14ac:dyDescent="0.35">
      <c r="O2037" s="9"/>
      <c r="V2037" s="9"/>
      <c r="W2037" s="9"/>
    </row>
    <row r="2038" spans="15:23" ht="31.4" customHeight="1" x14ac:dyDescent="0.35">
      <c r="O2038" s="9"/>
      <c r="V2038" s="9"/>
      <c r="W2038" s="9"/>
    </row>
    <row r="2039" spans="15:23" ht="31.4" customHeight="1" x14ac:dyDescent="0.35">
      <c r="O2039" s="9"/>
      <c r="V2039" s="9"/>
      <c r="W2039" s="9"/>
    </row>
    <row r="2040" spans="15:23" ht="31.4" customHeight="1" x14ac:dyDescent="0.35">
      <c r="O2040" s="9"/>
      <c r="V2040" s="9"/>
      <c r="W2040" s="9"/>
    </row>
    <row r="2041" spans="15:23" ht="31.4" customHeight="1" x14ac:dyDescent="0.35">
      <c r="O2041" s="9"/>
      <c r="V2041" s="9"/>
      <c r="W2041" s="9"/>
    </row>
    <row r="2042" spans="15:23" ht="31.4" customHeight="1" x14ac:dyDescent="0.35">
      <c r="O2042" s="9"/>
      <c r="V2042" s="9"/>
      <c r="W2042" s="9"/>
    </row>
    <row r="2043" spans="15:23" ht="31.4" customHeight="1" x14ac:dyDescent="0.35">
      <c r="O2043" s="9"/>
      <c r="V2043" s="9"/>
      <c r="W2043" s="9"/>
    </row>
    <row r="2044" spans="15:23" ht="31.4" customHeight="1" x14ac:dyDescent="0.35">
      <c r="O2044" s="9"/>
      <c r="V2044" s="9"/>
      <c r="W2044" s="9"/>
    </row>
    <row r="2045" spans="15:23" ht="31.4" customHeight="1" x14ac:dyDescent="0.35">
      <c r="O2045" s="9"/>
      <c r="V2045" s="9"/>
      <c r="W2045" s="9"/>
    </row>
    <row r="2046" spans="15:23" ht="31.4" customHeight="1" x14ac:dyDescent="0.35">
      <c r="O2046" s="9"/>
      <c r="V2046" s="9"/>
      <c r="W2046" s="9"/>
    </row>
    <row r="2047" spans="15:23" ht="31.4" customHeight="1" x14ac:dyDescent="0.35">
      <c r="O2047" s="9"/>
      <c r="V2047" s="9"/>
      <c r="W2047" s="9"/>
    </row>
    <row r="2048" spans="15:23" ht="31.4" customHeight="1" x14ac:dyDescent="0.35">
      <c r="O2048" s="9"/>
      <c r="V2048" s="9"/>
      <c r="W2048" s="9"/>
    </row>
    <row r="2049" spans="15:23" ht="31.4" customHeight="1" x14ac:dyDescent="0.35">
      <c r="O2049" s="9"/>
      <c r="V2049" s="9"/>
      <c r="W2049" s="9"/>
    </row>
    <row r="2050" spans="15:23" ht="31.4" customHeight="1" x14ac:dyDescent="0.35">
      <c r="O2050" s="9"/>
      <c r="V2050" s="9"/>
      <c r="W2050" s="9"/>
    </row>
    <row r="2051" spans="15:23" ht="31.4" customHeight="1" x14ac:dyDescent="0.35">
      <c r="O2051" s="9"/>
      <c r="V2051" s="9"/>
      <c r="W2051" s="9"/>
    </row>
    <row r="2052" spans="15:23" ht="31.4" customHeight="1" x14ac:dyDescent="0.35">
      <c r="O2052" s="9"/>
      <c r="V2052" s="9"/>
      <c r="W2052" s="9"/>
    </row>
    <row r="2053" spans="15:23" ht="31.4" customHeight="1" x14ac:dyDescent="0.35">
      <c r="O2053" s="9"/>
      <c r="V2053" s="9"/>
      <c r="W2053" s="9"/>
    </row>
    <row r="2054" spans="15:23" ht="31.4" customHeight="1" x14ac:dyDescent="0.35">
      <c r="O2054" s="9"/>
      <c r="V2054" s="9"/>
      <c r="W2054" s="9"/>
    </row>
    <row r="2055" spans="15:23" ht="31.4" customHeight="1" x14ac:dyDescent="0.35">
      <c r="O2055" s="9"/>
      <c r="V2055" s="9"/>
      <c r="W2055" s="9"/>
    </row>
    <row r="2056" spans="15:23" ht="31.4" customHeight="1" x14ac:dyDescent="0.35">
      <c r="O2056" s="9"/>
      <c r="V2056" s="9"/>
      <c r="W2056" s="9"/>
    </row>
    <row r="2057" spans="15:23" ht="31.4" customHeight="1" x14ac:dyDescent="0.35">
      <c r="O2057" s="9"/>
      <c r="V2057" s="9"/>
      <c r="W2057" s="9"/>
    </row>
    <row r="2058" spans="15:23" ht="31.4" customHeight="1" x14ac:dyDescent="0.35">
      <c r="O2058" s="9"/>
      <c r="V2058" s="9"/>
      <c r="W2058" s="9"/>
    </row>
    <row r="2059" spans="15:23" ht="31.4" customHeight="1" x14ac:dyDescent="0.35">
      <c r="O2059" s="9"/>
      <c r="V2059" s="9"/>
      <c r="W2059" s="9"/>
    </row>
    <row r="2060" spans="15:23" ht="31.4" customHeight="1" x14ac:dyDescent="0.35">
      <c r="O2060" s="9"/>
      <c r="V2060" s="9"/>
      <c r="W2060" s="9"/>
    </row>
    <row r="2061" spans="15:23" ht="31.4" customHeight="1" x14ac:dyDescent="0.35">
      <c r="O2061" s="9"/>
      <c r="V2061" s="9"/>
      <c r="W2061" s="9"/>
    </row>
    <row r="2062" spans="15:23" ht="31.4" customHeight="1" x14ac:dyDescent="0.35">
      <c r="O2062" s="9"/>
      <c r="V2062" s="9"/>
      <c r="W2062" s="9"/>
    </row>
    <row r="2063" spans="15:23" ht="31.4" customHeight="1" x14ac:dyDescent="0.35">
      <c r="O2063" s="9"/>
      <c r="V2063" s="9"/>
      <c r="W2063" s="9"/>
    </row>
    <row r="2064" spans="15:23" ht="31.4" customHeight="1" x14ac:dyDescent="0.35">
      <c r="O2064" s="9"/>
      <c r="V2064" s="9"/>
      <c r="W2064" s="9"/>
    </row>
    <row r="2065" spans="15:23" ht="31.4" customHeight="1" x14ac:dyDescent="0.35">
      <c r="O2065" s="9"/>
      <c r="V2065" s="9"/>
      <c r="W2065" s="9"/>
    </row>
    <row r="2066" spans="15:23" ht="31.4" customHeight="1" x14ac:dyDescent="0.35">
      <c r="O2066" s="9"/>
      <c r="V2066" s="9"/>
      <c r="W2066" s="9"/>
    </row>
    <row r="2067" spans="15:23" ht="31.4" customHeight="1" x14ac:dyDescent="0.35">
      <c r="O2067" s="9"/>
      <c r="V2067" s="9"/>
      <c r="W2067" s="9"/>
    </row>
    <row r="2068" spans="15:23" ht="31.4" customHeight="1" x14ac:dyDescent="0.35">
      <c r="O2068" s="9"/>
      <c r="V2068" s="9"/>
      <c r="W2068" s="9"/>
    </row>
    <row r="2069" spans="15:23" ht="31.4" customHeight="1" x14ac:dyDescent="0.35">
      <c r="O2069" s="9"/>
      <c r="V2069" s="9"/>
      <c r="W2069" s="9"/>
    </row>
    <row r="2070" spans="15:23" ht="31.4" customHeight="1" x14ac:dyDescent="0.35">
      <c r="O2070" s="9"/>
      <c r="V2070" s="9"/>
      <c r="W2070" s="9"/>
    </row>
    <row r="2071" spans="15:23" ht="31.4" customHeight="1" x14ac:dyDescent="0.35">
      <c r="O2071" s="9"/>
      <c r="V2071" s="9"/>
      <c r="W2071" s="9"/>
    </row>
    <row r="2072" spans="15:23" ht="31.4" customHeight="1" x14ac:dyDescent="0.35">
      <c r="O2072" s="9"/>
      <c r="V2072" s="9"/>
      <c r="W2072" s="9"/>
    </row>
    <row r="2073" spans="15:23" ht="31.4" customHeight="1" x14ac:dyDescent="0.35">
      <c r="O2073" s="9"/>
      <c r="V2073" s="9"/>
      <c r="W2073" s="9"/>
    </row>
    <row r="2074" spans="15:23" ht="31.4" customHeight="1" x14ac:dyDescent="0.35">
      <c r="O2074" s="9"/>
      <c r="V2074" s="9"/>
      <c r="W2074" s="9"/>
    </row>
    <row r="2075" spans="15:23" ht="31.4" customHeight="1" x14ac:dyDescent="0.35">
      <c r="O2075" s="9"/>
      <c r="V2075" s="9"/>
      <c r="W2075" s="9"/>
    </row>
    <row r="2076" spans="15:23" ht="31.4" customHeight="1" x14ac:dyDescent="0.35">
      <c r="O2076" s="9"/>
      <c r="V2076" s="9"/>
      <c r="W2076" s="9"/>
    </row>
    <row r="2077" spans="15:23" ht="31.4" customHeight="1" x14ac:dyDescent="0.35">
      <c r="O2077" s="9"/>
      <c r="V2077" s="9"/>
      <c r="W2077" s="9"/>
    </row>
    <row r="2078" spans="15:23" ht="31.4" customHeight="1" x14ac:dyDescent="0.35">
      <c r="O2078" s="9"/>
      <c r="V2078" s="9"/>
      <c r="W2078" s="9"/>
    </row>
    <row r="2079" spans="15:23" ht="31.4" customHeight="1" x14ac:dyDescent="0.35">
      <c r="O2079" s="9"/>
      <c r="V2079" s="9"/>
      <c r="W2079" s="9"/>
    </row>
    <row r="2080" spans="15:23" ht="31.4" customHeight="1" x14ac:dyDescent="0.35">
      <c r="O2080" s="9"/>
      <c r="V2080" s="9"/>
      <c r="W2080" s="9"/>
    </row>
    <row r="2081" spans="15:23" ht="31.4" customHeight="1" x14ac:dyDescent="0.35">
      <c r="O2081" s="9"/>
      <c r="V2081" s="9"/>
      <c r="W2081" s="9"/>
    </row>
    <row r="2082" spans="15:23" ht="31.4" customHeight="1" x14ac:dyDescent="0.35">
      <c r="O2082" s="9"/>
      <c r="V2082" s="9"/>
      <c r="W2082" s="9"/>
    </row>
    <row r="2083" spans="15:23" ht="31.4" customHeight="1" x14ac:dyDescent="0.35">
      <c r="O2083" s="9"/>
      <c r="V2083" s="9"/>
      <c r="W2083" s="9"/>
    </row>
    <row r="2084" spans="15:23" ht="31.4" customHeight="1" x14ac:dyDescent="0.35">
      <c r="O2084" s="9"/>
      <c r="V2084" s="9"/>
      <c r="W2084" s="9"/>
    </row>
    <row r="2085" spans="15:23" ht="31.4" customHeight="1" x14ac:dyDescent="0.35">
      <c r="O2085" s="9"/>
      <c r="V2085" s="9"/>
      <c r="W2085" s="9"/>
    </row>
    <row r="2086" spans="15:23" ht="31.4" customHeight="1" x14ac:dyDescent="0.35">
      <c r="O2086" s="9"/>
      <c r="V2086" s="9"/>
      <c r="W2086" s="9"/>
    </row>
    <row r="2087" spans="15:23" ht="31.4" customHeight="1" x14ac:dyDescent="0.35">
      <c r="O2087" s="9"/>
      <c r="V2087" s="9"/>
      <c r="W2087" s="9"/>
    </row>
    <row r="2088" spans="15:23" ht="31.4" customHeight="1" x14ac:dyDescent="0.35">
      <c r="O2088" s="9"/>
      <c r="V2088" s="9"/>
      <c r="W2088" s="9"/>
    </row>
    <row r="2089" spans="15:23" ht="31.4" customHeight="1" x14ac:dyDescent="0.35">
      <c r="O2089" s="9"/>
      <c r="V2089" s="9"/>
      <c r="W2089" s="9"/>
    </row>
    <row r="2090" spans="15:23" ht="31.4" customHeight="1" x14ac:dyDescent="0.35">
      <c r="O2090" s="9"/>
      <c r="V2090" s="9"/>
      <c r="W2090" s="9"/>
    </row>
    <row r="2091" spans="15:23" ht="31.4" customHeight="1" x14ac:dyDescent="0.35">
      <c r="O2091" s="9"/>
      <c r="V2091" s="9"/>
      <c r="W2091" s="9"/>
    </row>
    <row r="2092" spans="15:23" ht="31.4" customHeight="1" x14ac:dyDescent="0.35">
      <c r="O2092" s="9"/>
      <c r="V2092" s="9"/>
      <c r="W2092" s="9"/>
    </row>
    <row r="2093" spans="15:23" ht="31.4" customHeight="1" x14ac:dyDescent="0.35">
      <c r="O2093" s="9"/>
      <c r="V2093" s="9"/>
      <c r="W2093" s="9"/>
    </row>
    <row r="2094" spans="15:23" ht="31.4" customHeight="1" x14ac:dyDescent="0.35">
      <c r="O2094" s="9"/>
      <c r="V2094" s="9"/>
      <c r="W2094" s="9"/>
    </row>
    <row r="2095" spans="15:23" ht="31.4" customHeight="1" x14ac:dyDescent="0.35">
      <c r="O2095" s="9"/>
      <c r="V2095" s="9"/>
      <c r="W2095" s="9"/>
    </row>
    <row r="2096" spans="15:23" ht="31.4" customHeight="1" x14ac:dyDescent="0.35">
      <c r="O2096" s="9"/>
      <c r="V2096" s="9"/>
      <c r="W2096" s="9"/>
    </row>
    <row r="2097" spans="15:23" ht="31.4" customHeight="1" x14ac:dyDescent="0.35">
      <c r="O2097" s="9"/>
      <c r="V2097" s="9"/>
      <c r="W2097" s="9"/>
    </row>
    <row r="2098" spans="15:23" ht="31.4" customHeight="1" x14ac:dyDescent="0.35">
      <c r="O2098" s="9"/>
      <c r="V2098" s="9"/>
      <c r="W2098" s="9"/>
    </row>
    <row r="2099" spans="15:23" ht="31.4" customHeight="1" x14ac:dyDescent="0.35">
      <c r="O2099" s="9"/>
      <c r="V2099" s="9"/>
      <c r="W2099" s="9"/>
    </row>
    <row r="2100" spans="15:23" ht="31.4" customHeight="1" x14ac:dyDescent="0.35">
      <c r="O2100" s="9"/>
      <c r="V2100" s="9"/>
      <c r="W2100" s="9"/>
    </row>
    <row r="2101" spans="15:23" ht="31.4" customHeight="1" x14ac:dyDescent="0.35">
      <c r="O2101" s="9"/>
      <c r="V2101" s="9"/>
      <c r="W2101" s="9"/>
    </row>
    <row r="2102" spans="15:23" ht="31.4" customHeight="1" x14ac:dyDescent="0.35">
      <c r="O2102" s="9"/>
      <c r="V2102" s="9"/>
      <c r="W2102" s="9"/>
    </row>
    <row r="2103" spans="15:23" ht="31.4" customHeight="1" x14ac:dyDescent="0.35">
      <c r="O2103" s="9"/>
      <c r="V2103" s="9"/>
      <c r="W2103" s="9"/>
    </row>
    <row r="2104" spans="15:23" ht="31.4" customHeight="1" x14ac:dyDescent="0.35">
      <c r="O2104" s="9"/>
      <c r="V2104" s="9"/>
      <c r="W2104" s="9"/>
    </row>
    <row r="2105" spans="15:23" ht="31.4" customHeight="1" x14ac:dyDescent="0.35">
      <c r="O2105" s="9"/>
      <c r="V2105" s="9"/>
      <c r="W2105" s="9"/>
    </row>
    <row r="2106" spans="15:23" ht="31.4" customHeight="1" x14ac:dyDescent="0.35">
      <c r="O2106" s="9"/>
      <c r="V2106" s="9"/>
      <c r="W2106" s="9"/>
    </row>
    <row r="2107" spans="15:23" ht="31.4" customHeight="1" x14ac:dyDescent="0.35">
      <c r="O2107" s="9"/>
      <c r="V2107" s="9"/>
      <c r="W2107" s="9"/>
    </row>
    <row r="2108" spans="15:23" ht="31.4" customHeight="1" x14ac:dyDescent="0.35">
      <c r="O2108" s="9"/>
      <c r="V2108" s="9"/>
      <c r="W2108" s="9"/>
    </row>
    <row r="2109" spans="15:23" ht="31.4" customHeight="1" x14ac:dyDescent="0.35">
      <c r="O2109" s="9"/>
      <c r="V2109" s="9"/>
      <c r="W2109" s="9"/>
    </row>
    <row r="2110" spans="15:23" ht="31.4" customHeight="1" x14ac:dyDescent="0.35">
      <c r="O2110" s="9"/>
      <c r="V2110" s="9"/>
      <c r="W2110" s="9"/>
    </row>
    <row r="2111" spans="15:23" ht="31.4" customHeight="1" x14ac:dyDescent="0.35">
      <c r="O2111" s="9"/>
      <c r="V2111" s="9"/>
      <c r="W2111" s="9"/>
    </row>
    <row r="2112" spans="15:23" ht="31.4" customHeight="1" x14ac:dyDescent="0.35">
      <c r="O2112" s="9"/>
      <c r="V2112" s="9"/>
      <c r="W2112" s="9"/>
    </row>
    <row r="2113" spans="15:23" ht="31.4" customHeight="1" x14ac:dyDescent="0.35">
      <c r="O2113" s="9"/>
      <c r="V2113" s="9"/>
      <c r="W2113" s="9"/>
    </row>
    <row r="2114" spans="15:23" ht="31.4" customHeight="1" x14ac:dyDescent="0.35">
      <c r="O2114" s="9"/>
      <c r="V2114" s="9"/>
      <c r="W2114" s="9"/>
    </row>
    <row r="2115" spans="15:23" ht="31.4" customHeight="1" x14ac:dyDescent="0.35">
      <c r="O2115" s="9"/>
      <c r="V2115" s="9"/>
      <c r="W2115" s="9"/>
    </row>
    <row r="2116" spans="15:23" ht="31.4" customHeight="1" x14ac:dyDescent="0.35">
      <c r="O2116" s="9"/>
      <c r="V2116" s="9"/>
      <c r="W2116" s="9"/>
    </row>
    <row r="2117" spans="15:23" ht="31.4" customHeight="1" x14ac:dyDescent="0.35">
      <c r="O2117" s="9"/>
      <c r="V2117" s="9"/>
      <c r="W2117" s="9"/>
    </row>
    <row r="2118" spans="15:23" ht="31.4" customHeight="1" x14ac:dyDescent="0.35">
      <c r="O2118" s="9"/>
      <c r="V2118" s="9"/>
      <c r="W2118" s="9"/>
    </row>
    <row r="2119" spans="15:23" ht="31.4" customHeight="1" x14ac:dyDescent="0.35">
      <c r="O2119" s="9"/>
      <c r="V2119" s="9"/>
      <c r="W2119" s="9"/>
    </row>
    <row r="2120" spans="15:23" ht="31.4" customHeight="1" x14ac:dyDescent="0.35">
      <c r="O2120" s="9"/>
      <c r="V2120" s="9"/>
      <c r="W2120" s="9"/>
    </row>
    <row r="2121" spans="15:23" ht="31.4" customHeight="1" x14ac:dyDescent="0.35">
      <c r="O2121" s="9"/>
      <c r="V2121" s="9"/>
      <c r="W2121" s="9"/>
    </row>
    <row r="2122" spans="15:23" ht="31.4" customHeight="1" x14ac:dyDescent="0.35">
      <c r="O2122" s="9"/>
      <c r="V2122" s="9"/>
      <c r="W2122" s="9"/>
    </row>
    <row r="2123" spans="15:23" ht="31.4" customHeight="1" x14ac:dyDescent="0.35">
      <c r="O2123" s="9"/>
      <c r="V2123" s="9"/>
      <c r="W2123" s="9"/>
    </row>
    <row r="2124" spans="15:23" ht="31.4" customHeight="1" x14ac:dyDescent="0.35">
      <c r="O2124" s="9"/>
      <c r="V2124" s="9"/>
      <c r="W2124" s="9"/>
    </row>
    <row r="2125" spans="15:23" ht="31.4" customHeight="1" x14ac:dyDescent="0.35">
      <c r="O2125" s="9"/>
      <c r="V2125" s="9"/>
      <c r="W2125" s="9"/>
    </row>
    <row r="2126" spans="15:23" ht="31.4" customHeight="1" x14ac:dyDescent="0.35">
      <c r="O2126" s="9"/>
      <c r="V2126" s="9"/>
      <c r="W2126" s="9"/>
    </row>
    <row r="2127" spans="15:23" ht="31.4" customHeight="1" x14ac:dyDescent="0.35">
      <c r="O2127" s="9"/>
      <c r="V2127" s="9"/>
      <c r="W2127" s="9"/>
    </row>
    <row r="2128" spans="15:23" ht="31.4" customHeight="1" x14ac:dyDescent="0.35">
      <c r="O2128" s="9"/>
      <c r="V2128" s="9"/>
      <c r="W2128" s="9"/>
    </row>
    <row r="2129" spans="15:23" ht="31.4" customHeight="1" x14ac:dyDescent="0.35">
      <c r="O2129" s="9"/>
      <c r="V2129" s="9"/>
      <c r="W2129" s="9"/>
    </row>
    <row r="2130" spans="15:23" ht="31.4" customHeight="1" x14ac:dyDescent="0.35">
      <c r="O2130" s="9"/>
      <c r="V2130" s="9"/>
      <c r="W2130" s="9"/>
    </row>
    <row r="2131" spans="15:23" ht="31.4" customHeight="1" x14ac:dyDescent="0.35">
      <c r="O2131" s="9"/>
      <c r="V2131" s="9"/>
      <c r="W2131" s="9"/>
    </row>
    <row r="2132" spans="15:23" ht="31.4" customHeight="1" x14ac:dyDescent="0.35">
      <c r="O2132" s="9"/>
      <c r="V2132" s="9"/>
      <c r="W2132" s="9"/>
    </row>
    <row r="2133" spans="15:23" ht="31.4" customHeight="1" x14ac:dyDescent="0.35">
      <c r="O2133" s="9"/>
      <c r="V2133" s="9"/>
      <c r="W2133" s="9"/>
    </row>
    <row r="2134" spans="15:23" ht="31.4" customHeight="1" x14ac:dyDescent="0.35">
      <c r="O2134" s="9"/>
      <c r="V2134" s="9"/>
      <c r="W2134" s="9"/>
    </row>
    <row r="2135" spans="15:23" ht="31.4" customHeight="1" x14ac:dyDescent="0.35">
      <c r="O2135" s="9"/>
      <c r="V2135" s="9"/>
      <c r="W2135" s="9"/>
    </row>
    <row r="2136" spans="15:23" ht="31.4" customHeight="1" x14ac:dyDescent="0.35">
      <c r="O2136" s="9"/>
      <c r="V2136" s="9"/>
      <c r="W2136" s="9"/>
    </row>
    <row r="2137" spans="15:23" ht="31.4" customHeight="1" x14ac:dyDescent="0.35">
      <c r="O2137" s="9"/>
      <c r="V2137" s="9"/>
      <c r="W2137" s="9"/>
    </row>
    <row r="2138" spans="15:23" ht="31.4" customHeight="1" x14ac:dyDescent="0.35">
      <c r="O2138" s="9"/>
      <c r="V2138" s="9"/>
      <c r="W2138" s="9"/>
    </row>
    <row r="2139" spans="15:23" ht="31.4" customHeight="1" x14ac:dyDescent="0.35">
      <c r="O2139" s="9"/>
      <c r="V2139" s="9"/>
      <c r="W2139" s="9"/>
    </row>
    <row r="2140" spans="15:23" ht="31.4" customHeight="1" x14ac:dyDescent="0.35">
      <c r="O2140" s="9"/>
      <c r="V2140" s="9"/>
      <c r="W2140" s="9"/>
    </row>
    <row r="2141" spans="15:23" ht="31.4" customHeight="1" x14ac:dyDescent="0.35">
      <c r="O2141" s="9"/>
      <c r="V2141" s="9"/>
      <c r="W2141" s="9"/>
    </row>
    <row r="2142" spans="15:23" ht="31.4" customHeight="1" x14ac:dyDescent="0.35">
      <c r="O2142" s="9"/>
      <c r="V2142" s="9"/>
      <c r="W2142" s="9"/>
    </row>
    <row r="2143" spans="15:23" ht="31.4" customHeight="1" x14ac:dyDescent="0.35">
      <c r="O2143" s="9"/>
      <c r="V2143" s="9"/>
      <c r="W2143" s="9"/>
    </row>
    <row r="2144" spans="15:23" ht="31.4" customHeight="1" x14ac:dyDescent="0.35">
      <c r="O2144" s="9"/>
      <c r="V2144" s="9"/>
      <c r="W2144" s="9"/>
    </row>
    <row r="2145" spans="15:23" ht="31.4" customHeight="1" x14ac:dyDescent="0.35">
      <c r="O2145" s="9"/>
      <c r="V2145" s="9"/>
      <c r="W2145" s="9"/>
    </row>
    <row r="2146" spans="15:23" ht="31.4" customHeight="1" x14ac:dyDescent="0.35">
      <c r="O2146" s="9"/>
      <c r="V2146" s="9"/>
      <c r="W2146" s="9"/>
    </row>
    <row r="2147" spans="15:23" ht="31.4" customHeight="1" x14ac:dyDescent="0.35">
      <c r="O2147" s="9"/>
      <c r="V2147" s="9"/>
      <c r="W2147" s="9"/>
    </row>
    <row r="2148" spans="15:23" ht="31.4" customHeight="1" x14ac:dyDescent="0.35">
      <c r="O2148" s="9"/>
      <c r="V2148" s="9"/>
      <c r="W2148" s="9"/>
    </row>
    <row r="2149" spans="15:23" ht="31.4" customHeight="1" x14ac:dyDescent="0.35">
      <c r="O2149" s="9"/>
      <c r="V2149" s="9"/>
      <c r="W2149" s="9"/>
    </row>
    <row r="2150" spans="15:23" ht="31.4" customHeight="1" x14ac:dyDescent="0.35">
      <c r="O2150" s="9"/>
      <c r="V2150" s="9"/>
      <c r="W2150" s="9"/>
    </row>
    <row r="2151" spans="15:23" ht="31.4" customHeight="1" x14ac:dyDescent="0.35">
      <c r="O2151" s="9"/>
      <c r="V2151" s="9"/>
      <c r="W2151" s="9"/>
    </row>
    <row r="2152" spans="15:23" ht="31.4" customHeight="1" x14ac:dyDescent="0.35">
      <c r="O2152" s="9"/>
      <c r="V2152" s="9"/>
      <c r="W2152" s="9"/>
    </row>
    <row r="2153" spans="15:23" ht="31.4" customHeight="1" x14ac:dyDescent="0.35">
      <c r="O2153" s="9"/>
      <c r="V2153" s="9"/>
      <c r="W2153" s="9"/>
    </row>
    <row r="2154" spans="15:23" ht="31.4" customHeight="1" x14ac:dyDescent="0.35">
      <c r="O2154" s="9"/>
      <c r="V2154" s="9"/>
      <c r="W2154" s="9"/>
    </row>
    <row r="2155" spans="15:23" ht="31.4" customHeight="1" x14ac:dyDescent="0.35">
      <c r="O2155" s="9"/>
      <c r="V2155" s="9"/>
      <c r="W2155" s="9"/>
    </row>
    <row r="2156" spans="15:23" ht="31.4" customHeight="1" x14ac:dyDescent="0.35">
      <c r="O2156" s="9"/>
      <c r="V2156" s="9"/>
      <c r="W2156" s="9"/>
    </row>
    <row r="2157" spans="15:23" ht="31.4" customHeight="1" x14ac:dyDescent="0.35">
      <c r="O2157" s="9"/>
      <c r="V2157" s="9"/>
      <c r="W2157" s="9"/>
    </row>
    <row r="2158" spans="15:23" ht="31.4" customHeight="1" x14ac:dyDescent="0.35">
      <c r="O2158" s="9"/>
      <c r="V2158" s="9"/>
      <c r="W2158" s="9"/>
    </row>
    <row r="2159" spans="15:23" ht="31.4" customHeight="1" x14ac:dyDescent="0.35">
      <c r="O2159" s="9"/>
      <c r="V2159" s="9"/>
      <c r="W2159" s="9"/>
    </row>
    <row r="2160" spans="15:23" ht="31.4" customHeight="1" x14ac:dyDescent="0.35">
      <c r="O2160" s="9"/>
      <c r="V2160" s="9"/>
      <c r="W2160" s="9"/>
    </row>
    <row r="2161" spans="15:23" ht="31.4" customHeight="1" x14ac:dyDescent="0.35">
      <c r="O2161" s="9"/>
      <c r="V2161" s="9"/>
      <c r="W2161" s="9"/>
    </row>
    <row r="2162" spans="15:23" ht="31.4" customHeight="1" x14ac:dyDescent="0.35">
      <c r="O2162" s="9"/>
      <c r="V2162" s="9"/>
      <c r="W2162" s="9"/>
    </row>
    <row r="2163" spans="15:23" ht="31.4" customHeight="1" x14ac:dyDescent="0.35">
      <c r="O2163" s="9"/>
      <c r="V2163" s="9"/>
      <c r="W2163" s="9"/>
    </row>
    <row r="2164" spans="15:23" ht="31.4" customHeight="1" x14ac:dyDescent="0.35">
      <c r="O2164" s="9"/>
      <c r="V2164" s="9"/>
      <c r="W2164" s="9"/>
    </row>
    <row r="2165" spans="15:23" ht="31.4" customHeight="1" x14ac:dyDescent="0.35">
      <c r="O2165" s="9"/>
      <c r="V2165" s="9"/>
      <c r="W2165" s="9"/>
    </row>
    <row r="2166" spans="15:23" ht="31.4" customHeight="1" x14ac:dyDescent="0.35">
      <c r="O2166" s="9"/>
      <c r="V2166" s="9"/>
      <c r="W2166" s="9"/>
    </row>
    <row r="2167" spans="15:23" ht="31.4" customHeight="1" x14ac:dyDescent="0.35">
      <c r="O2167" s="9"/>
      <c r="V2167" s="9"/>
      <c r="W2167" s="9"/>
    </row>
    <row r="2168" spans="15:23" ht="31.4" customHeight="1" x14ac:dyDescent="0.35">
      <c r="O2168" s="9"/>
      <c r="V2168" s="9"/>
      <c r="W2168" s="9"/>
    </row>
    <row r="2169" spans="15:23" ht="31.4" customHeight="1" x14ac:dyDescent="0.35">
      <c r="O2169" s="9"/>
      <c r="V2169" s="9"/>
      <c r="W2169" s="9"/>
    </row>
    <row r="2170" spans="15:23" ht="31.4" customHeight="1" x14ac:dyDescent="0.35">
      <c r="O2170" s="9"/>
      <c r="V2170" s="9"/>
      <c r="W2170" s="9"/>
    </row>
    <row r="2171" spans="15:23" ht="31.4" customHeight="1" x14ac:dyDescent="0.35">
      <c r="O2171" s="9"/>
      <c r="V2171" s="9"/>
      <c r="W2171" s="9"/>
    </row>
    <row r="2172" spans="15:23" ht="31.4" customHeight="1" x14ac:dyDescent="0.35">
      <c r="O2172" s="9"/>
      <c r="V2172" s="9"/>
      <c r="W2172" s="9"/>
    </row>
    <row r="2173" spans="15:23" ht="31.4" customHeight="1" x14ac:dyDescent="0.35">
      <c r="O2173" s="9"/>
      <c r="V2173" s="9"/>
      <c r="W2173" s="9"/>
    </row>
    <row r="2174" spans="15:23" ht="31.4" customHeight="1" x14ac:dyDescent="0.35">
      <c r="O2174" s="9"/>
      <c r="V2174" s="9"/>
      <c r="W2174" s="9"/>
    </row>
    <row r="2175" spans="15:23" ht="31.4" customHeight="1" x14ac:dyDescent="0.35">
      <c r="O2175" s="9"/>
      <c r="V2175" s="9"/>
      <c r="W2175" s="9"/>
    </row>
    <row r="2176" spans="15:23" ht="31.4" customHeight="1" x14ac:dyDescent="0.35">
      <c r="O2176" s="9"/>
      <c r="V2176" s="9"/>
      <c r="W2176" s="9"/>
    </row>
    <row r="2177" spans="15:23" ht="31.4" customHeight="1" x14ac:dyDescent="0.35">
      <c r="O2177" s="9"/>
      <c r="V2177" s="9"/>
      <c r="W2177" s="9"/>
    </row>
    <row r="2178" spans="15:23" ht="31.4" customHeight="1" x14ac:dyDescent="0.35">
      <c r="O2178" s="9"/>
      <c r="V2178" s="9"/>
      <c r="W2178" s="9"/>
    </row>
    <row r="2179" spans="15:23" ht="31.4" customHeight="1" x14ac:dyDescent="0.35">
      <c r="O2179" s="9"/>
      <c r="V2179" s="9"/>
      <c r="W2179" s="9"/>
    </row>
    <row r="2180" spans="15:23" ht="31.4" customHeight="1" x14ac:dyDescent="0.35">
      <c r="O2180" s="9"/>
      <c r="V2180" s="9"/>
      <c r="W2180" s="9"/>
    </row>
    <row r="2181" spans="15:23" ht="31.4" customHeight="1" x14ac:dyDescent="0.35">
      <c r="O2181" s="9"/>
      <c r="V2181" s="9"/>
      <c r="W2181" s="9"/>
    </row>
    <row r="2182" spans="15:23" ht="31.4" customHeight="1" x14ac:dyDescent="0.35">
      <c r="O2182" s="9"/>
      <c r="V2182" s="9"/>
      <c r="W2182" s="9"/>
    </row>
    <row r="2183" spans="15:23" ht="31.4" customHeight="1" x14ac:dyDescent="0.35">
      <c r="O2183" s="9"/>
      <c r="V2183" s="9"/>
      <c r="W2183" s="9"/>
    </row>
    <row r="2184" spans="15:23" ht="31.4" customHeight="1" x14ac:dyDescent="0.35">
      <c r="O2184" s="9"/>
      <c r="V2184" s="9"/>
      <c r="W2184" s="9"/>
    </row>
    <row r="2185" spans="15:23" ht="31.4" customHeight="1" x14ac:dyDescent="0.35">
      <c r="O2185" s="9"/>
      <c r="V2185" s="9"/>
      <c r="W2185" s="9"/>
    </row>
    <row r="2186" spans="15:23" ht="31.4" customHeight="1" x14ac:dyDescent="0.35">
      <c r="O2186" s="9"/>
      <c r="V2186" s="9"/>
      <c r="W2186" s="9"/>
    </row>
    <row r="2187" spans="15:23" ht="31.4" customHeight="1" x14ac:dyDescent="0.35">
      <c r="O2187" s="9"/>
      <c r="V2187" s="9"/>
      <c r="W2187" s="9"/>
    </row>
    <row r="2188" spans="15:23" ht="31.4" customHeight="1" x14ac:dyDescent="0.35">
      <c r="O2188" s="9"/>
      <c r="V2188" s="9"/>
      <c r="W2188" s="9"/>
    </row>
    <row r="2189" spans="15:23" ht="31.4" customHeight="1" x14ac:dyDescent="0.35">
      <c r="O2189" s="9"/>
      <c r="V2189" s="9"/>
      <c r="W2189" s="9"/>
    </row>
    <row r="2190" spans="15:23" ht="31.4" customHeight="1" x14ac:dyDescent="0.35">
      <c r="O2190" s="9"/>
      <c r="V2190" s="9"/>
      <c r="W2190" s="9"/>
    </row>
    <row r="2191" spans="15:23" ht="31.4" customHeight="1" x14ac:dyDescent="0.35">
      <c r="O2191" s="9"/>
      <c r="V2191" s="9"/>
      <c r="W2191" s="9"/>
    </row>
    <row r="2192" spans="15:23" ht="31.4" customHeight="1" x14ac:dyDescent="0.35">
      <c r="O2192" s="9"/>
      <c r="V2192" s="9"/>
      <c r="W2192" s="9"/>
    </row>
    <row r="2193" spans="15:23" ht="31.4" customHeight="1" x14ac:dyDescent="0.35">
      <c r="O2193" s="9"/>
      <c r="V2193" s="9"/>
      <c r="W2193" s="9"/>
    </row>
    <row r="2194" spans="15:23" ht="31.4" customHeight="1" x14ac:dyDescent="0.35">
      <c r="O2194" s="9"/>
      <c r="V2194" s="9"/>
      <c r="W2194" s="9"/>
    </row>
    <row r="2195" spans="15:23" ht="31.4" customHeight="1" x14ac:dyDescent="0.35">
      <c r="O2195" s="9"/>
      <c r="V2195" s="9"/>
      <c r="W2195" s="9"/>
    </row>
    <row r="2196" spans="15:23" ht="31.4" customHeight="1" x14ac:dyDescent="0.35">
      <c r="O2196" s="9"/>
      <c r="V2196" s="9"/>
      <c r="W2196" s="9"/>
    </row>
    <row r="2197" spans="15:23" ht="31.4" customHeight="1" x14ac:dyDescent="0.35">
      <c r="O2197" s="9"/>
      <c r="V2197" s="9"/>
      <c r="W2197" s="9"/>
    </row>
    <row r="2198" spans="15:23" ht="31.4" customHeight="1" x14ac:dyDescent="0.35">
      <c r="O2198" s="9"/>
      <c r="V2198" s="9"/>
      <c r="W2198" s="9"/>
    </row>
    <row r="2199" spans="15:23" ht="31.4" customHeight="1" x14ac:dyDescent="0.35">
      <c r="O2199" s="9"/>
      <c r="V2199" s="9"/>
      <c r="W2199" s="9"/>
    </row>
    <row r="2200" spans="15:23" ht="31.4" customHeight="1" x14ac:dyDescent="0.35">
      <c r="O2200" s="9"/>
      <c r="V2200" s="9"/>
      <c r="W2200" s="9"/>
    </row>
    <row r="2201" spans="15:23" ht="31.4" customHeight="1" x14ac:dyDescent="0.35">
      <c r="O2201" s="9"/>
      <c r="V2201" s="9"/>
      <c r="W2201" s="9"/>
    </row>
    <row r="2202" spans="15:23" ht="31.4" customHeight="1" x14ac:dyDescent="0.35">
      <c r="O2202" s="9"/>
      <c r="V2202" s="9"/>
      <c r="W2202" s="9"/>
    </row>
    <row r="2203" spans="15:23" ht="31.4" customHeight="1" x14ac:dyDescent="0.35">
      <c r="O2203" s="9"/>
      <c r="V2203" s="9"/>
      <c r="W2203" s="9"/>
    </row>
    <row r="2204" spans="15:23" ht="31.4" customHeight="1" x14ac:dyDescent="0.35">
      <c r="O2204" s="9"/>
      <c r="V2204" s="9"/>
      <c r="W2204" s="9"/>
    </row>
    <row r="2205" spans="15:23" ht="31.4" customHeight="1" x14ac:dyDescent="0.35">
      <c r="O2205" s="9"/>
      <c r="V2205" s="9"/>
      <c r="W2205" s="9"/>
    </row>
    <row r="2206" spans="15:23" ht="31.4" customHeight="1" x14ac:dyDescent="0.35">
      <c r="O2206" s="9"/>
      <c r="V2206" s="9"/>
      <c r="W2206" s="9"/>
    </row>
    <row r="2207" spans="15:23" ht="31.4" customHeight="1" x14ac:dyDescent="0.35">
      <c r="O2207" s="9"/>
      <c r="V2207" s="9"/>
      <c r="W2207" s="9"/>
    </row>
    <row r="2208" spans="15:23" ht="31.4" customHeight="1" x14ac:dyDescent="0.35">
      <c r="O2208" s="9"/>
      <c r="V2208" s="9"/>
      <c r="W2208" s="9"/>
    </row>
    <row r="2209" spans="15:23" ht="31.4" customHeight="1" x14ac:dyDescent="0.35">
      <c r="O2209" s="9"/>
      <c r="V2209" s="9"/>
      <c r="W2209" s="9"/>
    </row>
    <row r="2210" spans="15:23" ht="31.4" customHeight="1" x14ac:dyDescent="0.35">
      <c r="O2210" s="9"/>
      <c r="V2210" s="9"/>
      <c r="W2210" s="9"/>
    </row>
    <row r="2211" spans="15:23" ht="31.4" customHeight="1" x14ac:dyDescent="0.35">
      <c r="O2211" s="9"/>
      <c r="V2211" s="9"/>
      <c r="W2211" s="9"/>
    </row>
    <row r="2212" spans="15:23" ht="31.4" customHeight="1" x14ac:dyDescent="0.35">
      <c r="O2212" s="9"/>
      <c r="V2212" s="9"/>
      <c r="W2212" s="9"/>
    </row>
    <row r="2213" spans="15:23" ht="31.4" customHeight="1" x14ac:dyDescent="0.35">
      <c r="O2213" s="9"/>
      <c r="V2213" s="9"/>
      <c r="W2213" s="9"/>
    </row>
    <row r="2214" spans="15:23" ht="31.4" customHeight="1" x14ac:dyDescent="0.35">
      <c r="O2214" s="9"/>
      <c r="V2214" s="9"/>
      <c r="W2214" s="9"/>
    </row>
    <row r="2215" spans="15:23" ht="31.4" customHeight="1" x14ac:dyDescent="0.35">
      <c r="O2215" s="9"/>
      <c r="V2215" s="9"/>
      <c r="W2215" s="9"/>
    </row>
    <row r="2216" spans="15:23" ht="31.4" customHeight="1" x14ac:dyDescent="0.35">
      <c r="O2216" s="9"/>
      <c r="V2216" s="9"/>
      <c r="W2216" s="9"/>
    </row>
    <row r="2217" spans="15:23" ht="31.4" customHeight="1" x14ac:dyDescent="0.35">
      <c r="O2217" s="9"/>
      <c r="V2217" s="9"/>
      <c r="W2217" s="9"/>
    </row>
    <row r="2218" spans="15:23" ht="31.4" customHeight="1" x14ac:dyDescent="0.35">
      <c r="O2218" s="9"/>
      <c r="V2218" s="9"/>
      <c r="W2218" s="9"/>
    </row>
    <row r="2219" spans="15:23" ht="31.4" customHeight="1" x14ac:dyDescent="0.35">
      <c r="O2219" s="9"/>
      <c r="V2219" s="9"/>
      <c r="W2219" s="9"/>
    </row>
    <row r="2220" spans="15:23" ht="31.4" customHeight="1" x14ac:dyDescent="0.35">
      <c r="O2220" s="9"/>
      <c r="V2220" s="9"/>
      <c r="W2220" s="9"/>
    </row>
    <row r="2221" spans="15:23" ht="31.4" customHeight="1" x14ac:dyDescent="0.35">
      <c r="O2221" s="9"/>
      <c r="V2221" s="9"/>
      <c r="W2221" s="9"/>
    </row>
    <row r="2222" spans="15:23" ht="31.4" customHeight="1" x14ac:dyDescent="0.35">
      <c r="O2222" s="9"/>
      <c r="V2222" s="9"/>
      <c r="W2222" s="9"/>
    </row>
    <row r="2223" spans="15:23" ht="31.4" customHeight="1" x14ac:dyDescent="0.35">
      <c r="O2223" s="9"/>
      <c r="V2223" s="9"/>
      <c r="W2223" s="9"/>
    </row>
    <row r="2224" spans="15:23" ht="31.4" customHeight="1" x14ac:dyDescent="0.35">
      <c r="O2224" s="9"/>
      <c r="V2224" s="9"/>
      <c r="W2224" s="9"/>
    </row>
    <row r="2225" spans="15:23" ht="31.4" customHeight="1" x14ac:dyDescent="0.35">
      <c r="O2225" s="9"/>
      <c r="V2225" s="9"/>
      <c r="W2225" s="9"/>
    </row>
    <row r="2226" spans="15:23" ht="31.4" customHeight="1" x14ac:dyDescent="0.35">
      <c r="O2226" s="9"/>
      <c r="V2226" s="9"/>
      <c r="W2226" s="9"/>
    </row>
    <row r="2227" spans="15:23" ht="31.4" customHeight="1" x14ac:dyDescent="0.35">
      <c r="O2227" s="9"/>
      <c r="V2227" s="9"/>
      <c r="W2227" s="9"/>
    </row>
    <row r="2228" spans="15:23" ht="31.4" customHeight="1" x14ac:dyDescent="0.35">
      <c r="O2228" s="9"/>
      <c r="V2228" s="9"/>
      <c r="W2228" s="9"/>
    </row>
    <row r="2229" spans="15:23" ht="31.4" customHeight="1" x14ac:dyDescent="0.35">
      <c r="O2229" s="9"/>
      <c r="V2229" s="9"/>
      <c r="W2229" s="9"/>
    </row>
    <row r="2230" spans="15:23" ht="31.4" customHeight="1" x14ac:dyDescent="0.35">
      <c r="O2230" s="9"/>
      <c r="V2230" s="9"/>
      <c r="W2230" s="9"/>
    </row>
    <row r="2231" spans="15:23" ht="31.4" customHeight="1" x14ac:dyDescent="0.35">
      <c r="O2231" s="9"/>
      <c r="V2231" s="9"/>
      <c r="W2231" s="9"/>
    </row>
    <row r="2232" spans="15:23" ht="31.4" customHeight="1" x14ac:dyDescent="0.35">
      <c r="O2232" s="9"/>
      <c r="V2232" s="9"/>
      <c r="W2232" s="9"/>
    </row>
    <row r="2233" spans="15:23" ht="31.4" customHeight="1" x14ac:dyDescent="0.35">
      <c r="O2233" s="9"/>
      <c r="V2233" s="9"/>
      <c r="W2233" s="9"/>
    </row>
    <row r="2234" spans="15:23" ht="31.4" customHeight="1" x14ac:dyDescent="0.35">
      <c r="O2234" s="9"/>
      <c r="V2234" s="9"/>
      <c r="W2234" s="9"/>
    </row>
    <row r="2235" spans="15:23" ht="31.4" customHeight="1" x14ac:dyDescent="0.35">
      <c r="O2235" s="9"/>
      <c r="V2235" s="9"/>
      <c r="W2235" s="9"/>
    </row>
    <row r="2236" spans="15:23" ht="31.4" customHeight="1" x14ac:dyDescent="0.35">
      <c r="O2236" s="9"/>
      <c r="V2236" s="9"/>
      <c r="W2236" s="9"/>
    </row>
    <row r="2237" spans="15:23" ht="31.4" customHeight="1" x14ac:dyDescent="0.35">
      <c r="O2237" s="9"/>
      <c r="V2237" s="9"/>
      <c r="W2237" s="9"/>
    </row>
    <row r="2238" spans="15:23" ht="31.4" customHeight="1" x14ac:dyDescent="0.35">
      <c r="O2238" s="9"/>
      <c r="V2238" s="9"/>
      <c r="W2238" s="9"/>
    </row>
    <row r="2239" spans="15:23" ht="31.4" customHeight="1" x14ac:dyDescent="0.35">
      <c r="O2239" s="9"/>
      <c r="V2239" s="9"/>
      <c r="W2239" s="9"/>
    </row>
    <row r="2240" spans="15:23" ht="31.4" customHeight="1" x14ac:dyDescent="0.35">
      <c r="O2240" s="9"/>
      <c r="V2240" s="9"/>
      <c r="W2240" s="9"/>
    </row>
    <row r="2241" spans="15:23" ht="31.4" customHeight="1" x14ac:dyDescent="0.35">
      <c r="O2241" s="9"/>
      <c r="V2241" s="9"/>
      <c r="W2241" s="9"/>
    </row>
    <row r="2242" spans="15:23" ht="31.4" customHeight="1" x14ac:dyDescent="0.35">
      <c r="O2242" s="9"/>
      <c r="V2242" s="9"/>
      <c r="W2242" s="9"/>
    </row>
    <row r="2243" spans="15:23" ht="31.4" customHeight="1" x14ac:dyDescent="0.35">
      <c r="O2243" s="9"/>
      <c r="V2243" s="9"/>
      <c r="W2243" s="9"/>
    </row>
    <row r="2244" spans="15:23" ht="31.4" customHeight="1" x14ac:dyDescent="0.35">
      <c r="O2244" s="9"/>
      <c r="V2244" s="9"/>
      <c r="W2244" s="9"/>
    </row>
    <row r="2245" spans="15:23" ht="31.4" customHeight="1" x14ac:dyDescent="0.35">
      <c r="O2245" s="9"/>
      <c r="V2245" s="9"/>
      <c r="W2245" s="9"/>
    </row>
    <row r="2246" spans="15:23" ht="31.4" customHeight="1" x14ac:dyDescent="0.35">
      <c r="O2246" s="9"/>
      <c r="V2246" s="9"/>
      <c r="W2246" s="9"/>
    </row>
    <row r="2247" spans="15:23" ht="31.4" customHeight="1" x14ac:dyDescent="0.35">
      <c r="O2247" s="9"/>
      <c r="V2247" s="9"/>
      <c r="W2247" s="9"/>
    </row>
    <row r="2248" spans="15:23" ht="31.4" customHeight="1" x14ac:dyDescent="0.35">
      <c r="O2248" s="9"/>
      <c r="V2248" s="9"/>
      <c r="W2248" s="9"/>
    </row>
    <row r="2249" spans="15:23" ht="31.4" customHeight="1" x14ac:dyDescent="0.35">
      <c r="O2249" s="9"/>
      <c r="V2249" s="9"/>
      <c r="W2249" s="9"/>
    </row>
    <row r="2250" spans="15:23" ht="31.4" customHeight="1" x14ac:dyDescent="0.35">
      <c r="O2250" s="9"/>
      <c r="V2250" s="9"/>
      <c r="W2250" s="9"/>
    </row>
    <row r="2251" spans="15:23" ht="31.4" customHeight="1" x14ac:dyDescent="0.35">
      <c r="O2251" s="9"/>
      <c r="V2251" s="9"/>
      <c r="W2251" s="9"/>
    </row>
    <row r="2252" spans="15:23" ht="31.4" customHeight="1" x14ac:dyDescent="0.35">
      <c r="O2252" s="9"/>
      <c r="V2252" s="9"/>
      <c r="W2252" s="9"/>
    </row>
    <row r="2253" spans="15:23" ht="31.4" customHeight="1" x14ac:dyDescent="0.35">
      <c r="O2253" s="9"/>
      <c r="V2253" s="9"/>
      <c r="W2253" s="9"/>
    </row>
    <row r="2254" spans="15:23" ht="31.4" customHeight="1" x14ac:dyDescent="0.35">
      <c r="O2254" s="9"/>
      <c r="V2254" s="9"/>
      <c r="W2254" s="9"/>
    </row>
    <row r="2255" spans="15:23" ht="31.4" customHeight="1" x14ac:dyDescent="0.35">
      <c r="O2255" s="9"/>
      <c r="V2255" s="9"/>
      <c r="W2255" s="9"/>
    </row>
    <row r="2256" spans="15:23" ht="31.4" customHeight="1" x14ac:dyDescent="0.35">
      <c r="O2256" s="9"/>
      <c r="V2256" s="9"/>
      <c r="W2256" s="9"/>
    </row>
    <row r="2257" spans="15:23" ht="31.4" customHeight="1" x14ac:dyDescent="0.35">
      <c r="O2257" s="9"/>
      <c r="V2257" s="9"/>
      <c r="W2257" s="9"/>
    </row>
    <row r="2258" spans="15:23" ht="31.4" customHeight="1" x14ac:dyDescent="0.35">
      <c r="O2258" s="9"/>
      <c r="V2258" s="9"/>
      <c r="W2258" s="9"/>
    </row>
    <row r="2259" spans="15:23" ht="31.4" customHeight="1" x14ac:dyDescent="0.35">
      <c r="O2259" s="9"/>
      <c r="V2259" s="9"/>
      <c r="W2259" s="9"/>
    </row>
    <row r="2260" spans="15:23" ht="31.4" customHeight="1" x14ac:dyDescent="0.35">
      <c r="O2260" s="9"/>
      <c r="V2260" s="9"/>
      <c r="W2260" s="9"/>
    </row>
    <row r="2261" spans="15:23" ht="31.4" customHeight="1" x14ac:dyDescent="0.35">
      <c r="O2261" s="9"/>
      <c r="V2261" s="9"/>
      <c r="W2261" s="9"/>
    </row>
    <row r="2262" spans="15:23" ht="31.4" customHeight="1" x14ac:dyDescent="0.35">
      <c r="O2262" s="9"/>
      <c r="V2262" s="9"/>
      <c r="W2262" s="9"/>
    </row>
    <row r="2263" spans="15:23" ht="31.4" customHeight="1" x14ac:dyDescent="0.35">
      <c r="O2263" s="9"/>
      <c r="V2263" s="9"/>
      <c r="W2263" s="9"/>
    </row>
    <row r="2264" spans="15:23" ht="31.4" customHeight="1" x14ac:dyDescent="0.35">
      <c r="O2264" s="9"/>
      <c r="V2264" s="9"/>
      <c r="W2264" s="9"/>
    </row>
    <row r="2265" spans="15:23" ht="31.4" customHeight="1" x14ac:dyDescent="0.35">
      <c r="O2265" s="9"/>
      <c r="V2265" s="9"/>
      <c r="W2265" s="9"/>
    </row>
    <row r="2266" spans="15:23" ht="31.4" customHeight="1" x14ac:dyDescent="0.35">
      <c r="O2266" s="9"/>
      <c r="V2266" s="9"/>
      <c r="W2266" s="9"/>
    </row>
    <row r="2267" spans="15:23" ht="31.4" customHeight="1" x14ac:dyDescent="0.35">
      <c r="O2267" s="9"/>
      <c r="V2267" s="9"/>
      <c r="W2267" s="9"/>
    </row>
    <row r="2268" spans="15:23" ht="31.4" customHeight="1" x14ac:dyDescent="0.35">
      <c r="O2268" s="9"/>
      <c r="V2268" s="9"/>
      <c r="W2268" s="9"/>
    </row>
    <row r="2269" spans="15:23" ht="31.4" customHeight="1" x14ac:dyDescent="0.35">
      <c r="O2269" s="9"/>
      <c r="V2269" s="9"/>
      <c r="W2269" s="9"/>
    </row>
    <row r="2270" spans="15:23" ht="31.4" customHeight="1" x14ac:dyDescent="0.35">
      <c r="O2270" s="9"/>
      <c r="V2270" s="9"/>
      <c r="W2270" s="9"/>
    </row>
    <row r="2271" spans="15:23" ht="31.4" customHeight="1" x14ac:dyDescent="0.35">
      <c r="O2271" s="9"/>
      <c r="V2271" s="9"/>
      <c r="W2271" s="9"/>
    </row>
    <row r="2272" spans="15:23" ht="31.4" customHeight="1" x14ac:dyDescent="0.35">
      <c r="O2272" s="9"/>
      <c r="V2272" s="9"/>
      <c r="W2272" s="9"/>
    </row>
    <row r="2273" spans="15:23" ht="31.4" customHeight="1" x14ac:dyDescent="0.35">
      <c r="O2273" s="9"/>
      <c r="V2273" s="9"/>
      <c r="W2273" s="9"/>
    </row>
    <row r="2274" spans="15:23" ht="31.4" customHeight="1" x14ac:dyDescent="0.35">
      <c r="O2274" s="9"/>
      <c r="V2274" s="9"/>
      <c r="W2274" s="9"/>
    </row>
    <row r="2275" spans="15:23" ht="31.4" customHeight="1" x14ac:dyDescent="0.35">
      <c r="O2275" s="9"/>
      <c r="V2275" s="9"/>
      <c r="W2275" s="9"/>
    </row>
    <row r="2276" spans="15:23" ht="31.4" customHeight="1" x14ac:dyDescent="0.35">
      <c r="O2276" s="9"/>
      <c r="V2276" s="9"/>
      <c r="W2276" s="9"/>
    </row>
    <row r="2277" spans="15:23" ht="31.4" customHeight="1" x14ac:dyDescent="0.35">
      <c r="O2277" s="9"/>
      <c r="V2277" s="9"/>
      <c r="W2277" s="9"/>
    </row>
    <row r="2278" spans="15:23" ht="31.4" customHeight="1" x14ac:dyDescent="0.35">
      <c r="O2278" s="9"/>
      <c r="V2278" s="9"/>
      <c r="W2278" s="9"/>
    </row>
    <row r="2279" spans="15:23" ht="31.4" customHeight="1" x14ac:dyDescent="0.35">
      <c r="O2279" s="9"/>
      <c r="V2279" s="9"/>
      <c r="W2279" s="9"/>
    </row>
    <row r="2280" spans="15:23" ht="31.4" customHeight="1" x14ac:dyDescent="0.35">
      <c r="O2280" s="9"/>
      <c r="V2280" s="9"/>
      <c r="W2280" s="9"/>
    </row>
    <row r="2281" spans="15:23" ht="31.4" customHeight="1" x14ac:dyDescent="0.35">
      <c r="O2281" s="9"/>
      <c r="V2281" s="9"/>
      <c r="W2281" s="9"/>
    </row>
    <row r="2282" spans="15:23" ht="31.4" customHeight="1" x14ac:dyDescent="0.35">
      <c r="O2282" s="9"/>
      <c r="V2282" s="9"/>
      <c r="W2282" s="9"/>
    </row>
    <row r="2283" spans="15:23" ht="31.4" customHeight="1" x14ac:dyDescent="0.35">
      <c r="O2283" s="9"/>
      <c r="V2283" s="9"/>
      <c r="W2283" s="9"/>
    </row>
    <row r="2284" spans="15:23" ht="31.4" customHeight="1" x14ac:dyDescent="0.35">
      <c r="O2284" s="9"/>
      <c r="V2284" s="9"/>
      <c r="W2284" s="9"/>
    </row>
    <row r="2285" spans="15:23" ht="31.4" customHeight="1" x14ac:dyDescent="0.35">
      <c r="O2285" s="9"/>
      <c r="V2285" s="9"/>
      <c r="W2285" s="9"/>
    </row>
    <row r="2286" spans="15:23" ht="31.4" customHeight="1" x14ac:dyDescent="0.35">
      <c r="O2286" s="9"/>
      <c r="V2286" s="9"/>
      <c r="W2286" s="9"/>
    </row>
    <row r="2287" spans="15:23" ht="31.4" customHeight="1" x14ac:dyDescent="0.35">
      <c r="O2287" s="9"/>
      <c r="V2287" s="9"/>
      <c r="W2287" s="9"/>
    </row>
    <row r="2288" spans="15:23" ht="31.4" customHeight="1" x14ac:dyDescent="0.35">
      <c r="O2288" s="9"/>
      <c r="V2288" s="9"/>
      <c r="W2288" s="9"/>
    </row>
    <row r="2289" spans="15:23" ht="31.4" customHeight="1" x14ac:dyDescent="0.35">
      <c r="O2289" s="9"/>
      <c r="V2289" s="9"/>
      <c r="W2289" s="9"/>
    </row>
    <row r="2290" spans="15:23" ht="31.4" customHeight="1" x14ac:dyDescent="0.35">
      <c r="O2290" s="9"/>
      <c r="V2290" s="9"/>
      <c r="W2290" s="9"/>
    </row>
    <row r="2291" spans="15:23" ht="31.4" customHeight="1" x14ac:dyDescent="0.35">
      <c r="O2291" s="9"/>
      <c r="V2291" s="9"/>
      <c r="W2291" s="9"/>
    </row>
    <row r="2292" spans="15:23" ht="31.4" customHeight="1" x14ac:dyDescent="0.35">
      <c r="O2292" s="9"/>
      <c r="V2292" s="9"/>
      <c r="W2292" s="9"/>
    </row>
    <row r="2293" spans="15:23" ht="31.4" customHeight="1" x14ac:dyDescent="0.35">
      <c r="O2293" s="9"/>
      <c r="V2293" s="9"/>
      <c r="W2293" s="9"/>
    </row>
    <row r="2294" spans="15:23" ht="31.4" customHeight="1" x14ac:dyDescent="0.35">
      <c r="O2294" s="9"/>
      <c r="V2294" s="9"/>
      <c r="W2294" s="9"/>
    </row>
    <row r="2295" spans="15:23" ht="31.4" customHeight="1" x14ac:dyDescent="0.35">
      <c r="O2295" s="9"/>
      <c r="V2295" s="9"/>
      <c r="W2295" s="9"/>
    </row>
    <row r="2296" spans="15:23" ht="31.4" customHeight="1" x14ac:dyDescent="0.35">
      <c r="O2296" s="9"/>
      <c r="V2296" s="9"/>
      <c r="W2296" s="9"/>
    </row>
    <row r="2297" spans="15:23" ht="31.4" customHeight="1" x14ac:dyDescent="0.35">
      <c r="O2297" s="9"/>
      <c r="V2297" s="9"/>
      <c r="W2297" s="9"/>
    </row>
    <row r="2298" spans="15:23" ht="31.4" customHeight="1" x14ac:dyDescent="0.35">
      <c r="O2298" s="9"/>
      <c r="V2298" s="9"/>
      <c r="W2298" s="9"/>
    </row>
    <row r="2299" spans="15:23" ht="31.4" customHeight="1" x14ac:dyDescent="0.35">
      <c r="O2299" s="9"/>
      <c r="V2299" s="9"/>
      <c r="W2299" s="9"/>
    </row>
    <row r="2300" spans="15:23" ht="31.4" customHeight="1" x14ac:dyDescent="0.35">
      <c r="O2300" s="9"/>
      <c r="V2300" s="9"/>
      <c r="W2300" s="9"/>
    </row>
    <row r="2301" spans="15:23" ht="31.4" customHeight="1" x14ac:dyDescent="0.35">
      <c r="O2301" s="9"/>
      <c r="V2301" s="9"/>
      <c r="W2301" s="9"/>
    </row>
    <row r="2302" spans="15:23" ht="31.4" customHeight="1" x14ac:dyDescent="0.35">
      <c r="O2302" s="9"/>
      <c r="V2302" s="9"/>
      <c r="W2302" s="9"/>
    </row>
    <row r="2303" spans="15:23" ht="31.4" customHeight="1" x14ac:dyDescent="0.35">
      <c r="O2303" s="9"/>
      <c r="V2303" s="9"/>
      <c r="W2303" s="9"/>
    </row>
    <row r="2304" spans="15:23" ht="31.4" customHeight="1" x14ac:dyDescent="0.35">
      <c r="O2304" s="9"/>
      <c r="V2304" s="9"/>
      <c r="W2304" s="9"/>
    </row>
    <row r="2305" spans="15:23" ht="31.4" customHeight="1" x14ac:dyDescent="0.35">
      <c r="O2305" s="9"/>
      <c r="V2305" s="9"/>
      <c r="W2305" s="9"/>
    </row>
    <row r="2306" spans="15:23" ht="31.4" customHeight="1" x14ac:dyDescent="0.35">
      <c r="O2306" s="9"/>
      <c r="V2306" s="9"/>
      <c r="W2306" s="9"/>
    </row>
    <row r="2307" spans="15:23" ht="31.4" customHeight="1" x14ac:dyDescent="0.35">
      <c r="O2307" s="9"/>
      <c r="V2307" s="9"/>
      <c r="W2307" s="9"/>
    </row>
    <row r="2308" spans="15:23" ht="31.4" customHeight="1" x14ac:dyDescent="0.35">
      <c r="O2308" s="9"/>
      <c r="V2308" s="9"/>
      <c r="W2308" s="9"/>
    </row>
    <row r="2309" spans="15:23" ht="31.4" customHeight="1" x14ac:dyDescent="0.35">
      <c r="O2309" s="9"/>
      <c r="V2309" s="9"/>
      <c r="W2309" s="9"/>
    </row>
    <row r="2310" spans="15:23" ht="31.4" customHeight="1" x14ac:dyDescent="0.35">
      <c r="O2310" s="9"/>
      <c r="V2310" s="9"/>
      <c r="W2310" s="9"/>
    </row>
    <row r="2311" spans="15:23" ht="31.4" customHeight="1" x14ac:dyDescent="0.35">
      <c r="O2311" s="9"/>
      <c r="V2311" s="9"/>
      <c r="W2311" s="9"/>
    </row>
    <row r="2312" spans="15:23" ht="31.4" customHeight="1" x14ac:dyDescent="0.35">
      <c r="O2312" s="9"/>
      <c r="V2312" s="9"/>
      <c r="W2312" s="9"/>
    </row>
    <row r="2313" spans="15:23" ht="31.4" customHeight="1" x14ac:dyDescent="0.35">
      <c r="O2313" s="9"/>
      <c r="V2313" s="9"/>
      <c r="W2313" s="9"/>
    </row>
    <row r="2314" spans="15:23" ht="31.4" customHeight="1" x14ac:dyDescent="0.35">
      <c r="O2314" s="9"/>
      <c r="V2314" s="9"/>
      <c r="W2314" s="9"/>
    </row>
    <row r="2315" spans="15:23" ht="31.4" customHeight="1" x14ac:dyDescent="0.35">
      <c r="O2315" s="9"/>
      <c r="V2315" s="9"/>
      <c r="W2315" s="9"/>
    </row>
    <row r="2316" spans="15:23" ht="31.4" customHeight="1" x14ac:dyDescent="0.35">
      <c r="O2316" s="9"/>
      <c r="V2316" s="9"/>
      <c r="W2316" s="9"/>
    </row>
    <row r="2317" spans="15:23" ht="31.4" customHeight="1" x14ac:dyDescent="0.35">
      <c r="O2317" s="9"/>
      <c r="V2317" s="9"/>
      <c r="W2317" s="9"/>
    </row>
    <row r="2318" spans="15:23" ht="31.4" customHeight="1" x14ac:dyDescent="0.35">
      <c r="O2318" s="9"/>
      <c r="V2318" s="9"/>
      <c r="W2318" s="9"/>
    </row>
    <row r="2319" spans="15:23" ht="31.4" customHeight="1" x14ac:dyDescent="0.35">
      <c r="O2319" s="9"/>
      <c r="V2319" s="9"/>
      <c r="W2319" s="9"/>
    </row>
    <row r="2320" spans="15:23" ht="31.4" customHeight="1" x14ac:dyDescent="0.35">
      <c r="O2320" s="9"/>
      <c r="V2320" s="9"/>
      <c r="W2320" s="9"/>
    </row>
    <row r="2321" spans="15:23" ht="31.4" customHeight="1" x14ac:dyDescent="0.35">
      <c r="O2321" s="9"/>
      <c r="V2321" s="9"/>
      <c r="W2321" s="9"/>
    </row>
    <row r="2322" spans="15:23" ht="31.4" customHeight="1" x14ac:dyDescent="0.35">
      <c r="O2322" s="9"/>
      <c r="V2322" s="9"/>
      <c r="W2322" s="9"/>
    </row>
    <row r="2323" spans="15:23" ht="31.4" customHeight="1" x14ac:dyDescent="0.35">
      <c r="O2323" s="9"/>
      <c r="V2323" s="9"/>
      <c r="W2323" s="9"/>
    </row>
    <row r="2324" spans="15:23" ht="31.4" customHeight="1" x14ac:dyDescent="0.35">
      <c r="O2324" s="9"/>
      <c r="V2324" s="9"/>
      <c r="W2324" s="9"/>
    </row>
    <row r="2325" spans="15:23" ht="31.4" customHeight="1" x14ac:dyDescent="0.35">
      <c r="O2325" s="9"/>
      <c r="V2325" s="9"/>
      <c r="W2325" s="9"/>
    </row>
    <row r="2326" spans="15:23" ht="31.4" customHeight="1" x14ac:dyDescent="0.35">
      <c r="O2326" s="9"/>
      <c r="V2326" s="9"/>
      <c r="W2326" s="9"/>
    </row>
    <row r="2327" spans="15:23" ht="31.4" customHeight="1" x14ac:dyDescent="0.35">
      <c r="O2327" s="9"/>
      <c r="V2327" s="9"/>
      <c r="W2327" s="9"/>
    </row>
    <row r="2328" spans="15:23" ht="31.4" customHeight="1" x14ac:dyDescent="0.35">
      <c r="O2328" s="9"/>
      <c r="V2328" s="9"/>
      <c r="W2328" s="9"/>
    </row>
    <row r="2329" spans="15:23" ht="31.4" customHeight="1" x14ac:dyDescent="0.35">
      <c r="O2329" s="9"/>
      <c r="V2329" s="9"/>
      <c r="W2329" s="9"/>
    </row>
    <row r="2330" spans="15:23" ht="31.4" customHeight="1" x14ac:dyDescent="0.35">
      <c r="O2330" s="9"/>
      <c r="V2330" s="9"/>
      <c r="W2330" s="9"/>
    </row>
    <row r="2331" spans="15:23" ht="31.4" customHeight="1" x14ac:dyDescent="0.35">
      <c r="O2331" s="9"/>
      <c r="V2331" s="9"/>
      <c r="W2331" s="9"/>
    </row>
    <row r="2332" spans="15:23" ht="31.4" customHeight="1" x14ac:dyDescent="0.35">
      <c r="O2332" s="9"/>
      <c r="V2332" s="9"/>
      <c r="W2332" s="9"/>
    </row>
    <row r="2333" spans="15:23" ht="31.4" customHeight="1" x14ac:dyDescent="0.35">
      <c r="O2333" s="9"/>
      <c r="V2333" s="9"/>
      <c r="W2333" s="9"/>
    </row>
    <row r="2334" spans="15:23" ht="31.4" customHeight="1" x14ac:dyDescent="0.35">
      <c r="O2334" s="9"/>
      <c r="V2334" s="9"/>
      <c r="W2334" s="9"/>
    </row>
    <row r="2335" spans="15:23" ht="31.4" customHeight="1" x14ac:dyDescent="0.35">
      <c r="O2335" s="9"/>
      <c r="V2335" s="9"/>
      <c r="W2335" s="9"/>
    </row>
    <row r="2336" spans="15:23" ht="31.4" customHeight="1" x14ac:dyDescent="0.35">
      <c r="O2336" s="9"/>
      <c r="V2336" s="9"/>
      <c r="W2336" s="9"/>
    </row>
    <row r="2337" spans="15:23" ht="31.4" customHeight="1" x14ac:dyDescent="0.35">
      <c r="O2337" s="9"/>
      <c r="V2337" s="9"/>
      <c r="W2337" s="9"/>
    </row>
    <row r="2338" spans="15:23" ht="31.4" customHeight="1" x14ac:dyDescent="0.35">
      <c r="O2338" s="9"/>
      <c r="V2338" s="9"/>
      <c r="W2338" s="9"/>
    </row>
    <row r="2339" spans="15:23" ht="31.4" customHeight="1" x14ac:dyDescent="0.35">
      <c r="O2339" s="9"/>
      <c r="V2339" s="9"/>
      <c r="W2339" s="9"/>
    </row>
    <row r="2340" spans="15:23" ht="31.4" customHeight="1" x14ac:dyDescent="0.35">
      <c r="O2340" s="9"/>
      <c r="V2340" s="9"/>
      <c r="W2340" s="9"/>
    </row>
    <row r="2341" spans="15:23" ht="31.4" customHeight="1" x14ac:dyDescent="0.35">
      <c r="O2341" s="9"/>
      <c r="V2341" s="9"/>
      <c r="W2341" s="9"/>
    </row>
    <row r="2342" spans="15:23" ht="31.4" customHeight="1" x14ac:dyDescent="0.35">
      <c r="O2342" s="9"/>
      <c r="V2342" s="9"/>
      <c r="W2342" s="9"/>
    </row>
    <row r="2343" spans="15:23" ht="31.4" customHeight="1" x14ac:dyDescent="0.35">
      <c r="O2343" s="9"/>
      <c r="V2343" s="9"/>
      <c r="W2343" s="9"/>
    </row>
    <row r="2344" spans="15:23" ht="31.4" customHeight="1" x14ac:dyDescent="0.35">
      <c r="O2344" s="9"/>
      <c r="V2344" s="9"/>
      <c r="W2344" s="9"/>
    </row>
    <row r="2345" spans="15:23" ht="31.4" customHeight="1" x14ac:dyDescent="0.35">
      <c r="O2345" s="9"/>
      <c r="V2345" s="9"/>
      <c r="W2345" s="9"/>
    </row>
    <row r="2346" spans="15:23" ht="31.4" customHeight="1" x14ac:dyDescent="0.35">
      <c r="O2346" s="9"/>
      <c r="V2346" s="9"/>
      <c r="W2346" s="9"/>
    </row>
    <row r="2347" spans="15:23" ht="31.4" customHeight="1" x14ac:dyDescent="0.35">
      <c r="O2347" s="9"/>
      <c r="V2347" s="9"/>
      <c r="W2347" s="9"/>
    </row>
    <row r="2348" spans="15:23" ht="31.4" customHeight="1" x14ac:dyDescent="0.35">
      <c r="O2348" s="9"/>
      <c r="V2348" s="9"/>
      <c r="W2348" s="9"/>
    </row>
    <row r="2349" spans="15:23" ht="31.4" customHeight="1" x14ac:dyDescent="0.35">
      <c r="O2349" s="9"/>
      <c r="V2349" s="9"/>
      <c r="W2349" s="9"/>
    </row>
    <row r="2350" spans="15:23" ht="31.4" customHeight="1" x14ac:dyDescent="0.35">
      <c r="O2350" s="9"/>
      <c r="V2350" s="9"/>
      <c r="W2350" s="9"/>
    </row>
    <row r="2351" spans="15:23" ht="31.4" customHeight="1" x14ac:dyDescent="0.35">
      <c r="O2351" s="9"/>
      <c r="V2351" s="9"/>
      <c r="W2351" s="9"/>
    </row>
    <row r="2352" spans="15:23" ht="31.4" customHeight="1" x14ac:dyDescent="0.35">
      <c r="O2352" s="9"/>
      <c r="V2352" s="9"/>
      <c r="W2352" s="9"/>
    </row>
    <row r="2353" spans="15:23" ht="31.4" customHeight="1" x14ac:dyDescent="0.35">
      <c r="O2353" s="9"/>
      <c r="V2353" s="9"/>
      <c r="W2353" s="9"/>
    </row>
    <row r="2354" spans="15:23" ht="31.4" customHeight="1" x14ac:dyDescent="0.35">
      <c r="O2354" s="9"/>
      <c r="V2354" s="9"/>
      <c r="W2354" s="9"/>
    </row>
    <row r="2355" spans="15:23" ht="31.4" customHeight="1" x14ac:dyDescent="0.35">
      <c r="O2355" s="9"/>
      <c r="V2355" s="9"/>
      <c r="W2355" s="9"/>
    </row>
    <row r="2356" spans="15:23" ht="31.4" customHeight="1" x14ac:dyDescent="0.35">
      <c r="O2356" s="9"/>
      <c r="V2356" s="9"/>
      <c r="W2356" s="9"/>
    </row>
    <row r="2357" spans="15:23" ht="31.4" customHeight="1" x14ac:dyDescent="0.35">
      <c r="O2357" s="9"/>
      <c r="V2357" s="9"/>
      <c r="W2357" s="9"/>
    </row>
    <row r="2358" spans="15:23" ht="31.4" customHeight="1" x14ac:dyDescent="0.35">
      <c r="O2358" s="9"/>
      <c r="V2358" s="9"/>
      <c r="W2358" s="9"/>
    </row>
    <row r="2359" spans="15:23" ht="31.4" customHeight="1" x14ac:dyDescent="0.35">
      <c r="O2359" s="9"/>
      <c r="V2359" s="9"/>
      <c r="W2359" s="9"/>
    </row>
    <row r="2360" spans="15:23" ht="31.4" customHeight="1" x14ac:dyDescent="0.35">
      <c r="O2360" s="9"/>
      <c r="V2360" s="9"/>
      <c r="W2360" s="9"/>
    </row>
    <row r="2361" spans="15:23" ht="31.4" customHeight="1" x14ac:dyDescent="0.35">
      <c r="O2361" s="9"/>
      <c r="V2361" s="9"/>
      <c r="W2361" s="9"/>
    </row>
    <row r="2362" spans="15:23" ht="31.4" customHeight="1" x14ac:dyDescent="0.35">
      <c r="O2362" s="9"/>
      <c r="V2362" s="9"/>
      <c r="W2362" s="9"/>
    </row>
    <row r="2363" spans="15:23" ht="31.4" customHeight="1" x14ac:dyDescent="0.35">
      <c r="O2363" s="9"/>
      <c r="V2363" s="9"/>
      <c r="W2363" s="9"/>
    </row>
    <row r="2364" spans="15:23" ht="31.4" customHeight="1" x14ac:dyDescent="0.35">
      <c r="O2364" s="9"/>
      <c r="V2364" s="9"/>
      <c r="W2364" s="9"/>
    </row>
    <row r="2365" spans="15:23" ht="31.4" customHeight="1" x14ac:dyDescent="0.35">
      <c r="O2365" s="9"/>
      <c r="V2365" s="9"/>
      <c r="W2365" s="9"/>
    </row>
    <row r="2366" spans="15:23" ht="31.4" customHeight="1" x14ac:dyDescent="0.35">
      <c r="O2366" s="9"/>
      <c r="V2366" s="9"/>
      <c r="W2366" s="9"/>
    </row>
    <row r="2367" spans="15:23" ht="31.4" customHeight="1" x14ac:dyDescent="0.35">
      <c r="O2367" s="9"/>
      <c r="V2367" s="9"/>
      <c r="W2367" s="9"/>
    </row>
    <row r="2368" spans="15:23" ht="31.4" customHeight="1" x14ac:dyDescent="0.35">
      <c r="O2368" s="9"/>
      <c r="V2368" s="9"/>
      <c r="W2368" s="9"/>
    </row>
    <row r="2369" spans="15:23" ht="31.4" customHeight="1" x14ac:dyDescent="0.35">
      <c r="O2369" s="9"/>
      <c r="V2369" s="9"/>
      <c r="W2369" s="9"/>
    </row>
    <row r="2370" spans="15:23" ht="31.4" customHeight="1" x14ac:dyDescent="0.35">
      <c r="O2370" s="9"/>
      <c r="V2370" s="9"/>
      <c r="W2370" s="9"/>
    </row>
    <row r="2371" spans="15:23" ht="31.4" customHeight="1" x14ac:dyDescent="0.35">
      <c r="O2371" s="9"/>
      <c r="V2371" s="9"/>
      <c r="W2371" s="9"/>
    </row>
    <row r="2372" spans="15:23" ht="31.4" customHeight="1" x14ac:dyDescent="0.35">
      <c r="O2372" s="9"/>
      <c r="V2372" s="9"/>
      <c r="W2372" s="9"/>
    </row>
    <row r="2373" spans="15:23" ht="31.4" customHeight="1" x14ac:dyDescent="0.35">
      <c r="O2373" s="9"/>
      <c r="V2373" s="9"/>
      <c r="W2373" s="9"/>
    </row>
    <row r="2374" spans="15:23" ht="31.4" customHeight="1" x14ac:dyDescent="0.35">
      <c r="O2374" s="9"/>
      <c r="V2374" s="9"/>
      <c r="W2374" s="9"/>
    </row>
    <row r="2375" spans="15:23" ht="31.4" customHeight="1" x14ac:dyDescent="0.35">
      <c r="O2375" s="9"/>
      <c r="V2375" s="9"/>
      <c r="W2375" s="9"/>
    </row>
    <row r="2376" spans="15:23" ht="31.4" customHeight="1" x14ac:dyDescent="0.35">
      <c r="O2376" s="9"/>
      <c r="V2376" s="9"/>
      <c r="W2376" s="9"/>
    </row>
    <row r="2377" spans="15:23" ht="31.4" customHeight="1" x14ac:dyDescent="0.35">
      <c r="O2377" s="9"/>
      <c r="V2377" s="9"/>
      <c r="W2377" s="9"/>
    </row>
    <row r="2378" spans="15:23" ht="31.4" customHeight="1" x14ac:dyDescent="0.35">
      <c r="O2378" s="9"/>
      <c r="V2378" s="9"/>
      <c r="W2378" s="9"/>
    </row>
    <row r="2379" spans="15:23" ht="31.4" customHeight="1" x14ac:dyDescent="0.35">
      <c r="O2379" s="9"/>
      <c r="V2379" s="9"/>
      <c r="W2379" s="9"/>
    </row>
    <row r="2380" spans="15:23" ht="31.4" customHeight="1" x14ac:dyDescent="0.35">
      <c r="O2380" s="9"/>
      <c r="V2380" s="9"/>
      <c r="W2380" s="9"/>
    </row>
    <row r="2381" spans="15:23" ht="31.4" customHeight="1" x14ac:dyDescent="0.35">
      <c r="O2381" s="9"/>
      <c r="V2381" s="9"/>
      <c r="W2381" s="9"/>
    </row>
    <row r="2382" spans="15:23" ht="31.4" customHeight="1" x14ac:dyDescent="0.35">
      <c r="O2382" s="9"/>
      <c r="V2382" s="9"/>
      <c r="W2382" s="9"/>
    </row>
    <row r="2383" spans="15:23" ht="31.4" customHeight="1" x14ac:dyDescent="0.35">
      <c r="O2383" s="9"/>
      <c r="V2383" s="9"/>
      <c r="W2383" s="9"/>
    </row>
    <row r="2384" spans="15:23" ht="31.4" customHeight="1" x14ac:dyDescent="0.35">
      <c r="O2384" s="9"/>
      <c r="V2384" s="9"/>
      <c r="W2384" s="9"/>
    </row>
    <row r="2385" spans="15:23" ht="31.4" customHeight="1" x14ac:dyDescent="0.35">
      <c r="O2385" s="9"/>
      <c r="V2385" s="9"/>
      <c r="W2385" s="9"/>
    </row>
    <row r="2386" spans="15:23" ht="31.4" customHeight="1" x14ac:dyDescent="0.35">
      <c r="O2386" s="9"/>
      <c r="V2386" s="9"/>
      <c r="W2386" s="9"/>
    </row>
    <row r="2387" spans="15:23" ht="31.4" customHeight="1" x14ac:dyDescent="0.35">
      <c r="O2387" s="9"/>
      <c r="V2387" s="9"/>
      <c r="W2387" s="9"/>
    </row>
    <row r="2388" spans="15:23" ht="31.4" customHeight="1" x14ac:dyDescent="0.35">
      <c r="O2388" s="9"/>
      <c r="V2388" s="9"/>
      <c r="W2388" s="9"/>
    </row>
    <row r="2389" spans="15:23" ht="31.4" customHeight="1" x14ac:dyDescent="0.35">
      <c r="O2389" s="9"/>
      <c r="V2389" s="9"/>
      <c r="W2389" s="9"/>
    </row>
    <row r="2390" spans="15:23" ht="31.4" customHeight="1" x14ac:dyDescent="0.35">
      <c r="O2390" s="9"/>
      <c r="V2390" s="9"/>
      <c r="W2390" s="9"/>
    </row>
    <row r="2391" spans="15:23" ht="31.4" customHeight="1" x14ac:dyDescent="0.35">
      <c r="O2391" s="9"/>
      <c r="V2391" s="9"/>
      <c r="W2391" s="9"/>
    </row>
    <row r="2392" spans="15:23" ht="31.4" customHeight="1" x14ac:dyDescent="0.35">
      <c r="O2392" s="9"/>
      <c r="V2392" s="9"/>
      <c r="W2392" s="9"/>
    </row>
    <row r="2393" spans="15:23" ht="31.4" customHeight="1" x14ac:dyDescent="0.35">
      <c r="O2393" s="9"/>
      <c r="V2393" s="9"/>
      <c r="W2393" s="9"/>
    </row>
    <row r="2394" spans="15:23" ht="31.4" customHeight="1" x14ac:dyDescent="0.35">
      <c r="O2394" s="9"/>
      <c r="V2394" s="9"/>
      <c r="W2394" s="9"/>
    </row>
    <row r="2395" spans="15:23" ht="31.4" customHeight="1" x14ac:dyDescent="0.35">
      <c r="O2395" s="9"/>
      <c r="V2395" s="9"/>
      <c r="W2395" s="9"/>
    </row>
    <row r="2396" spans="15:23" ht="31.4" customHeight="1" x14ac:dyDescent="0.35">
      <c r="O2396" s="9"/>
      <c r="V2396" s="9"/>
      <c r="W2396" s="9"/>
    </row>
    <row r="2397" spans="15:23" ht="31.4" customHeight="1" x14ac:dyDescent="0.35">
      <c r="O2397" s="9"/>
      <c r="V2397" s="9"/>
      <c r="W2397" s="9"/>
    </row>
    <row r="2398" spans="15:23" ht="31.4" customHeight="1" x14ac:dyDescent="0.35">
      <c r="O2398" s="9"/>
      <c r="V2398" s="9"/>
      <c r="W2398" s="9"/>
    </row>
    <row r="2399" spans="15:23" ht="31.4" customHeight="1" x14ac:dyDescent="0.35">
      <c r="O2399" s="9"/>
      <c r="V2399" s="9"/>
      <c r="W2399" s="9"/>
    </row>
    <row r="2400" spans="15:23" ht="31.4" customHeight="1" x14ac:dyDescent="0.35">
      <c r="O2400" s="9"/>
      <c r="V2400" s="9"/>
      <c r="W2400" s="9"/>
    </row>
    <row r="2401" spans="15:23" ht="31.4" customHeight="1" x14ac:dyDescent="0.35">
      <c r="O2401" s="9"/>
      <c r="V2401" s="9"/>
      <c r="W2401" s="9"/>
    </row>
    <row r="2402" spans="15:23" ht="31.4" customHeight="1" x14ac:dyDescent="0.35">
      <c r="O2402" s="9"/>
      <c r="V2402" s="9"/>
      <c r="W2402" s="9"/>
    </row>
    <row r="2403" spans="15:23" ht="31.4" customHeight="1" x14ac:dyDescent="0.35">
      <c r="O2403" s="9"/>
      <c r="V2403" s="9"/>
      <c r="W2403" s="9"/>
    </row>
    <row r="2404" spans="15:23" ht="31.4" customHeight="1" x14ac:dyDescent="0.35">
      <c r="O2404" s="9"/>
      <c r="V2404" s="9"/>
      <c r="W2404" s="9"/>
    </row>
    <row r="2405" spans="15:23" ht="31.4" customHeight="1" x14ac:dyDescent="0.35">
      <c r="O2405" s="9"/>
      <c r="V2405" s="9"/>
      <c r="W2405" s="9"/>
    </row>
    <row r="2406" spans="15:23" ht="31.4" customHeight="1" x14ac:dyDescent="0.35">
      <c r="O2406" s="9"/>
      <c r="V2406" s="9"/>
      <c r="W2406" s="9"/>
    </row>
    <row r="2407" spans="15:23" ht="31.4" customHeight="1" x14ac:dyDescent="0.35">
      <c r="O2407" s="9"/>
      <c r="V2407" s="9"/>
      <c r="W2407" s="9"/>
    </row>
    <row r="2408" spans="15:23" ht="31.4" customHeight="1" x14ac:dyDescent="0.35">
      <c r="O2408" s="9"/>
      <c r="V2408" s="9"/>
      <c r="W2408" s="9"/>
    </row>
    <row r="2409" spans="15:23" ht="31.4" customHeight="1" x14ac:dyDescent="0.35">
      <c r="O2409" s="9"/>
      <c r="V2409" s="9"/>
      <c r="W2409" s="9"/>
    </row>
    <row r="2410" spans="15:23" ht="31.4" customHeight="1" x14ac:dyDescent="0.35">
      <c r="O2410" s="9"/>
      <c r="V2410" s="9"/>
      <c r="W2410" s="9"/>
    </row>
    <row r="2411" spans="15:23" ht="31.4" customHeight="1" x14ac:dyDescent="0.35">
      <c r="O2411" s="9"/>
      <c r="V2411" s="9"/>
      <c r="W2411" s="9"/>
    </row>
    <row r="2412" spans="15:23" ht="31.4" customHeight="1" x14ac:dyDescent="0.35">
      <c r="O2412" s="9"/>
      <c r="V2412" s="9"/>
      <c r="W2412" s="9"/>
    </row>
    <row r="2413" spans="15:23" ht="31.4" customHeight="1" x14ac:dyDescent="0.35">
      <c r="O2413" s="9"/>
      <c r="V2413" s="9"/>
      <c r="W2413" s="9"/>
    </row>
    <row r="2414" spans="15:23" ht="31.4" customHeight="1" x14ac:dyDescent="0.35">
      <c r="O2414" s="9"/>
      <c r="V2414" s="9"/>
      <c r="W2414" s="9"/>
    </row>
    <row r="2415" spans="15:23" ht="31.4" customHeight="1" x14ac:dyDescent="0.35">
      <c r="O2415" s="9"/>
      <c r="V2415" s="9"/>
      <c r="W2415" s="9"/>
    </row>
    <row r="2416" spans="15:23" ht="31.4" customHeight="1" x14ac:dyDescent="0.35">
      <c r="O2416" s="9"/>
      <c r="V2416" s="9"/>
      <c r="W2416" s="9"/>
    </row>
    <row r="2417" spans="15:23" ht="31.4" customHeight="1" x14ac:dyDescent="0.35">
      <c r="O2417" s="9"/>
      <c r="V2417" s="9"/>
      <c r="W2417" s="9"/>
    </row>
    <row r="2418" spans="15:23" ht="31.4" customHeight="1" x14ac:dyDescent="0.35">
      <c r="O2418" s="9"/>
      <c r="V2418" s="9"/>
      <c r="W2418" s="9"/>
    </row>
    <row r="2419" spans="15:23" ht="31.4" customHeight="1" x14ac:dyDescent="0.35">
      <c r="O2419" s="9"/>
      <c r="V2419" s="9"/>
      <c r="W2419" s="9"/>
    </row>
    <row r="2420" spans="15:23" ht="31.4" customHeight="1" x14ac:dyDescent="0.35">
      <c r="O2420" s="9"/>
      <c r="V2420" s="9"/>
      <c r="W2420" s="9"/>
    </row>
    <row r="2421" spans="15:23" ht="31.4" customHeight="1" x14ac:dyDescent="0.35">
      <c r="O2421" s="9"/>
      <c r="V2421" s="9"/>
      <c r="W2421" s="9"/>
    </row>
    <row r="2422" spans="15:23" ht="31.4" customHeight="1" x14ac:dyDescent="0.35">
      <c r="O2422" s="9"/>
      <c r="V2422" s="9"/>
      <c r="W2422" s="9"/>
    </row>
    <row r="2423" spans="15:23" ht="31.4" customHeight="1" x14ac:dyDescent="0.35">
      <c r="O2423" s="9"/>
      <c r="V2423" s="9"/>
      <c r="W2423" s="9"/>
    </row>
    <row r="2424" spans="15:23" ht="31.4" customHeight="1" x14ac:dyDescent="0.35">
      <c r="O2424" s="9"/>
      <c r="V2424" s="9"/>
      <c r="W2424" s="9"/>
    </row>
    <row r="2425" spans="15:23" ht="31.4" customHeight="1" x14ac:dyDescent="0.35">
      <c r="O2425" s="9"/>
      <c r="V2425" s="9"/>
      <c r="W2425" s="9"/>
    </row>
    <row r="2426" spans="15:23" ht="31.4" customHeight="1" x14ac:dyDescent="0.35">
      <c r="O2426" s="9"/>
      <c r="V2426" s="9"/>
      <c r="W2426" s="9"/>
    </row>
    <row r="2427" spans="15:23" ht="31.4" customHeight="1" x14ac:dyDescent="0.35">
      <c r="O2427" s="9"/>
      <c r="V2427" s="9"/>
      <c r="W2427" s="9"/>
    </row>
    <row r="2428" spans="15:23" ht="31.4" customHeight="1" x14ac:dyDescent="0.35">
      <c r="O2428" s="9"/>
      <c r="V2428" s="9"/>
      <c r="W2428" s="9"/>
    </row>
    <row r="2429" spans="15:23" ht="31.4" customHeight="1" x14ac:dyDescent="0.35">
      <c r="O2429" s="9"/>
      <c r="V2429" s="9"/>
      <c r="W2429" s="9"/>
    </row>
    <row r="2430" spans="15:23" ht="31.4" customHeight="1" x14ac:dyDescent="0.35">
      <c r="O2430" s="9"/>
      <c r="V2430" s="9"/>
      <c r="W2430" s="9"/>
    </row>
    <row r="2431" spans="15:23" ht="31.4" customHeight="1" x14ac:dyDescent="0.35">
      <c r="O2431" s="9"/>
      <c r="V2431" s="9"/>
      <c r="W2431" s="9"/>
    </row>
    <row r="2432" spans="15:23" ht="31.4" customHeight="1" x14ac:dyDescent="0.35">
      <c r="O2432" s="9"/>
      <c r="V2432" s="9"/>
      <c r="W2432" s="9"/>
    </row>
    <row r="2433" spans="15:23" ht="31.4" customHeight="1" x14ac:dyDescent="0.35">
      <c r="O2433" s="9"/>
      <c r="V2433" s="9"/>
      <c r="W2433" s="9"/>
    </row>
    <row r="2434" spans="15:23" ht="31.4" customHeight="1" x14ac:dyDescent="0.35">
      <c r="O2434" s="9"/>
      <c r="V2434" s="9"/>
      <c r="W2434" s="9"/>
    </row>
    <row r="2435" spans="15:23" ht="31.4" customHeight="1" x14ac:dyDescent="0.35">
      <c r="O2435" s="9"/>
      <c r="V2435" s="9"/>
      <c r="W2435" s="9"/>
    </row>
    <row r="2436" spans="15:23" ht="31.4" customHeight="1" x14ac:dyDescent="0.35">
      <c r="O2436" s="9"/>
      <c r="V2436" s="9"/>
      <c r="W2436" s="9"/>
    </row>
    <row r="2437" spans="15:23" ht="31.4" customHeight="1" x14ac:dyDescent="0.35">
      <c r="O2437" s="9"/>
      <c r="V2437" s="9"/>
      <c r="W2437" s="9"/>
    </row>
    <row r="2438" spans="15:23" ht="31.4" customHeight="1" x14ac:dyDescent="0.35">
      <c r="O2438" s="9"/>
      <c r="V2438" s="9"/>
      <c r="W2438" s="9"/>
    </row>
    <row r="2439" spans="15:23" ht="31.4" customHeight="1" x14ac:dyDescent="0.35">
      <c r="O2439" s="9"/>
      <c r="V2439" s="9"/>
      <c r="W2439" s="9"/>
    </row>
    <row r="2440" spans="15:23" ht="31.4" customHeight="1" x14ac:dyDescent="0.35">
      <c r="O2440" s="9"/>
      <c r="V2440" s="9"/>
      <c r="W2440" s="9"/>
    </row>
    <row r="2441" spans="15:23" ht="31.4" customHeight="1" x14ac:dyDescent="0.35">
      <c r="O2441" s="9"/>
      <c r="V2441" s="9"/>
      <c r="W2441" s="9"/>
    </row>
    <row r="2442" spans="15:23" ht="31.4" customHeight="1" x14ac:dyDescent="0.35">
      <c r="O2442" s="9"/>
      <c r="V2442" s="9"/>
      <c r="W2442" s="9"/>
    </row>
    <row r="2443" spans="15:23" ht="31.4" customHeight="1" x14ac:dyDescent="0.35">
      <c r="O2443" s="9"/>
      <c r="V2443" s="9"/>
      <c r="W2443" s="9"/>
    </row>
    <row r="2444" spans="15:23" ht="31.4" customHeight="1" x14ac:dyDescent="0.35">
      <c r="O2444" s="9"/>
      <c r="V2444" s="9"/>
      <c r="W2444" s="9"/>
    </row>
    <row r="2445" spans="15:23" ht="31.4" customHeight="1" x14ac:dyDescent="0.35">
      <c r="O2445" s="9"/>
      <c r="V2445" s="9"/>
      <c r="W2445" s="9"/>
    </row>
    <row r="2446" spans="15:23" ht="31.4" customHeight="1" x14ac:dyDescent="0.35">
      <c r="O2446" s="9"/>
      <c r="V2446" s="9"/>
      <c r="W2446" s="9"/>
    </row>
    <row r="2447" spans="15:23" ht="31.4" customHeight="1" x14ac:dyDescent="0.35">
      <c r="O2447" s="9"/>
      <c r="V2447" s="9"/>
      <c r="W2447" s="9"/>
    </row>
    <row r="2448" spans="15:23" ht="31.4" customHeight="1" x14ac:dyDescent="0.35">
      <c r="O2448" s="9"/>
      <c r="V2448" s="9"/>
      <c r="W2448" s="9"/>
    </row>
    <row r="2449" spans="15:23" ht="31.4" customHeight="1" x14ac:dyDescent="0.35">
      <c r="O2449" s="9"/>
      <c r="V2449" s="9"/>
      <c r="W2449" s="9"/>
    </row>
    <row r="2450" spans="15:23" ht="31.4" customHeight="1" x14ac:dyDescent="0.35">
      <c r="O2450" s="9"/>
      <c r="V2450" s="9"/>
      <c r="W2450" s="9"/>
    </row>
    <row r="2451" spans="15:23" ht="31.4" customHeight="1" x14ac:dyDescent="0.35">
      <c r="O2451" s="9"/>
      <c r="V2451" s="9"/>
      <c r="W2451" s="9"/>
    </row>
    <row r="2452" spans="15:23" ht="31.4" customHeight="1" x14ac:dyDescent="0.35">
      <c r="O2452" s="9"/>
      <c r="V2452" s="9"/>
      <c r="W2452" s="9"/>
    </row>
    <row r="2453" spans="15:23" ht="31.4" customHeight="1" x14ac:dyDescent="0.35">
      <c r="O2453" s="9"/>
      <c r="V2453" s="9"/>
      <c r="W2453" s="9"/>
    </row>
    <row r="2454" spans="15:23" ht="31.4" customHeight="1" x14ac:dyDescent="0.35">
      <c r="O2454" s="9"/>
      <c r="V2454" s="9"/>
      <c r="W2454" s="9"/>
    </row>
    <row r="2455" spans="15:23" ht="31.4" customHeight="1" x14ac:dyDescent="0.35">
      <c r="O2455" s="9"/>
      <c r="V2455" s="9"/>
      <c r="W2455" s="9"/>
    </row>
    <row r="2456" spans="15:23" ht="31.4" customHeight="1" x14ac:dyDescent="0.35">
      <c r="O2456" s="9"/>
      <c r="V2456" s="9"/>
      <c r="W2456" s="9"/>
    </row>
    <row r="2457" spans="15:23" ht="31.4" customHeight="1" x14ac:dyDescent="0.35">
      <c r="O2457" s="9"/>
      <c r="V2457" s="9"/>
      <c r="W2457" s="9"/>
    </row>
    <row r="2458" spans="15:23" ht="31.4" customHeight="1" x14ac:dyDescent="0.35">
      <c r="O2458" s="9"/>
      <c r="V2458" s="9"/>
      <c r="W2458" s="9"/>
    </row>
    <row r="2459" spans="15:23" ht="31.4" customHeight="1" x14ac:dyDescent="0.35">
      <c r="O2459" s="9"/>
      <c r="V2459" s="9"/>
      <c r="W2459" s="9"/>
    </row>
    <row r="2460" spans="15:23" ht="31.4" customHeight="1" x14ac:dyDescent="0.35">
      <c r="O2460" s="9"/>
      <c r="V2460" s="9"/>
      <c r="W2460" s="9"/>
    </row>
    <row r="2461" spans="15:23" ht="31.4" customHeight="1" x14ac:dyDescent="0.35">
      <c r="O2461" s="9"/>
      <c r="V2461" s="9"/>
      <c r="W2461" s="9"/>
    </row>
    <row r="2462" spans="15:23" ht="31.4" customHeight="1" x14ac:dyDescent="0.35">
      <c r="O2462" s="9"/>
      <c r="V2462" s="9"/>
      <c r="W2462" s="9"/>
    </row>
    <row r="2463" spans="15:23" ht="31.4" customHeight="1" x14ac:dyDescent="0.35">
      <c r="O2463" s="9"/>
      <c r="V2463" s="9"/>
      <c r="W2463" s="9"/>
    </row>
    <row r="2464" spans="15:23" ht="31.4" customHeight="1" x14ac:dyDescent="0.35">
      <c r="O2464" s="9"/>
      <c r="V2464" s="9"/>
      <c r="W2464" s="9"/>
    </row>
    <row r="2465" spans="15:23" ht="31.4" customHeight="1" x14ac:dyDescent="0.35">
      <c r="O2465" s="9"/>
      <c r="V2465" s="9"/>
      <c r="W2465" s="9"/>
    </row>
    <row r="2466" spans="15:23" ht="31.4" customHeight="1" x14ac:dyDescent="0.35">
      <c r="O2466" s="9"/>
      <c r="V2466" s="9"/>
      <c r="W2466" s="9"/>
    </row>
    <row r="2467" spans="15:23" ht="31.4" customHeight="1" x14ac:dyDescent="0.35">
      <c r="O2467" s="9"/>
      <c r="V2467" s="9"/>
      <c r="W2467" s="9"/>
    </row>
    <row r="2468" spans="15:23" ht="31.4" customHeight="1" x14ac:dyDescent="0.35">
      <c r="O2468" s="9"/>
      <c r="V2468" s="9"/>
      <c r="W2468" s="9"/>
    </row>
    <row r="2469" spans="15:23" ht="31.4" customHeight="1" x14ac:dyDescent="0.35">
      <c r="O2469" s="9"/>
      <c r="V2469" s="9"/>
      <c r="W2469" s="9"/>
    </row>
    <row r="2470" spans="15:23" ht="31.4" customHeight="1" x14ac:dyDescent="0.35">
      <c r="O2470" s="9"/>
      <c r="V2470" s="9"/>
      <c r="W2470" s="9"/>
    </row>
    <row r="2471" spans="15:23" ht="31.4" customHeight="1" x14ac:dyDescent="0.35">
      <c r="O2471" s="9"/>
      <c r="V2471" s="9"/>
      <c r="W2471" s="9"/>
    </row>
    <row r="2472" spans="15:23" ht="31.4" customHeight="1" x14ac:dyDescent="0.35">
      <c r="O2472" s="9"/>
      <c r="V2472" s="9"/>
      <c r="W2472" s="9"/>
    </row>
    <row r="2473" spans="15:23" ht="31.4" customHeight="1" x14ac:dyDescent="0.35">
      <c r="O2473" s="9"/>
      <c r="V2473" s="9"/>
      <c r="W2473" s="9"/>
    </row>
    <row r="2474" spans="15:23" ht="31.4" customHeight="1" x14ac:dyDescent="0.35">
      <c r="O2474" s="9"/>
      <c r="V2474" s="9"/>
      <c r="W2474" s="9"/>
    </row>
    <row r="2475" spans="15:23" ht="31.4" customHeight="1" x14ac:dyDescent="0.35">
      <c r="O2475" s="9"/>
      <c r="V2475" s="9"/>
      <c r="W2475" s="9"/>
    </row>
    <row r="2476" spans="15:23" ht="31.4" customHeight="1" x14ac:dyDescent="0.35">
      <c r="O2476" s="9"/>
      <c r="V2476" s="9"/>
      <c r="W2476" s="9"/>
    </row>
    <row r="2477" spans="15:23" ht="31.4" customHeight="1" x14ac:dyDescent="0.35">
      <c r="O2477" s="9"/>
      <c r="V2477" s="9"/>
      <c r="W2477" s="9"/>
    </row>
    <row r="2478" spans="15:23" ht="31.4" customHeight="1" x14ac:dyDescent="0.35">
      <c r="O2478" s="9"/>
      <c r="V2478" s="9"/>
      <c r="W2478" s="9"/>
    </row>
    <row r="2479" spans="15:23" ht="31.4" customHeight="1" x14ac:dyDescent="0.35">
      <c r="O2479" s="9"/>
      <c r="V2479" s="9"/>
      <c r="W2479" s="9"/>
    </row>
    <row r="2480" spans="15:23" ht="31.4" customHeight="1" x14ac:dyDescent="0.35">
      <c r="O2480" s="9"/>
      <c r="V2480" s="9"/>
      <c r="W2480" s="9"/>
    </row>
    <row r="2481" spans="15:23" ht="31.4" customHeight="1" x14ac:dyDescent="0.35">
      <c r="O2481" s="9"/>
      <c r="V2481" s="9"/>
      <c r="W2481" s="9"/>
    </row>
    <row r="2482" spans="15:23" ht="31.4" customHeight="1" x14ac:dyDescent="0.35">
      <c r="O2482" s="9"/>
      <c r="V2482" s="9"/>
      <c r="W2482" s="9"/>
    </row>
    <row r="2483" spans="15:23" ht="31.4" customHeight="1" x14ac:dyDescent="0.35">
      <c r="O2483" s="9"/>
      <c r="V2483" s="9"/>
      <c r="W2483" s="9"/>
    </row>
    <row r="2484" spans="15:23" ht="31.4" customHeight="1" x14ac:dyDescent="0.35">
      <c r="O2484" s="9"/>
      <c r="V2484" s="9"/>
      <c r="W2484" s="9"/>
    </row>
    <row r="2485" spans="15:23" ht="31.4" customHeight="1" x14ac:dyDescent="0.35">
      <c r="O2485" s="9"/>
      <c r="V2485" s="9"/>
      <c r="W2485" s="9"/>
    </row>
    <row r="2486" spans="15:23" ht="31.4" customHeight="1" x14ac:dyDescent="0.35">
      <c r="O2486" s="9"/>
      <c r="V2486" s="9"/>
      <c r="W2486" s="9"/>
    </row>
    <row r="2487" spans="15:23" ht="31.4" customHeight="1" x14ac:dyDescent="0.35">
      <c r="O2487" s="9"/>
      <c r="V2487" s="9"/>
      <c r="W2487" s="9"/>
    </row>
    <row r="2488" spans="15:23" ht="31.4" customHeight="1" x14ac:dyDescent="0.35">
      <c r="O2488" s="9"/>
      <c r="V2488" s="9"/>
      <c r="W2488" s="9"/>
    </row>
    <row r="2489" spans="15:23" ht="31.4" customHeight="1" x14ac:dyDescent="0.35">
      <c r="O2489" s="9"/>
      <c r="V2489" s="9"/>
      <c r="W2489" s="9"/>
    </row>
    <row r="2490" spans="15:23" ht="31.4" customHeight="1" x14ac:dyDescent="0.35">
      <c r="O2490" s="9"/>
      <c r="V2490" s="9"/>
      <c r="W2490" s="9"/>
    </row>
    <row r="2491" spans="15:23" ht="31.4" customHeight="1" x14ac:dyDescent="0.35">
      <c r="O2491" s="9"/>
      <c r="V2491" s="9"/>
      <c r="W2491" s="9"/>
    </row>
    <row r="2492" spans="15:23" ht="31.4" customHeight="1" x14ac:dyDescent="0.35">
      <c r="O2492" s="9"/>
      <c r="V2492" s="9"/>
      <c r="W2492" s="9"/>
    </row>
    <row r="2493" spans="15:23" ht="31.4" customHeight="1" x14ac:dyDescent="0.35">
      <c r="O2493" s="9"/>
      <c r="V2493" s="9"/>
      <c r="W2493" s="9"/>
    </row>
    <row r="2494" spans="15:23" ht="31.4" customHeight="1" x14ac:dyDescent="0.35">
      <c r="O2494" s="9"/>
      <c r="V2494" s="9"/>
      <c r="W2494" s="9"/>
    </row>
    <row r="2495" spans="15:23" ht="31.4" customHeight="1" x14ac:dyDescent="0.35">
      <c r="O2495" s="9"/>
      <c r="V2495" s="9"/>
      <c r="W2495" s="9"/>
    </row>
    <row r="2496" spans="15:23" ht="31.4" customHeight="1" x14ac:dyDescent="0.35">
      <c r="O2496" s="9"/>
      <c r="V2496" s="9"/>
      <c r="W2496" s="9"/>
    </row>
    <row r="2497" spans="15:23" ht="31.4" customHeight="1" x14ac:dyDescent="0.35">
      <c r="O2497" s="9"/>
      <c r="V2497" s="9"/>
      <c r="W2497" s="9"/>
    </row>
    <row r="2498" spans="15:23" ht="31.4" customHeight="1" x14ac:dyDescent="0.35">
      <c r="O2498" s="9"/>
      <c r="V2498" s="9"/>
      <c r="W2498" s="9"/>
    </row>
    <row r="2499" spans="15:23" ht="31.4" customHeight="1" x14ac:dyDescent="0.35">
      <c r="O2499" s="9"/>
      <c r="V2499" s="9"/>
      <c r="W2499" s="9"/>
    </row>
    <row r="2500" spans="15:23" ht="31.4" customHeight="1" x14ac:dyDescent="0.35">
      <c r="O2500" s="9"/>
      <c r="V2500" s="9"/>
      <c r="W2500" s="9"/>
    </row>
    <row r="2501" spans="15:23" ht="31.4" customHeight="1" x14ac:dyDescent="0.35">
      <c r="O2501" s="9"/>
      <c r="V2501" s="9"/>
      <c r="W2501" s="9"/>
    </row>
    <row r="2502" spans="15:23" ht="31.4" customHeight="1" x14ac:dyDescent="0.35">
      <c r="O2502" s="9"/>
      <c r="V2502" s="9"/>
      <c r="W2502" s="9"/>
    </row>
    <row r="2503" spans="15:23" ht="31.4" customHeight="1" x14ac:dyDescent="0.35">
      <c r="O2503" s="9"/>
      <c r="V2503" s="9"/>
      <c r="W2503" s="9"/>
    </row>
    <row r="2504" spans="15:23" ht="31.4" customHeight="1" x14ac:dyDescent="0.35">
      <c r="O2504" s="9"/>
      <c r="V2504" s="9"/>
      <c r="W2504" s="9"/>
    </row>
    <row r="2505" spans="15:23" ht="31.4" customHeight="1" x14ac:dyDescent="0.35">
      <c r="O2505" s="9"/>
      <c r="V2505" s="9"/>
      <c r="W2505" s="9"/>
    </row>
    <row r="2506" spans="15:23" ht="31.4" customHeight="1" x14ac:dyDescent="0.35">
      <c r="O2506" s="9"/>
      <c r="V2506" s="9"/>
      <c r="W2506" s="9"/>
    </row>
    <row r="2507" spans="15:23" ht="31.4" customHeight="1" x14ac:dyDescent="0.35">
      <c r="O2507" s="9"/>
      <c r="V2507" s="9"/>
      <c r="W2507" s="9"/>
    </row>
    <row r="2508" spans="15:23" ht="31.4" customHeight="1" x14ac:dyDescent="0.35">
      <c r="O2508" s="9"/>
      <c r="V2508" s="9"/>
      <c r="W2508" s="9"/>
    </row>
    <row r="2509" spans="15:23" ht="31.4" customHeight="1" x14ac:dyDescent="0.35">
      <c r="O2509" s="9"/>
      <c r="V2509" s="9"/>
      <c r="W2509" s="9"/>
    </row>
    <row r="2510" spans="15:23" ht="31.4" customHeight="1" x14ac:dyDescent="0.35">
      <c r="O2510" s="9"/>
      <c r="V2510" s="9"/>
      <c r="W2510" s="9"/>
    </row>
    <row r="2511" spans="15:23" ht="31.4" customHeight="1" x14ac:dyDescent="0.35">
      <c r="O2511" s="9"/>
      <c r="V2511" s="9"/>
      <c r="W2511" s="9"/>
    </row>
    <row r="2512" spans="15:23" ht="31.4" customHeight="1" x14ac:dyDescent="0.35">
      <c r="O2512" s="9"/>
      <c r="V2512" s="9"/>
      <c r="W2512" s="9"/>
    </row>
    <row r="2513" spans="15:23" ht="31.4" customHeight="1" x14ac:dyDescent="0.35">
      <c r="O2513" s="9"/>
      <c r="V2513" s="9"/>
      <c r="W2513" s="9"/>
    </row>
    <row r="2514" spans="15:23" ht="31.4" customHeight="1" x14ac:dyDescent="0.35">
      <c r="O2514" s="9"/>
      <c r="V2514" s="9"/>
      <c r="W2514" s="9"/>
    </row>
    <row r="2515" spans="15:23" ht="31.4" customHeight="1" x14ac:dyDescent="0.35">
      <c r="O2515" s="9"/>
      <c r="V2515" s="9"/>
      <c r="W2515" s="9"/>
    </row>
    <row r="2516" spans="15:23" ht="31.4" customHeight="1" x14ac:dyDescent="0.35">
      <c r="O2516" s="9"/>
      <c r="V2516" s="9"/>
      <c r="W2516" s="9"/>
    </row>
    <row r="2517" spans="15:23" ht="31.4" customHeight="1" x14ac:dyDescent="0.35">
      <c r="O2517" s="9"/>
      <c r="V2517" s="9"/>
      <c r="W2517" s="9"/>
    </row>
    <row r="2518" spans="15:23" ht="31.4" customHeight="1" x14ac:dyDescent="0.35">
      <c r="O2518" s="9"/>
      <c r="V2518" s="9"/>
      <c r="W2518" s="9"/>
    </row>
    <row r="2519" spans="15:23" ht="31.4" customHeight="1" x14ac:dyDescent="0.35">
      <c r="O2519" s="9"/>
      <c r="V2519" s="9"/>
      <c r="W2519" s="9"/>
    </row>
    <row r="2520" spans="15:23" ht="31.4" customHeight="1" x14ac:dyDescent="0.35">
      <c r="O2520" s="9"/>
      <c r="V2520" s="9"/>
      <c r="W2520" s="9"/>
    </row>
    <row r="2521" spans="15:23" ht="31.4" customHeight="1" x14ac:dyDescent="0.35">
      <c r="O2521" s="9"/>
      <c r="V2521" s="9"/>
      <c r="W2521" s="9"/>
    </row>
    <row r="2522" spans="15:23" ht="31.4" customHeight="1" x14ac:dyDescent="0.35">
      <c r="O2522" s="9"/>
      <c r="V2522" s="9"/>
      <c r="W2522" s="9"/>
    </row>
    <row r="2523" spans="15:23" ht="31.4" customHeight="1" x14ac:dyDescent="0.35">
      <c r="O2523" s="9"/>
      <c r="V2523" s="9"/>
      <c r="W2523" s="9"/>
    </row>
    <row r="2524" spans="15:23" ht="31.4" customHeight="1" x14ac:dyDescent="0.35">
      <c r="O2524" s="9"/>
      <c r="V2524" s="9"/>
      <c r="W2524" s="9"/>
    </row>
    <row r="2525" spans="15:23" ht="31.4" customHeight="1" x14ac:dyDescent="0.35">
      <c r="O2525" s="9"/>
      <c r="V2525" s="9"/>
      <c r="W2525" s="9"/>
    </row>
    <row r="2526" spans="15:23" ht="31.4" customHeight="1" x14ac:dyDescent="0.35">
      <c r="O2526" s="9"/>
      <c r="V2526" s="9"/>
      <c r="W2526" s="9"/>
    </row>
    <row r="2527" spans="15:23" ht="31.4" customHeight="1" x14ac:dyDescent="0.35">
      <c r="O2527" s="9"/>
      <c r="V2527" s="9"/>
      <c r="W2527" s="9"/>
    </row>
    <row r="2528" spans="15:23" ht="31.4" customHeight="1" x14ac:dyDescent="0.35">
      <c r="O2528" s="9"/>
      <c r="V2528" s="9"/>
      <c r="W2528" s="9"/>
    </row>
    <row r="2529" spans="15:23" ht="31.4" customHeight="1" x14ac:dyDescent="0.35">
      <c r="O2529" s="9"/>
      <c r="V2529" s="9"/>
      <c r="W2529" s="9"/>
    </row>
    <row r="2530" spans="15:23" ht="31.4" customHeight="1" x14ac:dyDescent="0.35">
      <c r="O2530" s="9"/>
      <c r="V2530" s="9"/>
      <c r="W2530" s="9"/>
    </row>
    <row r="2531" spans="15:23" ht="31.4" customHeight="1" x14ac:dyDescent="0.35">
      <c r="O2531" s="9"/>
      <c r="V2531" s="9"/>
      <c r="W2531" s="9"/>
    </row>
    <row r="2532" spans="15:23" ht="31.4" customHeight="1" x14ac:dyDescent="0.35">
      <c r="O2532" s="9"/>
      <c r="V2532" s="9"/>
      <c r="W2532" s="9"/>
    </row>
    <row r="2533" spans="15:23" ht="31.4" customHeight="1" x14ac:dyDescent="0.35">
      <c r="O2533" s="9"/>
      <c r="V2533" s="9"/>
      <c r="W2533" s="9"/>
    </row>
    <row r="2534" spans="15:23" ht="31.4" customHeight="1" x14ac:dyDescent="0.35">
      <c r="O2534" s="9"/>
      <c r="V2534" s="9"/>
      <c r="W2534" s="9"/>
    </row>
    <row r="2535" spans="15:23" ht="31.4" customHeight="1" x14ac:dyDescent="0.35">
      <c r="O2535" s="9"/>
      <c r="V2535" s="9"/>
      <c r="W2535" s="9"/>
    </row>
    <row r="2536" spans="15:23" ht="31.4" customHeight="1" x14ac:dyDescent="0.35">
      <c r="O2536" s="9"/>
      <c r="V2536" s="9"/>
      <c r="W2536" s="9"/>
    </row>
    <row r="2537" spans="15:23" ht="31.4" customHeight="1" x14ac:dyDescent="0.35">
      <c r="O2537" s="9"/>
      <c r="V2537" s="9"/>
      <c r="W2537" s="9"/>
    </row>
    <row r="2538" spans="15:23" ht="31.4" customHeight="1" x14ac:dyDescent="0.35">
      <c r="O2538" s="9"/>
      <c r="V2538" s="9"/>
      <c r="W2538" s="9"/>
    </row>
    <row r="2539" spans="15:23" ht="31.4" customHeight="1" x14ac:dyDescent="0.35">
      <c r="O2539" s="9"/>
      <c r="V2539" s="9"/>
      <c r="W2539" s="9"/>
    </row>
    <row r="2540" spans="15:23" ht="31.4" customHeight="1" x14ac:dyDescent="0.35">
      <c r="O2540" s="9"/>
      <c r="V2540" s="9"/>
      <c r="W2540" s="9"/>
    </row>
    <row r="2541" spans="15:23" ht="31.4" customHeight="1" x14ac:dyDescent="0.35">
      <c r="O2541" s="9"/>
      <c r="V2541" s="9"/>
      <c r="W2541" s="9"/>
    </row>
    <row r="2542" spans="15:23" ht="31.4" customHeight="1" x14ac:dyDescent="0.35">
      <c r="O2542" s="9"/>
      <c r="V2542" s="9"/>
      <c r="W2542" s="9"/>
    </row>
    <row r="2543" spans="15:23" ht="31.4" customHeight="1" x14ac:dyDescent="0.35">
      <c r="O2543" s="9"/>
      <c r="V2543" s="9"/>
      <c r="W2543" s="9"/>
    </row>
    <row r="2544" spans="15:23" ht="31.4" customHeight="1" x14ac:dyDescent="0.35">
      <c r="O2544" s="9"/>
      <c r="V2544" s="9"/>
      <c r="W2544" s="9"/>
    </row>
    <row r="2545" spans="15:23" ht="31.4" customHeight="1" x14ac:dyDescent="0.35">
      <c r="O2545" s="9"/>
      <c r="V2545" s="9"/>
      <c r="W2545" s="9"/>
    </row>
    <row r="2546" spans="15:23" ht="31.4" customHeight="1" x14ac:dyDescent="0.35">
      <c r="O2546" s="9"/>
      <c r="V2546" s="9"/>
      <c r="W2546" s="9"/>
    </row>
    <row r="2547" spans="15:23" ht="31.4" customHeight="1" x14ac:dyDescent="0.35">
      <c r="O2547" s="9"/>
      <c r="V2547" s="9"/>
      <c r="W2547" s="9"/>
    </row>
    <row r="2548" spans="15:23" ht="31.4" customHeight="1" x14ac:dyDescent="0.35">
      <c r="O2548" s="9"/>
      <c r="V2548" s="9"/>
      <c r="W2548" s="9"/>
    </row>
    <row r="2549" spans="15:23" ht="31.4" customHeight="1" x14ac:dyDescent="0.35">
      <c r="O2549" s="9"/>
      <c r="V2549" s="9"/>
      <c r="W2549" s="9"/>
    </row>
    <row r="2550" spans="15:23" ht="31.4" customHeight="1" x14ac:dyDescent="0.35">
      <c r="O2550" s="9"/>
      <c r="V2550" s="9"/>
      <c r="W2550" s="9"/>
    </row>
    <row r="2551" spans="15:23" ht="31.4" customHeight="1" x14ac:dyDescent="0.35">
      <c r="O2551" s="9"/>
      <c r="V2551" s="9"/>
      <c r="W2551" s="9"/>
    </row>
    <row r="2552" spans="15:23" ht="31.4" customHeight="1" x14ac:dyDescent="0.35">
      <c r="O2552" s="9"/>
      <c r="V2552" s="9"/>
      <c r="W2552" s="9"/>
    </row>
    <row r="2553" spans="15:23" ht="31.4" customHeight="1" x14ac:dyDescent="0.35">
      <c r="O2553" s="9"/>
      <c r="V2553" s="9"/>
      <c r="W2553" s="9"/>
    </row>
    <row r="2554" spans="15:23" ht="31.4" customHeight="1" x14ac:dyDescent="0.35">
      <c r="O2554" s="9"/>
      <c r="V2554" s="9"/>
      <c r="W2554" s="9"/>
    </row>
    <row r="2555" spans="15:23" ht="31.4" customHeight="1" x14ac:dyDescent="0.35">
      <c r="O2555" s="9"/>
      <c r="V2555" s="9"/>
      <c r="W2555" s="9"/>
    </row>
    <row r="2556" spans="15:23" ht="31.4" customHeight="1" x14ac:dyDescent="0.35">
      <c r="O2556" s="9"/>
      <c r="V2556" s="9"/>
      <c r="W2556" s="9"/>
    </row>
    <row r="2557" spans="15:23" ht="31.4" customHeight="1" x14ac:dyDescent="0.35">
      <c r="O2557" s="9"/>
      <c r="V2557" s="9"/>
      <c r="W2557" s="9"/>
    </row>
    <row r="2558" spans="15:23" ht="31.4" customHeight="1" x14ac:dyDescent="0.35">
      <c r="O2558" s="9"/>
      <c r="V2558" s="9"/>
      <c r="W2558" s="9"/>
    </row>
    <row r="2559" spans="15:23" ht="31.4" customHeight="1" x14ac:dyDescent="0.35">
      <c r="O2559" s="9"/>
      <c r="V2559" s="9"/>
      <c r="W2559" s="9"/>
    </row>
    <row r="2560" spans="15:23" ht="31.4" customHeight="1" x14ac:dyDescent="0.35">
      <c r="O2560" s="9"/>
      <c r="V2560" s="9"/>
      <c r="W2560" s="9"/>
    </row>
    <row r="2561" spans="15:23" ht="31.4" customHeight="1" x14ac:dyDescent="0.35">
      <c r="O2561" s="9"/>
      <c r="V2561" s="9"/>
      <c r="W2561" s="9"/>
    </row>
    <row r="2562" spans="15:23" ht="31.4" customHeight="1" x14ac:dyDescent="0.35">
      <c r="O2562" s="9"/>
      <c r="V2562" s="9"/>
      <c r="W2562" s="9"/>
    </row>
    <row r="2563" spans="15:23" ht="31.4" customHeight="1" x14ac:dyDescent="0.35">
      <c r="O2563" s="9"/>
      <c r="V2563" s="9"/>
      <c r="W2563" s="9"/>
    </row>
    <row r="2564" spans="15:23" ht="31.4" customHeight="1" x14ac:dyDescent="0.35">
      <c r="O2564" s="9"/>
      <c r="V2564" s="9"/>
      <c r="W2564" s="9"/>
    </row>
    <row r="2565" spans="15:23" ht="31.4" customHeight="1" x14ac:dyDescent="0.35">
      <c r="O2565" s="9"/>
      <c r="V2565" s="9"/>
      <c r="W2565" s="9"/>
    </row>
    <row r="2566" spans="15:23" ht="31.4" customHeight="1" x14ac:dyDescent="0.35">
      <c r="O2566" s="9"/>
      <c r="V2566" s="9"/>
      <c r="W2566" s="9"/>
    </row>
    <row r="2567" spans="15:23" ht="31.4" customHeight="1" x14ac:dyDescent="0.35">
      <c r="O2567" s="9"/>
      <c r="V2567" s="9"/>
      <c r="W2567" s="9"/>
    </row>
    <row r="2568" spans="15:23" ht="31.4" customHeight="1" x14ac:dyDescent="0.35">
      <c r="O2568" s="9"/>
      <c r="V2568" s="9"/>
      <c r="W2568" s="9"/>
    </row>
    <row r="2569" spans="15:23" ht="31.4" customHeight="1" x14ac:dyDescent="0.35">
      <c r="O2569" s="9"/>
      <c r="V2569" s="9"/>
      <c r="W2569" s="9"/>
    </row>
    <row r="2570" spans="15:23" ht="31.4" customHeight="1" x14ac:dyDescent="0.35">
      <c r="O2570" s="9"/>
      <c r="V2570" s="9"/>
      <c r="W2570" s="9"/>
    </row>
    <row r="2571" spans="15:23" ht="31.4" customHeight="1" x14ac:dyDescent="0.35">
      <c r="O2571" s="9"/>
      <c r="V2571" s="9"/>
      <c r="W2571" s="9"/>
    </row>
    <row r="2572" spans="15:23" ht="31.4" customHeight="1" x14ac:dyDescent="0.35">
      <c r="O2572" s="9"/>
      <c r="V2572" s="9"/>
      <c r="W2572" s="9"/>
    </row>
    <row r="2573" spans="15:23" ht="31.4" customHeight="1" x14ac:dyDescent="0.35">
      <c r="O2573" s="9"/>
      <c r="V2573" s="9"/>
      <c r="W2573" s="9"/>
    </row>
    <row r="2574" spans="15:23" ht="31.4" customHeight="1" x14ac:dyDescent="0.35">
      <c r="O2574" s="9"/>
      <c r="V2574" s="9"/>
      <c r="W2574" s="9"/>
    </row>
    <row r="2575" spans="15:23" ht="31.4" customHeight="1" x14ac:dyDescent="0.35">
      <c r="O2575" s="9"/>
      <c r="V2575" s="9"/>
      <c r="W2575" s="9"/>
    </row>
    <row r="2576" spans="15:23" ht="31.4" customHeight="1" x14ac:dyDescent="0.35">
      <c r="O2576" s="9"/>
      <c r="V2576" s="9"/>
      <c r="W2576" s="9"/>
    </row>
    <row r="2577" spans="15:23" ht="31.4" customHeight="1" x14ac:dyDescent="0.35">
      <c r="O2577" s="9"/>
      <c r="V2577" s="9"/>
      <c r="W2577" s="9"/>
    </row>
    <row r="2578" spans="15:23" ht="31.4" customHeight="1" x14ac:dyDescent="0.35">
      <c r="O2578" s="9"/>
      <c r="V2578" s="9"/>
      <c r="W2578" s="9"/>
    </row>
    <row r="2579" spans="15:23" ht="31.4" customHeight="1" x14ac:dyDescent="0.35">
      <c r="O2579" s="9"/>
      <c r="V2579" s="9"/>
      <c r="W2579" s="9"/>
    </row>
    <row r="2580" spans="15:23" ht="31.4" customHeight="1" x14ac:dyDescent="0.35">
      <c r="O2580" s="9"/>
      <c r="V2580" s="9"/>
      <c r="W2580" s="9"/>
    </row>
    <row r="2581" spans="15:23" ht="31.4" customHeight="1" x14ac:dyDescent="0.35">
      <c r="O2581" s="9"/>
      <c r="V2581" s="9"/>
      <c r="W2581" s="9"/>
    </row>
    <row r="2582" spans="15:23" ht="31.4" customHeight="1" x14ac:dyDescent="0.35">
      <c r="O2582" s="9"/>
      <c r="V2582" s="9"/>
      <c r="W2582" s="9"/>
    </row>
    <row r="2583" spans="15:23" ht="31.4" customHeight="1" x14ac:dyDescent="0.35">
      <c r="O2583" s="9"/>
      <c r="V2583" s="9"/>
      <c r="W2583" s="9"/>
    </row>
    <row r="2584" spans="15:23" ht="31.4" customHeight="1" x14ac:dyDescent="0.35">
      <c r="O2584" s="9"/>
      <c r="V2584" s="9"/>
      <c r="W2584" s="9"/>
    </row>
    <row r="2585" spans="15:23" ht="31.4" customHeight="1" x14ac:dyDescent="0.35">
      <c r="O2585" s="9"/>
      <c r="V2585" s="9"/>
      <c r="W2585" s="9"/>
    </row>
    <row r="2586" spans="15:23" ht="31.4" customHeight="1" x14ac:dyDescent="0.35">
      <c r="O2586" s="9"/>
      <c r="V2586" s="9"/>
      <c r="W2586" s="9"/>
    </row>
    <row r="2587" spans="15:23" ht="31.4" customHeight="1" x14ac:dyDescent="0.35">
      <c r="O2587" s="9"/>
      <c r="V2587" s="9"/>
      <c r="W2587" s="9"/>
    </row>
    <row r="2588" spans="15:23" ht="31.4" customHeight="1" x14ac:dyDescent="0.35">
      <c r="O2588" s="9"/>
      <c r="V2588" s="9"/>
      <c r="W2588" s="9"/>
    </row>
    <row r="2589" spans="15:23" ht="31.4" customHeight="1" x14ac:dyDescent="0.35">
      <c r="O2589" s="9"/>
      <c r="V2589" s="9"/>
      <c r="W2589" s="9"/>
    </row>
    <row r="2590" spans="15:23" ht="31.4" customHeight="1" x14ac:dyDescent="0.35">
      <c r="O2590" s="9"/>
      <c r="V2590" s="9"/>
      <c r="W2590" s="9"/>
    </row>
    <row r="2591" spans="15:23" ht="31.4" customHeight="1" x14ac:dyDescent="0.35">
      <c r="O2591" s="9"/>
      <c r="V2591" s="9"/>
      <c r="W2591" s="9"/>
    </row>
    <row r="2592" spans="15:23" ht="31.4" customHeight="1" x14ac:dyDescent="0.35">
      <c r="O2592" s="9"/>
      <c r="V2592" s="9"/>
      <c r="W2592" s="9"/>
    </row>
    <row r="2593" spans="15:23" ht="31.4" customHeight="1" x14ac:dyDescent="0.35">
      <c r="O2593" s="9"/>
      <c r="V2593" s="9"/>
      <c r="W2593" s="9"/>
    </row>
    <row r="2594" spans="15:23" ht="31.4" customHeight="1" x14ac:dyDescent="0.35">
      <c r="O2594" s="9"/>
      <c r="V2594" s="9"/>
      <c r="W2594" s="9"/>
    </row>
    <row r="2595" spans="15:23" ht="31.4" customHeight="1" x14ac:dyDescent="0.35">
      <c r="O2595" s="9"/>
      <c r="V2595" s="9"/>
      <c r="W2595" s="9"/>
    </row>
    <row r="2596" spans="15:23" ht="31.4" customHeight="1" x14ac:dyDescent="0.35">
      <c r="O2596" s="9"/>
      <c r="V2596" s="9"/>
      <c r="W2596" s="9"/>
    </row>
    <row r="2597" spans="15:23" ht="31.4" customHeight="1" x14ac:dyDescent="0.35">
      <c r="O2597" s="9"/>
      <c r="V2597" s="9"/>
      <c r="W2597" s="9"/>
    </row>
    <row r="2598" spans="15:23" ht="31.4" customHeight="1" x14ac:dyDescent="0.35">
      <c r="O2598" s="9"/>
      <c r="V2598" s="9"/>
      <c r="W2598" s="9"/>
    </row>
    <row r="2599" spans="15:23" ht="31.4" customHeight="1" x14ac:dyDescent="0.35">
      <c r="O2599" s="9"/>
      <c r="V2599" s="9"/>
      <c r="W2599" s="9"/>
    </row>
    <row r="2600" spans="15:23" ht="31.4" customHeight="1" x14ac:dyDescent="0.35">
      <c r="O2600" s="9"/>
      <c r="V2600" s="9"/>
      <c r="W2600" s="9"/>
    </row>
    <row r="2601" spans="15:23" ht="31.4" customHeight="1" x14ac:dyDescent="0.35">
      <c r="O2601" s="9"/>
      <c r="V2601" s="9"/>
      <c r="W2601" s="9"/>
    </row>
    <row r="2602" spans="15:23" ht="31.4" customHeight="1" x14ac:dyDescent="0.35">
      <c r="O2602" s="9"/>
      <c r="V2602" s="9"/>
      <c r="W2602" s="9"/>
    </row>
    <row r="2603" spans="15:23" ht="31.4" customHeight="1" x14ac:dyDescent="0.35">
      <c r="O2603" s="9"/>
      <c r="V2603" s="9"/>
      <c r="W2603" s="9"/>
    </row>
    <row r="2604" spans="15:23" ht="31.4" customHeight="1" x14ac:dyDescent="0.35">
      <c r="O2604" s="9"/>
      <c r="V2604" s="9"/>
      <c r="W2604" s="9"/>
    </row>
    <row r="2605" spans="15:23" ht="31.4" customHeight="1" x14ac:dyDescent="0.35">
      <c r="O2605" s="9"/>
      <c r="V2605" s="9"/>
      <c r="W2605" s="9"/>
    </row>
    <row r="2606" spans="15:23" ht="31.4" customHeight="1" x14ac:dyDescent="0.35">
      <c r="O2606" s="9"/>
      <c r="V2606" s="9"/>
      <c r="W2606" s="9"/>
    </row>
    <row r="2607" spans="15:23" ht="31.4" customHeight="1" x14ac:dyDescent="0.35">
      <c r="O2607" s="9"/>
      <c r="V2607" s="9"/>
      <c r="W2607" s="9"/>
    </row>
    <row r="2608" spans="15:23" ht="31.4" customHeight="1" x14ac:dyDescent="0.35">
      <c r="O2608" s="9"/>
      <c r="V2608" s="9"/>
      <c r="W2608" s="9"/>
    </row>
    <row r="2609" spans="15:23" ht="31.4" customHeight="1" x14ac:dyDescent="0.35">
      <c r="O2609" s="9"/>
      <c r="V2609" s="9"/>
      <c r="W2609" s="9"/>
    </row>
    <row r="2610" spans="15:23" ht="31.4" customHeight="1" x14ac:dyDescent="0.35">
      <c r="O2610" s="9"/>
      <c r="V2610" s="9"/>
      <c r="W2610" s="9"/>
    </row>
    <row r="2611" spans="15:23" ht="31.4" customHeight="1" x14ac:dyDescent="0.35">
      <c r="O2611" s="9"/>
      <c r="V2611" s="9"/>
      <c r="W2611" s="9"/>
    </row>
    <row r="2612" spans="15:23" ht="31.4" customHeight="1" x14ac:dyDescent="0.35">
      <c r="O2612" s="9"/>
      <c r="V2612" s="9"/>
      <c r="W2612" s="9"/>
    </row>
    <row r="2613" spans="15:23" ht="31.4" customHeight="1" x14ac:dyDescent="0.35">
      <c r="O2613" s="9"/>
      <c r="V2613" s="9"/>
      <c r="W2613" s="9"/>
    </row>
    <row r="2614" spans="15:23" ht="31.4" customHeight="1" x14ac:dyDescent="0.35">
      <c r="O2614" s="9"/>
      <c r="V2614" s="9"/>
      <c r="W2614" s="9"/>
    </row>
    <row r="2615" spans="15:23" ht="31.4" customHeight="1" x14ac:dyDescent="0.35">
      <c r="O2615" s="9"/>
      <c r="V2615" s="9"/>
      <c r="W2615" s="9"/>
    </row>
    <row r="2616" spans="15:23" ht="31.4" customHeight="1" x14ac:dyDescent="0.35">
      <c r="O2616" s="9"/>
      <c r="V2616" s="9"/>
      <c r="W2616" s="9"/>
    </row>
    <row r="2617" spans="15:23" ht="31.4" customHeight="1" x14ac:dyDescent="0.35">
      <c r="O2617" s="9"/>
      <c r="V2617" s="9"/>
      <c r="W2617" s="9"/>
    </row>
    <row r="2618" spans="15:23" ht="31.4" customHeight="1" x14ac:dyDescent="0.35">
      <c r="O2618" s="9"/>
      <c r="V2618" s="9"/>
      <c r="W2618" s="9"/>
    </row>
    <row r="2619" spans="15:23" ht="31.4" customHeight="1" x14ac:dyDescent="0.35">
      <c r="O2619" s="9"/>
      <c r="V2619" s="9"/>
      <c r="W2619" s="9"/>
    </row>
    <row r="2620" spans="15:23" ht="31.4" customHeight="1" x14ac:dyDescent="0.35">
      <c r="O2620" s="9"/>
      <c r="V2620" s="9"/>
      <c r="W2620" s="9"/>
    </row>
    <row r="2621" spans="15:23" ht="31.4" customHeight="1" x14ac:dyDescent="0.35">
      <c r="O2621" s="9"/>
      <c r="V2621" s="9"/>
      <c r="W2621" s="9"/>
    </row>
    <row r="2622" spans="15:23" ht="31.4" customHeight="1" x14ac:dyDescent="0.35">
      <c r="O2622" s="9"/>
      <c r="V2622" s="9"/>
      <c r="W2622" s="9"/>
    </row>
    <row r="2623" spans="15:23" ht="31.4" customHeight="1" x14ac:dyDescent="0.35">
      <c r="O2623" s="9"/>
      <c r="V2623" s="9"/>
      <c r="W2623" s="9"/>
    </row>
    <row r="2624" spans="15:23" ht="31.4" customHeight="1" x14ac:dyDescent="0.35">
      <c r="O2624" s="9"/>
      <c r="V2624" s="9"/>
      <c r="W2624" s="9"/>
    </row>
    <row r="2625" spans="15:23" ht="31.4" customHeight="1" x14ac:dyDescent="0.35">
      <c r="O2625" s="9"/>
      <c r="V2625" s="9"/>
      <c r="W2625" s="9"/>
    </row>
    <row r="2626" spans="15:23" ht="31.4" customHeight="1" x14ac:dyDescent="0.35">
      <c r="O2626" s="9"/>
      <c r="V2626" s="9"/>
      <c r="W2626" s="9"/>
    </row>
    <row r="2627" spans="15:23" ht="31.4" customHeight="1" x14ac:dyDescent="0.35">
      <c r="O2627" s="9"/>
      <c r="V2627" s="9"/>
      <c r="W2627" s="9"/>
    </row>
    <row r="2628" spans="15:23" ht="31.4" customHeight="1" x14ac:dyDescent="0.35">
      <c r="O2628" s="9"/>
      <c r="V2628" s="9"/>
      <c r="W2628" s="9"/>
    </row>
    <row r="2629" spans="15:23" ht="31.4" customHeight="1" x14ac:dyDescent="0.35">
      <c r="O2629" s="9"/>
      <c r="V2629" s="9"/>
      <c r="W2629" s="9"/>
    </row>
    <row r="2630" spans="15:23" ht="31.4" customHeight="1" x14ac:dyDescent="0.35">
      <c r="O2630" s="9"/>
      <c r="V2630" s="9"/>
      <c r="W2630" s="9"/>
    </row>
    <row r="2631" spans="15:23" ht="31.4" customHeight="1" x14ac:dyDescent="0.35">
      <c r="O2631" s="9"/>
      <c r="V2631" s="9"/>
      <c r="W2631" s="9"/>
    </row>
    <row r="2632" spans="15:23" ht="31.4" customHeight="1" x14ac:dyDescent="0.35">
      <c r="O2632" s="9"/>
      <c r="V2632" s="9"/>
      <c r="W2632" s="9"/>
    </row>
    <row r="2633" spans="15:23" ht="31.4" customHeight="1" x14ac:dyDescent="0.35">
      <c r="O2633" s="9"/>
      <c r="V2633" s="9"/>
      <c r="W2633" s="9"/>
    </row>
    <row r="2634" spans="15:23" ht="31.4" customHeight="1" x14ac:dyDescent="0.35">
      <c r="O2634" s="9"/>
      <c r="V2634" s="9"/>
      <c r="W2634" s="9"/>
    </row>
    <row r="2635" spans="15:23" ht="31.4" customHeight="1" x14ac:dyDescent="0.35">
      <c r="O2635" s="9"/>
      <c r="V2635" s="9"/>
      <c r="W2635" s="9"/>
    </row>
    <row r="2636" spans="15:23" ht="31.4" customHeight="1" x14ac:dyDescent="0.35">
      <c r="O2636" s="9"/>
      <c r="V2636" s="9"/>
      <c r="W2636" s="9"/>
    </row>
    <row r="2637" spans="15:23" ht="31.4" customHeight="1" x14ac:dyDescent="0.35">
      <c r="O2637" s="9"/>
      <c r="V2637" s="9"/>
      <c r="W2637" s="9"/>
    </row>
    <row r="2638" spans="15:23" ht="31.4" customHeight="1" x14ac:dyDescent="0.35">
      <c r="O2638" s="9"/>
      <c r="V2638" s="9"/>
      <c r="W2638" s="9"/>
    </row>
    <row r="2639" spans="15:23" ht="31.4" customHeight="1" x14ac:dyDescent="0.35">
      <c r="O2639" s="9"/>
      <c r="V2639" s="9"/>
      <c r="W2639" s="9"/>
    </row>
    <row r="2640" spans="15:23" ht="31.4" customHeight="1" x14ac:dyDescent="0.35">
      <c r="O2640" s="9"/>
      <c r="V2640" s="9"/>
      <c r="W2640" s="9"/>
    </row>
    <row r="2641" spans="15:23" ht="31.4" customHeight="1" x14ac:dyDescent="0.35">
      <c r="O2641" s="9"/>
      <c r="V2641" s="9"/>
      <c r="W2641" s="9"/>
    </row>
    <row r="2642" spans="15:23" ht="31.4" customHeight="1" x14ac:dyDescent="0.35">
      <c r="O2642" s="9"/>
      <c r="V2642" s="9"/>
      <c r="W2642" s="9"/>
    </row>
    <row r="2643" spans="15:23" ht="31.4" customHeight="1" x14ac:dyDescent="0.35">
      <c r="O2643" s="9"/>
      <c r="V2643" s="9"/>
      <c r="W2643" s="9"/>
    </row>
    <row r="2644" spans="15:23" ht="31.4" customHeight="1" x14ac:dyDescent="0.35">
      <c r="O2644" s="9"/>
      <c r="V2644" s="9"/>
      <c r="W2644" s="9"/>
    </row>
    <row r="2645" spans="15:23" ht="31.4" customHeight="1" x14ac:dyDescent="0.35">
      <c r="O2645" s="9"/>
      <c r="V2645" s="9"/>
      <c r="W2645" s="9"/>
    </row>
    <row r="2646" spans="15:23" ht="31.4" customHeight="1" x14ac:dyDescent="0.35">
      <c r="O2646" s="9"/>
      <c r="V2646" s="9"/>
      <c r="W2646" s="9"/>
    </row>
    <row r="2647" spans="15:23" ht="31.4" customHeight="1" x14ac:dyDescent="0.35">
      <c r="O2647" s="9"/>
      <c r="V2647" s="9"/>
      <c r="W2647" s="9"/>
    </row>
    <row r="2648" spans="15:23" ht="31.4" customHeight="1" x14ac:dyDescent="0.35">
      <c r="O2648" s="9"/>
      <c r="V2648" s="9"/>
      <c r="W2648" s="9"/>
    </row>
    <row r="2649" spans="15:23" ht="31.4" customHeight="1" x14ac:dyDescent="0.35">
      <c r="O2649" s="9"/>
      <c r="V2649" s="9"/>
      <c r="W2649" s="9"/>
    </row>
    <row r="2650" spans="15:23" ht="31.4" customHeight="1" x14ac:dyDescent="0.35">
      <c r="O2650" s="9"/>
      <c r="V2650" s="9"/>
      <c r="W2650" s="9"/>
    </row>
    <row r="2651" spans="15:23" ht="31.4" customHeight="1" x14ac:dyDescent="0.35">
      <c r="O2651" s="9"/>
      <c r="V2651" s="9"/>
      <c r="W2651" s="9"/>
    </row>
    <row r="2652" spans="15:23" ht="31.4" customHeight="1" x14ac:dyDescent="0.35">
      <c r="O2652" s="9"/>
      <c r="V2652" s="9"/>
      <c r="W2652" s="9"/>
    </row>
    <row r="2653" spans="15:23" ht="31.4" customHeight="1" x14ac:dyDescent="0.35">
      <c r="O2653" s="9"/>
      <c r="V2653" s="9"/>
      <c r="W2653" s="9"/>
    </row>
    <row r="2654" spans="15:23" ht="31.4" customHeight="1" x14ac:dyDescent="0.35">
      <c r="O2654" s="9"/>
      <c r="V2654" s="9"/>
      <c r="W2654" s="9"/>
    </row>
    <row r="2655" spans="15:23" ht="31.4" customHeight="1" x14ac:dyDescent="0.35">
      <c r="O2655" s="9"/>
      <c r="V2655" s="9"/>
      <c r="W2655" s="9"/>
    </row>
    <row r="2656" spans="15:23" ht="31.4" customHeight="1" x14ac:dyDescent="0.35">
      <c r="O2656" s="9"/>
      <c r="V2656" s="9"/>
      <c r="W2656" s="9"/>
    </row>
    <row r="2657" spans="15:23" ht="31.4" customHeight="1" x14ac:dyDescent="0.35">
      <c r="O2657" s="9"/>
      <c r="V2657" s="9"/>
      <c r="W2657" s="9"/>
    </row>
    <row r="2658" spans="15:23" ht="31.4" customHeight="1" x14ac:dyDescent="0.35">
      <c r="O2658" s="9"/>
      <c r="V2658" s="9"/>
      <c r="W2658" s="9"/>
    </row>
    <row r="2659" spans="15:23" ht="31.4" customHeight="1" x14ac:dyDescent="0.35">
      <c r="O2659" s="9"/>
      <c r="V2659" s="9"/>
      <c r="W2659" s="9"/>
    </row>
    <row r="2660" spans="15:23" ht="31.4" customHeight="1" x14ac:dyDescent="0.35">
      <c r="O2660" s="9"/>
      <c r="V2660" s="9"/>
      <c r="W2660" s="9"/>
    </row>
    <row r="2661" spans="15:23" ht="31.4" customHeight="1" x14ac:dyDescent="0.35">
      <c r="O2661" s="9"/>
      <c r="V2661" s="9"/>
      <c r="W2661" s="9"/>
    </row>
    <row r="2662" spans="15:23" ht="31.4" customHeight="1" x14ac:dyDescent="0.35">
      <c r="O2662" s="9"/>
      <c r="V2662" s="9"/>
      <c r="W2662" s="9"/>
    </row>
    <row r="2663" spans="15:23" ht="31.4" customHeight="1" x14ac:dyDescent="0.35">
      <c r="O2663" s="9"/>
      <c r="V2663" s="9"/>
      <c r="W2663" s="9"/>
    </row>
    <row r="2664" spans="15:23" ht="31.4" customHeight="1" x14ac:dyDescent="0.35">
      <c r="O2664" s="9"/>
      <c r="V2664" s="9"/>
      <c r="W2664" s="9"/>
    </row>
    <row r="2665" spans="15:23" ht="31.4" customHeight="1" x14ac:dyDescent="0.35">
      <c r="O2665" s="9"/>
      <c r="V2665" s="9"/>
      <c r="W2665" s="9"/>
    </row>
    <row r="2666" spans="15:23" ht="31.4" customHeight="1" x14ac:dyDescent="0.35">
      <c r="O2666" s="9"/>
      <c r="V2666" s="9"/>
      <c r="W2666" s="9"/>
    </row>
    <row r="2667" spans="15:23" ht="31.4" customHeight="1" x14ac:dyDescent="0.35">
      <c r="O2667" s="9"/>
      <c r="V2667" s="9"/>
      <c r="W2667" s="9"/>
    </row>
    <row r="2668" spans="15:23" ht="31.4" customHeight="1" x14ac:dyDescent="0.35">
      <c r="O2668" s="9"/>
      <c r="V2668" s="9"/>
      <c r="W2668" s="9"/>
    </row>
    <row r="2669" spans="15:23" ht="31.4" customHeight="1" x14ac:dyDescent="0.35">
      <c r="O2669" s="9"/>
      <c r="V2669" s="9"/>
      <c r="W2669" s="9"/>
    </row>
    <row r="2670" spans="15:23" ht="31.4" customHeight="1" x14ac:dyDescent="0.35">
      <c r="O2670" s="9"/>
      <c r="V2670" s="9"/>
      <c r="W2670" s="9"/>
    </row>
    <row r="2671" spans="15:23" ht="31.4" customHeight="1" x14ac:dyDescent="0.35">
      <c r="O2671" s="9"/>
      <c r="V2671" s="9"/>
      <c r="W2671" s="9"/>
    </row>
    <row r="2672" spans="15:23" ht="31.4" customHeight="1" x14ac:dyDescent="0.35">
      <c r="O2672" s="9"/>
      <c r="V2672" s="9"/>
      <c r="W2672" s="9"/>
    </row>
    <row r="2673" spans="15:23" ht="31.4" customHeight="1" x14ac:dyDescent="0.35">
      <c r="O2673" s="9"/>
      <c r="V2673" s="9"/>
      <c r="W2673" s="9"/>
    </row>
    <row r="2674" spans="15:23" ht="31.4" customHeight="1" x14ac:dyDescent="0.35">
      <c r="O2674" s="9"/>
      <c r="V2674" s="9"/>
      <c r="W2674" s="9"/>
    </row>
    <row r="2675" spans="15:23" ht="31.4" customHeight="1" x14ac:dyDescent="0.35">
      <c r="O2675" s="9"/>
      <c r="V2675" s="9"/>
      <c r="W2675" s="9"/>
    </row>
    <row r="2676" spans="15:23" ht="31.4" customHeight="1" x14ac:dyDescent="0.35">
      <c r="O2676" s="9"/>
      <c r="V2676" s="9"/>
      <c r="W2676" s="9"/>
    </row>
    <row r="2677" spans="15:23" ht="31.4" customHeight="1" x14ac:dyDescent="0.35">
      <c r="O2677" s="9"/>
      <c r="V2677" s="9"/>
      <c r="W2677" s="9"/>
    </row>
    <row r="2678" spans="15:23" ht="31.4" customHeight="1" x14ac:dyDescent="0.35">
      <c r="O2678" s="9"/>
      <c r="V2678" s="9"/>
      <c r="W2678" s="9"/>
    </row>
    <row r="2679" spans="15:23" ht="31.4" customHeight="1" x14ac:dyDescent="0.35">
      <c r="O2679" s="9"/>
      <c r="V2679" s="9"/>
      <c r="W2679" s="9"/>
    </row>
    <row r="2680" spans="15:23" ht="31.4" customHeight="1" x14ac:dyDescent="0.35">
      <c r="O2680" s="9"/>
      <c r="V2680" s="9"/>
      <c r="W2680" s="9"/>
    </row>
    <row r="2681" spans="15:23" ht="31.4" customHeight="1" x14ac:dyDescent="0.35">
      <c r="O2681" s="9"/>
      <c r="V2681" s="9"/>
      <c r="W2681" s="9"/>
    </row>
    <row r="2682" spans="15:23" ht="31.4" customHeight="1" x14ac:dyDescent="0.35">
      <c r="O2682" s="9"/>
      <c r="V2682" s="9"/>
      <c r="W2682" s="9"/>
    </row>
    <row r="2683" spans="15:23" ht="31.4" customHeight="1" x14ac:dyDescent="0.35">
      <c r="O2683" s="9"/>
      <c r="V2683" s="9"/>
      <c r="W2683" s="9"/>
    </row>
    <row r="2684" spans="15:23" ht="31.4" customHeight="1" x14ac:dyDescent="0.35">
      <c r="O2684" s="9"/>
      <c r="V2684" s="9"/>
      <c r="W2684" s="9"/>
    </row>
    <row r="2685" spans="15:23" ht="31.4" customHeight="1" x14ac:dyDescent="0.35">
      <c r="O2685" s="9"/>
      <c r="V2685" s="9"/>
      <c r="W2685" s="9"/>
    </row>
    <row r="2686" spans="15:23" ht="31.4" customHeight="1" x14ac:dyDescent="0.35">
      <c r="O2686" s="9"/>
      <c r="V2686" s="9"/>
      <c r="W2686" s="9"/>
    </row>
    <row r="2687" spans="15:23" ht="31.4" customHeight="1" x14ac:dyDescent="0.35">
      <c r="O2687" s="9"/>
      <c r="V2687" s="9"/>
      <c r="W2687" s="9"/>
    </row>
    <row r="2688" spans="15:23" ht="31.4" customHeight="1" x14ac:dyDescent="0.35">
      <c r="O2688" s="9"/>
      <c r="V2688" s="9"/>
      <c r="W2688" s="9"/>
    </row>
    <row r="2689" spans="15:23" ht="31.4" customHeight="1" x14ac:dyDescent="0.35">
      <c r="O2689" s="9"/>
      <c r="V2689" s="9"/>
      <c r="W2689" s="9"/>
    </row>
    <row r="2690" spans="15:23" ht="31.4" customHeight="1" x14ac:dyDescent="0.35">
      <c r="O2690" s="9"/>
      <c r="V2690" s="9"/>
      <c r="W2690" s="9"/>
    </row>
    <row r="2691" spans="15:23" ht="31.4" customHeight="1" x14ac:dyDescent="0.35">
      <c r="O2691" s="9"/>
      <c r="V2691" s="9"/>
      <c r="W2691" s="9"/>
    </row>
    <row r="2692" spans="15:23" ht="31.4" customHeight="1" x14ac:dyDescent="0.35">
      <c r="O2692" s="9"/>
      <c r="V2692" s="9"/>
      <c r="W2692" s="9"/>
    </row>
    <row r="2693" spans="15:23" ht="31.4" customHeight="1" x14ac:dyDescent="0.35">
      <c r="O2693" s="9"/>
      <c r="V2693" s="9"/>
      <c r="W2693" s="9"/>
    </row>
    <row r="2694" spans="15:23" ht="31.4" customHeight="1" x14ac:dyDescent="0.35">
      <c r="O2694" s="9"/>
      <c r="V2694" s="9"/>
      <c r="W2694" s="9"/>
    </row>
    <row r="2695" spans="15:23" ht="31.4" customHeight="1" x14ac:dyDescent="0.35">
      <c r="O2695" s="9"/>
      <c r="V2695" s="9"/>
      <c r="W2695" s="9"/>
    </row>
    <row r="2696" spans="15:23" ht="31.4" customHeight="1" x14ac:dyDescent="0.35">
      <c r="O2696" s="9"/>
      <c r="V2696" s="9"/>
      <c r="W2696" s="9"/>
    </row>
    <row r="2697" spans="15:23" ht="31.4" customHeight="1" x14ac:dyDescent="0.35">
      <c r="O2697" s="9"/>
      <c r="V2697" s="9"/>
      <c r="W2697" s="9"/>
    </row>
    <row r="2698" spans="15:23" ht="31.4" customHeight="1" x14ac:dyDescent="0.35">
      <c r="O2698" s="9"/>
      <c r="V2698" s="9"/>
      <c r="W2698" s="9"/>
    </row>
    <row r="2699" spans="15:23" ht="31.4" customHeight="1" x14ac:dyDescent="0.35">
      <c r="O2699" s="9"/>
      <c r="V2699" s="9"/>
      <c r="W2699" s="9"/>
    </row>
    <row r="2700" spans="15:23" ht="31.4" customHeight="1" x14ac:dyDescent="0.35">
      <c r="O2700" s="9"/>
      <c r="V2700" s="9"/>
      <c r="W2700" s="9"/>
    </row>
    <row r="2701" spans="15:23" ht="31.4" customHeight="1" x14ac:dyDescent="0.35">
      <c r="O2701" s="9"/>
      <c r="V2701" s="9"/>
      <c r="W2701" s="9"/>
    </row>
    <row r="2702" spans="15:23" ht="31.4" customHeight="1" x14ac:dyDescent="0.35">
      <c r="O2702" s="9"/>
      <c r="V2702" s="9"/>
      <c r="W2702" s="9"/>
    </row>
    <row r="2703" spans="15:23" ht="31.4" customHeight="1" x14ac:dyDescent="0.35">
      <c r="O2703" s="9"/>
      <c r="V2703" s="9"/>
      <c r="W2703" s="9"/>
    </row>
    <row r="2704" spans="15:23" ht="31.4" customHeight="1" x14ac:dyDescent="0.35">
      <c r="O2704" s="9"/>
      <c r="V2704" s="9"/>
      <c r="W2704" s="9"/>
    </row>
    <row r="2705" spans="15:23" ht="31.4" customHeight="1" x14ac:dyDescent="0.35">
      <c r="O2705" s="9"/>
      <c r="V2705" s="9"/>
      <c r="W2705" s="9"/>
    </row>
    <row r="2706" spans="15:23" ht="31.4" customHeight="1" x14ac:dyDescent="0.35">
      <c r="O2706" s="9"/>
      <c r="V2706" s="9"/>
      <c r="W2706" s="9"/>
    </row>
    <row r="2707" spans="15:23" ht="31.4" customHeight="1" x14ac:dyDescent="0.35">
      <c r="O2707" s="9"/>
      <c r="V2707" s="9"/>
      <c r="W2707" s="9"/>
    </row>
    <row r="2708" spans="15:23" ht="31.4" customHeight="1" x14ac:dyDescent="0.35">
      <c r="O2708" s="9"/>
      <c r="V2708" s="9"/>
      <c r="W2708" s="9"/>
    </row>
    <row r="2709" spans="15:23" ht="31.4" customHeight="1" x14ac:dyDescent="0.35">
      <c r="O2709" s="9"/>
      <c r="V2709" s="9"/>
      <c r="W2709" s="9"/>
    </row>
    <row r="2710" spans="15:23" ht="31.4" customHeight="1" x14ac:dyDescent="0.35">
      <c r="O2710" s="9"/>
      <c r="V2710" s="9"/>
      <c r="W2710" s="9"/>
    </row>
    <row r="2711" spans="15:23" ht="31.4" customHeight="1" x14ac:dyDescent="0.35">
      <c r="O2711" s="9"/>
      <c r="V2711" s="9"/>
      <c r="W2711" s="9"/>
    </row>
    <row r="2712" spans="15:23" ht="31.4" customHeight="1" x14ac:dyDescent="0.35">
      <c r="O2712" s="9"/>
      <c r="V2712" s="9"/>
      <c r="W2712" s="9"/>
    </row>
    <row r="2713" spans="15:23" ht="31.4" customHeight="1" x14ac:dyDescent="0.35">
      <c r="O2713" s="9"/>
      <c r="V2713" s="9"/>
      <c r="W2713" s="9"/>
    </row>
    <row r="2714" spans="15:23" ht="31.4" customHeight="1" x14ac:dyDescent="0.35">
      <c r="O2714" s="9"/>
      <c r="V2714" s="9"/>
      <c r="W2714" s="9"/>
    </row>
    <row r="2715" spans="15:23" ht="31.4" customHeight="1" x14ac:dyDescent="0.35">
      <c r="O2715" s="9"/>
      <c r="V2715" s="9"/>
      <c r="W2715" s="9"/>
    </row>
    <row r="2716" spans="15:23" ht="31.4" customHeight="1" x14ac:dyDescent="0.35">
      <c r="O2716" s="9"/>
      <c r="V2716" s="9"/>
      <c r="W2716" s="9"/>
    </row>
    <row r="2717" spans="15:23" ht="31.4" customHeight="1" x14ac:dyDescent="0.35">
      <c r="O2717" s="9"/>
      <c r="V2717" s="9"/>
      <c r="W2717" s="9"/>
    </row>
    <row r="2718" spans="15:23" ht="31.4" customHeight="1" x14ac:dyDescent="0.35">
      <c r="O2718" s="9"/>
      <c r="V2718" s="9"/>
      <c r="W2718" s="9"/>
    </row>
    <row r="2719" spans="15:23" ht="31.4" customHeight="1" x14ac:dyDescent="0.35">
      <c r="O2719" s="9"/>
      <c r="V2719" s="9"/>
      <c r="W2719" s="9"/>
    </row>
    <row r="2720" spans="15:23" ht="31.4" customHeight="1" x14ac:dyDescent="0.35">
      <c r="O2720" s="9"/>
      <c r="V2720" s="9"/>
      <c r="W2720" s="9"/>
    </row>
    <row r="2721" spans="15:23" ht="31.4" customHeight="1" x14ac:dyDescent="0.35">
      <c r="O2721" s="9"/>
      <c r="V2721" s="9"/>
      <c r="W2721" s="9"/>
    </row>
    <row r="2722" spans="15:23" ht="31.4" customHeight="1" x14ac:dyDescent="0.35">
      <c r="O2722" s="9"/>
      <c r="V2722" s="9"/>
      <c r="W2722" s="9"/>
    </row>
    <row r="2723" spans="15:23" ht="31.4" customHeight="1" x14ac:dyDescent="0.35">
      <c r="O2723" s="9"/>
      <c r="V2723" s="9"/>
      <c r="W2723" s="9"/>
    </row>
    <row r="2724" spans="15:23" ht="31.4" customHeight="1" x14ac:dyDescent="0.35">
      <c r="O2724" s="9"/>
      <c r="V2724" s="9"/>
      <c r="W2724" s="9"/>
    </row>
    <row r="2725" spans="15:23" ht="31.4" customHeight="1" x14ac:dyDescent="0.35">
      <c r="O2725" s="9"/>
      <c r="V2725" s="9"/>
      <c r="W2725" s="9"/>
    </row>
    <row r="2726" spans="15:23" ht="31.4" customHeight="1" x14ac:dyDescent="0.35">
      <c r="O2726" s="9"/>
      <c r="V2726" s="9"/>
      <c r="W2726" s="9"/>
    </row>
    <row r="2727" spans="15:23" ht="31.4" customHeight="1" x14ac:dyDescent="0.35">
      <c r="O2727" s="9"/>
      <c r="V2727" s="9"/>
      <c r="W2727" s="9"/>
    </row>
    <row r="2728" spans="15:23" ht="31.4" customHeight="1" x14ac:dyDescent="0.35">
      <c r="O2728" s="9"/>
      <c r="V2728" s="9"/>
      <c r="W2728" s="9"/>
    </row>
    <row r="2729" spans="15:23" ht="31.4" customHeight="1" x14ac:dyDescent="0.35">
      <c r="O2729" s="9"/>
      <c r="V2729" s="9"/>
      <c r="W2729" s="9"/>
    </row>
    <row r="2730" spans="15:23" ht="31.4" customHeight="1" x14ac:dyDescent="0.35">
      <c r="O2730" s="9"/>
      <c r="V2730" s="9"/>
      <c r="W2730" s="9"/>
    </row>
    <row r="2731" spans="15:23" ht="31.4" customHeight="1" x14ac:dyDescent="0.35">
      <c r="O2731" s="9"/>
      <c r="V2731" s="9"/>
      <c r="W2731" s="9"/>
    </row>
    <row r="2732" spans="15:23" ht="31.4" customHeight="1" x14ac:dyDescent="0.35">
      <c r="O2732" s="9"/>
      <c r="V2732" s="9"/>
      <c r="W2732" s="9"/>
    </row>
    <row r="2733" spans="15:23" ht="31.4" customHeight="1" x14ac:dyDescent="0.35">
      <c r="O2733" s="9"/>
      <c r="V2733" s="9"/>
      <c r="W2733" s="9"/>
    </row>
    <row r="2734" spans="15:23" ht="31.4" customHeight="1" x14ac:dyDescent="0.35">
      <c r="O2734" s="9"/>
      <c r="V2734" s="9"/>
      <c r="W2734" s="9"/>
    </row>
    <row r="2735" spans="15:23" ht="31.4" customHeight="1" x14ac:dyDescent="0.35">
      <c r="O2735" s="9"/>
      <c r="V2735" s="9"/>
      <c r="W2735" s="9"/>
    </row>
    <row r="2736" spans="15:23" ht="31.4" customHeight="1" x14ac:dyDescent="0.35">
      <c r="O2736" s="9"/>
      <c r="V2736" s="9"/>
      <c r="W2736" s="9"/>
    </row>
    <row r="2737" spans="15:23" ht="31.4" customHeight="1" x14ac:dyDescent="0.35">
      <c r="O2737" s="9"/>
      <c r="V2737" s="9"/>
      <c r="W2737" s="9"/>
    </row>
    <row r="2738" spans="15:23" ht="31.4" customHeight="1" x14ac:dyDescent="0.35">
      <c r="O2738" s="9"/>
      <c r="V2738" s="9"/>
      <c r="W2738" s="9"/>
    </row>
    <row r="2739" spans="15:23" ht="31.4" customHeight="1" x14ac:dyDescent="0.35">
      <c r="O2739" s="9"/>
      <c r="V2739" s="9"/>
      <c r="W2739" s="9"/>
    </row>
    <row r="2740" spans="15:23" ht="31.4" customHeight="1" x14ac:dyDescent="0.35">
      <c r="O2740" s="9"/>
      <c r="V2740" s="9"/>
      <c r="W2740" s="9"/>
    </row>
    <row r="2741" spans="15:23" ht="31.4" customHeight="1" x14ac:dyDescent="0.35">
      <c r="O2741" s="9"/>
      <c r="V2741" s="9"/>
      <c r="W2741" s="9"/>
    </row>
    <row r="2742" spans="15:23" ht="31.4" customHeight="1" x14ac:dyDescent="0.35">
      <c r="O2742" s="9"/>
      <c r="V2742" s="9"/>
      <c r="W2742" s="9"/>
    </row>
    <row r="2743" spans="15:23" ht="31.4" customHeight="1" x14ac:dyDescent="0.35">
      <c r="O2743" s="9"/>
      <c r="V2743" s="9"/>
      <c r="W2743" s="9"/>
    </row>
    <row r="2744" spans="15:23" ht="31.4" customHeight="1" x14ac:dyDescent="0.35">
      <c r="O2744" s="9"/>
      <c r="V2744" s="9"/>
      <c r="W2744" s="9"/>
    </row>
    <row r="2745" spans="15:23" ht="31.4" customHeight="1" x14ac:dyDescent="0.35">
      <c r="O2745" s="9"/>
      <c r="V2745" s="9"/>
      <c r="W2745" s="9"/>
    </row>
    <row r="2746" spans="15:23" ht="31.4" customHeight="1" x14ac:dyDescent="0.35">
      <c r="O2746" s="9"/>
      <c r="V2746" s="9"/>
      <c r="W2746" s="9"/>
    </row>
    <row r="2747" spans="15:23" ht="31.4" customHeight="1" x14ac:dyDescent="0.35">
      <c r="O2747" s="9"/>
      <c r="V2747" s="9"/>
      <c r="W2747" s="9"/>
    </row>
    <row r="2748" spans="15:23" ht="31.4" customHeight="1" x14ac:dyDescent="0.35">
      <c r="O2748" s="9"/>
      <c r="V2748" s="9"/>
      <c r="W2748" s="9"/>
    </row>
    <row r="2749" spans="15:23" ht="31.4" customHeight="1" x14ac:dyDescent="0.35">
      <c r="O2749" s="9"/>
      <c r="V2749" s="9"/>
      <c r="W2749" s="9"/>
    </row>
    <row r="2750" spans="15:23" ht="31.4" customHeight="1" x14ac:dyDescent="0.35">
      <c r="O2750" s="9"/>
      <c r="V2750" s="9"/>
      <c r="W2750" s="9"/>
    </row>
    <row r="2751" spans="15:23" ht="31.4" customHeight="1" x14ac:dyDescent="0.35">
      <c r="O2751" s="9"/>
      <c r="V2751" s="9"/>
      <c r="W2751" s="9"/>
    </row>
    <row r="2752" spans="15:23" ht="31.4" customHeight="1" x14ac:dyDescent="0.35">
      <c r="O2752" s="9"/>
      <c r="V2752" s="9"/>
      <c r="W2752" s="9"/>
    </row>
    <row r="2753" spans="15:23" ht="31.4" customHeight="1" x14ac:dyDescent="0.35">
      <c r="O2753" s="9"/>
      <c r="V2753" s="9"/>
      <c r="W2753" s="9"/>
    </row>
    <row r="2754" spans="15:23" ht="31.4" customHeight="1" x14ac:dyDescent="0.35">
      <c r="O2754" s="9"/>
      <c r="V2754" s="9"/>
      <c r="W2754" s="9"/>
    </row>
    <row r="2755" spans="15:23" ht="31.4" customHeight="1" x14ac:dyDescent="0.35">
      <c r="O2755" s="9"/>
      <c r="V2755" s="9"/>
      <c r="W2755" s="9"/>
    </row>
    <row r="2756" spans="15:23" ht="31.4" customHeight="1" x14ac:dyDescent="0.35">
      <c r="O2756" s="9"/>
      <c r="V2756" s="9"/>
      <c r="W2756" s="9"/>
    </row>
    <row r="2757" spans="15:23" ht="31.4" customHeight="1" x14ac:dyDescent="0.35">
      <c r="O2757" s="9"/>
      <c r="V2757" s="9"/>
      <c r="W2757" s="9"/>
    </row>
    <row r="2758" spans="15:23" ht="31.4" customHeight="1" x14ac:dyDescent="0.35">
      <c r="O2758" s="9"/>
      <c r="V2758" s="9"/>
      <c r="W2758" s="9"/>
    </row>
    <row r="2759" spans="15:23" ht="31.4" customHeight="1" x14ac:dyDescent="0.35">
      <c r="O2759" s="9"/>
      <c r="V2759" s="9"/>
      <c r="W2759" s="9"/>
    </row>
    <row r="2760" spans="15:23" ht="31.4" customHeight="1" x14ac:dyDescent="0.35">
      <c r="O2760" s="9"/>
      <c r="V2760" s="9"/>
      <c r="W2760" s="9"/>
    </row>
    <row r="2761" spans="15:23" ht="31.4" customHeight="1" x14ac:dyDescent="0.35">
      <c r="O2761" s="9"/>
      <c r="V2761" s="9"/>
      <c r="W2761" s="9"/>
    </row>
    <row r="2762" spans="15:23" ht="31.4" customHeight="1" x14ac:dyDescent="0.35">
      <c r="O2762" s="9"/>
      <c r="V2762" s="9"/>
      <c r="W2762" s="9"/>
    </row>
    <row r="2763" spans="15:23" ht="31.4" customHeight="1" x14ac:dyDescent="0.35">
      <c r="O2763" s="9"/>
      <c r="V2763" s="9"/>
      <c r="W2763" s="9"/>
    </row>
    <row r="2764" spans="15:23" ht="31.4" customHeight="1" x14ac:dyDescent="0.35">
      <c r="O2764" s="9"/>
      <c r="V2764" s="9"/>
      <c r="W2764" s="9"/>
    </row>
    <row r="2765" spans="15:23" ht="31.4" customHeight="1" x14ac:dyDescent="0.35">
      <c r="O2765" s="9"/>
      <c r="V2765" s="9"/>
      <c r="W2765" s="9"/>
    </row>
    <row r="2766" spans="15:23" ht="31.4" customHeight="1" x14ac:dyDescent="0.35">
      <c r="O2766" s="9"/>
      <c r="V2766" s="9"/>
      <c r="W2766" s="9"/>
    </row>
    <row r="2767" spans="15:23" ht="31.4" customHeight="1" x14ac:dyDescent="0.35">
      <c r="O2767" s="9"/>
      <c r="V2767" s="9"/>
      <c r="W2767" s="9"/>
    </row>
    <row r="2768" spans="15:23" ht="31.4" customHeight="1" x14ac:dyDescent="0.35">
      <c r="O2768" s="9"/>
      <c r="V2768" s="9"/>
      <c r="W2768" s="9"/>
    </row>
    <row r="2769" spans="15:23" ht="31.4" customHeight="1" x14ac:dyDescent="0.35">
      <c r="O2769" s="9"/>
      <c r="V2769" s="9"/>
      <c r="W2769" s="9"/>
    </row>
    <row r="2770" spans="15:23" ht="31.4" customHeight="1" x14ac:dyDescent="0.35">
      <c r="O2770" s="9"/>
      <c r="V2770" s="9"/>
      <c r="W2770" s="9"/>
    </row>
    <row r="2771" spans="15:23" ht="31.4" customHeight="1" x14ac:dyDescent="0.35">
      <c r="O2771" s="9"/>
      <c r="V2771" s="9"/>
      <c r="W2771" s="9"/>
    </row>
    <row r="2772" spans="15:23" ht="31.4" customHeight="1" x14ac:dyDescent="0.35">
      <c r="O2772" s="9"/>
      <c r="V2772" s="9"/>
      <c r="W2772" s="9"/>
    </row>
    <row r="2773" spans="15:23" ht="31.4" customHeight="1" x14ac:dyDescent="0.35">
      <c r="O2773" s="9"/>
      <c r="V2773" s="9"/>
      <c r="W2773" s="9"/>
    </row>
    <row r="2774" spans="15:23" ht="31.4" customHeight="1" x14ac:dyDescent="0.35">
      <c r="O2774" s="9"/>
      <c r="V2774" s="9"/>
      <c r="W2774" s="9"/>
    </row>
    <row r="2775" spans="15:23" ht="31.4" customHeight="1" x14ac:dyDescent="0.35">
      <c r="O2775" s="9"/>
      <c r="V2775" s="9"/>
      <c r="W2775" s="9"/>
    </row>
    <row r="2776" spans="15:23" ht="31.4" customHeight="1" x14ac:dyDescent="0.35">
      <c r="O2776" s="9"/>
      <c r="V2776" s="9"/>
      <c r="W2776" s="9"/>
    </row>
    <row r="2777" spans="15:23" ht="31.4" customHeight="1" x14ac:dyDescent="0.35">
      <c r="O2777" s="9"/>
      <c r="V2777" s="9"/>
      <c r="W2777" s="9"/>
    </row>
    <row r="2778" spans="15:23" ht="31.4" customHeight="1" x14ac:dyDescent="0.35">
      <c r="O2778" s="9"/>
      <c r="V2778" s="9"/>
      <c r="W2778" s="9"/>
    </row>
    <row r="2779" spans="15:23" ht="31.4" customHeight="1" x14ac:dyDescent="0.35">
      <c r="O2779" s="9"/>
      <c r="V2779" s="9"/>
      <c r="W2779" s="9"/>
    </row>
    <row r="2780" spans="15:23" ht="31.4" customHeight="1" x14ac:dyDescent="0.35">
      <c r="O2780" s="9"/>
      <c r="V2780" s="9"/>
      <c r="W2780" s="9"/>
    </row>
    <row r="2781" spans="15:23" ht="31.4" customHeight="1" x14ac:dyDescent="0.35">
      <c r="O2781" s="9"/>
      <c r="V2781" s="9"/>
      <c r="W2781" s="9"/>
    </row>
    <row r="2782" spans="15:23" ht="31.4" customHeight="1" x14ac:dyDescent="0.35">
      <c r="O2782" s="9"/>
      <c r="V2782" s="9"/>
      <c r="W2782" s="9"/>
    </row>
    <row r="2783" spans="15:23" ht="31.4" customHeight="1" x14ac:dyDescent="0.35">
      <c r="O2783" s="9"/>
      <c r="V2783" s="9"/>
      <c r="W2783" s="9"/>
    </row>
    <row r="2784" spans="15:23" ht="31.4" customHeight="1" x14ac:dyDescent="0.35">
      <c r="O2784" s="9"/>
      <c r="V2784" s="9"/>
      <c r="W2784" s="9"/>
    </row>
    <row r="2785" spans="15:23" ht="31.4" customHeight="1" x14ac:dyDescent="0.35">
      <c r="O2785" s="9"/>
      <c r="V2785" s="9"/>
      <c r="W2785" s="9"/>
    </row>
    <row r="2786" spans="15:23" ht="31.4" customHeight="1" x14ac:dyDescent="0.35">
      <c r="O2786" s="9"/>
      <c r="V2786" s="9"/>
      <c r="W2786" s="9"/>
    </row>
    <row r="2787" spans="15:23" ht="31.4" customHeight="1" x14ac:dyDescent="0.35">
      <c r="O2787" s="9"/>
      <c r="V2787" s="9"/>
      <c r="W2787" s="9"/>
    </row>
    <row r="2788" spans="15:23" ht="31.4" customHeight="1" x14ac:dyDescent="0.35">
      <c r="O2788" s="9"/>
      <c r="V2788" s="9"/>
      <c r="W2788" s="9"/>
    </row>
    <row r="2789" spans="15:23" ht="31.4" customHeight="1" x14ac:dyDescent="0.35">
      <c r="O2789" s="9"/>
      <c r="V2789" s="9"/>
      <c r="W2789" s="9"/>
    </row>
    <row r="2790" spans="15:23" ht="31.4" customHeight="1" x14ac:dyDescent="0.35">
      <c r="O2790" s="9"/>
      <c r="V2790" s="9"/>
      <c r="W2790" s="9"/>
    </row>
    <row r="2791" spans="15:23" ht="31.4" customHeight="1" x14ac:dyDescent="0.35">
      <c r="O2791" s="9"/>
      <c r="V2791" s="9"/>
      <c r="W2791" s="9"/>
    </row>
    <row r="2792" spans="15:23" ht="31.4" customHeight="1" x14ac:dyDescent="0.35">
      <c r="O2792" s="9"/>
      <c r="V2792" s="9"/>
      <c r="W2792" s="9"/>
    </row>
    <row r="2793" spans="15:23" ht="31.4" customHeight="1" x14ac:dyDescent="0.35">
      <c r="O2793" s="9"/>
      <c r="V2793" s="9"/>
      <c r="W2793" s="9"/>
    </row>
    <row r="2794" spans="15:23" ht="31.4" customHeight="1" x14ac:dyDescent="0.35">
      <c r="O2794" s="9"/>
      <c r="V2794" s="9"/>
      <c r="W2794" s="9"/>
    </row>
    <row r="2795" spans="15:23" ht="31.4" customHeight="1" x14ac:dyDescent="0.35">
      <c r="O2795" s="9"/>
      <c r="V2795" s="9"/>
      <c r="W2795" s="9"/>
    </row>
    <row r="2796" spans="15:23" ht="31.4" customHeight="1" x14ac:dyDescent="0.35">
      <c r="O2796" s="9"/>
      <c r="V2796" s="9"/>
      <c r="W2796" s="9"/>
    </row>
    <row r="2797" spans="15:23" ht="31.4" customHeight="1" x14ac:dyDescent="0.35">
      <c r="O2797" s="9"/>
      <c r="V2797" s="9"/>
      <c r="W2797" s="9"/>
    </row>
    <row r="2798" spans="15:23" ht="31.4" customHeight="1" x14ac:dyDescent="0.35">
      <c r="O2798" s="9"/>
      <c r="V2798" s="9"/>
      <c r="W2798" s="9"/>
    </row>
    <row r="2799" spans="15:23" ht="31.4" customHeight="1" x14ac:dyDescent="0.35">
      <c r="O2799" s="9"/>
      <c r="V2799" s="9"/>
      <c r="W2799" s="9"/>
    </row>
    <row r="2800" spans="15:23" ht="31.4" customHeight="1" x14ac:dyDescent="0.35">
      <c r="O2800" s="9"/>
      <c r="V2800" s="9"/>
      <c r="W2800" s="9"/>
    </row>
    <row r="2801" spans="15:23" ht="31.4" customHeight="1" x14ac:dyDescent="0.35">
      <c r="O2801" s="9"/>
      <c r="V2801" s="9"/>
      <c r="W2801" s="9"/>
    </row>
    <row r="2802" spans="15:23" ht="31.4" customHeight="1" x14ac:dyDescent="0.35">
      <c r="O2802" s="9"/>
      <c r="V2802" s="9"/>
      <c r="W2802" s="9"/>
    </row>
    <row r="2803" spans="15:23" ht="31.4" customHeight="1" x14ac:dyDescent="0.35">
      <c r="O2803" s="9"/>
      <c r="V2803" s="9"/>
      <c r="W2803" s="9"/>
    </row>
    <row r="2804" spans="15:23" ht="31.4" customHeight="1" x14ac:dyDescent="0.35">
      <c r="O2804" s="9"/>
      <c r="V2804" s="9"/>
      <c r="W2804" s="9"/>
    </row>
    <row r="2805" spans="15:23" ht="31.4" customHeight="1" x14ac:dyDescent="0.35">
      <c r="O2805" s="9"/>
      <c r="V2805" s="9"/>
      <c r="W2805" s="9"/>
    </row>
    <row r="2806" spans="15:23" ht="31.4" customHeight="1" x14ac:dyDescent="0.35">
      <c r="O2806" s="9"/>
      <c r="V2806" s="9"/>
      <c r="W2806" s="9"/>
    </row>
    <row r="2807" spans="15:23" ht="31.4" customHeight="1" x14ac:dyDescent="0.35">
      <c r="O2807" s="9"/>
      <c r="V2807" s="9"/>
      <c r="W2807" s="9"/>
    </row>
    <row r="2808" spans="15:23" ht="31.4" customHeight="1" x14ac:dyDescent="0.35">
      <c r="O2808" s="9"/>
      <c r="V2808" s="9"/>
      <c r="W2808" s="9"/>
    </row>
    <row r="2809" spans="15:23" ht="31.4" customHeight="1" x14ac:dyDescent="0.35">
      <c r="O2809" s="9"/>
      <c r="V2809" s="9"/>
      <c r="W2809" s="9"/>
    </row>
    <row r="2810" spans="15:23" ht="31.4" customHeight="1" x14ac:dyDescent="0.35">
      <c r="O2810" s="9"/>
      <c r="V2810" s="9"/>
      <c r="W2810" s="9"/>
    </row>
    <row r="2811" spans="15:23" ht="31.4" customHeight="1" x14ac:dyDescent="0.35">
      <c r="O2811" s="9"/>
      <c r="V2811" s="9"/>
      <c r="W2811" s="9"/>
    </row>
    <row r="2812" spans="15:23" ht="31.4" customHeight="1" x14ac:dyDescent="0.35">
      <c r="O2812" s="9"/>
      <c r="V2812" s="9"/>
      <c r="W2812" s="9"/>
    </row>
    <row r="2813" spans="15:23" ht="31.4" customHeight="1" x14ac:dyDescent="0.35">
      <c r="O2813" s="9"/>
      <c r="V2813" s="9"/>
      <c r="W2813" s="9"/>
    </row>
    <row r="2814" spans="15:23" ht="31.4" customHeight="1" x14ac:dyDescent="0.35">
      <c r="O2814" s="9"/>
      <c r="V2814" s="9"/>
      <c r="W2814" s="9"/>
    </row>
    <row r="2815" spans="15:23" ht="31.4" customHeight="1" x14ac:dyDescent="0.35">
      <c r="O2815" s="9"/>
      <c r="V2815" s="9"/>
      <c r="W2815" s="9"/>
    </row>
    <row r="2816" spans="15:23" ht="31.4" customHeight="1" x14ac:dyDescent="0.35">
      <c r="O2816" s="9"/>
      <c r="V2816" s="9"/>
      <c r="W2816" s="9"/>
    </row>
    <row r="2817" spans="15:23" ht="31.4" customHeight="1" x14ac:dyDescent="0.35">
      <c r="O2817" s="9"/>
      <c r="V2817" s="9"/>
      <c r="W2817" s="9"/>
    </row>
    <row r="2818" spans="15:23" ht="31.4" customHeight="1" x14ac:dyDescent="0.35">
      <c r="O2818" s="9"/>
      <c r="V2818" s="9"/>
      <c r="W2818" s="9"/>
    </row>
    <row r="2819" spans="15:23" ht="31.4" customHeight="1" x14ac:dyDescent="0.35">
      <c r="O2819" s="9"/>
      <c r="V2819" s="9"/>
      <c r="W2819" s="9"/>
    </row>
    <row r="2820" spans="15:23" ht="31.4" customHeight="1" x14ac:dyDescent="0.35">
      <c r="O2820" s="9"/>
      <c r="V2820" s="9"/>
      <c r="W2820" s="9"/>
    </row>
    <row r="2821" spans="15:23" ht="31.4" customHeight="1" x14ac:dyDescent="0.35">
      <c r="O2821" s="9"/>
      <c r="V2821" s="9"/>
      <c r="W2821" s="9"/>
    </row>
    <row r="2822" spans="15:23" ht="31.4" customHeight="1" x14ac:dyDescent="0.35">
      <c r="O2822" s="9"/>
      <c r="V2822" s="9"/>
      <c r="W2822" s="9"/>
    </row>
    <row r="2823" spans="15:23" ht="31.4" customHeight="1" x14ac:dyDescent="0.35">
      <c r="O2823" s="9"/>
      <c r="V2823" s="9"/>
      <c r="W2823" s="9"/>
    </row>
    <row r="2824" spans="15:23" ht="31.4" customHeight="1" x14ac:dyDescent="0.35">
      <c r="O2824" s="9"/>
      <c r="V2824" s="9"/>
      <c r="W2824" s="9"/>
    </row>
    <row r="2825" spans="15:23" ht="31.4" customHeight="1" x14ac:dyDescent="0.35">
      <c r="O2825" s="9"/>
      <c r="V2825" s="9"/>
      <c r="W2825" s="9"/>
    </row>
    <row r="2826" spans="15:23" ht="31.4" customHeight="1" x14ac:dyDescent="0.35">
      <c r="O2826" s="9"/>
      <c r="V2826" s="9"/>
      <c r="W2826" s="9"/>
    </row>
    <row r="2827" spans="15:23" ht="31.4" customHeight="1" x14ac:dyDescent="0.35">
      <c r="O2827" s="9"/>
      <c r="V2827" s="9"/>
      <c r="W2827" s="9"/>
    </row>
    <row r="2828" spans="15:23" ht="31.4" customHeight="1" x14ac:dyDescent="0.35">
      <c r="O2828" s="9"/>
      <c r="V2828" s="9"/>
      <c r="W2828" s="9"/>
    </row>
    <row r="2829" spans="15:23" ht="31.4" customHeight="1" x14ac:dyDescent="0.35">
      <c r="O2829" s="9"/>
      <c r="V2829" s="9"/>
      <c r="W2829" s="9"/>
    </row>
    <row r="2830" spans="15:23" ht="31.4" customHeight="1" x14ac:dyDescent="0.35">
      <c r="O2830" s="9"/>
      <c r="V2830" s="9"/>
      <c r="W2830" s="9"/>
    </row>
    <row r="2831" spans="15:23" ht="31.4" customHeight="1" x14ac:dyDescent="0.35">
      <c r="O2831" s="9"/>
      <c r="V2831" s="9"/>
      <c r="W2831" s="9"/>
    </row>
    <row r="2832" spans="15:23" ht="31.4" customHeight="1" x14ac:dyDescent="0.35">
      <c r="O2832" s="9"/>
      <c r="V2832" s="9"/>
      <c r="W2832" s="9"/>
    </row>
    <row r="2833" spans="15:23" ht="31.4" customHeight="1" x14ac:dyDescent="0.35">
      <c r="O2833" s="9"/>
      <c r="V2833" s="9"/>
      <c r="W2833" s="9"/>
    </row>
    <row r="2834" spans="15:23" ht="31.4" customHeight="1" x14ac:dyDescent="0.35">
      <c r="O2834" s="9"/>
      <c r="V2834" s="9"/>
      <c r="W2834" s="9"/>
    </row>
    <row r="2835" spans="15:23" ht="31.4" customHeight="1" x14ac:dyDescent="0.35">
      <c r="O2835" s="9"/>
      <c r="V2835" s="9"/>
      <c r="W2835" s="9"/>
    </row>
    <row r="2836" spans="15:23" ht="31.4" customHeight="1" x14ac:dyDescent="0.35">
      <c r="O2836" s="9"/>
      <c r="V2836" s="9"/>
      <c r="W2836" s="9"/>
    </row>
    <row r="2837" spans="15:23" ht="31.4" customHeight="1" x14ac:dyDescent="0.35">
      <c r="O2837" s="9"/>
      <c r="V2837" s="9"/>
      <c r="W2837" s="9"/>
    </row>
    <row r="2838" spans="15:23" ht="31.4" customHeight="1" x14ac:dyDescent="0.35">
      <c r="O2838" s="9"/>
      <c r="V2838" s="9"/>
      <c r="W2838" s="9"/>
    </row>
    <row r="2839" spans="15:23" ht="31.4" customHeight="1" x14ac:dyDescent="0.35">
      <c r="O2839" s="9"/>
      <c r="V2839" s="9"/>
      <c r="W2839" s="9"/>
    </row>
    <row r="2840" spans="15:23" ht="31.4" customHeight="1" x14ac:dyDescent="0.35">
      <c r="O2840" s="9"/>
      <c r="V2840" s="9"/>
      <c r="W2840" s="9"/>
    </row>
    <row r="2841" spans="15:23" ht="31.4" customHeight="1" x14ac:dyDescent="0.35">
      <c r="O2841" s="9"/>
      <c r="V2841" s="9"/>
      <c r="W2841" s="9"/>
    </row>
    <row r="2842" spans="15:23" ht="31.4" customHeight="1" x14ac:dyDescent="0.35">
      <c r="O2842" s="9"/>
      <c r="V2842" s="9"/>
      <c r="W2842" s="9"/>
    </row>
    <row r="2843" spans="15:23" ht="31.4" customHeight="1" x14ac:dyDescent="0.35">
      <c r="O2843" s="9"/>
      <c r="V2843" s="9"/>
      <c r="W2843" s="9"/>
    </row>
    <row r="2844" spans="15:23" ht="31.4" customHeight="1" x14ac:dyDescent="0.35">
      <c r="O2844" s="9"/>
      <c r="V2844" s="9"/>
      <c r="W2844" s="9"/>
    </row>
    <row r="2845" spans="15:23" ht="31.4" customHeight="1" x14ac:dyDescent="0.35">
      <c r="O2845" s="9"/>
      <c r="V2845" s="9"/>
      <c r="W2845" s="9"/>
    </row>
    <row r="2846" spans="15:23" ht="31.4" customHeight="1" x14ac:dyDescent="0.35">
      <c r="O2846" s="9"/>
      <c r="V2846" s="9"/>
      <c r="W2846" s="9"/>
    </row>
    <row r="2847" spans="15:23" ht="31.4" customHeight="1" x14ac:dyDescent="0.35">
      <c r="O2847" s="9"/>
      <c r="V2847" s="9"/>
      <c r="W2847" s="9"/>
    </row>
    <row r="2848" spans="15:23" ht="31.4" customHeight="1" x14ac:dyDescent="0.35">
      <c r="O2848" s="9"/>
      <c r="V2848" s="9"/>
      <c r="W2848" s="9"/>
    </row>
    <row r="2849" spans="15:23" ht="31.4" customHeight="1" x14ac:dyDescent="0.35">
      <c r="O2849" s="9"/>
      <c r="V2849" s="9"/>
      <c r="W2849" s="9"/>
    </row>
    <row r="2850" spans="15:23" ht="31.4" customHeight="1" x14ac:dyDescent="0.35">
      <c r="O2850" s="9"/>
      <c r="V2850" s="9"/>
      <c r="W2850" s="9"/>
    </row>
    <row r="2851" spans="15:23" ht="31.4" customHeight="1" x14ac:dyDescent="0.35">
      <c r="O2851" s="9"/>
      <c r="V2851" s="9"/>
      <c r="W2851" s="9"/>
    </row>
    <row r="2852" spans="15:23" ht="31.4" customHeight="1" x14ac:dyDescent="0.35">
      <c r="O2852" s="9"/>
      <c r="V2852" s="9"/>
      <c r="W2852" s="9"/>
    </row>
    <row r="2853" spans="15:23" ht="31.4" customHeight="1" x14ac:dyDescent="0.35">
      <c r="O2853" s="9"/>
      <c r="V2853" s="9"/>
      <c r="W2853" s="9"/>
    </row>
    <row r="2854" spans="15:23" ht="31.4" customHeight="1" x14ac:dyDescent="0.35">
      <c r="O2854" s="9"/>
      <c r="V2854" s="9"/>
      <c r="W2854" s="9"/>
    </row>
    <row r="2855" spans="15:23" ht="31.4" customHeight="1" x14ac:dyDescent="0.35">
      <c r="O2855" s="9"/>
      <c r="V2855" s="9"/>
      <c r="W2855" s="9"/>
    </row>
    <row r="2856" spans="15:23" ht="31.4" customHeight="1" x14ac:dyDescent="0.35">
      <c r="O2856" s="9"/>
      <c r="V2856" s="9"/>
      <c r="W2856" s="9"/>
    </row>
    <row r="2857" spans="15:23" ht="31.4" customHeight="1" x14ac:dyDescent="0.35">
      <c r="O2857" s="9"/>
      <c r="V2857" s="9"/>
      <c r="W2857" s="9"/>
    </row>
    <row r="2858" spans="15:23" ht="31.4" customHeight="1" x14ac:dyDescent="0.35">
      <c r="O2858" s="9"/>
      <c r="V2858" s="9"/>
      <c r="W2858" s="9"/>
    </row>
    <row r="2859" spans="15:23" ht="31.4" customHeight="1" x14ac:dyDescent="0.35">
      <c r="O2859" s="9"/>
      <c r="V2859" s="9"/>
      <c r="W2859" s="9"/>
    </row>
    <row r="2860" spans="15:23" ht="31.4" customHeight="1" x14ac:dyDescent="0.35">
      <c r="O2860" s="9"/>
      <c r="V2860" s="9"/>
      <c r="W2860" s="9"/>
    </row>
    <row r="2861" spans="15:23" ht="31.4" customHeight="1" x14ac:dyDescent="0.35">
      <c r="O2861" s="9"/>
      <c r="V2861" s="9"/>
      <c r="W2861" s="9"/>
    </row>
    <row r="2862" spans="15:23" ht="31.4" customHeight="1" x14ac:dyDescent="0.35">
      <c r="O2862" s="9"/>
      <c r="V2862" s="9"/>
      <c r="W2862" s="9"/>
    </row>
    <row r="2863" spans="15:23" ht="31.4" customHeight="1" x14ac:dyDescent="0.35">
      <c r="O2863" s="9"/>
      <c r="V2863" s="9"/>
      <c r="W2863" s="9"/>
    </row>
    <row r="2864" spans="15:23" ht="31.4" customHeight="1" x14ac:dyDescent="0.35">
      <c r="O2864" s="9"/>
      <c r="V2864" s="9"/>
      <c r="W2864" s="9"/>
    </row>
    <row r="2865" spans="15:23" ht="31.4" customHeight="1" x14ac:dyDescent="0.35">
      <c r="O2865" s="9"/>
      <c r="V2865" s="9"/>
      <c r="W2865" s="9"/>
    </row>
    <row r="2866" spans="15:23" ht="31.4" customHeight="1" x14ac:dyDescent="0.35">
      <c r="O2866" s="9"/>
      <c r="V2866" s="9"/>
      <c r="W2866" s="9"/>
    </row>
    <row r="2867" spans="15:23" ht="31.4" customHeight="1" x14ac:dyDescent="0.35">
      <c r="O2867" s="9"/>
      <c r="V2867" s="9"/>
      <c r="W2867" s="9"/>
    </row>
    <row r="2868" spans="15:23" ht="31.4" customHeight="1" x14ac:dyDescent="0.35">
      <c r="O2868" s="9"/>
      <c r="V2868" s="9"/>
      <c r="W2868" s="9"/>
    </row>
    <row r="2869" spans="15:23" ht="31.4" customHeight="1" x14ac:dyDescent="0.35">
      <c r="O2869" s="9"/>
      <c r="V2869" s="9"/>
      <c r="W2869" s="9"/>
    </row>
    <row r="2870" spans="15:23" ht="31.4" customHeight="1" x14ac:dyDescent="0.35">
      <c r="O2870" s="9"/>
      <c r="V2870" s="9"/>
      <c r="W2870" s="9"/>
    </row>
    <row r="2871" spans="15:23" ht="31.4" customHeight="1" x14ac:dyDescent="0.35">
      <c r="O2871" s="9"/>
      <c r="V2871" s="9"/>
      <c r="W2871" s="9"/>
    </row>
    <row r="2872" spans="15:23" ht="31.4" customHeight="1" x14ac:dyDescent="0.35">
      <c r="O2872" s="9"/>
      <c r="V2872" s="9"/>
      <c r="W2872" s="9"/>
    </row>
    <row r="2873" spans="15:23" ht="31.4" customHeight="1" x14ac:dyDescent="0.35">
      <c r="O2873" s="9"/>
      <c r="V2873" s="9"/>
      <c r="W2873" s="9"/>
    </row>
    <row r="2874" spans="15:23" ht="31.4" customHeight="1" x14ac:dyDescent="0.35">
      <c r="O2874" s="9"/>
      <c r="V2874" s="9"/>
      <c r="W2874" s="9"/>
    </row>
    <row r="2875" spans="15:23" ht="31.4" customHeight="1" x14ac:dyDescent="0.35">
      <c r="O2875" s="9"/>
      <c r="V2875" s="9"/>
      <c r="W2875" s="9"/>
    </row>
    <row r="2876" spans="15:23" ht="31.4" customHeight="1" x14ac:dyDescent="0.35">
      <c r="O2876" s="9"/>
      <c r="V2876" s="9"/>
      <c r="W2876" s="9"/>
    </row>
    <row r="2877" spans="15:23" ht="31.4" customHeight="1" x14ac:dyDescent="0.35">
      <c r="O2877" s="9"/>
      <c r="V2877" s="9"/>
      <c r="W2877" s="9"/>
    </row>
    <row r="2878" spans="15:23" ht="31.4" customHeight="1" x14ac:dyDescent="0.35">
      <c r="O2878" s="9"/>
      <c r="V2878" s="9"/>
      <c r="W2878" s="9"/>
    </row>
    <row r="2879" spans="15:23" ht="31.4" customHeight="1" x14ac:dyDescent="0.35">
      <c r="O2879" s="9"/>
      <c r="V2879" s="9"/>
      <c r="W2879" s="9"/>
    </row>
    <row r="2880" spans="15:23" ht="31.4" customHeight="1" x14ac:dyDescent="0.35">
      <c r="O2880" s="9"/>
      <c r="V2880" s="9"/>
      <c r="W2880" s="9"/>
    </row>
    <row r="2881" spans="15:23" ht="31.4" customHeight="1" x14ac:dyDescent="0.35">
      <c r="O2881" s="9"/>
      <c r="V2881" s="9"/>
      <c r="W2881" s="9"/>
    </row>
    <row r="2882" spans="15:23" ht="31.4" customHeight="1" x14ac:dyDescent="0.35">
      <c r="O2882" s="9"/>
      <c r="V2882" s="9"/>
      <c r="W2882" s="9"/>
    </row>
    <row r="2883" spans="15:23" ht="31.4" customHeight="1" x14ac:dyDescent="0.35">
      <c r="O2883" s="9"/>
      <c r="V2883" s="9"/>
      <c r="W2883" s="9"/>
    </row>
    <row r="2884" spans="15:23" ht="31.4" customHeight="1" x14ac:dyDescent="0.35">
      <c r="O2884" s="9"/>
      <c r="V2884" s="9"/>
      <c r="W2884" s="9"/>
    </row>
    <row r="2885" spans="15:23" ht="31.4" customHeight="1" x14ac:dyDescent="0.35">
      <c r="O2885" s="9"/>
      <c r="V2885" s="9"/>
      <c r="W2885" s="9"/>
    </row>
    <row r="2886" spans="15:23" ht="31.4" customHeight="1" x14ac:dyDescent="0.35">
      <c r="O2886" s="9"/>
      <c r="V2886" s="9"/>
      <c r="W2886" s="9"/>
    </row>
    <row r="2887" spans="15:23" ht="31.4" customHeight="1" x14ac:dyDescent="0.35">
      <c r="O2887" s="9"/>
      <c r="V2887" s="9"/>
      <c r="W2887" s="9"/>
    </row>
    <row r="2888" spans="15:23" ht="31.4" customHeight="1" x14ac:dyDescent="0.35">
      <c r="O2888" s="9"/>
      <c r="V2888" s="9"/>
      <c r="W2888" s="9"/>
    </row>
    <row r="2889" spans="15:23" ht="31.4" customHeight="1" x14ac:dyDescent="0.35">
      <c r="O2889" s="9"/>
      <c r="V2889" s="9"/>
      <c r="W2889" s="9"/>
    </row>
    <row r="2890" spans="15:23" ht="31.4" customHeight="1" x14ac:dyDescent="0.35">
      <c r="O2890" s="9"/>
      <c r="V2890" s="9"/>
      <c r="W2890" s="9"/>
    </row>
    <row r="2891" spans="15:23" ht="31.4" customHeight="1" x14ac:dyDescent="0.35">
      <c r="O2891" s="9"/>
      <c r="V2891" s="9"/>
      <c r="W2891" s="9"/>
    </row>
    <row r="2892" spans="15:23" ht="31.4" customHeight="1" x14ac:dyDescent="0.35">
      <c r="O2892" s="9"/>
      <c r="V2892" s="9"/>
      <c r="W2892" s="9"/>
    </row>
    <row r="2893" spans="15:23" ht="31.4" customHeight="1" x14ac:dyDescent="0.35">
      <c r="O2893" s="9"/>
      <c r="V2893" s="9"/>
      <c r="W2893" s="9"/>
    </row>
    <row r="2894" spans="15:23" ht="31.4" customHeight="1" x14ac:dyDescent="0.35">
      <c r="O2894" s="9"/>
      <c r="V2894" s="9"/>
      <c r="W2894" s="9"/>
    </row>
    <row r="2895" spans="15:23" ht="31.4" customHeight="1" x14ac:dyDescent="0.35">
      <c r="O2895" s="9"/>
      <c r="V2895" s="9"/>
      <c r="W2895" s="9"/>
    </row>
    <row r="2896" spans="15:23" ht="31.4" customHeight="1" x14ac:dyDescent="0.35">
      <c r="O2896" s="9"/>
      <c r="V2896" s="9"/>
      <c r="W2896" s="9"/>
    </row>
    <row r="2897" spans="15:23" ht="31.4" customHeight="1" x14ac:dyDescent="0.35">
      <c r="O2897" s="9"/>
      <c r="V2897" s="9"/>
      <c r="W2897" s="9"/>
    </row>
    <row r="2898" spans="15:23" ht="31.4" customHeight="1" x14ac:dyDescent="0.35">
      <c r="O2898" s="9"/>
      <c r="V2898" s="9"/>
      <c r="W2898" s="9"/>
    </row>
    <row r="2899" spans="15:23" ht="31.4" customHeight="1" x14ac:dyDescent="0.35">
      <c r="O2899" s="9"/>
      <c r="V2899" s="9"/>
      <c r="W2899" s="9"/>
    </row>
    <row r="2900" spans="15:23" ht="31.4" customHeight="1" x14ac:dyDescent="0.35">
      <c r="O2900" s="9"/>
      <c r="V2900" s="9"/>
      <c r="W2900" s="9"/>
    </row>
    <row r="2901" spans="15:23" ht="31.4" customHeight="1" x14ac:dyDescent="0.35">
      <c r="O2901" s="9"/>
      <c r="V2901" s="9"/>
      <c r="W2901" s="9"/>
    </row>
    <row r="2902" spans="15:23" ht="31.4" customHeight="1" x14ac:dyDescent="0.35">
      <c r="O2902" s="9"/>
      <c r="V2902" s="9"/>
      <c r="W2902" s="9"/>
    </row>
    <row r="2903" spans="15:23" ht="31.4" customHeight="1" x14ac:dyDescent="0.35">
      <c r="O2903" s="9"/>
      <c r="V2903" s="9"/>
      <c r="W2903" s="9"/>
    </row>
    <row r="2904" spans="15:23" ht="31.4" customHeight="1" x14ac:dyDescent="0.35">
      <c r="O2904" s="9"/>
      <c r="V2904" s="9"/>
      <c r="W2904" s="9"/>
    </row>
    <row r="2905" spans="15:23" ht="31.4" customHeight="1" x14ac:dyDescent="0.35">
      <c r="O2905" s="9"/>
      <c r="V2905" s="9"/>
      <c r="W2905" s="9"/>
    </row>
    <row r="2906" spans="15:23" ht="31.4" customHeight="1" x14ac:dyDescent="0.35">
      <c r="O2906" s="9"/>
      <c r="V2906" s="9"/>
      <c r="W2906" s="9"/>
    </row>
    <row r="2907" spans="15:23" ht="31.4" customHeight="1" x14ac:dyDescent="0.35">
      <c r="O2907" s="9"/>
      <c r="V2907" s="9"/>
      <c r="W2907" s="9"/>
    </row>
    <row r="2908" spans="15:23" ht="31.4" customHeight="1" x14ac:dyDescent="0.35">
      <c r="O2908" s="9"/>
      <c r="V2908" s="9"/>
      <c r="W2908" s="9"/>
    </row>
    <row r="2909" spans="15:23" ht="31.4" customHeight="1" x14ac:dyDescent="0.35">
      <c r="O2909" s="9"/>
      <c r="V2909" s="9"/>
      <c r="W2909" s="9"/>
    </row>
    <row r="2910" spans="15:23" ht="31.4" customHeight="1" x14ac:dyDescent="0.35">
      <c r="O2910" s="9"/>
      <c r="V2910" s="9"/>
      <c r="W2910" s="9"/>
    </row>
    <row r="2911" spans="15:23" ht="31.4" customHeight="1" x14ac:dyDescent="0.35">
      <c r="O2911" s="9"/>
      <c r="V2911" s="9"/>
      <c r="W2911" s="9"/>
    </row>
    <row r="2912" spans="15:23" ht="31.4" customHeight="1" x14ac:dyDescent="0.35">
      <c r="O2912" s="9"/>
      <c r="V2912" s="9"/>
      <c r="W2912" s="9"/>
    </row>
    <row r="2913" spans="15:23" ht="31.4" customHeight="1" x14ac:dyDescent="0.35">
      <c r="O2913" s="9"/>
      <c r="V2913" s="9"/>
      <c r="W2913" s="9"/>
    </row>
    <row r="2914" spans="15:23" ht="31.4" customHeight="1" x14ac:dyDescent="0.35">
      <c r="O2914" s="9"/>
      <c r="V2914" s="9"/>
      <c r="W2914" s="9"/>
    </row>
    <row r="2915" spans="15:23" ht="31.4" customHeight="1" x14ac:dyDescent="0.35">
      <c r="O2915" s="9"/>
      <c r="V2915" s="9"/>
      <c r="W2915" s="9"/>
    </row>
    <row r="2916" spans="15:23" ht="31.4" customHeight="1" x14ac:dyDescent="0.35">
      <c r="O2916" s="9"/>
      <c r="V2916" s="9"/>
      <c r="W2916" s="9"/>
    </row>
    <row r="2917" spans="15:23" ht="31.4" customHeight="1" x14ac:dyDescent="0.35">
      <c r="O2917" s="9"/>
      <c r="V2917" s="9"/>
      <c r="W2917" s="9"/>
    </row>
    <row r="2918" spans="15:23" ht="31.4" customHeight="1" x14ac:dyDescent="0.35">
      <c r="O2918" s="9"/>
      <c r="V2918" s="9"/>
      <c r="W2918" s="9"/>
    </row>
    <row r="2919" spans="15:23" ht="31.4" customHeight="1" x14ac:dyDescent="0.35">
      <c r="O2919" s="9"/>
      <c r="V2919" s="9"/>
      <c r="W2919" s="9"/>
    </row>
    <row r="2920" spans="15:23" ht="31.4" customHeight="1" x14ac:dyDescent="0.35">
      <c r="O2920" s="9"/>
      <c r="V2920" s="9"/>
      <c r="W2920" s="9"/>
    </row>
    <row r="2921" spans="15:23" ht="31.4" customHeight="1" x14ac:dyDescent="0.35">
      <c r="O2921" s="9"/>
      <c r="V2921" s="9"/>
      <c r="W2921" s="9"/>
    </row>
    <row r="2922" spans="15:23" ht="31.4" customHeight="1" x14ac:dyDescent="0.35">
      <c r="O2922" s="9"/>
      <c r="V2922" s="9"/>
      <c r="W2922" s="9"/>
    </row>
    <row r="2923" spans="15:23" ht="31.4" customHeight="1" x14ac:dyDescent="0.35">
      <c r="O2923" s="9"/>
      <c r="V2923" s="9"/>
      <c r="W2923" s="9"/>
    </row>
    <row r="2924" spans="15:23" ht="31.4" customHeight="1" x14ac:dyDescent="0.35">
      <c r="O2924" s="9"/>
      <c r="V2924" s="9"/>
      <c r="W2924" s="9"/>
    </row>
    <row r="2925" spans="15:23" ht="31.4" customHeight="1" x14ac:dyDescent="0.35">
      <c r="O2925" s="9"/>
      <c r="V2925" s="9"/>
      <c r="W2925" s="9"/>
    </row>
    <row r="2926" spans="15:23" ht="31.4" customHeight="1" x14ac:dyDescent="0.35">
      <c r="O2926" s="9"/>
      <c r="V2926" s="9"/>
      <c r="W2926" s="9"/>
    </row>
    <row r="2927" spans="15:23" ht="31.4" customHeight="1" x14ac:dyDescent="0.35">
      <c r="O2927" s="9"/>
      <c r="V2927" s="9"/>
      <c r="W2927" s="9"/>
    </row>
    <row r="2928" spans="15:23" ht="31.4" customHeight="1" x14ac:dyDescent="0.35">
      <c r="O2928" s="9"/>
      <c r="V2928" s="9"/>
      <c r="W2928" s="9"/>
    </row>
    <row r="2929" spans="15:23" ht="31.4" customHeight="1" x14ac:dyDescent="0.35">
      <c r="O2929" s="9"/>
      <c r="V2929" s="9"/>
      <c r="W2929" s="9"/>
    </row>
    <row r="2930" spans="15:23" ht="31.4" customHeight="1" x14ac:dyDescent="0.35">
      <c r="O2930" s="9"/>
      <c r="V2930" s="9"/>
      <c r="W2930" s="9"/>
    </row>
    <row r="2931" spans="15:23" ht="31.4" customHeight="1" x14ac:dyDescent="0.35">
      <c r="O2931" s="9"/>
      <c r="V2931" s="9"/>
      <c r="W2931" s="9"/>
    </row>
    <row r="2932" spans="15:23" ht="31.4" customHeight="1" x14ac:dyDescent="0.35">
      <c r="O2932" s="9"/>
      <c r="V2932" s="9"/>
      <c r="W2932" s="9"/>
    </row>
    <row r="2933" spans="15:23" ht="31.4" customHeight="1" x14ac:dyDescent="0.35">
      <c r="O2933" s="9"/>
      <c r="V2933" s="9"/>
      <c r="W2933" s="9"/>
    </row>
    <row r="2934" spans="15:23" ht="31.4" customHeight="1" x14ac:dyDescent="0.35">
      <c r="O2934" s="9"/>
      <c r="V2934" s="9"/>
      <c r="W2934" s="9"/>
    </row>
    <row r="2935" spans="15:23" ht="31.4" customHeight="1" x14ac:dyDescent="0.35">
      <c r="O2935" s="9"/>
      <c r="V2935" s="9"/>
      <c r="W2935" s="9"/>
    </row>
    <row r="2936" spans="15:23" ht="31.4" customHeight="1" x14ac:dyDescent="0.35">
      <c r="O2936" s="9"/>
      <c r="V2936" s="9"/>
      <c r="W2936" s="9"/>
    </row>
    <row r="2937" spans="15:23" ht="31.4" customHeight="1" x14ac:dyDescent="0.35">
      <c r="O2937" s="9"/>
      <c r="V2937" s="9"/>
      <c r="W2937" s="9"/>
    </row>
    <row r="2938" spans="15:23" ht="31.4" customHeight="1" x14ac:dyDescent="0.35">
      <c r="O2938" s="9"/>
      <c r="V2938" s="9"/>
      <c r="W2938" s="9"/>
    </row>
    <row r="2939" spans="15:23" ht="31.4" customHeight="1" x14ac:dyDescent="0.35">
      <c r="O2939" s="9"/>
      <c r="V2939" s="9"/>
      <c r="W2939" s="9"/>
    </row>
    <row r="2940" spans="15:23" ht="31.4" customHeight="1" x14ac:dyDescent="0.35">
      <c r="O2940" s="9"/>
      <c r="V2940" s="9"/>
      <c r="W2940" s="9"/>
    </row>
    <row r="2941" spans="15:23" ht="31.4" customHeight="1" x14ac:dyDescent="0.35">
      <c r="O2941" s="9"/>
      <c r="V2941" s="9"/>
      <c r="W2941" s="9"/>
    </row>
    <row r="2942" spans="15:23" ht="31.4" customHeight="1" x14ac:dyDescent="0.35">
      <c r="O2942" s="9"/>
      <c r="V2942" s="9"/>
      <c r="W2942" s="9"/>
    </row>
    <row r="2943" spans="15:23" ht="31.4" customHeight="1" x14ac:dyDescent="0.35">
      <c r="O2943" s="9"/>
      <c r="V2943" s="9"/>
      <c r="W2943" s="9"/>
    </row>
    <row r="2944" spans="15:23" ht="31.4" customHeight="1" x14ac:dyDescent="0.35">
      <c r="O2944" s="9"/>
      <c r="V2944" s="9"/>
      <c r="W2944" s="9"/>
    </row>
    <row r="2945" spans="15:23" ht="31.4" customHeight="1" x14ac:dyDescent="0.35">
      <c r="O2945" s="9"/>
      <c r="V2945" s="9"/>
      <c r="W2945" s="9"/>
    </row>
    <row r="2946" spans="15:23" ht="31.4" customHeight="1" x14ac:dyDescent="0.35">
      <c r="O2946" s="9"/>
      <c r="V2946" s="9"/>
      <c r="W2946" s="9"/>
    </row>
    <row r="2947" spans="15:23" ht="31.4" customHeight="1" x14ac:dyDescent="0.35">
      <c r="O2947" s="9"/>
      <c r="V2947" s="9"/>
      <c r="W2947" s="9"/>
    </row>
    <row r="2948" spans="15:23" ht="31.4" customHeight="1" x14ac:dyDescent="0.35">
      <c r="O2948" s="9"/>
      <c r="V2948" s="9"/>
      <c r="W2948" s="9"/>
    </row>
    <row r="2949" spans="15:23" ht="31.4" customHeight="1" x14ac:dyDescent="0.35">
      <c r="O2949" s="9"/>
      <c r="V2949" s="9"/>
      <c r="W2949" s="9"/>
    </row>
    <row r="2950" spans="15:23" ht="31.4" customHeight="1" x14ac:dyDescent="0.35">
      <c r="O2950" s="9"/>
      <c r="V2950" s="9"/>
      <c r="W2950" s="9"/>
    </row>
    <row r="2951" spans="15:23" ht="31.4" customHeight="1" x14ac:dyDescent="0.35">
      <c r="O2951" s="9"/>
      <c r="V2951" s="9"/>
      <c r="W2951" s="9"/>
    </row>
    <row r="2952" spans="15:23" ht="31.4" customHeight="1" x14ac:dyDescent="0.35">
      <c r="O2952" s="9"/>
      <c r="V2952" s="9"/>
      <c r="W2952" s="9"/>
    </row>
    <row r="2953" spans="15:23" ht="31.4" customHeight="1" x14ac:dyDescent="0.35">
      <c r="O2953" s="9"/>
      <c r="V2953" s="9"/>
      <c r="W2953" s="9"/>
    </row>
    <row r="2954" spans="15:23" ht="31.4" customHeight="1" x14ac:dyDescent="0.35">
      <c r="O2954" s="9"/>
      <c r="V2954" s="9"/>
      <c r="W2954" s="9"/>
    </row>
    <row r="2955" spans="15:23" ht="31.4" customHeight="1" x14ac:dyDescent="0.35">
      <c r="O2955" s="9"/>
      <c r="V2955" s="9"/>
      <c r="W2955" s="9"/>
    </row>
    <row r="2956" spans="15:23" ht="31.4" customHeight="1" x14ac:dyDescent="0.35">
      <c r="O2956" s="9"/>
      <c r="V2956" s="9"/>
      <c r="W2956" s="9"/>
    </row>
    <row r="2957" spans="15:23" ht="31.4" customHeight="1" x14ac:dyDescent="0.35">
      <c r="O2957" s="9"/>
      <c r="V2957" s="9"/>
      <c r="W2957" s="9"/>
    </row>
    <row r="2958" spans="15:23" ht="31.4" customHeight="1" x14ac:dyDescent="0.35">
      <c r="O2958" s="9"/>
      <c r="V2958" s="9"/>
      <c r="W2958" s="9"/>
    </row>
    <row r="2959" spans="15:23" ht="31.4" customHeight="1" x14ac:dyDescent="0.35">
      <c r="O2959" s="9"/>
      <c r="V2959" s="9"/>
      <c r="W2959" s="9"/>
    </row>
    <row r="2960" spans="15:23" ht="31.4" customHeight="1" x14ac:dyDescent="0.35">
      <c r="O2960" s="9"/>
      <c r="V2960" s="9"/>
      <c r="W2960" s="9"/>
    </row>
    <row r="2961" spans="15:23" ht="31.4" customHeight="1" x14ac:dyDescent="0.35">
      <c r="O2961" s="9"/>
      <c r="V2961" s="9"/>
      <c r="W2961" s="9"/>
    </row>
    <row r="2962" spans="15:23" ht="31.4" customHeight="1" x14ac:dyDescent="0.35">
      <c r="O2962" s="9"/>
      <c r="V2962" s="9"/>
      <c r="W2962" s="9"/>
    </row>
    <row r="2963" spans="15:23" ht="31.4" customHeight="1" x14ac:dyDescent="0.35">
      <c r="O2963" s="9"/>
      <c r="V2963" s="9"/>
      <c r="W2963" s="9"/>
    </row>
    <row r="2964" spans="15:23" ht="31.4" customHeight="1" x14ac:dyDescent="0.35">
      <c r="O2964" s="9"/>
      <c r="V2964" s="9"/>
      <c r="W2964" s="9"/>
    </row>
    <row r="2965" spans="15:23" ht="31.4" customHeight="1" x14ac:dyDescent="0.35">
      <c r="O2965" s="9"/>
      <c r="V2965" s="9"/>
      <c r="W2965" s="9"/>
    </row>
    <row r="2966" spans="15:23" ht="31.4" customHeight="1" x14ac:dyDescent="0.35">
      <c r="O2966" s="9"/>
      <c r="V2966" s="9"/>
      <c r="W2966" s="9"/>
    </row>
    <row r="2967" spans="15:23" ht="31.4" customHeight="1" x14ac:dyDescent="0.35">
      <c r="O2967" s="9"/>
      <c r="V2967" s="9"/>
      <c r="W2967" s="9"/>
    </row>
    <row r="2968" spans="15:23" ht="31.4" customHeight="1" x14ac:dyDescent="0.35">
      <c r="O2968" s="9"/>
      <c r="V2968" s="9"/>
      <c r="W2968" s="9"/>
    </row>
    <row r="2969" spans="15:23" ht="31.4" customHeight="1" x14ac:dyDescent="0.35">
      <c r="O2969" s="9"/>
      <c r="V2969" s="9"/>
      <c r="W2969" s="9"/>
    </row>
    <row r="2970" spans="15:23" ht="31.4" customHeight="1" x14ac:dyDescent="0.35">
      <c r="O2970" s="9"/>
      <c r="V2970" s="9"/>
      <c r="W2970" s="9"/>
    </row>
    <row r="2971" spans="15:23" ht="31.4" customHeight="1" x14ac:dyDescent="0.35">
      <c r="O2971" s="9"/>
      <c r="V2971" s="9"/>
      <c r="W2971" s="9"/>
    </row>
    <row r="2972" spans="15:23" ht="31.4" customHeight="1" x14ac:dyDescent="0.35">
      <c r="O2972" s="9"/>
      <c r="V2972" s="9"/>
      <c r="W2972" s="9"/>
    </row>
    <row r="2973" spans="15:23" ht="31.4" customHeight="1" x14ac:dyDescent="0.35">
      <c r="O2973" s="9"/>
      <c r="V2973" s="9"/>
      <c r="W2973" s="9"/>
    </row>
    <row r="2974" spans="15:23" ht="31.4" customHeight="1" x14ac:dyDescent="0.35">
      <c r="O2974" s="9"/>
      <c r="V2974" s="9"/>
      <c r="W2974" s="9"/>
    </row>
    <row r="2975" spans="15:23" ht="31.4" customHeight="1" x14ac:dyDescent="0.35">
      <c r="O2975" s="9"/>
      <c r="V2975" s="9"/>
      <c r="W2975" s="9"/>
    </row>
    <row r="2976" spans="15:23" ht="31.4" customHeight="1" x14ac:dyDescent="0.35">
      <c r="O2976" s="9"/>
      <c r="V2976" s="9"/>
      <c r="W2976" s="9"/>
    </row>
    <row r="2977" spans="15:23" ht="31.4" customHeight="1" x14ac:dyDescent="0.35">
      <c r="O2977" s="9"/>
      <c r="V2977" s="9"/>
      <c r="W2977" s="9"/>
    </row>
    <row r="2978" spans="15:23" ht="31.4" customHeight="1" x14ac:dyDescent="0.35">
      <c r="O2978" s="9"/>
      <c r="V2978" s="9"/>
      <c r="W2978" s="9"/>
    </row>
    <row r="2979" spans="15:23" ht="31.4" customHeight="1" x14ac:dyDescent="0.35">
      <c r="O2979" s="9"/>
      <c r="V2979" s="9"/>
      <c r="W2979" s="9"/>
    </row>
    <row r="2980" spans="15:23" ht="31.4" customHeight="1" x14ac:dyDescent="0.35">
      <c r="O2980" s="9"/>
      <c r="V2980" s="9"/>
      <c r="W2980" s="9"/>
    </row>
    <row r="2981" spans="15:23" ht="31.4" customHeight="1" x14ac:dyDescent="0.35">
      <c r="O2981" s="9"/>
      <c r="V2981" s="9"/>
      <c r="W2981" s="9"/>
    </row>
    <row r="2982" spans="15:23" ht="31.4" customHeight="1" x14ac:dyDescent="0.35">
      <c r="O2982" s="9"/>
      <c r="V2982" s="9"/>
      <c r="W2982" s="9"/>
    </row>
    <row r="2983" spans="15:23" ht="31.4" customHeight="1" x14ac:dyDescent="0.35">
      <c r="O2983" s="9"/>
      <c r="V2983" s="9"/>
      <c r="W2983" s="9"/>
    </row>
    <row r="2984" spans="15:23" ht="31.4" customHeight="1" x14ac:dyDescent="0.35">
      <c r="O2984" s="9"/>
      <c r="V2984" s="9"/>
      <c r="W2984" s="9"/>
    </row>
    <row r="2985" spans="15:23" ht="31.4" customHeight="1" x14ac:dyDescent="0.35">
      <c r="O2985" s="9"/>
      <c r="V2985" s="9"/>
      <c r="W2985" s="9"/>
    </row>
    <row r="2986" spans="15:23" ht="31.4" customHeight="1" x14ac:dyDescent="0.35">
      <c r="O2986" s="9"/>
      <c r="V2986" s="9"/>
      <c r="W2986" s="9"/>
    </row>
    <row r="2987" spans="15:23" ht="31.4" customHeight="1" x14ac:dyDescent="0.35">
      <c r="O2987" s="9"/>
      <c r="V2987" s="9"/>
      <c r="W2987" s="9"/>
    </row>
    <row r="2988" spans="15:23" ht="31.4" customHeight="1" x14ac:dyDescent="0.35">
      <c r="O2988" s="9"/>
      <c r="V2988" s="9"/>
      <c r="W2988" s="9"/>
    </row>
    <row r="2989" spans="15:23" ht="31.4" customHeight="1" x14ac:dyDescent="0.35">
      <c r="O2989" s="9"/>
      <c r="V2989" s="9"/>
      <c r="W2989" s="9"/>
    </row>
    <row r="2990" spans="15:23" ht="31.4" customHeight="1" x14ac:dyDescent="0.35">
      <c r="O2990" s="9"/>
      <c r="V2990" s="9"/>
      <c r="W2990" s="9"/>
    </row>
    <row r="2991" spans="15:23" ht="31.4" customHeight="1" x14ac:dyDescent="0.35">
      <c r="O2991" s="9"/>
      <c r="V2991" s="9"/>
      <c r="W2991" s="9"/>
    </row>
    <row r="2992" spans="15:23" ht="31.4" customHeight="1" x14ac:dyDescent="0.35">
      <c r="O2992" s="9"/>
      <c r="V2992" s="9"/>
      <c r="W2992" s="9"/>
    </row>
    <row r="2993" spans="15:23" ht="31.4" customHeight="1" x14ac:dyDescent="0.35">
      <c r="O2993" s="9"/>
      <c r="V2993" s="9"/>
      <c r="W2993" s="9"/>
    </row>
    <row r="2994" spans="15:23" ht="31.4" customHeight="1" x14ac:dyDescent="0.35">
      <c r="O2994" s="9"/>
      <c r="V2994" s="9"/>
      <c r="W2994" s="9"/>
    </row>
    <row r="2995" spans="15:23" ht="31.4" customHeight="1" x14ac:dyDescent="0.35">
      <c r="O2995" s="9"/>
      <c r="V2995" s="9"/>
      <c r="W2995" s="9"/>
    </row>
    <row r="2996" spans="15:23" ht="31.4" customHeight="1" x14ac:dyDescent="0.35">
      <c r="O2996" s="9"/>
      <c r="V2996" s="9"/>
      <c r="W2996" s="9"/>
    </row>
    <row r="2997" spans="15:23" ht="31.4" customHeight="1" x14ac:dyDescent="0.35">
      <c r="O2997" s="9"/>
      <c r="V2997" s="9"/>
      <c r="W2997" s="9"/>
    </row>
    <row r="2998" spans="15:23" ht="31.4" customHeight="1" x14ac:dyDescent="0.35">
      <c r="O2998" s="9"/>
      <c r="V2998" s="9"/>
      <c r="W2998" s="9"/>
    </row>
    <row r="2999" spans="15:23" ht="31.4" customHeight="1" x14ac:dyDescent="0.35">
      <c r="O2999" s="9"/>
      <c r="V2999" s="9"/>
      <c r="W2999" s="9"/>
    </row>
    <row r="3000" spans="15:23" ht="31.4" customHeight="1" x14ac:dyDescent="0.35">
      <c r="O3000" s="9"/>
      <c r="V3000" s="9"/>
      <c r="W3000" s="9"/>
    </row>
    <row r="3001" spans="15:23" ht="31.4" customHeight="1" x14ac:dyDescent="0.35">
      <c r="O3001" s="9"/>
      <c r="V3001" s="9"/>
      <c r="W3001" s="9"/>
    </row>
    <row r="3002" spans="15:23" ht="31.4" customHeight="1" x14ac:dyDescent="0.35">
      <c r="O3002" s="9"/>
      <c r="V3002" s="9"/>
      <c r="W3002" s="9"/>
    </row>
    <row r="3003" spans="15:23" ht="31.4" customHeight="1" x14ac:dyDescent="0.35">
      <c r="O3003" s="9"/>
      <c r="V3003" s="9"/>
      <c r="W3003" s="9"/>
    </row>
    <row r="3004" spans="15:23" ht="31.4" customHeight="1" x14ac:dyDescent="0.35">
      <c r="O3004" s="9"/>
      <c r="V3004" s="9"/>
      <c r="W3004" s="9"/>
    </row>
    <row r="3005" spans="15:23" ht="31.4" customHeight="1" x14ac:dyDescent="0.35">
      <c r="O3005" s="9"/>
      <c r="V3005" s="9"/>
      <c r="W3005" s="9"/>
    </row>
    <row r="3006" spans="15:23" ht="31.4" customHeight="1" x14ac:dyDescent="0.35">
      <c r="O3006" s="9"/>
      <c r="V3006" s="9"/>
      <c r="W3006" s="9"/>
    </row>
    <row r="3007" spans="15:23" ht="31.4" customHeight="1" x14ac:dyDescent="0.35">
      <c r="O3007" s="9"/>
      <c r="V3007" s="9"/>
      <c r="W3007" s="9"/>
    </row>
    <row r="3008" spans="15:23" ht="31.4" customHeight="1" x14ac:dyDescent="0.35">
      <c r="O3008" s="9"/>
      <c r="V3008" s="9"/>
      <c r="W3008" s="9"/>
    </row>
    <row r="3009" spans="15:23" ht="31.4" customHeight="1" x14ac:dyDescent="0.35">
      <c r="O3009" s="9"/>
      <c r="V3009" s="9"/>
      <c r="W3009" s="9"/>
    </row>
    <row r="3010" spans="15:23" ht="31.4" customHeight="1" x14ac:dyDescent="0.35">
      <c r="O3010" s="9"/>
      <c r="V3010" s="9"/>
      <c r="W3010" s="9"/>
    </row>
    <row r="3011" spans="15:23" ht="31.4" customHeight="1" x14ac:dyDescent="0.35">
      <c r="O3011" s="9"/>
      <c r="V3011" s="9"/>
      <c r="W3011" s="9"/>
    </row>
    <row r="3012" spans="15:23" ht="31.4" customHeight="1" x14ac:dyDescent="0.35">
      <c r="O3012" s="9"/>
      <c r="V3012" s="9"/>
      <c r="W3012" s="9"/>
    </row>
    <row r="3013" spans="15:23" ht="31.4" customHeight="1" x14ac:dyDescent="0.35">
      <c r="O3013" s="9"/>
      <c r="V3013" s="9"/>
      <c r="W3013" s="9"/>
    </row>
    <row r="3014" spans="15:23" ht="31.4" customHeight="1" x14ac:dyDescent="0.35">
      <c r="O3014" s="9"/>
      <c r="V3014" s="9"/>
      <c r="W3014" s="9"/>
    </row>
    <row r="3015" spans="15:23" ht="31.4" customHeight="1" x14ac:dyDescent="0.35">
      <c r="O3015" s="9"/>
      <c r="V3015" s="9"/>
      <c r="W3015" s="9"/>
    </row>
    <row r="3016" spans="15:23" ht="31.4" customHeight="1" x14ac:dyDescent="0.35">
      <c r="O3016" s="9"/>
      <c r="V3016" s="9"/>
      <c r="W3016" s="9"/>
    </row>
    <row r="3017" spans="15:23" ht="31.4" customHeight="1" x14ac:dyDescent="0.35">
      <c r="O3017" s="9"/>
      <c r="V3017" s="9"/>
      <c r="W3017" s="9"/>
    </row>
    <row r="3018" spans="15:23" ht="31.4" customHeight="1" x14ac:dyDescent="0.35">
      <c r="O3018" s="9"/>
      <c r="V3018" s="9"/>
      <c r="W3018" s="9"/>
    </row>
    <row r="3019" spans="15:23" ht="31.4" customHeight="1" x14ac:dyDescent="0.35">
      <c r="O3019" s="9"/>
      <c r="V3019" s="9"/>
      <c r="W3019" s="9"/>
    </row>
    <row r="3020" spans="15:23" ht="31.4" customHeight="1" x14ac:dyDescent="0.35">
      <c r="O3020" s="9"/>
      <c r="V3020" s="9"/>
      <c r="W3020" s="9"/>
    </row>
    <row r="3021" spans="15:23" ht="31.4" customHeight="1" x14ac:dyDescent="0.35">
      <c r="O3021" s="9"/>
      <c r="V3021" s="9"/>
      <c r="W3021" s="9"/>
    </row>
    <row r="3022" spans="15:23" ht="31.4" customHeight="1" x14ac:dyDescent="0.35">
      <c r="O3022" s="9"/>
      <c r="V3022" s="9"/>
      <c r="W3022" s="9"/>
    </row>
    <row r="3023" spans="15:23" ht="31.4" customHeight="1" x14ac:dyDescent="0.35">
      <c r="O3023" s="9"/>
      <c r="V3023" s="9"/>
      <c r="W3023" s="9"/>
    </row>
    <row r="3024" spans="15:23" ht="31.4" customHeight="1" x14ac:dyDescent="0.35">
      <c r="O3024" s="9"/>
      <c r="V3024" s="9"/>
      <c r="W3024" s="9"/>
    </row>
    <row r="3025" spans="15:23" ht="31.4" customHeight="1" x14ac:dyDescent="0.35">
      <c r="O3025" s="9"/>
      <c r="V3025" s="9"/>
      <c r="W3025" s="9"/>
    </row>
    <row r="3026" spans="15:23" ht="31.4" customHeight="1" x14ac:dyDescent="0.35">
      <c r="O3026" s="9"/>
      <c r="V3026" s="9"/>
      <c r="W3026" s="9"/>
    </row>
    <row r="3027" spans="15:23" ht="31.4" customHeight="1" x14ac:dyDescent="0.35">
      <c r="O3027" s="9"/>
      <c r="V3027" s="9"/>
      <c r="W3027" s="9"/>
    </row>
    <row r="3028" spans="15:23" ht="31.4" customHeight="1" x14ac:dyDescent="0.35">
      <c r="O3028" s="9"/>
      <c r="V3028" s="9"/>
      <c r="W3028" s="9"/>
    </row>
    <row r="3029" spans="15:23" ht="31.4" customHeight="1" x14ac:dyDescent="0.35">
      <c r="O3029" s="9"/>
      <c r="V3029" s="9"/>
      <c r="W3029" s="9"/>
    </row>
    <row r="3030" spans="15:23" ht="31.4" customHeight="1" x14ac:dyDescent="0.35">
      <c r="O3030" s="9"/>
      <c r="V3030" s="9"/>
      <c r="W3030" s="9"/>
    </row>
    <row r="3031" spans="15:23" ht="31.4" customHeight="1" x14ac:dyDescent="0.35">
      <c r="O3031" s="9"/>
      <c r="V3031" s="9"/>
      <c r="W3031" s="9"/>
    </row>
    <row r="3032" spans="15:23" ht="31.4" customHeight="1" x14ac:dyDescent="0.35">
      <c r="O3032" s="9"/>
      <c r="V3032" s="9"/>
      <c r="W3032" s="9"/>
    </row>
    <row r="3033" spans="15:23" ht="31.4" customHeight="1" x14ac:dyDescent="0.35">
      <c r="O3033" s="9"/>
      <c r="V3033" s="9"/>
      <c r="W3033" s="9"/>
    </row>
    <row r="3034" spans="15:23" ht="31.4" customHeight="1" x14ac:dyDescent="0.35">
      <c r="O3034" s="9"/>
      <c r="V3034" s="9"/>
      <c r="W3034" s="9"/>
    </row>
    <row r="3035" spans="15:23" ht="31.4" customHeight="1" x14ac:dyDescent="0.35">
      <c r="O3035" s="9"/>
      <c r="V3035" s="9"/>
      <c r="W3035" s="9"/>
    </row>
    <row r="3036" spans="15:23" ht="31.4" customHeight="1" x14ac:dyDescent="0.35">
      <c r="O3036" s="9"/>
      <c r="V3036" s="9"/>
      <c r="W3036" s="9"/>
    </row>
    <row r="3037" spans="15:23" ht="31.4" customHeight="1" x14ac:dyDescent="0.35">
      <c r="O3037" s="9"/>
      <c r="V3037" s="9"/>
      <c r="W3037" s="9"/>
    </row>
    <row r="3038" spans="15:23" ht="31.4" customHeight="1" x14ac:dyDescent="0.35">
      <c r="O3038" s="9"/>
      <c r="V3038" s="9"/>
      <c r="W3038" s="9"/>
    </row>
    <row r="3039" spans="15:23" ht="31.4" customHeight="1" x14ac:dyDescent="0.35">
      <c r="O3039" s="9"/>
      <c r="V3039" s="9"/>
      <c r="W3039" s="9"/>
    </row>
    <row r="3040" spans="15:23" ht="31.4" customHeight="1" x14ac:dyDescent="0.35">
      <c r="O3040" s="9"/>
      <c r="V3040" s="9"/>
      <c r="W3040" s="9"/>
    </row>
    <row r="3041" spans="15:23" ht="31.4" customHeight="1" x14ac:dyDescent="0.35">
      <c r="O3041" s="9"/>
      <c r="V3041" s="9"/>
      <c r="W3041" s="9"/>
    </row>
    <row r="3042" spans="15:23" ht="31.4" customHeight="1" x14ac:dyDescent="0.35">
      <c r="O3042" s="9"/>
      <c r="V3042" s="9"/>
      <c r="W3042" s="9"/>
    </row>
    <row r="3043" spans="15:23" ht="31.4" customHeight="1" x14ac:dyDescent="0.35">
      <c r="O3043" s="9"/>
      <c r="V3043" s="9"/>
      <c r="W3043" s="9"/>
    </row>
    <row r="3044" spans="15:23" ht="31.4" customHeight="1" x14ac:dyDescent="0.35">
      <c r="O3044" s="9"/>
      <c r="V3044" s="9"/>
      <c r="W3044" s="9"/>
    </row>
    <row r="3045" spans="15:23" ht="31.4" customHeight="1" x14ac:dyDescent="0.35">
      <c r="O3045" s="9"/>
      <c r="V3045" s="9"/>
      <c r="W3045" s="9"/>
    </row>
    <row r="3046" spans="15:23" ht="31.4" customHeight="1" x14ac:dyDescent="0.35">
      <c r="O3046" s="9"/>
      <c r="V3046" s="9"/>
      <c r="W3046" s="9"/>
    </row>
    <row r="3047" spans="15:23" ht="31.4" customHeight="1" x14ac:dyDescent="0.35">
      <c r="O3047" s="9"/>
      <c r="V3047" s="9"/>
      <c r="W3047" s="9"/>
    </row>
    <row r="3048" spans="15:23" ht="31.4" customHeight="1" x14ac:dyDescent="0.35">
      <c r="O3048" s="9"/>
      <c r="V3048" s="9"/>
      <c r="W3048" s="9"/>
    </row>
    <row r="3049" spans="15:23" ht="31.4" customHeight="1" x14ac:dyDescent="0.35">
      <c r="O3049" s="9"/>
      <c r="V3049" s="9"/>
      <c r="W3049" s="9"/>
    </row>
    <row r="3050" spans="15:23" ht="31.4" customHeight="1" x14ac:dyDescent="0.35">
      <c r="O3050" s="9"/>
      <c r="V3050" s="9"/>
      <c r="W3050" s="9"/>
    </row>
    <row r="3051" spans="15:23" ht="31.4" customHeight="1" x14ac:dyDescent="0.35">
      <c r="O3051" s="9"/>
      <c r="V3051" s="9"/>
      <c r="W3051" s="9"/>
    </row>
    <row r="3052" spans="15:23" ht="31.4" customHeight="1" x14ac:dyDescent="0.35">
      <c r="O3052" s="9"/>
      <c r="V3052" s="9"/>
      <c r="W3052" s="9"/>
    </row>
    <row r="3053" spans="15:23" ht="31.4" customHeight="1" x14ac:dyDescent="0.35">
      <c r="O3053" s="9"/>
      <c r="V3053" s="9"/>
      <c r="W3053" s="9"/>
    </row>
    <row r="3054" spans="15:23" ht="31.4" customHeight="1" x14ac:dyDescent="0.35">
      <c r="O3054" s="9"/>
      <c r="V3054" s="9"/>
      <c r="W3054" s="9"/>
    </row>
    <row r="3055" spans="15:23" ht="31.4" customHeight="1" x14ac:dyDescent="0.35">
      <c r="O3055" s="9"/>
      <c r="V3055" s="9"/>
      <c r="W3055" s="9"/>
    </row>
    <row r="3056" spans="15:23" ht="31.4" customHeight="1" x14ac:dyDescent="0.35">
      <c r="O3056" s="9"/>
      <c r="V3056" s="9"/>
      <c r="W3056" s="9"/>
    </row>
    <row r="3057" spans="15:23" ht="31.4" customHeight="1" x14ac:dyDescent="0.35">
      <c r="O3057" s="9"/>
      <c r="V3057" s="9"/>
      <c r="W3057" s="9"/>
    </row>
    <row r="3058" spans="15:23" ht="31.4" customHeight="1" x14ac:dyDescent="0.35">
      <c r="O3058" s="9"/>
      <c r="V3058" s="9"/>
      <c r="W3058" s="9"/>
    </row>
    <row r="3059" spans="15:23" ht="31.4" customHeight="1" x14ac:dyDescent="0.35">
      <c r="O3059" s="9"/>
      <c r="V3059" s="9"/>
      <c r="W3059" s="9"/>
    </row>
    <row r="3060" spans="15:23" ht="31.4" customHeight="1" x14ac:dyDescent="0.35">
      <c r="O3060" s="9"/>
      <c r="V3060" s="9"/>
      <c r="W3060" s="9"/>
    </row>
    <row r="3061" spans="15:23" ht="31.4" customHeight="1" x14ac:dyDescent="0.35">
      <c r="O3061" s="9"/>
      <c r="V3061" s="9"/>
      <c r="W3061" s="9"/>
    </row>
    <row r="3062" spans="15:23" ht="31.4" customHeight="1" x14ac:dyDescent="0.35">
      <c r="O3062" s="9"/>
      <c r="V3062" s="9"/>
      <c r="W3062" s="9"/>
    </row>
    <row r="3063" spans="15:23" ht="31.4" customHeight="1" x14ac:dyDescent="0.35">
      <c r="O3063" s="9"/>
      <c r="V3063" s="9"/>
      <c r="W3063" s="9"/>
    </row>
    <row r="3064" spans="15:23" ht="31.4" customHeight="1" x14ac:dyDescent="0.35">
      <c r="O3064" s="9"/>
      <c r="V3064" s="9"/>
      <c r="W3064" s="9"/>
    </row>
    <row r="3065" spans="15:23" ht="31.4" customHeight="1" x14ac:dyDescent="0.35">
      <c r="O3065" s="9"/>
      <c r="V3065" s="9"/>
      <c r="W3065" s="9"/>
    </row>
    <row r="3066" spans="15:23" ht="31.4" customHeight="1" x14ac:dyDescent="0.35">
      <c r="O3066" s="9"/>
      <c r="V3066" s="9"/>
      <c r="W3066" s="9"/>
    </row>
    <row r="3067" spans="15:23" ht="31.4" customHeight="1" x14ac:dyDescent="0.35">
      <c r="O3067" s="9"/>
      <c r="V3067" s="9"/>
      <c r="W3067" s="9"/>
    </row>
    <row r="3068" spans="15:23" ht="31.4" customHeight="1" x14ac:dyDescent="0.35">
      <c r="O3068" s="9"/>
      <c r="V3068" s="9"/>
      <c r="W3068" s="9"/>
    </row>
    <row r="3069" spans="15:23" ht="31.4" customHeight="1" x14ac:dyDescent="0.35">
      <c r="O3069" s="9"/>
      <c r="V3069" s="9"/>
      <c r="W3069" s="9"/>
    </row>
    <row r="3070" spans="15:23" ht="31.4" customHeight="1" x14ac:dyDescent="0.35">
      <c r="O3070" s="9"/>
      <c r="V3070" s="9"/>
      <c r="W3070" s="9"/>
    </row>
    <row r="3071" spans="15:23" ht="31.4" customHeight="1" x14ac:dyDescent="0.35">
      <c r="O3071" s="9"/>
      <c r="V3071" s="9"/>
      <c r="W3071" s="9"/>
    </row>
    <row r="3072" spans="15:23" ht="31.4" customHeight="1" x14ac:dyDescent="0.35">
      <c r="O3072" s="9"/>
      <c r="V3072" s="9"/>
      <c r="W3072" s="9"/>
    </row>
    <row r="3073" spans="15:23" ht="31.4" customHeight="1" x14ac:dyDescent="0.35">
      <c r="O3073" s="9"/>
      <c r="V3073" s="9"/>
      <c r="W3073" s="9"/>
    </row>
    <row r="3074" spans="15:23" ht="31.4" customHeight="1" x14ac:dyDescent="0.35">
      <c r="O3074" s="9"/>
      <c r="V3074" s="9"/>
      <c r="W3074" s="9"/>
    </row>
    <row r="3075" spans="15:23" ht="31.4" customHeight="1" x14ac:dyDescent="0.35">
      <c r="O3075" s="9"/>
      <c r="V3075" s="9"/>
      <c r="W3075" s="9"/>
    </row>
    <row r="3076" spans="15:23" ht="31.4" customHeight="1" x14ac:dyDescent="0.35">
      <c r="O3076" s="9"/>
      <c r="V3076" s="9"/>
      <c r="W3076" s="9"/>
    </row>
    <row r="3077" spans="15:23" ht="31.4" customHeight="1" x14ac:dyDescent="0.35">
      <c r="O3077" s="9"/>
      <c r="V3077" s="9"/>
      <c r="W3077" s="9"/>
    </row>
    <row r="3078" spans="15:23" ht="31.4" customHeight="1" x14ac:dyDescent="0.35">
      <c r="O3078" s="9"/>
      <c r="V3078" s="9"/>
      <c r="W3078" s="9"/>
    </row>
    <row r="3079" spans="15:23" ht="31.4" customHeight="1" x14ac:dyDescent="0.35">
      <c r="O3079" s="9"/>
      <c r="V3079" s="9"/>
      <c r="W3079" s="9"/>
    </row>
    <row r="3080" spans="15:23" ht="31.4" customHeight="1" x14ac:dyDescent="0.35">
      <c r="O3080" s="9"/>
      <c r="V3080" s="9"/>
      <c r="W3080" s="9"/>
    </row>
    <row r="3081" spans="15:23" ht="31.4" customHeight="1" x14ac:dyDescent="0.35">
      <c r="O3081" s="9"/>
      <c r="V3081" s="9"/>
      <c r="W3081" s="9"/>
    </row>
    <row r="3082" spans="15:23" ht="31.4" customHeight="1" x14ac:dyDescent="0.35">
      <c r="O3082" s="9"/>
      <c r="V3082" s="9"/>
      <c r="W3082" s="9"/>
    </row>
    <row r="3083" spans="15:23" ht="31.4" customHeight="1" x14ac:dyDescent="0.35">
      <c r="O3083" s="9"/>
      <c r="V3083" s="9"/>
      <c r="W3083" s="9"/>
    </row>
    <row r="3084" spans="15:23" ht="31.4" customHeight="1" x14ac:dyDescent="0.35">
      <c r="O3084" s="9"/>
      <c r="V3084" s="9"/>
      <c r="W3084" s="9"/>
    </row>
    <row r="3085" spans="15:23" ht="31.4" customHeight="1" x14ac:dyDescent="0.35">
      <c r="O3085" s="9"/>
      <c r="V3085" s="9"/>
      <c r="W3085" s="9"/>
    </row>
    <row r="3086" spans="15:23" ht="31.4" customHeight="1" x14ac:dyDescent="0.35">
      <c r="O3086" s="9"/>
      <c r="V3086" s="9"/>
      <c r="W3086" s="9"/>
    </row>
    <row r="3087" spans="15:23" ht="31.4" customHeight="1" x14ac:dyDescent="0.35">
      <c r="O3087" s="9"/>
      <c r="V3087" s="9"/>
      <c r="W3087" s="9"/>
    </row>
    <row r="3088" spans="15:23" ht="31.4" customHeight="1" x14ac:dyDescent="0.35">
      <c r="O3088" s="9"/>
      <c r="V3088" s="9"/>
      <c r="W3088" s="9"/>
    </row>
    <row r="3089" spans="15:23" ht="31.4" customHeight="1" x14ac:dyDescent="0.35">
      <c r="O3089" s="9"/>
      <c r="V3089" s="9"/>
      <c r="W3089" s="9"/>
    </row>
    <row r="3090" spans="15:23" ht="31.4" customHeight="1" x14ac:dyDescent="0.35">
      <c r="O3090" s="9"/>
      <c r="V3090" s="9"/>
      <c r="W3090" s="9"/>
    </row>
    <row r="3091" spans="15:23" ht="31.4" customHeight="1" x14ac:dyDescent="0.35">
      <c r="O3091" s="9"/>
      <c r="V3091" s="9"/>
      <c r="W3091" s="9"/>
    </row>
    <row r="3092" spans="15:23" ht="31.4" customHeight="1" x14ac:dyDescent="0.35">
      <c r="O3092" s="9"/>
      <c r="V3092" s="9"/>
      <c r="W3092" s="9"/>
    </row>
    <row r="3093" spans="15:23" ht="31.4" customHeight="1" x14ac:dyDescent="0.35">
      <c r="O3093" s="9"/>
      <c r="V3093" s="9"/>
      <c r="W3093" s="9"/>
    </row>
    <row r="3094" spans="15:23" ht="31.4" customHeight="1" x14ac:dyDescent="0.35">
      <c r="O3094" s="9"/>
      <c r="V3094" s="9"/>
      <c r="W3094" s="9"/>
    </row>
    <row r="3095" spans="15:23" ht="31.4" customHeight="1" x14ac:dyDescent="0.35">
      <c r="O3095" s="9"/>
      <c r="V3095" s="9"/>
      <c r="W3095" s="9"/>
    </row>
    <row r="3096" spans="15:23" ht="31.4" customHeight="1" x14ac:dyDescent="0.35">
      <c r="O3096" s="9"/>
      <c r="V3096" s="9"/>
      <c r="W3096" s="9"/>
    </row>
    <row r="3097" spans="15:23" ht="31.4" customHeight="1" x14ac:dyDescent="0.35">
      <c r="O3097" s="9"/>
      <c r="V3097" s="9"/>
      <c r="W3097" s="9"/>
    </row>
    <row r="3098" spans="15:23" ht="31.4" customHeight="1" x14ac:dyDescent="0.35">
      <c r="O3098" s="9"/>
      <c r="V3098" s="9"/>
      <c r="W3098" s="9"/>
    </row>
    <row r="3099" spans="15:23" ht="31.4" customHeight="1" x14ac:dyDescent="0.35">
      <c r="O3099" s="9"/>
      <c r="V3099" s="9"/>
      <c r="W3099" s="9"/>
    </row>
    <row r="3100" spans="15:23" ht="31.4" customHeight="1" x14ac:dyDescent="0.35">
      <c r="O3100" s="9"/>
      <c r="V3100" s="9"/>
      <c r="W3100" s="9"/>
    </row>
    <row r="3101" spans="15:23" ht="31.4" customHeight="1" x14ac:dyDescent="0.35">
      <c r="O3101" s="9"/>
      <c r="V3101" s="9"/>
      <c r="W3101" s="9"/>
    </row>
    <row r="3102" spans="15:23" ht="31.4" customHeight="1" x14ac:dyDescent="0.35">
      <c r="O3102" s="9"/>
      <c r="V3102" s="9"/>
      <c r="W3102" s="9"/>
    </row>
    <row r="3103" spans="15:23" ht="31.4" customHeight="1" x14ac:dyDescent="0.35">
      <c r="O3103" s="9"/>
      <c r="V3103" s="9"/>
      <c r="W3103" s="9"/>
    </row>
    <row r="3104" spans="15:23" ht="31.4" customHeight="1" x14ac:dyDescent="0.35">
      <c r="O3104" s="9"/>
      <c r="V3104" s="9"/>
      <c r="W3104" s="9"/>
    </row>
    <row r="3105" spans="15:23" ht="31.4" customHeight="1" x14ac:dyDescent="0.35">
      <c r="O3105" s="9"/>
      <c r="V3105" s="9"/>
      <c r="W3105" s="9"/>
    </row>
    <row r="3106" spans="15:23" ht="31.4" customHeight="1" x14ac:dyDescent="0.35">
      <c r="O3106" s="9"/>
      <c r="V3106" s="9"/>
      <c r="W3106" s="9"/>
    </row>
    <row r="3107" spans="15:23" ht="31.4" customHeight="1" x14ac:dyDescent="0.35">
      <c r="O3107" s="9"/>
      <c r="V3107" s="9"/>
      <c r="W3107" s="9"/>
    </row>
    <row r="3108" spans="15:23" ht="31.4" customHeight="1" x14ac:dyDescent="0.35">
      <c r="O3108" s="9"/>
      <c r="V3108" s="9"/>
      <c r="W3108" s="9"/>
    </row>
    <row r="3109" spans="15:23" ht="31.4" customHeight="1" x14ac:dyDescent="0.35">
      <c r="O3109" s="9"/>
      <c r="V3109" s="9"/>
      <c r="W3109" s="9"/>
    </row>
    <row r="3110" spans="15:23" ht="31.4" customHeight="1" x14ac:dyDescent="0.35">
      <c r="O3110" s="9"/>
      <c r="V3110" s="9"/>
      <c r="W3110" s="9"/>
    </row>
    <row r="3111" spans="15:23" ht="31.4" customHeight="1" x14ac:dyDescent="0.35">
      <c r="O3111" s="9"/>
      <c r="V3111" s="9"/>
      <c r="W3111" s="9"/>
    </row>
    <row r="3112" spans="15:23" ht="31.4" customHeight="1" x14ac:dyDescent="0.35">
      <c r="O3112" s="9"/>
      <c r="V3112" s="9"/>
      <c r="W3112" s="9"/>
    </row>
    <row r="3113" spans="15:23" ht="31.4" customHeight="1" x14ac:dyDescent="0.35">
      <c r="O3113" s="9"/>
      <c r="V3113" s="9"/>
      <c r="W3113" s="9"/>
    </row>
    <row r="3114" spans="15:23" ht="31.4" customHeight="1" x14ac:dyDescent="0.35">
      <c r="O3114" s="9"/>
      <c r="V3114" s="9"/>
      <c r="W3114" s="9"/>
    </row>
    <row r="3115" spans="15:23" ht="31.4" customHeight="1" x14ac:dyDescent="0.35">
      <c r="O3115" s="9"/>
      <c r="V3115" s="9"/>
      <c r="W3115" s="9"/>
    </row>
    <row r="3116" spans="15:23" ht="31.4" customHeight="1" x14ac:dyDescent="0.35">
      <c r="O3116" s="9"/>
      <c r="V3116" s="9"/>
      <c r="W3116" s="9"/>
    </row>
    <row r="3117" spans="15:23" ht="31.4" customHeight="1" x14ac:dyDescent="0.35">
      <c r="O3117" s="9"/>
      <c r="V3117" s="9"/>
      <c r="W3117" s="9"/>
    </row>
    <row r="3118" spans="15:23" ht="31.4" customHeight="1" x14ac:dyDescent="0.35">
      <c r="O3118" s="9"/>
      <c r="V3118" s="9"/>
      <c r="W3118" s="9"/>
    </row>
    <row r="3119" spans="15:23" ht="31.4" customHeight="1" x14ac:dyDescent="0.35">
      <c r="O3119" s="9"/>
      <c r="V3119" s="9"/>
      <c r="W3119" s="9"/>
    </row>
    <row r="3120" spans="15:23" ht="31.4" customHeight="1" x14ac:dyDescent="0.35">
      <c r="O3120" s="9"/>
      <c r="V3120" s="9"/>
      <c r="W3120" s="9"/>
    </row>
    <row r="3121" spans="15:23" ht="31.4" customHeight="1" x14ac:dyDescent="0.35">
      <c r="O3121" s="9"/>
      <c r="V3121" s="9"/>
      <c r="W3121" s="9"/>
    </row>
    <row r="3122" spans="15:23" ht="31.4" customHeight="1" x14ac:dyDescent="0.35">
      <c r="O3122" s="9"/>
      <c r="V3122" s="9"/>
      <c r="W3122" s="9"/>
    </row>
    <row r="3123" spans="15:23" ht="31.4" customHeight="1" x14ac:dyDescent="0.35">
      <c r="O3123" s="9"/>
      <c r="V3123" s="9"/>
      <c r="W3123" s="9"/>
    </row>
    <row r="3124" spans="15:23" ht="31.4" customHeight="1" x14ac:dyDescent="0.35">
      <c r="O3124" s="9"/>
      <c r="V3124" s="9"/>
      <c r="W3124" s="9"/>
    </row>
    <row r="3125" spans="15:23" ht="31.4" customHeight="1" x14ac:dyDescent="0.35">
      <c r="O3125" s="9"/>
      <c r="V3125" s="9"/>
      <c r="W3125" s="9"/>
    </row>
    <row r="3126" spans="15:23" ht="31.4" customHeight="1" x14ac:dyDescent="0.35">
      <c r="O3126" s="9"/>
      <c r="V3126" s="9"/>
      <c r="W3126" s="9"/>
    </row>
    <row r="3127" spans="15:23" ht="31.4" customHeight="1" x14ac:dyDescent="0.35">
      <c r="O3127" s="9"/>
      <c r="V3127" s="9"/>
      <c r="W3127" s="9"/>
    </row>
    <row r="3128" spans="15:23" ht="31.4" customHeight="1" x14ac:dyDescent="0.35">
      <c r="O3128" s="9"/>
      <c r="V3128" s="9"/>
      <c r="W3128" s="9"/>
    </row>
    <row r="3129" spans="15:23" ht="31.4" customHeight="1" x14ac:dyDescent="0.35">
      <c r="O3129" s="9"/>
      <c r="V3129" s="9"/>
      <c r="W3129" s="9"/>
    </row>
    <row r="3130" spans="15:23" ht="31.4" customHeight="1" x14ac:dyDescent="0.35">
      <c r="O3130" s="9"/>
      <c r="V3130" s="9"/>
      <c r="W3130" s="9"/>
    </row>
    <row r="3131" spans="15:23" ht="31.4" customHeight="1" x14ac:dyDescent="0.35">
      <c r="O3131" s="9"/>
      <c r="V3131" s="9"/>
      <c r="W3131" s="9"/>
    </row>
    <row r="3132" spans="15:23" ht="31.4" customHeight="1" x14ac:dyDescent="0.35">
      <c r="O3132" s="9"/>
      <c r="V3132" s="9"/>
      <c r="W3132" s="9"/>
    </row>
    <row r="3133" spans="15:23" ht="31.4" customHeight="1" x14ac:dyDescent="0.35">
      <c r="O3133" s="9"/>
      <c r="V3133" s="9"/>
      <c r="W3133" s="9"/>
    </row>
    <row r="3134" spans="15:23" ht="31.4" customHeight="1" x14ac:dyDescent="0.35">
      <c r="O3134" s="9"/>
      <c r="V3134" s="9"/>
      <c r="W3134" s="9"/>
    </row>
    <row r="3135" spans="15:23" ht="31.4" customHeight="1" x14ac:dyDescent="0.35">
      <c r="O3135" s="9"/>
      <c r="V3135" s="9"/>
      <c r="W3135" s="9"/>
    </row>
    <row r="3136" spans="15:23" ht="31.4" customHeight="1" x14ac:dyDescent="0.35">
      <c r="O3136" s="9"/>
      <c r="V3136" s="9"/>
      <c r="W3136" s="9"/>
    </row>
    <row r="3137" spans="15:23" ht="31.4" customHeight="1" x14ac:dyDescent="0.35">
      <c r="O3137" s="9"/>
      <c r="V3137" s="9"/>
      <c r="W3137" s="9"/>
    </row>
    <row r="3138" spans="15:23" ht="31.4" customHeight="1" x14ac:dyDescent="0.35">
      <c r="O3138" s="9"/>
      <c r="V3138" s="9"/>
      <c r="W3138" s="9"/>
    </row>
    <row r="3139" spans="15:23" ht="31.4" customHeight="1" x14ac:dyDescent="0.35">
      <c r="O3139" s="9"/>
      <c r="V3139" s="9"/>
      <c r="W3139" s="9"/>
    </row>
    <row r="3140" spans="15:23" ht="31.4" customHeight="1" x14ac:dyDescent="0.35">
      <c r="O3140" s="9"/>
      <c r="V3140" s="9"/>
      <c r="W3140" s="9"/>
    </row>
    <row r="3141" spans="15:23" ht="31.4" customHeight="1" x14ac:dyDescent="0.35">
      <c r="O3141" s="9"/>
      <c r="V3141" s="9"/>
      <c r="W3141" s="9"/>
    </row>
    <row r="3142" spans="15:23" ht="31.4" customHeight="1" x14ac:dyDescent="0.35">
      <c r="O3142" s="9"/>
      <c r="V3142" s="9"/>
      <c r="W3142" s="9"/>
    </row>
    <row r="3143" spans="15:23" ht="31.4" customHeight="1" x14ac:dyDescent="0.35">
      <c r="O3143" s="9"/>
      <c r="V3143" s="9"/>
      <c r="W3143" s="9"/>
    </row>
    <row r="3144" spans="15:23" ht="31.4" customHeight="1" x14ac:dyDescent="0.35">
      <c r="O3144" s="9"/>
      <c r="V3144" s="9"/>
      <c r="W3144" s="9"/>
    </row>
    <row r="3145" spans="15:23" ht="31.4" customHeight="1" x14ac:dyDescent="0.35">
      <c r="O3145" s="9"/>
      <c r="V3145" s="9"/>
      <c r="W3145" s="9"/>
    </row>
    <row r="3146" spans="15:23" ht="31.4" customHeight="1" x14ac:dyDescent="0.35">
      <c r="O3146" s="9"/>
      <c r="V3146" s="9"/>
      <c r="W3146" s="9"/>
    </row>
    <row r="3147" spans="15:23" ht="31.4" customHeight="1" x14ac:dyDescent="0.35">
      <c r="O3147" s="9"/>
      <c r="V3147" s="9"/>
      <c r="W3147" s="9"/>
    </row>
    <row r="3148" spans="15:23" ht="31.4" customHeight="1" x14ac:dyDescent="0.35">
      <c r="O3148" s="9"/>
      <c r="V3148" s="9"/>
      <c r="W3148" s="9"/>
    </row>
    <row r="3149" spans="15:23" ht="31.4" customHeight="1" x14ac:dyDescent="0.35">
      <c r="O3149" s="9"/>
      <c r="V3149" s="9"/>
      <c r="W3149" s="9"/>
    </row>
    <row r="3150" spans="15:23" ht="31.4" customHeight="1" x14ac:dyDescent="0.35">
      <c r="O3150" s="9"/>
      <c r="V3150" s="9"/>
      <c r="W3150" s="9"/>
    </row>
    <row r="3151" spans="15:23" ht="31.4" customHeight="1" x14ac:dyDescent="0.35">
      <c r="O3151" s="9"/>
      <c r="V3151" s="9"/>
      <c r="W3151" s="9"/>
    </row>
    <row r="3152" spans="15:23" ht="31.4" customHeight="1" x14ac:dyDescent="0.35">
      <c r="O3152" s="9"/>
      <c r="V3152" s="9"/>
      <c r="W3152" s="9"/>
    </row>
    <row r="3153" spans="15:23" ht="31.4" customHeight="1" x14ac:dyDescent="0.35">
      <c r="O3153" s="9"/>
      <c r="V3153" s="9"/>
      <c r="W3153" s="9"/>
    </row>
    <row r="3154" spans="15:23" ht="31.4" customHeight="1" x14ac:dyDescent="0.35">
      <c r="O3154" s="9"/>
      <c r="V3154" s="9"/>
      <c r="W3154" s="9"/>
    </row>
    <row r="3155" spans="15:23" ht="31.4" customHeight="1" x14ac:dyDescent="0.35">
      <c r="O3155" s="9"/>
      <c r="V3155" s="9"/>
      <c r="W3155" s="9"/>
    </row>
    <row r="3156" spans="15:23" ht="31.4" customHeight="1" x14ac:dyDescent="0.35">
      <c r="O3156" s="9"/>
      <c r="V3156" s="9"/>
      <c r="W3156" s="9"/>
    </row>
    <row r="3157" spans="15:23" ht="31.4" customHeight="1" x14ac:dyDescent="0.35">
      <c r="O3157" s="9"/>
      <c r="V3157" s="9"/>
      <c r="W3157" s="9"/>
    </row>
    <row r="3158" spans="15:23" ht="31.4" customHeight="1" x14ac:dyDescent="0.35">
      <c r="O3158" s="9"/>
      <c r="V3158" s="9"/>
      <c r="W3158" s="9"/>
    </row>
    <row r="3159" spans="15:23" ht="31.4" customHeight="1" x14ac:dyDescent="0.35">
      <c r="O3159" s="9"/>
      <c r="V3159" s="9"/>
      <c r="W3159" s="9"/>
    </row>
    <row r="3160" spans="15:23" ht="31.4" customHeight="1" x14ac:dyDescent="0.35">
      <c r="O3160" s="9"/>
      <c r="V3160" s="9"/>
      <c r="W3160" s="9"/>
    </row>
    <row r="3161" spans="15:23" ht="31.4" customHeight="1" x14ac:dyDescent="0.35">
      <c r="O3161" s="9"/>
      <c r="V3161" s="9"/>
      <c r="W3161" s="9"/>
    </row>
    <row r="3162" spans="15:23" ht="31.4" customHeight="1" x14ac:dyDescent="0.35">
      <c r="O3162" s="9"/>
      <c r="V3162" s="9"/>
      <c r="W3162" s="9"/>
    </row>
    <row r="3163" spans="15:23" ht="31.4" customHeight="1" x14ac:dyDescent="0.35">
      <c r="O3163" s="9"/>
      <c r="V3163" s="9"/>
      <c r="W3163" s="9"/>
    </row>
    <row r="3164" spans="15:23" ht="31.4" customHeight="1" x14ac:dyDescent="0.35">
      <c r="O3164" s="9"/>
      <c r="V3164" s="9"/>
      <c r="W3164" s="9"/>
    </row>
    <row r="3165" spans="15:23" ht="31.4" customHeight="1" x14ac:dyDescent="0.35">
      <c r="O3165" s="9"/>
      <c r="V3165" s="9"/>
      <c r="W3165" s="9"/>
    </row>
    <row r="3166" spans="15:23" ht="31.4" customHeight="1" x14ac:dyDescent="0.35">
      <c r="O3166" s="9"/>
      <c r="V3166" s="9"/>
      <c r="W3166" s="9"/>
    </row>
    <row r="3167" spans="15:23" ht="31.4" customHeight="1" x14ac:dyDescent="0.35">
      <c r="O3167" s="9"/>
      <c r="V3167" s="9"/>
      <c r="W3167" s="9"/>
    </row>
    <row r="3168" spans="15:23" ht="31.4" customHeight="1" x14ac:dyDescent="0.35">
      <c r="O3168" s="9"/>
      <c r="V3168" s="9"/>
      <c r="W3168" s="9"/>
    </row>
    <row r="3169" spans="15:23" ht="31.4" customHeight="1" x14ac:dyDescent="0.35">
      <c r="O3169" s="9"/>
      <c r="V3169" s="9"/>
      <c r="W3169" s="9"/>
    </row>
    <row r="3170" spans="15:23" ht="31.4" customHeight="1" x14ac:dyDescent="0.35">
      <c r="O3170" s="9"/>
      <c r="V3170" s="9"/>
      <c r="W3170" s="9"/>
    </row>
    <row r="3171" spans="15:23" ht="31.4" customHeight="1" x14ac:dyDescent="0.35">
      <c r="O3171" s="9"/>
      <c r="V3171" s="9"/>
      <c r="W3171" s="9"/>
    </row>
    <row r="3172" spans="15:23" ht="31.4" customHeight="1" x14ac:dyDescent="0.35">
      <c r="O3172" s="9"/>
      <c r="V3172" s="9"/>
      <c r="W3172" s="9"/>
    </row>
    <row r="3173" spans="15:23" ht="31.4" customHeight="1" x14ac:dyDescent="0.35">
      <c r="O3173" s="9"/>
      <c r="V3173" s="9"/>
      <c r="W3173" s="9"/>
    </row>
    <row r="3174" spans="15:23" ht="31.4" customHeight="1" x14ac:dyDescent="0.35">
      <c r="O3174" s="9"/>
      <c r="V3174" s="9"/>
      <c r="W3174" s="9"/>
    </row>
    <row r="3175" spans="15:23" ht="31.4" customHeight="1" x14ac:dyDescent="0.35">
      <c r="O3175" s="9"/>
      <c r="V3175" s="9"/>
      <c r="W3175" s="9"/>
    </row>
    <row r="3176" spans="15:23" ht="31.4" customHeight="1" x14ac:dyDescent="0.35">
      <c r="O3176" s="9"/>
      <c r="V3176" s="9"/>
      <c r="W3176" s="9"/>
    </row>
    <row r="3177" spans="15:23" ht="31.4" customHeight="1" x14ac:dyDescent="0.35">
      <c r="O3177" s="9"/>
      <c r="V3177" s="9"/>
      <c r="W3177" s="9"/>
    </row>
    <row r="3178" spans="15:23" ht="31.4" customHeight="1" x14ac:dyDescent="0.35">
      <c r="O3178" s="9"/>
      <c r="V3178" s="9"/>
      <c r="W3178" s="9"/>
    </row>
    <row r="3179" spans="15:23" ht="31.4" customHeight="1" x14ac:dyDescent="0.35">
      <c r="O3179" s="9"/>
      <c r="V3179" s="9"/>
      <c r="W3179" s="9"/>
    </row>
    <row r="3180" spans="15:23" ht="31.4" customHeight="1" x14ac:dyDescent="0.35">
      <c r="O3180" s="9"/>
      <c r="V3180" s="9"/>
      <c r="W3180" s="9"/>
    </row>
    <row r="3181" spans="15:23" ht="31.4" customHeight="1" x14ac:dyDescent="0.35">
      <c r="O3181" s="9"/>
      <c r="V3181" s="9"/>
      <c r="W3181" s="9"/>
    </row>
    <row r="3182" spans="15:23" ht="31.4" customHeight="1" x14ac:dyDescent="0.35">
      <c r="O3182" s="9"/>
      <c r="V3182" s="9"/>
      <c r="W3182" s="9"/>
    </row>
    <row r="3183" spans="15:23" ht="31.4" customHeight="1" x14ac:dyDescent="0.35">
      <c r="O3183" s="9"/>
      <c r="V3183" s="9"/>
      <c r="W3183" s="9"/>
    </row>
    <row r="3184" spans="15:23" ht="31.4" customHeight="1" x14ac:dyDescent="0.35">
      <c r="O3184" s="9"/>
      <c r="V3184" s="9"/>
      <c r="W3184" s="9"/>
    </row>
    <row r="3185" spans="15:23" ht="31.4" customHeight="1" x14ac:dyDescent="0.35">
      <c r="O3185" s="9"/>
      <c r="V3185" s="9"/>
      <c r="W3185" s="9"/>
    </row>
    <row r="3186" spans="15:23" ht="31.4" customHeight="1" x14ac:dyDescent="0.35">
      <c r="O3186" s="9"/>
      <c r="V3186" s="9"/>
      <c r="W3186" s="9"/>
    </row>
    <row r="3187" spans="15:23" ht="31.4" customHeight="1" x14ac:dyDescent="0.35">
      <c r="O3187" s="9"/>
      <c r="V3187" s="9"/>
      <c r="W3187" s="9"/>
    </row>
    <row r="3188" spans="15:23" ht="31.4" customHeight="1" x14ac:dyDescent="0.35">
      <c r="O3188" s="9"/>
      <c r="V3188" s="9"/>
      <c r="W3188" s="9"/>
    </row>
    <row r="3189" spans="15:23" ht="31.4" customHeight="1" x14ac:dyDescent="0.35">
      <c r="O3189" s="9"/>
      <c r="V3189" s="9"/>
      <c r="W3189" s="9"/>
    </row>
    <row r="3190" spans="15:23" ht="31.4" customHeight="1" x14ac:dyDescent="0.35">
      <c r="O3190" s="9"/>
      <c r="V3190" s="9"/>
      <c r="W3190" s="9"/>
    </row>
    <row r="3191" spans="15:23" ht="31.4" customHeight="1" x14ac:dyDescent="0.35">
      <c r="O3191" s="9"/>
      <c r="V3191" s="9"/>
      <c r="W3191" s="9"/>
    </row>
    <row r="3192" spans="15:23" ht="31.4" customHeight="1" x14ac:dyDescent="0.35">
      <c r="O3192" s="9"/>
      <c r="V3192" s="9"/>
      <c r="W3192" s="9"/>
    </row>
    <row r="3193" spans="15:23" ht="31.4" customHeight="1" x14ac:dyDescent="0.35">
      <c r="O3193" s="9"/>
      <c r="V3193" s="9"/>
      <c r="W3193" s="9"/>
    </row>
    <row r="3194" spans="15:23" ht="31.4" customHeight="1" x14ac:dyDescent="0.35">
      <c r="O3194" s="9"/>
      <c r="V3194" s="9"/>
      <c r="W3194" s="9"/>
    </row>
    <row r="3195" spans="15:23" ht="31.4" customHeight="1" x14ac:dyDescent="0.35">
      <c r="O3195" s="9"/>
      <c r="V3195" s="9"/>
      <c r="W3195" s="9"/>
    </row>
    <row r="3196" spans="15:23" ht="31.4" customHeight="1" x14ac:dyDescent="0.35">
      <c r="O3196" s="9"/>
      <c r="V3196" s="9"/>
      <c r="W3196" s="9"/>
    </row>
    <row r="3197" spans="15:23" ht="31.4" customHeight="1" x14ac:dyDescent="0.35">
      <c r="O3197" s="9"/>
      <c r="V3197" s="9"/>
      <c r="W3197" s="9"/>
    </row>
    <row r="3198" spans="15:23" ht="31.4" customHeight="1" x14ac:dyDescent="0.35">
      <c r="O3198" s="9"/>
      <c r="V3198" s="9"/>
      <c r="W3198" s="9"/>
    </row>
    <row r="3199" spans="15:23" ht="31.4" customHeight="1" x14ac:dyDescent="0.35">
      <c r="O3199" s="9"/>
      <c r="V3199" s="9"/>
      <c r="W3199" s="9"/>
    </row>
    <row r="3200" spans="15:23" ht="31.4" customHeight="1" x14ac:dyDescent="0.35">
      <c r="O3200" s="9"/>
      <c r="V3200" s="9"/>
      <c r="W3200" s="9"/>
    </row>
    <row r="3201" spans="15:23" ht="31.4" customHeight="1" x14ac:dyDescent="0.35">
      <c r="O3201" s="9"/>
      <c r="V3201" s="9"/>
      <c r="W3201" s="9"/>
    </row>
    <row r="3202" spans="15:23" ht="31.4" customHeight="1" x14ac:dyDescent="0.35">
      <c r="O3202" s="9"/>
      <c r="V3202" s="9"/>
      <c r="W3202" s="9"/>
    </row>
    <row r="3203" spans="15:23" ht="31.4" customHeight="1" x14ac:dyDescent="0.35">
      <c r="O3203" s="9"/>
      <c r="V3203" s="9"/>
      <c r="W3203" s="9"/>
    </row>
    <row r="3204" spans="15:23" ht="31.4" customHeight="1" x14ac:dyDescent="0.35">
      <c r="O3204" s="9"/>
      <c r="V3204" s="9"/>
      <c r="W3204" s="9"/>
    </row>
    <row r="3205" spans="15:23" ht="31.4" customHeight="1" x14ac:dyDescent="0.35">
      <c r="O3205" s="9"/>
      <c r="V3205" s="9"/>
      <c r="W3205" s="9"/>
    </row>
    <row r="3206" spans="15:23" ht="31.4" customHeight="1" x14ac:dyDescent="0.35">
      <c r="O3206" s="9"/>
      <c r="V3206" s="9"/>
      <c r="W3206" s="9"/>
    </row>
    <row r="3207" spans="15:23" ht="31.4" customHeight="1" x14ac:dyDescent="0.35">
      <c r="O3207" s="9"/>
      <c r="V3207" s="9"/>
      <c r="W3207" s="9"/>
    </row>
    <row r="3208" spans="15:23" ht="31.4" customHeight="1" x14ac:dyDescent="0.35">
      <c r="O3208" s="9"/>
      <c r="V3208" s="9"/>
      <c r="W3208" s="9"/>
    </row>
    <row r="3209" spans="15:23" ht="31.4" customHeight="1" x14ac:dyDescent="0.35">
      <c r="O3209" s="9"/>
      <c r="V3209" s="9"/>
      <c r="W3209" s="9"/>
    </row>
    <row r="3210" spans="15:23" ht="31.4" customHeight="1" x14ac:dyDescent="0.35">
      <c r="O3210" s="9"/>
      <c r="V3210" s="9"/>
      <c r="W3210" s="9"/>
    </row>
    <row r="3211" spans="15:23" ht="31.4" customHeight="1" x14ac:dyDescent="0.35">
      <c r="O3211" s="9"/>
      <c r="V3211" s="9"/>
      <c r="W3211" s="9"/>
    </row>
    <row r="3212" spans="15:23" ht="31.4" customHeight="1" x14ac:dyDescent="0.35">
      <c r="O3212" s="9"/>
      <c r="V3212" s="9"/>
      <c r="W3212" s="9"/>
    </row>
    <row r="3213" spans="15:23" ht="31.4" customHeight="1" x14ac:dyDescent="0.35">
      <c r="O3213" s="9"/>
      <c r="V3213" s="9"/>
      <c r="W3213" s="9"/>
    </row>
    <row r="3214" spans="15:23" ht="31.4" customHeight="1" x14ac:dyDescent="0.35">
      <c r="O3214" s="9"/>
      <c r="V3214" s="9"/>
      <c r="W3214" s="9"/>
    </row>
    <row r="3215" spans="15:23" ht="31.4" customHeight="1" x14ac:dyDescent="0.35">
      <c r="O3215" s="9"/>
      <c r="V3215" s="9"/>
      <c r="W3215" s="9"/>
    </row>
    <row r="3216" spans="15:23" ht="31.4" customHeight="1" x14ac:dyDescent="0.35">
      <c r="O3216" s="9"/>
      <c r="V3216" s="9"/>
      <c r="W3216" s="9"/>
    </row>
    <row r="3217" spans="15:23" ht="31.4" customHeight="1" x14ac:dyDescent="0.35">
      <c r="O3217" s="9"/>
      <c r="V3217" s="9"/>
      <c r="W3217" s="9"/>
    </row>
    <row r="3218" spans="15:23" ht="31.4" customHeight="1" x14ac:dyDescent="0.35">
      <c r="O3218" s="9"/>
      <c r="V3218" s="9"/>
      <c r="W3218" s="9"/>
    </row>
    <row r="3219" spans="15:23" ht="31.4" customHeight="1" x14ac:dyDescent="0.35">
      <c r="O3219" s="9"/>
      <c r="V3219" s="9"/>
      <c r="W3219" s="9"/>
    </row>
    <row r="3220" spans="15:23" ht="31.4" customHeight="1" x14ac:dyDescent="0.35">
      <c r="O3220" s="9"/>
      <c r="V3220" s="9"/>
      <c r="W3220" s="9"/>
    </row>
    <row r="3221" spans="15:23" ht="31.4" customHeight="1" x14ac:dyDescent="0.35">
      <c r="O3221" s="9"/>
      <c r="V3221" s="9"/>
      <c r="W3221" s="9"/>
    </row>
    <row r="3222" spans="15:23" ht="31.4" customHeight="1" x14ac:dyDescent="0.35">
      <c r="O3222" s="9"/>
      <c r="V3222" s="9"/>
      <c r="W3222" s="9"/>
    </row>
    <row r="3223" spans="15:23" ht="31.4" customHeight="1" x14ac:dyDescent="0.35">
      <c r="O3223" s="9"/>
      <c r="V3223" s="9"/>
      <c r="W3223" s="9"/>
    </row>
    <row r="3224" spans="15:23" ht="31.4" customHeight="1" x14ac:dyDescent="0.35">
      <c r="O3224" s="9"/>
      <c r="V3224" s="9"/>
      <c r="W3224" s="9"/>
    </row>
    <row r="3225" spans="15:23" ht="31.4" customHeight="1" x14ac:dyDescent="0.35">
      <c r="O3225" s="9"/>
      <c r="V3225" s="9"/>
      <c r="W3225" s="9"/>
    </row>
    <row r="3226" spans="15:23" ht="31.4" customHeight="1" x14ac:dyDescent="0.35">
      <c r="O3226" s="9"/>
      <c r="V3226" s="9"/>
      <c r="W3226" s="9"/>
    </row>
    <row r="3227" spans="15:23" ht="31.4" customHeight="1" x14ac:dyDescent="0.35">
      <c r="O3227" s="9"/>
      <c r="V3227" s="9"/>
      <c r="W3227" s="9"/>
    </row>
    <row r="3228" spans="15:23" ht="31.4" customHeight="1" x14ac:dyDescent="0.35">
      <c r="O3228" s="9"/>
      <c r="V3228" s="9"/>
      <c r="W3228" s="9"/>
    </row>
    <row r="3229" spans="15:23" ht="31.4" customHeight="1" x14ac:dyDescent="0.35">
      <c r="O3229" s="9"/>
      <c r="V3229" s="9"/>
      <c r="W3229" s="9"/>
    </row>
    <row r="3230" spans="15:23" ht="31.4" customHeight="1" x14ac:dyDescent="0.35">
      <c r="O3230" s="9"/>
      <c r="V3230" s="9"/>
      <c r="W3230" s="9"/>
    </row>
    <row r="3231" spans="15:23" ht="31.4" customHeight="1" x14ac:dyDescent="0.35">
      <c r="O3231" s="9"/>
      <c r="V3231" s="9"/>
      <c r="W3231" s="9"/>
    </row>
    <row r="3232" spans="15:23" ht="31.4" customHeight="1" x14ac:dyDescent="0.35">
      <c r="O3232" s="9"/>
      <c r="V3232" s="9"/>
      <c r="W3232" s="9"/>
    </row>
    <row r="3233" spans="15:23" ht="31.4" customHeight="1" x14ac:dyDescent="0.35">
      <c r="O3233" s="9"/>
      <c r="V3233" s="9"/>
      <c r="W3233" s="9"/>
    </row>
    <row r="3234" spans="15:23" ht="31.4" customHeight="1" x14ac:dyDescent="0.35">
      <c r="O3234" s="9"/>
      <c r="V3234" s="9"/>
      <c r="W3234" s="9"/>
    </row>
    <row r="3235" spans="15:23" ht="31.4" customHeight="1" x14ac:dyDescent="0.35">
      <c r="O3235" s="9"/>
      <c r="V3235" s="9"/>
      <c r="W3235" s="9"/>
    </row>
    <row r="3236" spans="15:23" ht="31.4" customHeight="1" x14ac:dyDescent="0.35">
      <c r="O3236" s="9"/>
      <c r="V3236" s="9"/>
      <c r="W3236" s="9"/>
    </row>
    <row r="3237" spans="15:23" ht="31.4" customHeight="1" x14ac:dyDescent="0.35">
      <c r="O3237" s="9"/>
      <c r="V3237" s="9"/>
      <c r="W3237" s="9"/>
    </row>
    <row r="3238" spans="15:23" ht="31.4" customHeight="1" x14ac:dyDescent="0.35">
      <c r="O3238" s="9"/>
      <c r="V3238" s="9"/>
      <c r="W3238" s="9"/>
    </row>
    <row r="3239" spans="15:23" ht="31.4" customHeight="1" x14ac:dyDescent="0.35">
      <c r="O3239" s="9"/>
      <c r="V3239" s="9"/>
      <c r="W3239" s="9"/>
    </row>
    <row r="3240" spans="15:23" ht="31.4" customHeight="1" x14ac:dyDescent="0.35">
      <c r="O3240" s="9"/>
      <c r="V3240" s="9"/>
      <c r="W3240" s="9"/>
    </row>
    <row r="3241" spans="15:23" ht="31.4" customHeight="1" x14ac:dyDescent="0.35">
      <c r="O3241" s="9"/>
      <c r="V3241" s="9"/>
      <c r="W3241" s="9"/>
    </row>
    <row r="3242" spans="15:23" ht="31.4" customHeight="1" x14ac:dyDescent="0.35">
      <c r="O3242" s="9"/>
      <c r="V3242" s="9"/>
      <c r="W3242" s="9"/>
    </row>
    <row r="3243" spans="15:23" ht="31.4" customHeight="1" x14ac:dyDescent="0.35">
      <c r="O3243" s="9"/>
      <c r="V3243" s="9"/>
      <c r="W3243" s="9"/>
    </row>
    <row r="3244" spans="15:23" ht="31.4" customHeight="1" x14ac:dyDescent="0.35">
      <c r="O3244" s="9"/>
      <c r="V3244" s="9"/>
      <c r="W3244" s="9"/>
    </row>
    <row r="3245" spans="15:23" ht="31.4" customHeight="1" x14ac:dyDescent="0.35">
      <c r="O3245" s="9"/>
      <c r="V3245" s="9"/>
      <c r="W3245" s="9"/>
    </row>
    <row r="3246" spans="15:23" ht="31.4" customHeight="1" x14ac:dyDescent="0.35">
      <c r="O3246" s="9"/>
      <c r="V3246" s="9"/>
      <c r="W3246" s="9"/>
    </row>
    <row r="3247" spans="15:23" ht="31.4" customHeight="1" x14ac:dyDescent="0.35">
      <c r="O3247" s="9"/>
      <c r="V3247" s="9"/>
      <c r="W3247" s="9"/>
    </row>
    <row r="3248" spans="15:23" ht="31.4" customHeight="1" x14ac:dyDescent="0.35">
      <c r="O3248" s="9"/>
      <c r="V3248" s="9"/>
      <c r="W3248" s="9"/>
    </row>
    <row r="3249" spans="15:23" ht="31.4" customHeight="1" x14ac:dyDescent="0.35">
      <c r="O3249" s="9"/>
      <c r="V3249" s="9"/>
      <c r="W3249" s="9"/>
    </row>
    <row r="3250" spans="15:23" ht="31.4" customHeight="1" x14ac:dyDescent="0.35">
      <c r="O3250" s="9"/>
      <c r="V3250" s="9"/>
      <c r="W3250" s="9"/>
    </row>
    <row r="3251" spans="15:23" ht="31.4" customHeight="1" x14ac:dyDescent="0.35">
      <c r="O3251" s="9"/>
      <c r="V3251" s="9"/>
      <c r="W3251" s="9"/>
    </row>
    <row r="3252" spans="15:23" ht="31.4" customHeight="1" x14ac:dyDescent="0.35">
      <c r="O3252" s="9"/>
      <c r="V3252" s="9"/>
      <c r="W3252" s="9"/>
    </row>
    <row r="3253" spans="15:23" ht="31.4" customHeight="1" x14ac:dyDescent="0.35">
      <c r="O3253" s="9"/>
      <c r="V3253" s="9"/>
      <c r="W3253" s="9"/>
    </row>
    <row r="3254" spans="15:23" ht="31.4" customHeight="1" x14ac:dyDescent="0.35">
      <c r="O3254" s="9"/>
      <c r="V3254" s="9"/>
      <c r="W3254" s="9"/>
    </row>
    <row r="3255" spans="15:23" ht="31.4" customHeight="1" x14ac:dyDescent="0.35">
      <c r="O3255" s="9"/>
      <c r="V3255" s="9"/>
      <c r="W3255" s="9"/>
    </row>
    <row r="3256" spans="15:23" ht="31.4" customHeight="1" x14ac:dyDescent="0.35">
      <c r="O3256" s="9"/>
      <c r="V3256" s="9"/>
      <c r="W3256" s="9"/>
    </row>
    <row r="3257" spans="15:23" ht="31.4" customHeight="1" x14ac:dyDescent="0.35">
      <c r="O3257" s="9"/>
      <c r="V3257" s="9"/>
      <c r="W3257" s="9"/>
    </row>
    <row r="3258" spans="15:23" ht="31.4" customHeight="1" x14ac:dyDescent="0.35">
      <c r="O3258" s="9"/>
      <c r="V3258" s="9"/>
      <c r="W3258" s="9"/>
    </row>
    <row r="3259" spans="15:23" ht="31.4" customHeight="1" x14ac:dyDescent="0.35">
      <c r="O3259" s="9"/>
      <c r="V3259" s="9"/>
      <c r="W3259" s="9"/>
    </row>
    <row r="3260" spans="15:23" ht="31.4" customHeight="1" x14ac:dyDescent="0.35">
      <c r="O3260" s="9"/>
      <c r="V3260" s="9"/>
      <c r="W3260" s="9"/>
    </row>
    <row r="3261" spans="15:23" ht="31.4" customHeight="1" x14ac:dyDescent="0.35">
      <c r="O3261" s="9"/>
      <c r="V3261" s="9"/>
      <c r="W3261" s="9"/>
    </row>
    <row r="3262" spans="15:23" ht="31.4" customHeight="1" x14ac:dyDescent="0.35">
      <c r="O3262" s="9"/>
      <c r="V3262" s="9"/>
      <c r="W3262" s="9"/>
    </row>
    <row r="3263" spans="15:23" ht="31.4" customHeight="1" x14ac:dyDescent="0.35">
      <c r="O3263" s="9"/>
      <c r="V3263" s="9"/>
      <c r="W3263" s="9"/>
    </row>
    <row r="3264" spans="15:23" ht="31.4" customHeight="1" x14ac:dyDescent="0.35">
      <c r="O3264" s="9"/>
      <c r="V3264" s="9"/>
      <c r="W3264" s="9"/>
    </row>
    <row r="3265" spans="15:23" ht="31.4" customHeight="1" x14ac:dyDescent="0.35">
      <c r="O3265" s="9"/>
      <c r="V3265" s="9"/>
      <c r="W3265" s="9"/>
    </row>
    <row r="3266" spans="15:23" ht="31.4" customHeight="1" x14ac:dyDescent="0.35">
      <c r="O3266" s="9"/>
      <c r="V3266" s="9"/>
      <c r="W3266" s="9"/>
    </row>
    <row r="3267" spans="15:23" ht="31.4" customHeight="1" x14ac:dyDescent="0.35">
      <c r="O3267" s="9"/>
      <c r="V3267" s="9"/>
      <c r="W3267" s="9"/>
    </row>
    <row r="3268" spans="15:23" ht="31.4" customHeight="1" x14ac:dyDescent="0.35">
      <c r="O3268" s="9"/>
      <c r="V3268" s="9"/>
      <c r="W3268" s="9"/>
    </row>
    <row r="3269" spans="15:23" ht="31.4" customHeight="1" x14ac:dyDescent="0.35">
      <c r="O3269" s="9"/>
      <c r="V3269" s="9"/>
      <c r="W3269" s="9"/>
    </row>
    <row r="3270" spans="15:23" ht="31.4" customHeight="1" x14ac:dyDescent="0.35">
      <c r="O3270" s="9"/>
      <c r="V3270" s="9"/>
      <c r="W3270" s="9"/>
    </row>
    <row r="3271" spans="15:23" ht="31.4" customHeight="1" x14ac:dyDescent="0.35">
      <c r="O3271" s="9"/>
      <c r="V3271" s="9"/>
      <c r="W3271" s="9"/>
    </row>
    <row r="3272" spans="15:23" ht="31.4" customHeight="1" x14ac:dyDescent="0.35">
      <c r="O3272" s="9"/>
      <c r="V3272" s="9"/>
      <c r="W3272" s="9"/>
    </row>
    <row r="3273" spans="15:23" ht="31.4" customHeight="1" x14ac:dyDescent="0.35">
      <c r="O3273" s="9"/>
      <c r="V3273" s="9"/>
      <c r="W3273" s="9"/>
    </row>
    <row r="3274" spans="15:23" ht="31.4" customHeight="1" x14ac:dyDescent="0.35">
      <c r="O3274" s="9"/>
      <c r="V3274" s="9"/>
      <c r="W3274" s="9"/>
    </row>
    <row r="3275" spans="15:23" ht="31.4" customHeight="1" x14ac:dyDescent="0.35">
      <c r="O3275" s="9"/>
      <c r="V3275" s="9"/>
      <c r="W3275" s="9"/>
    </row>
    <row r="3276" spans="15:23" ht="31.4" customHeight="1" x14ac:dyDescent="0.35">
      <c r="O3276" s="9"/>
      <c r="V3276" s="9"/>
      <c r="W3276" s="9"/>
    </row>
    <row r="3277" spans="15:23" ht="31.4" customHeight="1" x14ac:dyDescent="0.35">
      <c r="O3277" s="9"/>
      <c r="V3277" s="9"/>
      <c r="W3277" s="9"/>
    </row>
    <row r="3278" spans="15:23" ht="31.4" customHeight="1" x14ac:dyDescent="0.35">
      <c r="O3278" s="9"/>
      <c r="V3278" s="9"/>
      <c r="W3278" s="9"/>
    </row>
    <row r="3279" spans="15:23" ht="31.4" customHeight="1" x14ac:dyDescent="0.35">
      <c r="O3279" s="9"/>
      <c r="V3279" s="9"/>
      <c r="W3279" s="9"/>
    </row>
    <row r="3280" spans="15:23" ht="31.4" customHeight="1" x14ac:dyDescent="0.35">
      <c r="O3280" s="9"/>
      <c r="V3280" s="9"/>
      <c r="W3280" s="9"/>
    </row>
    <row r="3281" spans="15:23" ht="31.4" customHeight="1" x14ac:dyDescent="0.35">
      <c r="O3281" s="9"/>
      <c r="V3281" s="9"/>
      <c r="W3281" s="9"/>
    </row>
    <row r="3282" spans="15:23" ht="31.4" customHeight="1" x14ac:dyDescent="0.35">
      <c r="O3282" s="9"/>
      <c r="V3282" s="9"/>
      <c r="W3282" s="9"/>
    </row>
    <row r="3283" spans="15:23" ht="31.4" customHeight="1" x14ac:dyDescent="0.35">
      <c r="O3283" s="9"/>
      <c r="V3283" s="9"/>
      <c r="W3283" s="9"/>
    </row>
    <row r="3284" spans="15:23" ht="31.4" customHeight="1" x14ac:dyDescent="0.35">
      <c r="O3284" s="9"/>
      <c r="V3284" s="9"/>
      <c r="W3284" s="9"/>
    </row>
    <row r="3285" spans="15:23" ht="31.4" customHeight="1" x14ac:dyDescent="0.35">
      <c r="O3285" s="9"/>
      <c r="V3285" s="9"/>
      <c r="W3285" s="9"/>
    </row>
    <row r="3286" spans="15:23" ht="31.4" customHeight="1" x14ac:dyDescent="0.35">
      <c r="O3286" s="9"/>
      <c r="V3286" s="9"/>
      <c r="W3286" s="9"/>
    </row>
    <row r="3287" spans="15:23" ht="31.4" customHeight="1" x14ac:dyDescent="0.35">
      <c r="O3287" s="9"/>
      <c r="V3287" s="9"/>
      <c r="W3287" s="9"/>
    </row>
    <row r="3288" spans="15:23" ht="31.4" customHeight="1" x14ac:dyDescent="0.35">
      <c r="O3288" s="9"/>
      <c r="V3288" s="9"/>
      <c r="W3288" s="9"/>
    </row>
    <row r="3289" spans="15:23" ht="31.4" customHeight="1" x14ac:dyDescent="0.35">
      <c r="O3289" s="9"/>
      <c r="V3289" s="9"/>
      <c r="W3289" s="9"/>
    </row>
    <row r="3290" spans="15:23" ht="31.4" customHeight="1" x14ac:dyDescent="0.35">
      <c r="O3290" s="9"/>
      <c r="V3290" s="9"/>
      <c r="W3290" s="9"/>
    </row>
    <row r="3291" spans="15:23" ht="31.4" customHeight="1" x14ac:dyDescent="0.35">
      <c r="O3291" s="9"/>
      <c r="V3291" s="9"/>
      <c r="W3291" s="9"/>
    </row>
    <row r="3292" spans="15:23" ht="31.4" customHeight="1" x14ac:dyDescent="0.35">
      <c r="O3292" s="9"/>
      <c r="V3292" s="9"/>
      <c r="W3292" s="9"/>
    </row>
    <row r="3293" spans="15:23" ht="31.4" customHeight="1" x14ac:dyDescent="0.35">
      <c r="O3293" s="9"/>
      <c r="V3293" s="9"/>
      <c r="W3293" s="9"/>
    </row>
    <row r="3294" spans="15:23" ht="31.4" customHeight="1" x14ac:dyDescent="0.35">
      <c r="O3294" s="9"/>
      <c r="V3294" s="9"/>
      <c r="W3294" s="9"/>
    </row>
    <row r="3295" spans="15:23" ht="31.4" customHeight="1" x14ac:dyDescent="0.35">
      <c r="O3295" s="9"/>
      <c r="V3295" s="9"/>
      <c r="W3295" s="9"/>
    </row>
    <row r="3296" spans="15:23" ht="31.4" customHeight="1" x14ac:dyDescent="0.35">
      <c r="O3296" s="9"/>
      <c r="V3296" s="9"/>
      <c r="W3296" s="9"/>
    </row>
    <row r="3297" spans="15:23" ht="31.4" customHeight="1" x14ac:dyDescent="0.35">
      <c r="O3297" s="9"/>
      <c r="V3297" s="9"/>
      <c r="W3297" s="9"/>
    </row>
    <row r="3298" spans="15:23" ht="31.4" customHeight="1" x14ac:dyDescent="0.35">
      <c r="O3298" s="9"/>
      <c r="V3298" s="9"/>
      <c r="W3298" s="9"/>
    </row>
    <row r="3299" spans="15:23" ht="31.4" customHeight="1" x14ac:dyDescent="0.35">
      <c r="O3299" s="9"/>
      <c r="V3299" s="9"/>
      <c r="W3299" s="9"/>
    </row>
    <row r="3300" spans="15:23" ht="31.4" customHeight="1" x14ac:dyDescent="0.35">
      <c r="O3300" s="9"/>
      <c r="V3300" s="9"/>
      <c r="W3300" s="9"/>
    </row>
    <row r="3301" spans="15:23" ht="31.4" customHeight="1" x14ac:dyDescent="0.35">
      <c r="O3301" s="9"/>
      <c r="V3301" s="9"/>
      <c r="W3301" s="9"/>
    </row>
    <row r="3302" spans="15:23" ht="31.4" customHeight="1" x14ac:dyDescent="0.35">
      <c r="O3302" s="9"/>
      <c r="V3302" s="9"/>
      <c r="W3302" s="9"/>
    </row>
    <row r="3303" spans="15:23" ht="31.4" customHeight="1" x14ac:dyDescent="0.35">
      <c r="O3303" s="9"/>
      <c r="V3303" s="9"/>
      <c r="W3303" s="9"/>
    </row>
    <row r="3304" spans="15:23" ht="31.4" customHeight="1" x14ac:dyDescent="0.35">
      <c r="O3304" s="9"/>
      <c r="V3304" s="9"/>
      <c r="W3304" s="9"/>
    </row>
    <row r="3305" spans="15:23" ht="31.4" customHeight="1" x14ac:dyDescent="0.35">
      <c r="O3305" s="9"/>
      <c r="V3305" s="9"/>
      <c r="W3305" s="9"/>
    </row>
    <row r="3306" spans="15:23" ht="31.4" customHeight="1" x14ac:dyDescent="0.35">
      <c r="O3306" s="9"/>
      <c r="V3306" s="9"/>
      <c r="W3306" s="9"/>
    </row>
    <row r="3307" spans="15:23" ht="31.4" customHeight="1" x14ac:dyDescent="0.35">
      <c r="O3307" s="9"/>
      <c r="V3307" s="9"/>
      <c r="W3307" s="9"/>
    </row>
    <row r="3308" spans="15:23" ht="31.4" customHeight="1" x14ac:dyDescent="0.35">
      <c r="O3308" s="9"/>
      <c r="V3308" s="9"/>
      <c r="W3308" s="9"/>
    </row>
    <row r="3309" spans="15:23" ht="31.4" customHeight="1" x14ac:dyDescent="0.35">
      <c r="O3309" s="9"/>
      <c r="V3309" s="9"/>
      <c r="W3309" s="9"/>
    </row>
    <row r="3310" spans="15:23" ht="31.4" customHeight="1" x14ac:dyDescent="0.35">
      <c r="O3310" s="9"/>
      <c r="V3310" s="9"/>
      <c r="W3310" s="9"/>
    </row>
    <row r="3311" spans="15:23" ht="31.4" customHeight="1" x14ac:dyDescent="0.35">
      <c r="O3311" s="9"/>
      <c r="V3311" s="9"/>
      <c r="W3311" s="9"/>
    </row>
    <row r="3312" spans="15:23" ht="31.4" customHeight="1" x14ac:dyDescent="0.35">
      <c r="O3312" s="9"/>
      <c r="V3312" s="9"/>
      <c r="W3312" s="9"/>
    </row>
    <row r="3313" spans="15:23" ht="31.4" customHeight="1" x14ac:dyDescent="0.35">
      <c r="O3313" s="9"/>
      <c r="V3313" s="9"/>
      <c r="W3313" s="9"/>
    </row>
    <row r="3314" spans="15:23" ht="31.4" customHeight="1" x14ac:dyDescent="0.35">
      <c r="O3314" s="9"/>
      <c r="V3314" s="9"/>
      <c r="W3314" s="9"/>
    </row>
    <row r="3315" spans="15:23" ht="31.4" customHeight="1" x14ac:dyDescent="0.35">
      <c r="O3315" s="9"/>
      <c r="V3315" s="9"/>
      <c r="W3315" s="9"/>
    </row>
    <row r="3316" spans="15:23" ht="31.4" customHeight="1" x14ac:dyDescent="0.35">
      <c r="O3316" s="9"/>
      <c r="V3316" s="9"/>
      <c r="W3316" s="9"/>
    </row>
    <row r="3317" spans="15:23" ht="31.4" customHeight="1" x14ac:dyDescent="0.35">
      <c r="O3317" s="9"/>
      <c r="V3317" s="9"/>
      <c r="W3317" s="9"/>
    </row>
    <row r="3318" spans="15:23" ht="31.4" customHeight="1" x14ac:dyDescent="0.35">
      <c r="O3318" s="9"/>
      <c r="V3318" s="9"/>
      <c r="W3318" s="9"/>
    </row>
    <row r="3319" spans="15:23" ht="31.4" customHeight="1" x14ac:dyDescent="0.35">
      <c r="O3319" s="9"/>
      <c r="V3319" s="9"/>
      <c r="W3319" s="9"/>
    </row>
    <row r="3320" spans="15:23" ht="31.4" customHeight="1" x14ac:dyDescent="0.35">
      <c r="O3320" s="9"/>
      <c r="V3320" s="9"/>
      <c r="W3320" s="9"/>
    </row>
    <row r="3321" spans="15:23" ht="31.4" customHeight="1" x14ac:dyDescent="0.35">
      <c r="O3321" s="9"/>
      <c r="V3321" s="9"/>
      <c r="W3321" s="9"/>
    </row>
    <row r="3322" spans="15:23" ht="31.4" customHeight="1" x14ac:dyDescent="0.35">
      <c r="O3322" s="9"/>
      <c r="V3322" s="9"/>
      <c r="W3322" s="9"/>
    </row>
    <row r="3323" spans="15:23" ht="31.4" customHeight="1" x14ac:dyDescent="0.35">
      <c r="O3323" s="9"/>
      <c r="V3323" s="9"/>
      <c r="W3323" s="9"/>
    </row>
    <row r="3324" spans="15:23" ht="31.4" customHeight="1" x14ac:dyDescent="0.35">
      <c r="O3324" s="9"/>
      <c r="V3324" s="9"/>
      <c r="W3324" s="9"/>
    </row>
    <row r="3325" spans="15:23" ht="31.4" customHeight="1" x14ac:dyDescent="0.35">
      <c r="O3325" s="9"/>
      <c r="V3325" s="9"/>
      <c r="W3325" s="9"/>
    </row>
    <row r="3326" spans="15:23" ht="31.4" customHeight="1" x14ac:dyDescent="0.35">
      <c r="O3326" s="9"/>
      <c r="V3326" s="9"/>
      <c r="W3326" s="9"/>
    </row>
    <row r="3327" spans="15:23" ht="31.4" customHeight="1" x14ac:dyDescent="0.35">
      <c r="O3327" s="9"/>
      <c r="V3327" s="9"/>
      <c r="W3327" s="9"/>
    </row>
    <row r="3328" spans="15:23" ht="31.4" customHeight="1" x14ac:dyDescent="0.35">
      <c r="O3328" s="9"/>
      <c r="V3328" s="9"/>
      <c r="W3328" s="9"/>
    </row>
    <row r="3329" spans="15:23" ht="31.4" customHeight="1" x14ac:dyDescent="0.35">
      <c r="O3329" s="9"/>
      <c r="V3329" s="9"/>
      <c r="W3329" s="9"/>
    </row>
    <row r="3330" spans="15:23" ht="31.4" customHeight="1" x14ac:dyDescent="0.35">
      <c r="O3330" s="9"/>
      <c r="V3330" s="9"/>
      <c r="W3330" s="9"/>
    </row>
    <row r="3331" spans="15:23" ht="31.4" customHeight="1" x14ac:dyDescent="0.35">
      <c r="O3331" s="9"/>
      <c r="V3331" s="9"/>
      <c r="W3331" s="9"/>
    </row>
    <row r="3332" spans="15:23" ht="31.4" customHeight="1" x14ac:dyDescent="0.35">
      <c r="O3332" s="9"/>
      <c r="V3332" s="9"/>
      <c r="W3332" s="9"/>
    </row>
    <row r="3333" spans="15:23" ht="31.4" customHeight="1" x14ac:dyDescent="0.35">
      <c r="O3333" s="9"/>
      <c r="V3333" s="9"/>
      <c r="W3333" s="9"/>
    </row>
    <row r="3334" spans="15:23" ht="31.4" customHeight="1" x14ac:dyDescent="0.35">
      <c r="O3334" s="9"/>
      <c r="V3334" s="9"/>
      <c r="W3334" s="9"/>
    </row>
    <row r="3335" spans="15:23" ht="31.4" customHeight="1" x14ac:dyDescent="0.35">
      <c r="O3335" s="9"/>
      <c r="V3335" s="9"/>
      <c r="W3335" s="9"/>
    </row>
    <row r="3336" spans="15:23" ht="31.4" customHeight="1" x14ac:dyDescent="0.35">
      <c r="O3336" s="9"/>
      <c r="V3336" s="9"/>
      <c r="W3336" s="9"/>
    </row>
    <row r="3337" spans="15:23" ht="31.4" customHeight="1" x14ac:dyDescent="0.35">
      <c r="O3337" s="9"/>
      <c r="V3337" s="9"/>
      <c r="W3337" s="9"/>
    </row>
    <row r="3338" spans="15:23" ht="31.4" customHeight="1" x14ac:dyDescent="0.35">
      <c r="O3338" s="9"/>
      <c r="V3338" s="9"/>
      <c r="W3338" s="9"/>
    </row>
    <row r="3339" spans="15:23" ht="31.4" customHeight="1" x14ac:dyDescent="0.35">
      <c r="O3339" s="9"/>
      <c r="V3339" s="9"/>
      <c r="W3339" s="9"/>
    </row>
    <row r="3340" spans="15:23" ht="31.4" customHeight="1" x14ac:dyDescent="0.35">
      <c r="O3340" s="9"/>
      <c r="V3340" s="9"/>
      <c r="W3340" s="9"/>
    </row>
    <row r="3341" spans="15:23" ht="31.4" customHeight="1" x14ac:dyDescent="0.35">
      <c r="O3341" s="9"/>
      <c r="V3341" s="9"/>
      <c r="W3341" s="9"/>
    </row>
    <row r="3342" spans="15:23" ht="31.4" customHeight="1" x14ac:dyDescent="0.35">
      <c r="O3342" s="9"/>
      <c r="V3342" s="9"/>
      <c r="W3342" s="9"/>
    </row>
    <row r="3343" spans="15:23" ht="31.4" customHeight="1" x14ac:dyDescent="0.35">
      <c r="O3343" s="9"/>
      <c r="V3343" s="9"/>
      <c r="W3343" s="9"/>
    </row>
    <row r="3344" spans="15:23" ht="31.4" customHeight="1" x14ac:dyDescent="0.35">
      <c r="O3344" s="9"/>
      <c r="V3344" s="9"/>
      <c r="W3344" s="9"/>
    </row>
    <row r="3345" spans="15:23" ht="31.4" customHeight="1" x14ac:dyDescent="0.35">
      <c r="O3345" s="9"/>
      <c r="V3345" s="9"/>
      <c r="W3345" s="9"/>
    </row>
    <row r="3346" spans="15:23" ht="31.4" customHeight="1" x14ac:dyDescent="0.35">
      <c r="O3346" s="9"/>
      <c r="V3346" s="9"/>
      <c r="W3346" s="9"/>
    </row>
    <row r="3347" spans="15:23" ht="31.4" customHeight="1" x14ac:dyDescent="0.35">
      <c r="O3347" s="9"/>
      <c r="V3347" s="9"/>
      <c r="W3347" s="9"/>
    </row>
    <row r="3348" spans="15:23" ht="31.4" customHeight="1" x14ac:dyDescent="0.35">
      <c r="O3348" s="9"/>
      <c r="V3348" s="9"/>
      <c r="W3348" s="9"/>
    </row>
    <row r="3349" spans="15:23" ht="31.4" customHeight="1" x14ac:dyDescent="0.35">
      <c r="O3349" s="9"/>
      <c r="V3349" s="9"/>
      <c r="W3349" s="9"/>
    </row>
    <row r="3350" spans="15:23" ht="31.4" customHeight="1" x14ac:dyDescent="0.35">
      <c r="O3350" s="9"/>
      <c r="V3350" s="9"/>
      <c r="W3350" s="9"/>
    </row>
    <row r="3351" spans="15:23" ht="31.4" customHeight="1" x14ac:dyDescent="0.35">
      <c r="O3351" s="9"/>
      <c r="V3351" s="9"/>
      <c r="W3351" s="9"/>
    </row>
    <row r="3352" spans="15:23" ht="31.4" customHeight="1" x14ac:dyDescent="0.35">
      <c r="O3352" s="9"/>
      <c r="V3352" s="9"/>
      <c r="W3352" s="9"/>
    </row>
    <row r="3353" spans="15:23" ht="31.4" customHeight="1" x14ac:dyDescent="0.35">
      <c r="O3353" s="9"/>
      <c r="V3353" s="9"/>
      <c r="W3353" s="9"/>
    </row>
    <row r="3354" spans="15:23" ht="31.4" customHeight="1" x14ac:dyDescent="0.35">
      <c r="O3354" s="9"/>
      <c r="V3354" s="9"/>
      <c r="W3354" s="9"/>
    </row>
    <row r="3355" spans="15:23" ht="31.4" customHeight="1" x14ac:dyDescent="0.35">
      <c r="O3355" s="9"/>
      <c r="V3355" s="9"/>
      <c r="W3355" s="9"/>
    </row>
    <row r="3356" spans="15:23" ht="31.4" customHeight="1" x14ac:dyDescent="0.35">
      <c r="O3356" s="9"/>
      <c r="V3356" s="9"/>
      <c r="W3356" s="9"/>
    </row>
    <row r="3357" spans="15:23" ht="31.4" customHeight="1" x14ac:dyDescent="0.35">
      <c r="O3357" s="9"/>
      <c r="V3357" s="9"/>
      <c r="W3357" s="9"/>
    </row>
    <row r="3358" spans="15:23" ht="31.4" customHeight="1" x14ac:dyDescent="0.35">
      <c r="O3358" s="9"/>
      <c r="V3358" s="9"/>
      <c r="W3358" s="9"/>
    </row>
    <row r="3359" spans="15:23" ht="31.4" customHeight="1" x14ac:dyDescent="0.35">
      <c r="O3359" s="9"/>
      <c r="V3359" s="9"/>
      <c r="W3359" s="9"/>
    </row>
    <row r="3360" spans="15:23" ht="31.4" customHeight="1" x14ac:dyDescent="0.35">
      <c r="O3360" s="9"/>
      <c r="V3360" s="9"/>
      <c r="W3360" s="9"/>
    </row>
    <row r="3361" spans="15:23" ht="31.4" customHeight="1" x14ac:dyDescent="0.35">
      <c r="O3361" s="9"/>
      <c r="V3361" s="9"/>
      <c r="W3361" s="9"/>
    </row>
    <row r="3362" spans="15:23" ht="31.4" customHeight="1" x14ac:dyDescent="0.35">
      <c r="O3362" s="9"/>
      <c r="V3362" s="9"/>
      <c r="W3362" s="9"/>
    </row>
    <row r="3363" spans="15:23" ht="31.4" customHeight="1" x14ac:dyDescent="0.35">
      <c r="O3363" s="9"/>
      <c r="V3363" s="9"/>
      <c r="W3363" s="9"/>
    </row>
    <row r="3364" spans="15:23" ht="31.4" customHeight="1" x14ac:dyDescent="0.35">
      <c r="O3364" s="9"/>
      <c r="V3364" s="9"/>
      <c r="W3364" s="9"/>
    </row>
    <row r="3365" spans="15:23" ht="31.4" customHeight="1" x14ac:dyDescent="0.35">
      <c r="O3365" s="9"/>
      <c r="V3365" s="9"/>
      <c r="W3365" s="9"/>
    </row>
    <row r="3366" spans="15:23" ht="31.4" customHeight="1" x14ac:dyDescent="0.35">
      <c r="O3366" s="9"/>
      <c r="V3366" s="9"/>
      <c r="W3366" s="9"/>
    </row>
    <row r="3367" spans="15:23" ht="31.4" customHeight="1" x14ac:dyDescent="0.35">
      <c r="O3367" s="9"/>
      <c r="V3367" s="9"/>
      <c r="W3367" s="9"/>
    </row>
    <row r="3368" spans="15:23" ht="31.4" customHeight="1" x14ac:dyDescent="0.35">
      <c r="O3368" s="9"/>
      <c r="V3368" s="9"/>
      <c r="W3368" s="9"/>
    </row>
    <row r="3369" spans="15:23" ht="31.4" customHeight="1" x14ac:dyDescent="0.35">
      <c r="O3369" s="9"/>
      <c r="V3369" s="9"/>
      <c r="W3369" s="9"/>
    </row>
    <row r="3370" spans="15:23" ht="31.4" customHeight="1" x14ac:dyDescent="0.35">
      <c r="O3370" s="9"/>
      <c r="V3370" s="9"/>
      <c r="W3370" s="9"/>
    </row>
    <row r="3371" spans="15:23" ht="31.4" customHeight="1" x14ac:dyDescent="0.35">
      <c r="O3371" s="9"/>
      <c r="V3371" s="9"/>
      <c r="W3371" s="9"/>
    </row>
    <row r="3372" spans="15:23" ht="31.4" customHeight="1" x14ac:dyDescent="0.35">
      <c r="O3372" s="9"/>
      <c r="V3372" s="9"/>
      <c r="W3372" s="9"/>
    </row>
    <row r="3373" spans="15:23" ht="31.4" customHeight="1" x14ac:dyDescent="0.35">
      <c r="O3373" s="9"/>
      <c r="V3373" s="9"/>
      <c r="W3373" s="9"/>
    </row>
    <row r="3374" spans="15:23" ht="31.4" customHeight="1" x14ac:dyDescent="0.35">
      <c r="O3374" s="9"/>
      <c r="V3374" s="9"/>
      <c r="W3374" s="9"/>
    </row>
    <row r="3375" spans="15:23" ht="31.4" customHeight="1" x14ac:dyDescent="0.35">
      <c r="O3375" s="9"/>
      <c r="V3375" s="9"/>
      <c r="W3375" s="9"/>
    </row>
    <row r="3376" spans="15:23" ht="31.4" customHeight="1" x14ac:dyDescent="0.35">
      <c r="O3376" s="9"/>
      <c r="V3376" s="9"/>
      <c r="W3376" s="9"/>
    </row>
    <row r="3377" spans="15:23" ht="31.4" customHeight="1" x14ac:dyDescent="0.35">
      <c r="O3377" s="9"/>
      <c r="V3377" s="9"/>
      <c r="W3377" s="9"/>
    </row>
    <row r="3378" spans="15:23" ht="31.4" customHeight="1" x14ac:dyDescent="0.35">
      <c r="O3378" s="9"/>
      <c r="V3378" s="9"/>
      <c r="W3378" s="9"/>
    </row>
    <row r="3379" spans="15:23" ht="31.4" customHeight="1" x14ac:dyDescent="0.35">
      <c r="O3379" s="9"/>
      <c r="V3379" s="9"/>
      <c r="W3379" s="9"/>
    </row>
    <row r="3380" spans="15:23" ht="31.4" customHeight="1" x14ac:dyDescent="0.35">
      <c r="O3380" s="9"/>
      <c r="V3380" s="9"/>
      <c r="W3380" s="9"/>
    </row>
    <row r="3381" spans="15:23" ht="31.4" customHeight="1" x14ac:dyDescent="0.35">
      <c r="O3381" s="9"/>
      <c r="V3381" s="9"/>
      <c r="W3381" s="9"/>
    </row>
    <row r="3382" spans="15:23" ht="31.4" customHeight="1" x14ac:dyDescent="0.35">
      <c r="O3382" s="9"/>
      <c r="V3382" s="9"/>
      <c r="W3382" s="9"/>
    </row>
    <row r="3383" spans="15:23" ht="31.4" customHeight="1" x14ac:dyDescent="0.35">
      <c r="O3383" s="9"/>
      <c r="V3383" s="9"/>
      <c r="W3383" s="9"/>
    </row>
    <row r="3384" spans="15:23" ht="31.4" customHeight="1" x14ac:dyDescent="0.35">
      <c r="O3384" s="9"/>
      <c r="V3384" s="9"/>
      <c r="W3384" s="9"/>
    </row>
    <row r="3385" spans="15:23" ht="31.4" customHeight="1" x14ac:dyDescent="0.35">
      <c r="O3385" s="9"/>
      <c r="V3385" s="9"/>
      <c r="W3385" s="9"/>
    </row>
    <row r="3386" spans="15:23" ht="31.4" customHeight="1" x14ac:dyDescent="0.35">
      <c r="O3386" s="9"/>
      <c r="V3386" s="9"/>
      <c r="W3386" s="9"/>
    </row>
    <row r="3387" spans="15:23" ht="31.4" customHeight="1" x14ac:dyDescent="0.35">
      <c r="O3387" s="9"/>
      <c r="V3387" s="9"/>
      <c r="W3387" s="9"/>
    </row>
    <row r="3388" spans="15:23" ht="31.4" customHeight="1" x14ac:dyDescent="0.35">
      <c r="O3388" s="9"/>
      <c r="V3388" s="9"/>
      <c r="W3388" s="9"/>
    </row>
    <row r="3389" spans="15:23" ht="31.4" customHeight="1" x14ac:dyDescent="0.35">
      <c r="O3389" s="9"/>
      <c r="V3389" s="9"/>
      <c r="W3389" s="9"/>
    </row>
    <row r="3390" spans="15:23" ht="31.4" customHeight="1" x14ac:dyDescent="0.35">
      <c r="O3390" s="9"/>
      <c r="V3390" s="9"/>
      <c r="W3390" s="9"/>
    </row>
    <row r="3391" spans="15:23" ht="31.4" customHeight="1" x14ac:dyDescent="0.35">
      <c r="O3391" s="9"/>
      <c r="V3391" s="9"/>
      <c r="W3391" s="9"/>
    </row>
    <row r="3392" spans="15:23" ht="31.4" customHeight="1" x14ac:dyDescent="0.35">
      <c r="O3392" s="9"/>
      <c r="V3392" s="9"/>
      <c r="W3392" s="9"/>
    </row>
    <row r="3393" spans="15:23" ht="31.4" customHeight="1" x14ac:dyDescent="0.35">
      <c r="O3393" s="9"/>
      <c r="V3393" s="9"/>
      <c r="W3393" s="9"/>
    </row>
    <row r="3394" spans="15:23" ht="31.4" customHeight="1" x14ac:dyDescent="0.35">
      <c r="O3394" s="9"/>
      <c r="V3394" s="9"/>
      <c r="W3394" s="9"/>
    </row>
    <row r="3395" spans="15:23" ht="31.4" customHeight="1" x14ac:dyDescent="0.35">
      <c r="O3395" s="9"/>
      <c r="V3395" s="9"/>
      <c r="W3395" s="9"/>
    </row>
    <row r="3396" spans="15:23" ht="31.4" customHeight="1" x14ac:dyDescent="0.35">
      <c r="O3396" s="9"/>
      <c r="V3396" s="9"/>
      <c r="W3396" s="9"/>
    </row>
    <row r="3397" spans="15:23" ht="31.4" customHeight="1" x14ac:dyDescent="0.35">
      <c r="O3397" s="9"/>
      <c r="V3397" s="9"/>
      <c r="W3397" s="9"/>
    </row>
    <row r="3398" spans="15:23" ht="31.4" customHeight="1" x14ac:dyDescent="0.35">
      <c r="O3398" s="9"/>
      <c r="V3398" s="9"/>
      <c r="W3398" s="9"/>
    </row>
    <row r="3399" spans="15:23" ht="31.4" customHeight="1" x14ac:dyDescent="0.35">
      <c r="O3399" s="9"/>
      <c r="V3399" s="9"/>
      <c r="W3399" s="9"/>
    </row>
    <row r="3400" spans="15:23" ht="31.4" customHeight="1" x14ac:dyDescent="0.35">
      <c r="O3400" s="9"/>
      <c r="V3400" s="9"/>
      <c r="W3400" s="9"/>
    </row>
    <row r="3401" spans="15:23" ht="31.4" customHeight="1" x14ac:dyDescent="0.35">
      <c r="O3401" s="9"/>
      <c r="V3401" s="9"/>
      <c r="W3401" s="9"/>
    </row>
    <row r="3402" spans="15:23" ht="31.4" customHeight="1" x14ac:dyDescent="0.35">
      <c r="O3402" s="9"/>
      <c r="V3402" s="9"/>
      <c r="W3402" s="9"/>
    </row>
    <row r="3403" spans="15:23" ht="31.4" customHeight="1" x14ac:dyDescent="0.35">
      <c r="O3403" s="9"/>
      <c r="V3403" s="9"/>
      <c r="W3403" s="9"/>
    </row>
    <row r="3404" spans="15:23" ht="31.4" customHeight="1" x14ac:dyDescent="0.35">
      <c r="O3404" s="9"/>
      <c r="V3404" s="9"/>
      <c r="W3404" s="9"/>
    </row>
    <row r="3405" spans="15:23" ht="31.4" customHeight="1" x14ac:dyDescent="0.35">
      <c r="O3405" s="9"/>
      <c r="V3405" s="9"/>
      <c r="W3405" s="9"/>
    </row>
    <row r="3406" spans="15:23" ht="31.4" customHeight="1" x14ac:dyDescent="0.35">
      <c r="O3406" s="9"/>
      <c r="V3406" s="9"/>
      <c r="W3406" s="9"/>
    </row>
    <row r="3407" spans="15:23" ht="31.4" customHeight="1" x14ac:dyDescent="0.35">
      <c r="O3407" s="9"/>
      <c r="V3407" s="9"/>
      <c r="W3407" s="9"/>
    </row>
    <row r="3408" spans="15:23" ht="31.4" customHeight="1" x14ac:dyDescent="0.35">
      <c r="O3408" s="9"/>
      <c r="V3408" s="9"/>
      <c r="W3408" s="9"/>
    </row>
    <row r="3409" spans="15:23" ht="31.4" customHeight="1" x14ac:dyDescent="0.35">
      <c r="O3409" s="9"/>
      <c r="V3409" s="9"/>
      <c r="W3409" s="9"/>
    </row>
    <row r="3410" spans="15:23" ht="31.4" customHeight="1" x14ac:dyDescent="0.35">
      <c r="O3410" s="9"/>
      <c r="V3410" s="9"/>
      <c r="W3410" s="9"/>
    </row>
    <row r="3411" spans="15:23" ht="31.4" customHeight="1" x14ac:dyDescent="0.35">
      <c r="O3411" s="9"/>
      <c r="V3411" s="9"/>
      <c r="W3411" s="9"/>
    </row>
    <row r="3412" spans="15:23" ht="31.4" customHeight="1" x14ac:dyDescent="0.35">
      <c r="O3412" s="9"/>
      <c r="V3412" s="9"/>
      <c r="W3412" s="9"/>
    </row>
    <row r="3413" spans="15:23" ht="31.4" customHeight="1" x14ac:dyDescent="0.35">
      <c r="O3413" s="9"/>
      <c r="V3413" s="9"/>
      <c r="W3413" s="9"/>
    </row>
    <row r="3414" spans="15:23" ht="31.4" customHeight="1" x14ac:dyDescent="0.35">
      <c r="O3414" s="9"/>
      <c r="V3414" s="9"/>
      <c r="W3414" s="9"/>
    </row>
    <row r="3415" spans="15:23" ht="31.4" customHeight="1" x14ac:dyDescent="0.35">
      <c r="O3415" s="9"/>
      <c r="V3415" s="9"/>
      <c r="W3415" s="9"/>
    </row>
    <row r="3416" spans="15:23" ht="31.4" customHeight="1" x14ac:dyDescent="0.35">
      <c r="O3416" s="9"/>
      <c r="V3416" s="9"/>
      <c r="W3416" s="9"/>
    </row>
    <row r="3417" spans="15:23" ht="31.4" customHeight="1" x14ac:dyDescent="0.35">
      <c r="O3417" s="9"/>
      <c r="V3417" s="9"/>
      <c r="W3417" s="9"/>
    </row>
    <row r="3418" spans="15:23" ht="31.4" customHeight="1" x14ac:dyDescent="0.35">
      <c r="O3418" s="9"/>
      <c r="V3418" s="9"/>
      <c r="W3418" s="9"/>
    </row>
    <row r="3419" spans="15:23" ht="31.4" customHeight="1" x14ac:dyDescent="0.35">
      <c r="O3419" s="9"/>
      <c r="V3419" s="9"/>
      <c r="W3419" s="9"/>
    </row>
    <row r="3420" spans="15:23" ht="31.4" customHeight="1" x14ac:dyDescent="0.35">
      <c r="O3420" s="9"/>
      <c r="V3420" s="9"/>
      <c r="W3420" s="9"/>
    </row>
    <row r="3421" spans="15:23" ht="31.4" customHeight="1" x14ac:dyDescent="0.35">
      <c r="O3421" s="9"/>
      <c r="V3421" s="9"/>
      <c r="W3421" s="9"/>
    </row>
    <row r="3422" spans="15:23" ht="31.4" customHeight="1" x14ac:dyDescent="0.35">
      <c r="O3422" s="9"/>
      <c r="V3422" s="9"/>
      <c r="W3422" s="9"/>
    </row>
    <row r="3423" spans="15:23" ht="31.4" customHeight="1" x14ac:dyDescent="0.35">
      <c r="O3423" s="9"/>
      <c r="V3423" s="9"/>
      <c r="W3423" s="9"/>
    </row>
    <row r="3424" spans="15:23" ht="31.4" customHeight="1" x14ac:dyDescent="0.35">
      <c r="O3424" s="9"/>
      <c r="V3424" s="9"/>
      <c r="W3424" s="9"/>
    </row>
    <row r="3425" spans="15:23" ht="31.4" customHeight="1" x14ac:dyDescent="0.35">
      <c r="O3425" s="9"/>
      <c r="V3425" s="9"/>
      <c r="W3425" s="9"/>
    </row>
    <row r="3426" spans="15:23" ht="31.4" customHeight="1" x14ac:dyDescent="0.35">
      <c r="O3426" s="9"/>
      <c r="V3426" s="9"/>
      <c r="W3426" s="9"/>
    </row>
    <row r="3427" spans="15:23" ht="31.4" customHeight="1" x14ac:dyDescent="0.35">
      <c r="O3427" s="9"/>
      <c r="V3427" s="9"/>
      <c r="W3427" s="9"/>
    </row>
    <row r="3428" spans="15:23" ht="31.4" customHeight="1" x14ac:dyDescent="0.35">
      <c r="O3428" s="9"/>
      <c r="V3428" s="9"/>
      <c r="W3428" s="9"/>
    </row>
    <row r="3429" spans="15:23" ht="31.4" customHeight="1" x14ac:dyDescent="0.35">
      <c r="O3429" s="9"/>
      <c r="V3429" s="9"/>
      <c r="W3429" s="9"/>
    </row>
    <row r="3430" spans="15:23" ht="31.4" customHeight="1" x14ac:dyDescent="0.35">
      <c r="O3430" s="9"/>
      <c r="V3430" s="9"/>
      <c r="W3430" s="9"/>
    </row>
    <row r="3431" spans="15:23" ht="31.4" customHeight="1" x14ac:dyDescent="0.35">
      <c r="O3431" s="9"/>
      <c r="V3431" s="9"/>
      <c r="W3431" s="9"/>
    </row>
    <row r="3432" spans="15:23" ht="31.4" customHeight="1" x14ac:dyDescent="0.35">
      <c r="O3432" s="9"/>
      <c r="V3432" s="9"/>
      <c r="W3432" s="9"/>
    </row>
    <row r="3433" spans="15:23" ht="31.4" customHeight="1" x14ac:dyDescent="0.35">
      <c r="O3433" s="9"/>
      <c r="V3433" s="9"/>
      <c r="W3433" s="9"/>
    </row>
    <row r="3434" spans="15:23" ht="31.4" customHeight="1" x14ac:dyDescent="0.35">
      <c r="O3434" s="9"/>
      <c r="V3434" s="9"/>
      <c r="W3434" s="9"/>
    </row>
    <row r="3435" spans="15:23" ht="31.4" customHeight="1" x14ac:dyDescent="0.35">
      <c r="O3435" s="9"/>
      <c r="V3435" s="9"/>
      <c r="W3435" s="9"/>
    </row>
    <row r="3436" spans="15:23" ht="31.4" customHeight="1" x14ac:dyDescent="0.35">
      <c r="O3436" s="9"/>
      <c r="V3436" s="9"/>
      <c r="W3436" s="9"/>
    </row>
    <row r="3437" spans="15:23" ht="31.4" customHeight="1" x14ac:dyDescent="0.35">
      <c r="O3437" s="9"/>
      <c r="V3437" s="9"/>
      <c r="W3437" s="9"/>
    </row>
    <row r="3438" spans="15:23" ht="31.4" customHeight="1" x14ac:dyDescent="0.35">
      <c r="O3438" s="9"/>
      <c r="V3438" s="9"/>
      <c r="W3438" s="9"/>
    </row>
    <row r="3439" spans="15:23" ht="31.4" customHeight="1" x14ac:dyDescent="0.35">
      <c r="O3439" s="9"/>
      <c r="V3439" s="9"/>
      <c r="W3439" s="9"/>
    </row>
    <row r="3440" spans="15:23" ht="31.4" customHeight="1" x14ac:dyDescent="0.35">
      <c r="O3440" s="9"/>
      <c r="V3440" s="9"/>
      <c r="W3440" s="9"/>
    </row>
    <row r="3441" spans="15:23" ht="31.4" customHeight="1" x14ac:dyDescent="0.35">
      <c r="O3441" s="9"/>
      <c r="V3441" s="9"/>
      <c r="W3441" s="9"/>
    </row>
    <row r="3442" spans="15:23" ht="31.4" customHeight="1" x14ac:dyDescent="0.35">
      <c r="O3442" s="9"/>
      <c r="V3442" s="9"/>
      <c r="W3442" s="9"/>
    </row>
    <row r="3443" spans="15:23" ht="31.4" customHeight="1" x14ac:dyDescent="0.35">
      <c r="O3443" s="9"/>
      <c r="V3443" s="9"/>
      <c r="W3443" s="9"/>
    </row>
    <row r="3444" spans="15:23" ht="31.4" customHeight="1" x14ac:dyDescent="0.35">
      <c r="O3444" s="9"/>
      <c r="V3444" s="9"/>
      <c r="W3444" s="9"/>
    </row>
    <row r="3445" spans="15:23" ht="31.4" customHeight="1" x14ac:dyDescent="0.35">
      <c r="O3445" s="9"/>
      <c r="V3445" s="9"/>
      <c r="W3445" s="9"/>
    </row>
    <row r="3446" spans="15:23" ht="31.4" customHeight="1" x14ac:dyDescent="0.35">
      <c r="O3446" s="9"/>
      <c r="V3446" s="9"/>
      <c r="W3446" s="9"/>
    </row>
    <row r="3447" spans="15:23" ht="31.4" customHeight="1" x14ac:dyDescent="0.35">
      <c r="O3447" s="9"/>
      <c r="V3447" s="9"/>
      <c r="W3447" s="9"/>
    </row>
    <row r="3448" spans="15:23" ht="31.4" customHeight="1" x14ac:dyDescent="0.35">
      <c r="O3448" s="9"/>
      <c r="V3448" s="9"/>
      <c r="W3448" s="9"/>
    </row>
    <row r="3449" spans="15:23" ht="31.4" customHeight="1" x14ac:dyDescent="0.35">
      <c r="O3449" s="9"/>
      <c r="V3449" s="9"/>
      <c r="W3449" s="9"/>
    </row>
    <row r="3450" spans="15:23" ht="31.4" customHeight="1" x14ac:dyDescent="0.35">
      <c r="O3450" s="9"/>
      <c r="V3450" s="9"/>
      <c r="W3450" s="9"/>
    </row>
    <row r="3451" spans="15:23" ht="31.4" customHeight="1" x14ac:dyDescent="0.35">
      <c r="O3451" s="9"/>
      <c r="V3451" s="9"/>
      <c r="W3451" s="9"/>
    </row>
    <row r="3452" spans="15:23" ht="31.4" customHeight="1" x14ac:dyDescent="0.35">
      <c r="O3452" s="9"/>
      <c r="V3452" s="9"/>
      <c r="W3452" s="9"/>
    </row>
    <row r="3453" spans="15:23" ht="31.4" customHeight="1" x14ac:dyDescent="0.35">
      <c r="O3453" s="9"/>
      <c r="V3453" s="9"/>
      <c r="W3453" s="9"/>
    </row>
    <row r="3454" spans="15:23" ht="31.4" customHeight="1" x14ac:dyDescent="0.35">
      <c r="O3454" s="9"/>
      <c r="V3454" s="9"/>
      <c r="W3454" s="9"/>
    </row>
    <row r="3455" spans="15:23" ht="31.4" customHeight="1" x14ac:dyDescent="0.35">
      <c r="O3455" s="9"/>
      <c r="V3455" s="9"/>
      <c r="W3455" s="9"/>
    </row>
    <row r="3456" spans="15:23" ht="31.4" customHeight="1" x14ac:dyDescent="0.35">
      <c r="O3456" s="9"/>
      <c r="V3456" s="9"/>
      <c r="W3456" s="9"/>
    </row>
    <row r="3457" spans="15:23" ht="31.4" customHeight="1" x14ac:dyDescent="0.35">
      <c r="O3457" s="9"/>
      <c r="V3457" s="9"/>
      <c r="W3457" s="9"/>
    </row>
    <row r="3458" spans="15:23" ht="31.4" customHeight="1" x14ac:dyDescent="0.35">
      <c r="O3458" s="9"/>
      <c r="V3458" s="9"/>
      <c r="W3458" s="9"/>
    </row>
    <row r="3459" spans="15:23" ht="31.4" customHeight="1" x14ac:dyDescent="0.35">
      <c r="O3459" s="9"/>
      <c r="V3459" s="9"/>
      <c r="W3459" s="9"/>
    </row>
    <row r="3460" spans="15:23" ht="31.4" customHeight="1" x14ac:dyDescent="0.35">
      <c r="O3460" s="9"/>
      <c r="V3460" s="9"/>
      <c r="W3460" s="9"/>
    </row>
    <row r="3461" spans="15:23" ht="31.4" customHeight="1" x14ac:dyDescent="0.35">
      <c r="O3461" s="9"/>
      <c r="V3461" s="9"/>
      <c r="W3461" s="9"/>
    </row>
    <row r="3462" spans="15:23" ht="31.4" customHeight="1" x14ac:dyDescent="0.35">
      <c r="O3462" s="9"/>
      <c r="V3462" s="9"/>
      <c r="W3462" s="9"/>
    </row>
    <row r="3463" spans="15:23" ht="31.4" customHeight="1" x14ac:dyDescent="0.35">
      <c r="O3463" s="9"/>
      <c r="V3463" s="9"/>
      <c r="W3463" s="9"/>
    </row>
    <row r="3464" spans="15:23" ht="31.4" customHeight="1" x14ac:dyDescent="0.35">
      <c r="O3464" s="9"/>
      <c r="V3464" s="9"/>
      <c r="W3464" s="9"/>
    </row>
    <row r="3465" spans="15:23" ht="31.4" customHeight="1" x14ac:dyDescent="0.35">
      <c r="O3465" s="9"/>
      <c r="V3465" s="9"/>
      <c r="W3465" s="9"/>
    </row>
    <row r="3466" spans="15:23" ht="31.4" customHeight="1" x14ac:dyDescent="0.35">
      <c r="O3466" s="9"/>
      <c r="V3466" s="9"/>
      <c r="W3466" s="9"/>
    </row>
    <row r="3467" spans="15:23" ht="31.4" customHeight="1" x14ac:dyDescent="0.35">
      <c r="O3467" s="9"/>
      <c r="V3467" s="9"/>
      <c r="W3467" s="9"/>
    </row>
    <row r="3468" spans="15:23" ht="31.4" customHeight="1" x14ac:dyDescent="0.35">
      <c r="O3468" s="9"/>
      <c r="V3468" s="9"/>
      <c r="W3468" s="9"/>
    </row>
    <row r="3469" spans="15:23" ht="31.4" customHeight="1" x14ac:dyDescent="0.35">
      <c r="O3469" s="9"/>
      <c r="V3469" s="9"/>
      <c r="W3469" s="9"/>
    </row>
    <row r="3470" spans="15:23" ht="31.4" customHeight="1" x14ac:dyDescent="0.35">
      <c r="O3470" s="9"/>
      <c r="V3470" s="9"/>
      <c r="W3470" s="9"/>
    </row>
    <row r="3471" spans="15:23" ht="31.4" customHeight="1" x14ac:dyDescent="0.35">
      <c r="O3471" s="9"/>
      <c r="V3471" s="9"/>
      <c r="W3471" s="9"/>
    </row>
    <row r="3472" spans="15:23" ht="31.4" customHeight="1" x14ac:dyDescent="0.35">
      <c r="O3472" s="9"/>
      <c r="V3472" s="9"/>
      <c r="W3472" s="9"/>
    </row>
    <row r="3473" spans="15:23" ht="31.4" customHeight="1" x14ac:dyDescent="0.35">
      <c r="O3473" s="9"/>
      <c r="V3473" s="9"/>
      <c r="W3473" s="9"/>
    </row>
    <row r="3474" spans="15:23" ht="31.4" customHeight="1" x14ac:dyDescent="0.35">
      <c r="O3474" s="9"/>
      <c r="V3474" s="9"/>
      <c r="W3474" s="9"/>
    </row>
    <row r="3475" spans="15:23" ht="31.4" customHeight="1" x14ac:dyDescent="0.35">
      <c r="O3475" s="9"/>
      <c r="V3475" s="9"/>
      <c r="W3475" s="9"/>
    </row>
    <row r="3476" spans="15:23" ht="31.4" customHeight="1" x14ac:dyDescent="0.35">
      <c r="O3476" s="9"/>
      <c r="V3476" s="9"/>
      <c r="W3476" s="9"/>
    </row>
    <row r="3477" spans="15:23" ht="31.4" customHeight="1" x14ac:dyDescent="0.35">
      <c r="O3477" s="9"/>
      <c r="V3477" s="9"/>
      <c r="W3477" s="9"/>
    </row>
    <row r="3478" spans="15:23" ht="31.4" customHeight="1" x14ac:dyDescent="0.35">
      <c r="O3478" s="9"/>
      <c r="V3478" s="9"/>
      <c r="W3478" s="9"/>
    </row>
    <row r="3479" spans="15:23" ht="31.4" customHeight="1" x14ac:dyDescent="0.35">
      <c r="O3479" s="9"/>
      <c r="V3479" s="9"/>
      <c r="W3479" s="9"/>
    </row>
    <row r="3480" spans="15:23" ht="31.4" customHeight="1" x14ac:dyDescent="0.35">
      <c r="O3480" s="9"/>
      <c r="V3480" s="9"/>
      <c r="W3480" s="9"/>
    </row>
    <row r="3481" spans="15:23" ht="31.4" customHeight="1" x14ac:dyDescent="0.35">
      <c r="O3481" s="9"/>
      <c r="V3481" s="9"/>
      <c r="W3481" s="9"/>
    </row>
    <row r="3482" spans="15:23" ht="31.4" customHeight="1" x14ac:dyDescent="0.35">
      <c r="O3482" s="9"/>
      <c r="V3482" s="9"/>
      <c r="W3482" s="9"/>
    </row>
    <row r="3483" spans="15:23" ht="31.4" customHeight="1" x14ac:dyDescent="0.35">
      <c r="O3483" s="9"/>
      <c r="V3483" s="9"/>
      <c r="W3483" s="9"/>
    </row>
    <row r="3484" spans="15:23" ht="31.4" customHeight="1" x14ac:dyDescent="0.35">
      <c r="O3484" s="9"/>
      <c r="V3484" s="9"/>
      <c r="W3484" s="9"/>
    </row>
    <row r="3485" spans="15:23" ht="31.4" customHeight="1" x14ac:dyDescent="0.35">
      <c r="O3485" s="9"/>
      <c r="V3485" s="9"/>
      <c r="W3485" s="9"/>
    </row>
    <row r="3486" spans="15:23" ht="31.4" customHeight="1" x14ac:dyDescent="0.35">
      <c r="O3486" s="9"/>
      <c r="V3486" s="9"/>
      <c r="W3486" s="9"/>
    </row>
    <row r="3487" spans="15:23" ht="31.4" customHeight="1" x14ac:dyDescent="0.35">
      <c r="O3487" s="9"/>
      <c r="V3487" s="9"/>
      <c r="W3487" s="9"/>
    </row>
    <row r="3488" spans="15:23" ht="31.4" customHeight="1" x14ac:dyDescent="0.35">
      <c r="O3488" s="9"/>
      <c r="V3488" s="9"/>
      <c r="W3488" s="9"/>
    </row>
    <row r="3489" spans="15:23" ht="31.4" customHeight="1" x14ac:dyDescent="0.35">
      <c r="O3489" s="9"/>
      <c r="V3489" s="9"/>
      <c r="W3489" s="9"/>
    </row>
    <row r="3490" spans="15:23" ht="31.4" customHeight="1" x14ac:dyDescent="0.35">
      <c r="O3490" s="9"/>
      <c r="V3490" s="9"/>
      <c r="W3490" s="9"/>
    </row>
    <row r="3491" spans="15:23" ht="31.4" customHeight="1" x14ac:dyDescent="0.35">
      <c r="O3491" s="9"/>
      <c r="V3491" s="9"/>
      <c r="W3491" s="9"/>
    </row>
    <row r="3492" spans="15:23" ht="31.4" customHeight="1" x14ac:dyDescent="0.35">
      <c r="O3492" s="9"/>
      <c r="V3492" s="9"/>
      <c r="W3492" s="9"/>
    </row>
    <row r="3493" spans="15:23" ht="31.4" customHeight="1" x14ac:dyDescent="0.35">
      <c r="O3493" s="9"/>
      <c r="V3493" s="9"/>
      <c r="W3493" s="9"/>
    </row>
    <row r="3494" spans="15:23" ht="31.4" customHeight="1" x14ac:dyDescent="0.35">
      <c r="O3494" s="9"/>
      <c r="V3494" s="9"/>
      <c r="W3494" s="9"/>
    </row>
    <row r="3495" spans="15:23" ht="31.4" customHeight="1" x14ac:dyDescent="0.35">
      <c r="O3495" s="9"/>
      <c r="V3495" s="9"/>
      <c r="W3495" s="9"/>
    </row>
    <row r="3496" spans="15:23" ht="31.4" customHeight="1" x14ac:dyDescent="0.35">
      <c r="O3496" s="9"/>
      <c r="V3496" s="9"/>
      <c r="W3496" s="9"/>
    </row>
    <row r="3497" spans="15:23" ht="31.4" customHeight="1" x14ac:dyDescent="0.35">
      <c r="O3497" s="9"/>
      <c r="V3497" s="9"/>
      <c r="W3497" s="9"/>
    </row>
    <row r="3498" spans="15:23" ht="31.4" customHeight="1" x14ac:dyDescent="0.35">
      <c r="O3498" s="9"/>
      <c r="V3498" s="9"/>
      <c r="W3498" s="9"/>
    </row>
    <row r="3499" spans="15:23" ht="31.4" customHeight="1" x14ac:dyDescent="0.35">
      <c r="O3499" s="9"/>
      <c r="V3499" s="9"/>
      <c r="W3499" s="9"/>
    </row>
    <row r="3500" spans="15:23" ht="31.4" customHeight="1" x14ac:dyDescent="0.35">
      <c r="O3500" s="9"/>
      <c r="V3500" s="9"/>
      <c r="W3500" s="9"/>
    </row>
    <row r="3501" spans="15:23" ht="31.4" customHeight="1" x14ac:dyDescent="0.35">
      <c r="O3501" s="9"/>
      <c r="V3501" s="9"/>
      <c r="W3501" s="9"/>
    </row>
    <row r="3502" spans="15:23" ht="31.4" customHeight="1" x14ac:dyDescent="0.35">
      <c r="O3502" s="9"/>
      <c r="V3502" s="9"/>
      <c r="W3502" s="9"/>
    </row>
    <row r="3503" spans="15:23" ht="31.4" customHeight="1" x14ac:dyDescent="0.35">
      <c r="O3503" s="9"/>
      <c r="V3503" s="9"/>
      <c r="W3503" s="9"/>
    </row>
    <row r="3504" spans="15:23" ht="31.4" customHeight="1" x14ac:dyDescent="0.35">
      <c r="O3504" s="9"/>
      <c r="V3504" s="9"/>
      <c r="W3504" s="9"/>
    </row>
    <row r="3505" spans="15:23" ht="31.4" customHeight="1" x14ac:dyDescent="0.35">
      <c r="O3505" s="9"/>
      <c r="V3505" s="9"/>
      <c r="W3505" s="9"/>
    </row>
    <row r="3506" spans="15:23" ht="31.4" customHeight="1" x14ac:dyDescent="0.35">
      <c r="O3506" s="9"/>
      <c r="V3506" s="9"/>
      <c r="W3506" s="9"/>
    </row>
    <row r="3507" spans="15:23" ht="31.4" customHeight="1" x14ac:dyDescent="0.35">
      <c r="O3507" s="9"/>
      <c r="V3507" s="9"/>
      <c r="W3507" s="9"/>
    </row>
    <row r="3508" spans="15:23" ht="31.4" customHeight="1" x14ac:dyDescent="0.35">
      <c r="O3508" s="9"/>
      <c r="V3508" s="9"/>
      <c r="W3508" s="9"/>
    </row>
    <row r="3509" spans="15:23" ht="31.4" customHeight="1" x14ac:dyDescent="0.35">
      <c r="O3509" s="9"/>
      <c r="V3509" s="9"/>
      <c r="W3509" s="9"/>
    </row>
    <row r="3510" spans="15:23" ht="31.4" customHeight="1" x14ac:dyDescent="0.35">
      <c r="O3510" s="9"/>
      <c r="V3510" s="9"/>
      <c r="W3510" s="9"/>
    </row>
    <row r="3511" spans="15:23" ht="31.4" customHeight="1" x14ac:dyDescent="0.35">
      <c r="O3511" s="9"/>
      <c r="V3511" s="9"/>
      <c r="W3511" s="9"/>
    </row>
    <row r="3512" spans="15:23" ht="31.4" customHeight="1" x14ac:dyDescent="0.35">
      <c r="O3512" s="9"/>
      <c r="V3512" s="9"/>
      <c r="W3512" s="9"/>
    </row>
    <row r="3513" spans="15:23" ht="31.4" customHeight="1" x14ac:dyDescent="0.35">
      <c r="O3513" s="9"/>
      <c r="V3513" s="9"/>
      <c r="W3513" s="9"/>
    </row>
    <row r="3514" spans="15:23" ht="31.4" customHeight="1" x14ac:dyDescent="0.35">
      <c r="O3514" s="9"/>
      <c r="V3514" s="9"/>
      <c r="W3514" s="9"/>
    </row>
    <row r="3515" spans="15:23" ht="31.4" customHeight="1" x14ac:dyDescent="0.35">
      <c r="O3515" s="9"/>
      <c r="V3515" s="9"/>
      <c r="W3515" s="9"/>
    </row>
    <row r="3516" spans="15:23" ht="31.4" customHeight="1" x14ac:dyDescent="0.35">
      <c r="O3516" s="9"/>
      <c r="V3516" s="9"/>
      <c r="W3516" s="9"/>
    </row>
    <row r="3517" spans="15:23" ht="31.4" customHeight="1" x14ac:dyDescent="0.35">
      <c r="O3517" s="9"/>
      <c r="V3517" s="9"/>
      <c r="W3517" s="9"/>
    </row>
    <row r="3518" spans="15:23" ht="31.4" customHeight="1" x14ac:dyDescent="0.35">
      <c r="O3518" s="9"/>
      <c r="V3518" s="9"/>
      <c r="W3518" s="9"/>
    </row>
    <row r="3519" spans="15:23" ht="31.4" customHeight="1" x14ac:dyDescent="0.35">
      <c r="O3519" s="9"/>
      <c r="V3519" s="9"/>
      <c r="W3519" s="9"/>
    </row>
    <row r="3520" spans="15:23" ht="31.4" customHeight="1" x14ac:dyDescent="0.35">
      <c r="O3520" s="9"/>
      <c r="V3520" s="9"/>
      <c r="W3520" s="9"/>
    </row>
    <row r="3521" spans="15:23" ht="31.4" customHeight="1" x14ac:dyDescent="0.35">
      <c r="O3521" s="9"/>
      <c r="V3521" s="9"/>
      <c r="W3521" s="9"/>
    </row>
    <row r="3522" spans="15:23" ht="31.4" customHeight="1" x14ac:dyDescent="0.35">
      <c r="O3522" s="9"/>
      <c r="V3522" s="9"/>
      <c r="W3522" s="9"/>
    </row>
    <row r="3523" spans="15:23" ht="31.4" customHeight="1" x14ac:dyDescent="0.35">
      <c r="O3523" s="9"/>
      <c r="V3523" s="9"/>
      <c r="W3523" s="9"/>
    </row>
    <row r="3524" spans="15:23" ht="31.4" customHeight="1" x14ac:dyDescent="0.35">
      <c r="O3524" s="9"/>
      <c r="V3524" s="9"/>
      <c r="W3524" s="9"/>
    </row>
    <row r="3525" spans="15:23" ht="31.4" customHeight="1" x14ac:dyDescent="0.35">
      <c r="O3525" s="9"/>
      <c r="V3525" s="9"/>
      <c r="W3525" s="9"/>
    </row>
    <row r="3526" spans="15:23" ht="31.4" customHeight="1" x14ac:dyDescent="0.35">
      <c r="O3526" s="9"/>
      <c r="V3526" s="9"/>
      <c r="W3526" s="9"/>
    </row>
    <row r="3527" spans="15:23" ht="31.4" customHeight="1" x14ac:dyDescent="0.35">
      <c r="O3527" s="9"/>
      <c r="V3527" s="9"/>
      <c r="W3527" s="9"/>
    </row>
    <row r="3528" spans="15:23" ht="31.4" customHeight="1" x14ac:dyDescent="0.35">
      <c r="O3528" s="9"/>
      <c r="V3528" s="9"/>
      <c r="W3528" s="9"/>
    </row>
    <row r="3529" spans="15:23" ht="31.4" customHeight="1" x14ac:dyDescent="0.35">
      <c r="O3529" s="9"/>
      <c r="V3529" s="9"/>
      <c r="W3529" s="9"/>
    </row>
    <row r="3530" spans="15:23" ht="31.4" customHeight="1" x14ac:dyDescent="0.35">
      <c r="O3530" s="9"/>
      <c r="V3530" s="9"/>
      <c r="W3530" s="9"/>
    </row>
    <row r="3531" spans="15:23" ht="31.4" customHeight="1" x14ac:dyDescent="0.35">
      <c r="O3531" s="9"/>
      <c r="V3531" s="9"/>
      <c r="W3531" s="9"/>
    </row>
    <row r="3532" spans="15:23" ht="31.4" customHeight="1" x14ac:dyDescent="0.35">
      <c r="O3532" s="9"/>
      <c r="V3532" s="9"/>
      <c r="W3532" s="9"/>
    </row>
    <row r="3533" spans="15:23" ht="31.4" customHeight="1" x14ac:dyDescent="0.35">
      <c r="O3533" s="9"/>
      <c r="V3533" s="9"/>
      <c r="W3533" s="9"/>
    </row>
    <row r="3534" spans="15:23" ht="31.4" customHeight="1" x14ac:dyDescent="0.35">
      <c r="O3534" s="9"/>
      <c r="V3534" s="9"/>
      <c r="W3534" s="9"/>
    </row>
    <row r="3535" spans="15:23" ht="31.4" customHeight="1" x14ac:dyDescent="0.35">
      <c r="O3535" s="9"/>
      <c r="V3535" s="9"/>
      <c r="W3535" s="9"/>
    </row>
    <row r="3536" spans="15:23" ht="31.4" customHeight="1" x14ac:dyDescent="0.35">
      <c r="O3536" s="9"/>
      <c r="V3536" s="9"/>
      <c r="W3536" s="9"/>
    </row>
    <row r="3537" spans="15:23" ht="31.4" customHeight="1" x14ac:dyDescent="0.35">
      <c r="O3537" s="9"/>
      <c r="V3537" s="9"/>
      <c r="W3537" s="9"/>
    </row>
    <row r="3538" spans="15:23" ht="31.4" customHeight="1" x14ac:dyDescent="0.35">
      <c r="O3538" s="9"/>
      <c r="V3538" s="9"/>
      <c r="W3538" s="9"/>
    </row>
    <row r="3539" spans="15:23" ht="31.4" customHeight="1" x14ac:dyDescent="0.35">
      <c r="O3539" s="9"/>
      <c r="V3539" s="9"/>
      <c r="W3539" s="9"/>
    </row>
    <row r="3540" spans="15:23" ht="31.4" customHeight="1" x14ac:dyDescent="0.35">
      <c r="O3540" s="9"/>
      <c r="V3540" s="9"/>
      <c r="W3540" s="9"/>
    </row>
    <row r="3541" spans="15:23" ht="31.4" customHeight="1" x14ac:dyDescent="0.35">
      <c r="O3541" s="9"/>
      <c r="V3541" s="9"/>
      <c r="W3541" s="9"/>
    </row>
    <row r="3542" spans="15:23" ht="31.4" customHeight="1" x14ac:dyDescent="0.35">
      <c r="O3542" s="9"/>
      <c r="V3542" s="9"/>
      <c r="W3542" s="9"/>
    </row>
    <row r="3543" spans="15:23" ht="31.4" customHeight="1" x14ac:dyDescent="0.35">
      <c r="O3543" s="9"/>
      <c r="V3543" s="9"/>
      <c r="W3543" s="9"/>
    </row>
    <row r="3544" spans="15:23" ht="31.4" customHeight="1" x14ac:dyDescent="0.35">
      <c r="O3544" s="9"/>
      <c r="V3544" s="9"/>
      <c r="W3544" s="9"/>
    </row>
    <row r="3545" spans="15:23" ht="31.4" customHeight="1" x14ac:dyDescent="0.35">
      <c r="O3545" s="9"/>
      <c r="V3545" s="9"/>
      <c r="W3545" s="9"/>
    </row>
    <row r="3546" spans="15:23" ht="31.4" customHeight="1" x14ac:dyDescent="0.35">
      <c r="O3546" s="9"/>
      <c r="V3546" s="9"/>
      <c r="W3546" s="9"/>
    </row>
    <row r="3547" spans="15:23" ht="31.4" customHeight="1" x14ac:dyDescent="0.35">
      <c r="O3547" s="9"/>
      <c r="V3547" s="9"/>
      <c r="W3547" s="9"/>
    </row>
    <row r="3548" spans="15:23" ht="31.4" customHeight="1" x14ac:dyDescent="0.35">
      <c r="O3548" s="9"/>
      <c r="V3548" s="9"/>
      <c r="W3548" s="9"/>
    </row>
    <row r="3549" spans="15:23" ht="31.4" customHeight="1" x14ac:dyDescent="0.35">
      <c r="O3549" s="9"/>
      <c r="V3549" s="9"/>
      <c r="W3549" s="9"/>
    </row>
    <row r="3550" spans="15:23" ht="31.4" customHeight="1" x14ac:dyDescent="0.35">
      <c r="O3550" s="9"/>
      <c r="V3550" s="9"/>
      <c r="W3550" s="9"/>
    </row>
    <row r="3551" spans="15:23" ht="31.4" customHeight="1" x14ac:dyDescent="0.35">
      <c r="O3551" s="9"/>
      <c r="V3551" s="9"/>
      <c r="W3551" s="9"/>
    </row>
    <row r="3552" spans="15:23" ht="31.4" customHeight="1" x14ac:dyDescent="0.35">
      <c r="O3552" s="9"/>
      <c r="V3552" s="9"/>
      <c r="W3552" s="9"/>
    </row>
    <row r="3553" spans="15:23" ht="31.4" customHeight="1" x14ac:dyDescent="0.35">
      <c r="O3553" s="9"/>
      <c r="V3553" s="9"/>
      <c r="W3553" s="9"/>
    </row>
    <row r="3554" spans="15:23" ht="31.4" customHeight="1" x14ac:dyDescent="0.35">
      <c r="O3554" s="9"/>
      <c r="V3554" s="9"/>
      <c r="W3554" s="9"/>
    </row>
    <row r="3555" spans="15:23" ht="31.4" customHeight="1" x14ac:dyDescent="0.35">
      <c r="O3555" s="9"/>
      <c r="V3555" s="9"/>
      <c r="W3555" s="9"/>
    </row>
    <row r="3556" spans="15:23" ht="31.4" customHeight="1" x14ac:dyDescent="0.35">
      <c r="O3556" s="9"/>
      <c r="V3556" s="9"/>
      <c r="W3556" s="9"/>
    </row>
    <row r="3557" spans="15:23" ht="31.4" customHeight="1" x14ac:dyDescent="0.35">
      <c r="O3557" s="9"/>
      <c r="V3557" s="9"/>
      <c r="W3557" s="9"/>
    </row>
    <row r="3558" spans="15:23" ht="31.4" customHeight="1" x14ac:dyDescent="0.35">
      <c r="O3558" s="9"/>
      <c r="V3558" s="9"/>
      <c r="W3558" s="9"/>
    </row>
    <row r="3559" spans="15:23" ht="31.4" customHeight="1" x14ac:dyDescent="0.35">
      <c r="O3559" s="9"/>
      <c r="V3559" s="9"/>
      <c r="W3559" s="9"/>
    </row>
    <row r="3560" spans="15:23" ht="31.4" customHeight="1" x14ac:dyDescent="0.35">
      <c r="O3560" s="9"/>
      <c r="V3560" s="9"/>
      <c r="W3560" s="9"/>
    </row>
    <row r="3561" spans="15:23" ht="31.4" customHeight="1" x14ac:dyDescent="0.35">
      <c r="O3561" s="9"/>
      <c r="V3561" s="9"/>
      <c r="W3561" s="9"/>
    </row>
    <row r="3562" spans="15:23" ht="31.4" customHeight="1" x14ac:dyDescent="0.35">
      <c r="O3562" s="9"/>
      <c r="V3562" s="9"/>
      <c r="W3562" s="9"/>
    </row>
    <row r="3563" spans="15:23" ht="31.4" customHeight="1" x14ac:dyDescent="0.35">
      <c r="O3563" s="9"/>
      <c r="V3563" s="9"/>
      <c r="W3563" s="9"/>
    </row>
    <row r="3564" spans="15:23" ht="31.4" customHeight="1" x14ac:dyDescent="0.35">
      <c r="O3564" s="9"/>
      <c r="V3564" s="9"/>
      <c r="W3564" s="9"/>
    </row>
    <row r="3565" spans="15:23" ht="31.4" customHeight="1" x14ac:dyDescent="0.35">
      <c r="O3565" s="9"/>
      <c r="V3565" s="9"/>
      <c r="W3565" s="9"/>
    </row>
    <row r="3566" spans="15:23" ht="31.4" customHeight="1" x14ac:dyDescent="0.35">
      <c r="O3566" s="9"/>
      <c r="V3566" s="9"/>
      <c r="W3566" s="9"/>
    </row>
    <row r="3567" spans="15:23" ht="31.4" customHeight="1" x14ac:dyDescent="0.35">
      <c r="O3567" s="9"/>
      <c r="V3567" s="9"/>
      <c r="W3567" s="9"/>
    </row>
    <row r="3568" spans="15:23" ht="31.4" customHeight="1" x14ac:dyDescent="0.35">
      <c r="O3568" s="9"/>
      <c r="V3568" s="9"/>
      <c r="W3568" s="9"/>
    </row>
    <row r="3569" spans="15:23" ht="31.4" customHeight="1" x14ac:dyDescent="0.35">
      <c r="O3569" s="9"/>
      <c r="V3569" s="9"/>
      <c r="W3569" s="9"/>
    </row>
    <row r="3570" spans="15:23" ht="31.4" customHeight="1" x14ac:dyDescent="0.35">
      <c r="O3570" s="9"/>
      <c r="V3570" s="9"/>
      <c r="W3570" s="9"/>
    </row>
    <row r="3571" spans="15:23" ht="31.4" customHeight="1" x14ac:dyDescent="0.35">
      <c r="O3571" s="9"/>
      <c r="V3571" s="9"/>
      <c r="W3571" s="9"/>
    </row>
    <row r="3572" spans="15:23" ht="31.4" customHeight="1" x14ac:dyDescent="0.35">
      <c r="O3572" s="9"/>
      <c r="V3572" s="9"/>
      <c r="W3572" s="9"/>
    </row>
    <row r="3573" spans="15:23" ht="31.4" customHeight="1" x14ac:dyDescent="0.35">
      <c r="O3573" s="9"/>
      <c r="V3573" s="9"/>
      <c r="W3573" s="9"/>
    </row>
    <row r="3574" spans="15:23" ht="31.4" customHeight="1" x14ac:dyDescent="0.35">
      <c r="O3574" s="9"/>
      <c r="V3574" s="9"/>
      <c r="W3574" s="9"/>
    </row>
    <row r="3575" spans="15:23" ht="31.4" customHeight="1" x14ac:dyDescent="0.35">
      <c r="O3575" s="9"/>
      <c r="V3575" s="9"/>
      <c r="W3575" s="9"/>
    </row>
    <row r="3576" spans="15:23" ht="31.4" customHeight="1" x14ac:dyDescent="0.35">
      <c r="O3576" s="9"/>
      <c r="V3576" s="9"/>
      <c r="W3576" s="9"/>
    </row>
    <row r="3577" spans="15:23" ht="31.4" customHeight="1" x14ac:dyDescent="0.35">
      <c r="O3577" s="9"/>
      <c r="V3577" s="9"/>
      <c r="W3577" s="9"/>
    </row>
    <row r="3578" spans="15:23" ht="31.4" customHeight="1" x14ac:dyDescent="0.35">
      <c r="O3578" s="9"/>
      <c r="V3578" s="9"/>
      <c r="W3578" s="9"/>
    </row>
    <row r="3579" spans="15:23" ht="31.4" customHeight="1" x14ac:dyDescent="0.35">
      <c r="O3579" s="9"/>
      <c r="V3579" s="9"/>
      <c r="W3579" s="9"/>
    </row>
    <row r="3580" spans="15:23" ht="31.4" customHeight="1" x14ac:dyDescent="0.35">
      <c r="O3580" s="9"/>
      <c r="V3580" s="9"/>
      <c r="W3580" s="9"/>
    </row>
    <row r="3581" spans="15:23" ht="31.4" customHeight="1" x14ac:dyDescent="0.35">
      <c r="O3581" s="9"/>
      <c r="V3581" s="9"/>
      <c r="W3581" s="9"/>
    </row>
    <row r="3582" spans="15:23" ht="31.4" customHeight="1" x14ac:dyDescent="0.35">
      <c r="O3582" s="9"/>
      <c r="V3582" s="9"/>
      <c r="W3582" s="9"/>
    </row>
    <row r="3583" spans="15:23" ht="31.4" customHeight="1" x14ac:dyDescent="0.35">
      <c r="O3583" s="9"/>
      <c r="V3583" s="9"/>
      <c r="W3583" s="9"/>
    </row>
    <row r="3584" spans="15:23" ht="31.4" customHeight="1" x14ac:dyDescent="0.35">
      <c r="O3584" s="9"/>
      <c r="V3584" s="9"/>
      <c r="W3584" s="9"/>
    </row>
    <row r="3585" spans="15:23" ht="31.4" customHeight="1" x14ac:dyDescent="0.35">
      <c r="O3585" s="9"/>
      <c r="V3585" s="9"/>
      <c r="W3585" s="9"/>
    </row>
    <row r="3586" spans="15:23" ht="31.4" customHeight="1" x14ac:dyDescent="0.35">
      <c r="O3586" s="9"/>
      <c r="V3586" s="9"/>
      <c r="W3586" s="9"/>
    </row>
    <row r="3587" spans="15:23" ht="31.4" customHeight="1" x14ac:dyDescent="0.35">
      <c r="O3587" s="9"/>
      <c r="V3587" s="9"/>
      <c r="W3587" s="9"/>
    </row>
    <row r="3588" spans="15:23" ht="31.4" customHeight="1" x14ac:dyDescent="0.35">
      <c r="O3588" s="9"/>
      <c r="V3588" s="9"/>
      <c r="W3588" s="9"/>
    </row>
    <row r="3589" spans="15:23" ht="31.4" customHeight="1" x14ac:dyDescent="0.35">
      <c r="O3589" s="9"/>
      <c r="V3589" s="9"/>
      <c r="W3589" s="9"/>
    </row>
    <row r="3590" spans="15:23" ht="31.4" customHeight="1" x14ac:dyDescent="0.35">
      <c r="O3590" s="9"/>
      <c r="V3590" s="9"/>
      <c r="W3590" s="9"/>
    </row>
    <row r="3591" spans="15:23" ht="31.4" customHeight="1" x14ac:dyDescent="0.35">
      <c r="O3591" s="9"/>
      <c r="V3591" s="9"/>
      <c r="W3591" s="9"/>
    </row>
    <row r="3592" spans="15:23" ht="31.4" customHeight="1" x14ac:dyDescent="0.35">
      <c r="O3592" s="9"/>
      <c r="V3592" s="9"/>
      <c r="W3592" s="9"/>
    </row>
    <row r="3593" spans="15:23" ht="31.4" customHeight="1" x14ac:dyDescent="0.35">
      <c r="O3593" s="9"/>
      <c r="V3593" s="9"/>
      <c r="W3593" s="9"/>
    </row>
    <row r="3594" spans="15:23" ht="31.4" customHeight="1" x14ac:dyDescent="0.35">
      <c r="O3594" s="9"/>
      <c r="V3594" s="9"/>
      <c r="W3594" s="9"/>
    </row>
    <row r="3595" spans="15:23" ht="31.4" customHeight="1" x14ac:dyDescent="0.35">
      <c r="O3595" s="9"/>
      <c r="V3595" s="9"/>
      <c r="W3595" s="9"/>
    </row>
    <row r="3596" spans="15:23" ht="31.4" customHeight="1" x14ac:dyDescent="0.35">
      <c r="O3596" s="9"/>
      <c r="V3596" s="9"/>
      <c r="W3596" s="9"/>
    </row>
    <row r="3597" spans="15:23" ht="31.4" customHeight="1" x14ac:dyDescent="0.35">
      <c r="O3597" s="9"/>
      <c r="V3597" s="9"/>
      <c r="W3597" s="9"/>
    </row>
    <row r="3598" spans="15:23" ht="31.4" customHeight="1" x14ac:dyDescent="0.35">
      <c r="O3598" s="9"/>
      <c r="V3598" s="9"/>
      <c r="W3598" s="9"/>
    </row>
    <row r="3599" spans="15:23" ht="31.4" customHeight="1" x14ac:dyDescent="0.35">
      <c r="O3599" s="9"/>
      <c r="V3599" s="9"/>
      <c r="W3599" s="9"/>
    </row>
    <row r="3600" spans="15:23" ht="31.4" customHeight="1" x14ac:dyDescent="0.35">
      <c r="O3600" s="9"/>
      <c r="V3600" s="9"/>
      <c r="W3600" s="9"/>
    </row>
    <row r="3601" spans="15:23" ht="31.4" customHeight="1" x14ac:dyDescent="0.35">
      <c r="O3601" s="9"/>
      <c r="V3601" s="9"/>
      <c r="W3601" s="9"/>
    </row>
    <row r="3602" spans="15:23" ht="31.4" customHeight="1" x14ac:dyDescent="0.35">
      <c r="O3602" s="9"/>
      <c r="V3602" s="9"/>
      <c r="W3602" s="9"/>
    </row>
    <row r="3603" spans="15:23" ht="31.4" customHeight="1" x14ac:dyDescent="0.35">
      <c r="O3603" s="9"/>
      <c r="V3603" s="9"/>
      <c r="W3603" s="9"/>
    </row>
    <row r="3604" spans="15:23" ht="31.4" customHeight="1" x14ac:dyDescent="0.35">
      <c r="O3604" s="9"/>
      <c r="V3604" s="9"/>
      <c r="W3604" s="9"/>
    </row>
    <row r="3605" spans="15:23" ht="31.4" customHeight="1" x14ac:dyDescent="0.35">
      <c r="O3605" s="9"/>
      <c r="V3605" s="9"/>
      <c r="W3605" s="9"/>
    </row>
    <row r="3606" spans="15:23" ht="31.4" customHeight="1" x14ac:dyDescent="0.35">
      <c r="O3606" s="9"/>
      <c r="V3606" s="9"/>
      <c r="W3606" s="9"/>
    </row>
    <row r="3607" spans="15:23" ht="31.4" customHeight="1" x14ac:dyDescent="0.35">
      <c r="O3607" s="9"/>
      <c r="V3607" s="9"/>
      <c r="W3607" s="9"/>
    </row>
    <row r="3608" spans="15:23" ht="31.4" customHeight="1" x14ac:dyDescent="0.35">
      <c r="O3608" s="9"/>
      <c r="V3608" s="9"/>
      <c r="W3608" s="9"/>
    </row>
    <row r="3609" spans="15:23" ht="31.4" customHeight="1" x14ac:dyDescent="0.35">
      <c r="O3609" s="9"/>
      <c r="V3609" s="9"/>
      <c r="W3609" s="9"/>
    </row>
    <row r="3610" spans="15:23" ht="31.4" customHeight="1" x14ac:dyDescent="0.35">
      <c r="O3610" s="9"/>
      <c r="V3610" s="9"/>
      <c r="W3610" s="9"/>
    </row>
    <row r="3611" spans="15:23" ht="31.4" customHeight="1" x14ac:dyDescent="0.35">
      <c r="O3611" s="9"/>
      <c r="V3611" s="9"/>
      <c r="W3611" s="9"/>
    </row>
    <row r="3612" spans="15:23" ht="31.4" customHeight="1" x14ac:dyDescent="0.35">
      <c r="O3612" s="9"/>
      <c r="V3612" s="9"/>
      <c r="W3612" s="9"/>
    </row>
    <row r="3613" spans="15:23" ht="31.4" customHeight="1" x14ac:dyDescent="0.35">
      <c r="O3613" s="9"/>
      <c r="V3613" s="9"/>
      <c r="W3613" s="9"/>
    </row>
    <row r="3614" spans="15:23" ht="31.4" customHeight="1" x14ac:dyDescent="0.35">
      <c r="O3614" s="9"/>
      <c r="V3614" s="9"/>
      <c r="W3614" s="9"/>
    </row>
    <row r="3615" spans="15:23" ht="31.4" customHeight="1" x14ac:dyDescent="0.35">
      <c r="O3615" s="9"/>
      <c r="V3615" s="9"/>
      <c r="W3615" s="9"/>
    </row>
    <row r="3616" spans="15:23" ht="31.4" customHeight="1" x14ac:dyDescent="0.35">
      <c r="O3616" s="9"/>
      <c r="V3616" s="9"/>
      <c r="W3616" s="9"/>
    </row>
    <row r="3617" spans="15:23" ht="31.4" customHeight="1" x14ac:dyDescent="0.35">
      <c r="O3617" s="9"/>
      <c r="V3617" s="9"/>
      <c r="W3617" s="9"/>
    </row>
    <row r="3618" spans="15:23" ht="31.4" customHeight="1" x14ac:dyDescent="0.35">
      <c r="O3618" s="9"/>
      <c r="V3618" s="9"/>
      <c r="W3618" s="9"/>
    </row>
    <row r="3619" spans="15:23" ht="31.4" customHeight="1" x14ac:dyDescent="0.35">
      <c r="O3619" s="9"/>
      <c r="V3619" s="9"/>
      <c r="W3619" s="9"/>
    </row>
    <row r="3620" spans="15:23" ht="31.4" customHeight="1" x14ac:dyDescent="0.35">
      <c r="O3620" s="9"/>
      <c r="V3620" s="9"/>
      <c r="W3620" s="9"/>
    </row>
    <row r="3621" spans="15:23" ht="31.4" customHeight="1" x14ac:dyDescent="0.35">
      <c r="O3621" s="9"/>
      <c r="V3621" s="9"/>
      <c r="W3621" s="9"/>
    </row>
    <row r="3622" spans="15:23" ht="31.4" customHeight="1" x14ac:dyDescent="0.35">
      <c r="O3622" s="9"/>
      <c r="V3622" s="9"/>
      <c r="W3622" s="9"/>
    </row>
    <row r="3623" spans="15:23" ht="31.4" customHeight="1" x14ac:dyDescent="0.35">
      <c r="O3623" s="9"/>
      <c r="V3623" s="9"/>
      <c r="W3623" s="9"/>
    </row>
    <row r="3624" spans="15:23" ht="31.4" customHeight="1" x14ac:dyDescent="0.35">
      <c r="O3624" s="9"/>
      <c r="V3624" s="9"/>
      <c r="W3624" s="9"/>
    </row>
    <row r="3625" spans="15:23" ht="31.4" customHeight="1" x14ac:dyDescent="0.35">
      <c r="O3625" s="9"/>
      <c r="V3625" s="9"/>
      <c r="W3625" s="9"/>
    </row>
    <row r="3626" spans="15:23" ht="31.4" customHeight="1" x14ac:dyDescent="0.35">
      <c r="O3626" s="9"/>
      <c r="V3626" s="9"/>
      <c r="W3626" s="9"/>
    </row>
    <row r="3627" spans="15:23" ht="31.4" customHeight="1" x14ac:dyDescent="0.35">
      <c r="O3627" s="9"/>
      <c r="V3627" s="9"/>
      <c r="W3627" s="9"/>
    </row>
    <row r="3628" spans="15:23" ht="31.4" customHeight="1" x14ac:dyDescent="0.35">
      <c r="O3628" s="9"/>
      <c r="V3628" s="9"/>
      <c r="W3628" s="9"/>
    </row>
    <row r="3629" spans="15:23" ht="31.4" customHeight="1" x14ac:dyDescent="0.35">
      <c r="O3629" s="9"/>
      <c r="V3629" s="9"/>
      <c r="W3629" s="9"/>
    </row>
    <row r="3630" spans="15:23" ht="31.4" customHeight="1" x14ac:dyDescent="0.35">
      <c r="O3630" s="9"/>
      <c r="V3630" s="9"/>
      <c r="W3630" s="9"/>
    </row>
    <row r="3631" spans="15:23" ht="31.4" customHeight="1" x14ac:dyDescent="0.35">
      <c r="O3631" s="9"/>
      <c r="V3631" s="9"/>
      <c r="W3631" s="9"/>
    </row>
    <row r="3632" spans="15:23" ht="31.4" customHeight="1" x14ac:dyDescent="0.35">
      <c r="O3632" s="9"/>
      <c r="V3632" s="9"/>
      <c r="W3632" s="9"/>
    </row>
    <row r="3633" spans="15:23" ht="31.4" customHeight="1" x14ac:dyDescent="0.35">
      <c r="O3633" s="9"/>
      <c r="V3633" s="9"/>
      <c r="W3633" s="9"/>
    </row>
    <row r="3634" spans="15:23" ht="31.4" customHeight="1" x14ac:dyDescent="0.35">
      <c r="O3634" s="9"/>
      <c r="V3634" s="9"/>
      <c r="W3634" s="9"/>
    </row>
    <row r="3635" spans="15:23" ht="31.4" customHeight="1" x14ac:dyDescent="0.35">
      <c r="O3635" s="9"/>
      <c r="V3635" s="9"/>
      <c r="W3635" s="9"/>
    </row>
    <row r="3636" spans="15:23" ht="31.4" customHeight="1" x14ac:dyDescent="0.35">
      <c r="O3636" s="9"/>
      <c r="V3636" s="9"/>
      <c r="W3636" s="9"/>
    </row>
    <row r="3637" spans="15:23" ht="31.4" customHeight="1" x14ac:dyDescent="0.35">
      <c r="O3637" s="9"/>
      <c r="V3637" s="9"/>
      <c r="W3637" s="9"/>
    </row>
    <row r="3638" spans="15:23" ht="31.4" customHeight="1" x14ac:dyDescent="0.35">
      <c r="O3638" s="9"/>
      <c r="V3638" s="9"/>
      <c r="W3638" s="9"/>
    </row>
    <row r="3639" spans="15:23" ht="31.4" customHeight="1" x14ac:dyDescent="0.35">
      <c r="O3639" s="9"/>
      <c r="V3639" s="9"/>
      <c r="W3639" s="9"/>
    </row>
    <row r="3640" spans="15:23" ht="31.4" customHeight="1" x14ac:dyDescent="0.35">
      <c r="O3640" s="9"/>
      <c r="V3640" s="9"/>
      <c r="W3640" s="9"/>
    </row>
    <row r="3641" spans="15:23" ht="31.4" customHeight="1" x14ac:dyDescent="0.35">
      <c r="O3641" s="9"/>
      <c r="V3641" s="9"/>
      <c r="W3641" s="9"/>
    </row>
    <row r="3642" spans="15:23" ht="31.4" customHeight="1" x14ac:dyDescent="0.35">
      <c r="O3642" s="9"/>
      <c r="V3642" s="9"/>
      <c r="W3642" s="9"/>
    </row>
    <row r="3643" spans="15:23" ht="31.4" customHeight="1" x14ac:dyDescent="0.35">
      <c r="O3643" s="9"/>
      <c r="V3643" s="9"/>
      <c r="W3643" s="9"/>
    </row>
    <row r="3644" spans="15:23" ht="31.4" customHeight="1" x14ac:dyDescent="0.35">
      <c r="O3644" s="9"/>
      <c r="V3644" s="9"/>
      <c r="W3644" s="9"/>
    </row>
    <row r="3645" spans="15:23" ht="31.4" customHeight="1" x14ac:dyDescent="0.35">
      <c r="O3645" s="9"/>
      <c r="V3645" s="9"/>
      <c r="W3645" s="9"/>
    </row>
    <row r="3646" spans="15:23" ht="31.4" customHeight="1" x14ac:dyDescent="0.35">
      <c r="O3646" s="9"/>
      <c r="V3646" s="9"/>
      <c r="W3646" s="9"/>
    </row>
    <row r="3647" spans="15:23" ht="31.4" customHeight="1" x14ac:dyDescent="0.35">
      <c r="O3647" s="9"/>
      <c r="V3647" s="9"/>
      <c r="W3647" s="9"/>
    </row>
    <row r="3648" spans="15:23" ht="31.4" customHeight="1" x14ac:dyDescent="0.35">
      <c r="O3648" s="9"/>
      <c r="V3648" s="9"/>
      <c r="W3648" s="9"/>
    </row>
    <row r="3649" spans="15:23" ht="31.4" customHeight="1" x14ac:dyDescent="0.35">
      <c r="O3649" s="9"/>
      <c r="V3649" s="9"/>
      <c r="W3649" s="9"/>
    </row>
    <row r="3650" spans="15:23" ht="31.4" customHeight="1" x14ac:dyDescent="0.35">
      <c r="O3650" s="9"/>
      <c r="V3650" s="9"/>
      <c r="W3650" s="9"/>
    </row>
    <row r="3651" spans="15:23" ht="31.4" customHeight="1" x14ac:dyDescent="0.35">
      <c r="O3651" s="9"/>
      <c r="V3651" s="9"/>
      <c r="W3651" s="9"/>
    </row>
    <row r="3652" spans="15:23" ht="31.4" customHeight="1" x14ac:dyDescent="0.35">
      <c r="O3652" s="9"/>
      <c r="V3652" s="9"/>
      <c r="W3652" s="9"/>
    </row>
    <row r="3653" spans="15:23" ht="31.4" customHeight="1" x14ac:dyDescent="0.35">
      <c r="O3653" s="9"/>
      <c r="V3653" s="9"/>
      <c r="W3653" s="9"/>
    </row>
    <row r="3654" spans="15:23" ht="31.4" customHeight="1" x14ac:dyDescent="0.35">
      <c r="O3654" s="9"/>
      <c r="V3654" s="9"/>
      <c r="W3654" s="9"/>
    </row>
    <row r="3655" spans="15:23" ht="31.4" customHeight="1" x14ac:dyDescent="0.35">
      <c r="O3655" s="9"/>
      <c r="V3655" s="9"/>
      <c r="W3655" s="9"/>
    </row>
    <row r="3656" spans="15:23" ht="31.4" customHeight="1" x14ac:dyDescent="0.35">
      <c r="O3656" s="9"/>
      <c r="V3656" s="9"/>
      <c r="W3656" s="9"/>
    </row>
    <row r="3657" spans="15:23" ht="31.4" customHeight="1" x14ac:dyDescent="0.35">
      <c r="O3657" s="9"/>
      <c r="V3657" s="9"/>
      <c r="W3657" s="9"/>
    </row>
    <row r="3658" spans="15:23" ht="31.4" customHeight="1" x14ac:dyDescent="0.35">
      <c r="O3658" s="9"/>
      <c r="V3658" s="9"/>
      <c r="W3658" s="9"/>
    </row>
    <row r="3659" spans="15:23" ht="31.4" customHeight="1" x14ac:dyDescent="0.35">
      <c r="O3659" s="9"/>
      <c r="V3659" s="9"/>
      <c r="W3659" s="9"/>
    </row>
    <row r="3660" spans="15:23" ht="31.4" customHeight="1" x14ac:dyDescent="0.35">
      <c r="O3660" s="9"/>
      <c r="V3660" s="9"/>
      <c r="W3660" s="9"/>
    </row>
    <row r="3661" spans="15:23" ht="31.4" customHeight="1" x14ac:dyDescent="0.35">
      <c r="O3661" s="9"/>
      <c r="V3661" s="9"/>
      <c r="W3661" s="9"/>
    </row>
    <row r="3662" spans="15:23" ht="31.4" customHeight="1" x14ac:dyDescent="0.35">
      <c r="O3662" s="9"/>
      <c r="V3662" s="9"/>
      <c r="W3662" s="9"/>
    </row>
    <row r="3663" spans="15:23" ht="31.4" customHeight="1" x14ac:dyDescent="0.35">
      <c r="O3663" s="9"/>
      <c r="V3663" s="9"/>
      <c r="W3663" s="9"/>
    </row>
    <row r="3664" spans="15:23" ht="31.4" customHeight="1" x14ac:dyDescent="0.35">
      <c r="O3664" s="9"/>
      <c r="V3664" s="9"/>
      <c r="W3664" s="9"/>
    </row>
    <row r="3665" spans="15:23" ht="31.4" customHeight="1" x14ac:dyDescent="0.35">
      <c r="O3665" s="9"/>
      <c r="V3665" s="9"/>
      <c r="W3665" s="9"/>
    </row>
    <row r="3666" spans="15:23" ht="31.4" customHeight="1" x14ac:dyDescent="0.35">
      <c r="O3666" s="9"/>
      <c r="V3666" s="9"/>
      <c r="W3666" s="9"/>
    </row>
    <row r="3667" spans="15:23" ht="31.4" customHeight="1" x14ac:dyDescent="0.35">
      <c r="O3667" s="9"/>
      <c r="V3667" s="9"/>
      <c r="W3667" s="9"/>
    </row>
    <row r="3668" spans="15:23" ht="31.4" customHeight="1" x14ac:dyDescent="0.35">
      <c r="O3668" s="9"/>
      <c r="V3668" s="9"/>
      <c r="W3668" s="9"/>
    </row>
    <row r="3669" spans="15:23" ht="31.4" customHeight="1" x14ac:dyDescent="0.35">
      <c r="O3669" s="9"/>
      <c r="V3669" s="9"/>
      <c r="W3669" s="9"/>
    </row>
    <row r="3670" spans="15:23" ht="31.4" customHeight="1" x14ac:dyDescent="0.35">
      <c r="O3670" s="9"/>
      <c r="V3670" s="9"/>
      <c r="W3670" s="9"/>
    </row>
    <row r="3671" spans="15:23" ht="31.4" customHeight="1" x14ac:dyDescent="0.35">
      <c r="O3671" s="9"/>
      <c r="V3671" s="9"/>
      <c r="W3671" s="9"/>
    </row>
    <row r="3672" spans="15:23" ht="31.4" customHeight="1" x14ac:dyDescent="0.35">
      <c r="O3672" s="9"/>
      <c r="V3672" s="9"/>
      <c r="W3672" s="9"/>
    </row>
    <row r="3673" spans="15:23" ht="31.4" customHeight="1" x14ac:dyDescent="0.35">
      <c r="O3673" s="9"/>
      <c r="V3673" s="9"/>
      <c r="W3673" s="9"/>
    </row>
    <row r="3674" spans="15:23" ht="31.4" customHeight="1" x14ac:dyDescent="0.35">
      <c r="O3674" s="9"/>
      <c r="V3674" s="9"/>
      <c r="W3674" s="9"/>
    </row>
    <row r="3675" spans="15:23" ht="31.4" customHeight="1" x14ac:dyDescent="0.35">
      <c r="O3675" s="9"/>
      <c r="V3675" s="9"/>
      <c r="W3675" s="9"/>
    </row>
    <row r="3676" spans="15:23" ht="31.4" customHeight="1" x14ac:dyDescent="0.35">
      <c r="O3676" s="9"/>
      <c r="V3676" s="9"/>
      <c r="W3676" s="9"/>
    </row>
    <row r="3677" spans="15:23" ht="31.4" customHeight="1" x14ac:dyDescent="0.35">
      <c r="O3677" s="9"/>
      <c r="V3677" s="9"/>
      <c r="W3677" s="9"/>
    </row>
    <row r="3678" spans="15:23" ht="31.4" customHeight="1" x14ac:dyDescent="0.35">
      <c r="O3678" s="9"/>
      <c r="V3678" s="9"/>
      <c r="W3678" s="9"/>
    </row>
    <row r="3679" spans="15:23" ht="31.4" customHeight="1" x14ac:dyDescent="0.35">
      <c r="O3679" s="9"/>
      <c r="V3679" s="9"/>
      <c r="W3679" s="9"/>
    </row>
    <row r="3680" spans="15:23" ht="31.4" customHeight="1" x14ac:dyDescent="0.35">
      <c r="O3680" s="9"/>
      <c r="V3680" s="9"/>
      <c r="W3680" s="9"/>
    </row>
    <row r="3681" spans="15:23" ht="31.4" customHeight="1" x14ac:dyDescent="0.35">
      <c r="O3681" s="9"/>
      <c r="V3681" s="9"/>
      <c r="W3681" s="9"/>
    </row>
    <row r="3682" spans="15:23" ht="31.4" customHeight="1" x14ac:dyDescent="0.35">
      <c r="O3682" s="9"/>
      <c r="V3682" s="9"/>
      <c r="W3682" s="9"/>
    </row>
    <row r="3683" spans="15:23" ht="31.4" customHeight="1" x14ac:dyDescent="0.35">
      <c r="O3683" s="9"/>
      <c r="V3683" s="9"/>
      <c r="W3683" s="9"/>
    </row>
    <row r="3684" spans="15:23" ht="31.4" customHeight="1" x14ac:dyDescent="0.35">
      <c r="O3684" s="9"/>
      <c r="V3684" s="9"/>
      <c r="W3684" s="9"/>
    </row>
    <row r="3685" spans="15:23" ht="31.4" customHeight="1" x14ac:dyDescent="0.35">
      <c r="O3685" s="9"/>
      <c r="V3685" s="9"/>
      <c r="W3685" s="9"/>
    </row>
    <row r="3686" spans="15:23" ht="31.4" customHeight="1" x14ac:dyDescent="0.35">
      <c r="O3686" s="9"/>
      <c r="V3686" s="9"/>
      <c r="W3686" s="9"/>
    </row>
    <row r="3687" spans="15:23" ht="31.4" customHeight="1" x14ac:dyDescent="0.35">
      <c r="O3687" s="9"/>
      <c r="V3687" s="9"/>
      <c r="W3687" s="9"/>
    </row>
    <row r="3688" spans="15:23" ht="31.4" customHeight="1" x14ac:dyDescent="0.35">
      <c r="O3688" s="9"/>
      <c r="V3688" s="9"/>
      <c r="W3688" s="9"/>
    </row>
    <row r="3689" spans="15:23" ht="31.4" customHeight="1" x14ac:dyDescent="0.35">
      <c r="O3689" s="9"/>
      <c r="V3689" s="9"/>
      <c r="W3689" s="9"/>
    </row>
    <row r="3690" spans="15:23" ht="31.4" customHeight="1" x14ac:dyDescent="0.35">
      <c r="O3690" s="9"/>
      <c r="V3690" s="9"/>
      <c r="W3690" s="9"/>
    </row>
    <row r="3691" spans="15:23" ht="31.4" customHeight="1" x14ac:dyDescent="0.35">
      <c r="O3691" s="9"/>
      <c r="V3691" s="9"/>
      <c r="W3691" s="9"/>
    </row>
    <row r="3692" spans="15:23" ht="31.4" customHeight="1" x14ac:dyDescent="0.35">
      <c r="O3692" s="9"/>
      <c r="V3692" s="9"/>
      <c r="W3692" s="9"/>
    </row>
    <row r="3693" spans="15:23" ht="31.4" customHeight="1" x14ac:dyDescent="0.35">
      <c r="O3693" s="9"/>
      <c r="V3693" s="9"/>
      <c r="W3693" s="9"/>
    </row>
    <row r="3694" spans="15:23" ht="31.4" customHeight="1" x14ac:dyDescent="0.35">
      <c r="O3694" s="9"/>
      <c r="V3694" s="9"/>
      <c r="W3694" s="9"/>
    </row>
    <row r="3695" spans="15:23" ht="31.4" customHeight="1" x14ac:dyDescent="0.35">
      <c r="O3695" s="9"/>
      <c r="V3695" s="9"/>
      <c r="W3695" s="9"/>
    </row>
    <row r="3696" spans="15:23" ht="31.4" customHeight="1" x14ac:dyDescent="0.35">
      <c r="O3696" s="9"/>
      <c r="V3696" s="9"/>
      <c r="W3696" s="9"/>
    </row>
    <row r="3697" spans="15:23" ht="31.4" customHeight="1" x14ac:dyDescent="0.35">
      <c r="O3697" s="9"/>
      <c r="V3697" s="9"/>
      <c r="W3697" s="9"/>
    </row>
    <row r="3698" spans="15:23" ht="31.4" customHeight="1" x14ac:dyDescent="0.35">
      <c r="O3698" s="9"/>
      <c r="V3698" s="9"/>
      <c r="W3698" s="9"/>
    </row>
    <row r="3699" spans="15:23" ht="31.4" customHeight="1" x14ac:dyDescent="0.35">
      <c r="O3699" s="9"/>
      <c r="V3699" s="9"/>
      <c r="W3699" s="9"/>
    </row>
    <row r="3700" spans="15:23" ht="31.4" customHeight="1" x14ac:dyDescent="0.35">
      <c r="O3700" s="9"/>
      <c r="V3700" s="9"/>
      <c r="W3700" s="9"/>
    </row>
    <row r="3701" spans="15:23" ht="31.4" customHeight="1" x14ac:dyDescent="0.35">
      <c r="O3701" s="9"/>
      <c r="V3701" s="9"/>
      <c r="W3701" s="9"/>
    </row>
    <row r="3702" spans="15:23" ht="31.4" customHeight="1" x14ac:dyDescent="0.35">
      <c r="O3702" s="9"/>
      <c r="V3702" s="9"/>
      <c r="W3702" s="9"/>
    </row>
    <row r="3703" spans="15:23" ht="31.4" customHeight="1" x14ac:dyDescent="0.35">
      <c r="O3703" s="9"/>
      <c r="V3703" s="9"/>
      <c r="W3703" s="9"/>
    </row>
    <row r="3704" spans="15:23" ht="31.4" customHeight="1" x14ac:dyDescent="0.35">
      <c r="O3704" s="9"/>
      <c r="V3704" s="9"/>
      <c r="W3704" s="9"/>
    </row>
    <row r="3705" spans="15:23" ht="31.4" customHeight="1" x14ac:dyDescent="0.35">
      <c r="O3705" s="9"/>
      <c r="V3705" s="9"/>
      <c r="W3705" s="9"/>
    </row>
    <row r="3706" spans="15:23" ht="31.4" customHeight="1" x14ac:dyDescent="0.35">
      <c r="O3706" s="9"/>
      <c r="V3706" s="9"/>
      <c r="W3706" s="9"/>
    </row>
    <row r="3707" spans="15:23" ht="31.4" customHeight="1" x14ac:dyDescent="0.35">
      <c r="O3707" s="9"/>
      <c r="V3707" s="9"/>
      <c r="W3707" s="9"/>
    </row>
    <row r="3708" spans="15:23" ht="31.4" customHeight="1" x14ac:dyDescent="0.35">
      <c r="O3708" s="9"/>
      <c r="V3708" s="9"/>
      <c r="W3708" s="9"/>
    </row>
    <row r="3709" spans="15:23" ht="31.4" customHeight="1" x14ac:dyDescent="0.35">
      <c r="O3709" s="9"/>
      <c r="V3709" s="9"/>
      <c r="W3709" s="9"/>
    </row>
    <row r="3710" spans="15:23" ht="31.4" customHeight="1" x14ac:dyDescent="0.35">
      <c r="O3710" s="9"/>
      <c r="V3710" s="9"/>
      <c r="W3710" s="9"/>
    </row>
    <row r="3711" spans="15:23" ht="31.4" customHeight="1" x14ac:dyDescent="0.35">
      <c r="O3711" s="9"/>
      <c r="V3711" s="9"/>
      <c r="W3711" s="9"/>
    </row>
    <row r="3712" spans="15:23" ht="31.4" customHeight="1" x14ac:dyDescent="0.35">
      <c r="O3712" s="9"/>
      <c r="V3712" s="9"/>
      <c r="W3712" s="9"/>
    </row>
    <row r="3713" spans="15:23" ht="31.4" customHeight="1" x14ac:dyDescent="0.35">
      <c r="O3713" s="9"/>
      <c r="V3713" s="9"/>
      <c r="W3713" s="9"/>
    </row>
    <row r="3714" spans="15:23" ht="31.4" customHeight="1" x14ac:dyDescent="0.35">
      <c r="O3714" s="9"/>
      <c r="V3714" s="9"/>
      <c r="W3714" s="9"/>
    </row>
    <row r="3715" spans="15:23" ht="31.4" customHeight="1" x14ac:dyDescent="0.35">
      <c r="O3715" s="9"/>
      <c r="V3715" s="9"/>
      <c r="W3715" s="9"/>
    </row>
    <row r="3716" spans="15:23" ht="31.4" customHeight="1" x14ac:dyDescent="0.35">
      <c r="O3716" s="9"/>
      <c r="V3716" s="9"/>
      <c r="W3716" s="9"/>
    </row>
    <row r="3717" spans="15:23" ht="31.4" customHeight="1" x14ac:dyDescent="0.35">
      <c r="O3717" s="9"/>
      <c r="V3717" s="9"/>
      <c r="W3717" s="9"/>
    </row>
    <row r="3718" spans="15:23" ht="31.4" customHeight="1" x14ac:dyDescent="0.35">
      <c r="O3718" s="9"/>
      <c r="V3718" s="9"/>
      <c r="W3718" s="9"/>
    </row>
    <row r="3719" spans="15:23" ht="31.4" customHeight="1" x14ac:dyDescent="0.35">
      <c r="O3719" s="9"/>
      <c r="V3719" s="9"/>
      <c r="W3719" s="9"/>
    </row>
    <row r="3720" spans="15:23" ht="31.4" customHeight="1" x14ac:dyDescent="0.35">
      <c r="O3720" s="9"/>
      <c r="V3720" s="9"/>
      <c r="W3720" s="9"/>
    </row>
    <row r="3721" spans="15:23" ht="31.4" customHeight="1" x14ac:dyDescent="0.35">
      <c r="O3721" s="9"/>
      <c r="V3721" s="9"/>
      <c r="W3721" s="9"/>
    </row>
    <row r="3722" spans="15:23" ht="31.4" customHeight="1" x14ac:dyDescent="0.35">
      <c r="O3722" s="9"/>
      <c r="V3722" s="9"/>
      <c r="W3722" s="9"/>
    </row>
    <row r="3723" spans="15:23" ht="31.4" customHeight="1" x14ac:dyDescent="0.35">
      <c r="O3723" s="9"/>
      <c r="V3723" s="9"/>
      <c r="W3723" s="9"/>
    </row>
    <row r="3724" spans="15:23" ht="31.4" customHeight="1" x14ac:dyDescent="0.35">
      <c r="O3724" s="9"/>
      <c r="V3724" s="9"/>
      <c r="W3724" s="9"/>
    </row>
    <row r="3725" spans="15:23" ht="31.4" customHeight="1" x14ac:dyDescent="0.35">
      <c r="O3725" s="9"/>
      <c r="V3725" s="9"/>
      <c r="W3725" s="9"/>
    </row>
    <row r="3726" spans="15:23" ht="31.4" customHeight="1" x14ac:dyDescent="0.35">
      <c r="O3726" s="9"/>
      <c r="V3726" s="9"/>
      <c r="W3726" s="9"/>
    </row>
    <row r="3727" spans="15:23" ht="31.4" customHeight="1" x14ac:dyDescent="0.35">
      <c r="O3727" s="9"/>
      <c r="V3727" s="9"/>
      <c r="W3727" s="9"/>
    </row>
    <row r="3728" spans="15:23" ht="31.4" customHeight="1" x14ac:dyDescent="0.35">
      <c r="O3728" s="9"/>
      <c r="V3728" s="9"/>
      <c r="W3728" s="9"/>
    </row>
    <row r="3729" spans="15:23" ht="31.4" customHeight="1" x14ac:dyDescent="0.35">
      <c r="O3729" s="9"/>
      <c r="V3729" s="9"/>
      <c r="W3729" s="9"/>
    </row>
    <row r="3730" spans="15:23" ht="31.4" customHeight="1" x14ac:dyDescent="0.35">
      <c r="O3730" s="9"/>
      <c r="V3730" s="9"/>
      <c r="W3730" s="9"/>
    </row>
    <row r="3731" spans="15:23" ht="31.4" customHeight="1" x14ac:dyDescent="0.35">
      <c r="O3731" s="9"/>
      <c r="V3731" s="9"/>
      <c r="W3731" s="9"/>
    </row>
    <row r="3732" spans="15:23" ht="31.4" customHeight="1" x14ac:dyDescent="0.35">
      <c r="O3732" s="9"/>
      <c r="V3732" s="9"/>
      <c r="W3732" s="9"/>
    </row>
    <row r="3733" spans="15:23" ht="31.4" customHeight="1" x14ac:dyDescent="0.35">
      <c r="O3733" s="9"/>
      <c r="V3733" s="9"/>
      <c r="W3733" s="9"/>
    </row>
    <row r="3734" spans="15:23" ht="31.4" customHeight="1" x14ac:dyDescent="0.35">
      <c r="O3734" s="9"/>
      <c r="V3734" s="9"/>
      <c r="W3734" s="9"/>
    </row>
    <row r="3735" spans="15:23" ht="31.4" customHeight="1" x14ac:dyDescent="0.35">
      <c r="O3735" s="9"/>
      <c r="V3735" s="9"/>
      <c r="W3735" s="9"/>
    </row>
    <row r="3736" spans="15:23" ht="31.4" customHeight="1" x14ac:dyDescent="0.35">
      <c r="O3736" s="9"/>
      <c r="V3736" s="9"/>
      <c r="W3736" s="9"/>
    </row>
    <row r="3737" spans="15:23" ht="31.4" customHeight="1" x14ac:dyDescent="0.35">
      <c r="O3737" s="9"/>
      <c r="V3737" s="9"/>
      <c r="W3737" s="9"/>
    </row>
    <row r="3738" spans="15:23" ht="31.4" customHeight="1" x14ac:dyDescent="0.35">
      <c r="O3738" s="9"/>
      <c r="V3738" s="9"/>
      <c r="W3738" s="9"/>
    </row>
    <row r="3739" spans="15:23" ht="31.4" customHeight="1" x14ac:dyDescent="0.35">
      <c r="O3739" s="9"/>
      <c r="V3739" s="9"/>
      <c r="W3739" s="9"/>
    </row>
    <row r="3740" spans="15:23" ht="31.4" customHeight="1" x14ac:dyDescent="0.35">
      <c r="O3740" s="9"/>
      <c r="V3740" s="9"/>
      <c r="W3740" s="9"/>
    </row>
    <row r="3741" spans="15:23" ht="31.4" customHeight="1" x14ac:dyDescent="0.35">
      <c r="O3741" s="9"/>
      <c r="V3741" s="9"/>
      <c r="W3741" s="9"/>
    </row>
    <row r="3742" spans="15:23" ht="31.4" customHeight="1" x14ac:dyDescent="0.35">
      <c r="O3742" s="9"/>
      <c r="V3742" s="9"/>
      <c r="W3742" s="9"/>
    </row>
    <row r="3743" spans="15:23" ht="31.4" customHeight="1" x14ac:dyDescent="0.35">
      <c r="O3743" s="9"/>
      <c r="V3743" s="9"/>
      <c r="W3743" s="9"/>
    </row>
    <row r="3744" spans="15:23" ht="31.4" customHeight="1" x14ac:dyDescent="0.35">
      <c r="O3744" s="9"/>
      <c r="V3744" s="9"/>
      <c r="W3744" s="9"/>
    </row>
    <row r="3745" spans="15:23" ht="31.4" customHeight="1" x14ac:dyDescent="0.35">
      <c r="O3745" s="9"/>
      <c r="V3745" s="9"/>
      <c r="W3745" s="9"/>
    </row>
    <row r="3746" spans="15:23" ht="31.4" customHeight="1" x14ac:dyDescent="0.35">
      <c r="O3746" s="9"/>
      <c r="V3746" s="9"/>
      <c r="W3746" s="9"/>
    </row>
    <row r="3747" spans="15:23" ht="31.4" customHeight="1" x14ac:dyDescent="0.35">
      <c r="O3747" s="9"/>
      <c r="V3747" s="9"/>
      <c r="W3747" s="9"/>
    </row>
    <row r="3748" spans="15:23" ht="31.4" customHeight="1" x14ac:dyDescent="0.35">
      <c r="O3748" s="9"/>
      <c r="V3748" s="9"/>
      <c r="W3748" s="9"/>
    </row>
    <row r="3749" spans="15:23" ht="31.4" customHeight="1" x14ac:dyDescent="0.35">
      <c r="O3749" s="9"/>
      <c r="V3749" s="9"/>
      <c r="W3749" s="9"/>
    </row>
    <row r="3750" spans="15:23" ht="31.4" customHeight="1" x14ac:dyDescent="0.35">
      <c r="O3750" s="9"/>
      <c r="V3750" s="9"/>
      <c r="W3750" s="9"/>
    </row>
    <row r="3751" spans="15:23" ht="31.4" customHeight="1" x14ac:dyDescent="0.35">
      <c r="O3751" s="9"/>
      <c r="V3751" s="9"/>
      <c r="W3751" s="9"/>
    </row>
    <row r="3752" spans="15:23" ht="31.4" customHeight="1" x14ac:dyDescent="0.35">
      <c r="O3752" s="9"/>
      <c r="V3752" s="9"/>
      <c r="W3752" s="9"/>
    </row>
    <row r="3753" spans="15:23" ht="31.4" customHeight="1" x14ac:dyDescent="0.35">
      <c r="O3753" s="9"/>
      <c r="V3753" s="9"/>
      <c r="W3753" s="9"/>
    </row>
    <row r="3754" spans="15:23" ht="31.4" customHeight="1" x14ac:dyDescent="0.35">
      <c r="O3754" s="9"/>
      <c r="V3754" s="9"/>
      <c r="W3754" s="9"/>
    </row>
    <row r="3755" spans="15:23" ht="31.4" customHeight="1" x14ac:dyDescent="0.35">
      <c r="O3755" s="9"/>
      <c r="V3755" s="9"/>
      <c r="W3755" s="9"/>
    </row>
    <row r="3756" spans="15:23" ht="31.4" customHeight="1" x14ac:dyDescent="0.35">
      <c r="O3756" s="9"/>
      <c r="V3756" s="9"/>
      <c r="W3756" s="9"/>
    </row>
    <row r="3757" spans="15:23" ht="31.4" customHeight="1" x14ac:dyDescent="0.35">
      <c r="O3757" s="9"/>
      <c r="V3757" s="9"/>
      <c r="W3757" s="9"/>
    </row>
    <row r="3758" spans="15:23" ht="31.4" customHeight="1" x14ac:dyDescent="0.35">
      <c r="O3758" s="9"/>
      <c r="V3758" s="9"/>
      <c r="W3758" s="9"/>
    </row>
    <row r="3759" spans="15:23" ht="31.4" customHeight="1" x14ac:dyDescent="0.35">
      <c r="O3759" s="9"/>
      <c r="V3759" s="9"/>
      <c r="W3759" s="9"/>
    </row>
    <row r="3760" spans="15:23" ht="31.4" customHeight="1" x14ac:dyDescent="0.35">
      <c r="O3760" s="9"/>
      <c r="V3760" s="9"/>
      <c r="W3760" s="9"/>
    </row>
    <row r="3761" spans="15:23" ht="31.4" customHeight="1" x14ac:dyDescent="0.35">
      <c r="O3761" s="9"/>
      <c r="V3761" s="9"/>
      <c r="W3761" s="9"/>
    </row>
    <row r="3762" spans="15:23" ht="31.4" customHeight="1" x14ac:dyDescent="0.35">
      <c r="O3762" s="9"/>
      <c r="V3762" s="9"/>
      <c r="W3762" s="9"/>
    </row>
    <row r="3763" spans="15:23" ht="31.4" customHeight="1" x14ac:dyDescent="0.35">
      <c r="O3763" s="9"/>
      <c r="V3763" s="9"/>
      <c r="W3763" s="9"/>
    </row>
    <row r="3764" spans="15:23" ht="31.4" customHeight="1" x14ac:dyDescent="0.35">
      <c r="O3764" s="9"/>
      <c r="V3764" s="9"/>
      <c r="W3764" s="9"/>
    </row>
    <row r="3765" spans="15:23" ht="31.4" customHeight="1" x14ac:dyDescent="0.35">
      <c r="O3765" s="9"/>
      <c r="V3765" s="9"/>
      <c r="W3765" s="9"/>
    </row>
    <row r="3766" spans="15:23" ht="31.4" customHeight="1" x14ac:dyDescent="0.35">
      <c r="O3766" s="9"/>
      <c r="V3766" s="9"/>
      <c r="W3766" s="9"/>
    </row>
    <row r="3767" spans="15:23" ht="31.4" customHeight="1" x14ac:dyDescent="0.35">
      <c r="O3767" s="9"/>
      <c r="V3767" s="9"/>
      <c r="W3767" s="9"/>
    </row>
    <row r="3768" spans="15:23" ht="31.4" customHeight="1" x14ac:dyDescent="0.35">
      <c r="O3768" s="9"/>
      <c r="V3768" s="9"/>
      <c r="W3768" s="9"/>
    </row>
    <row r="3769" spans="15:23" ht="31.4" customHeight="1" x14ac:dyDescent="0.35">
      <c r="O3769" s="9"/>
      <c r="V3769" s="9"/>
      <c r="W3769" s="9"/>
    </row>
    <row r="3770" spans="15:23" ht="31.4" customHeight="1" x14ac:dyDescent="0.35">
      <c r="O3770" s="9"/>
      <c r="V3770" s="9"/>
      <c r="W3770" s="9"/>
    </row>
    <row r="3771" spans="15:23" ht="31.4" customHeight="1" x14ac:dyDescent="0.35">
      <c r="O3771" s="9"/>
      <c r="V3771" s="9"/>
      <c r="W3771" s="9"/>
    </row>
    <row r="3772" spans="15:23" ht="31.4" customHeight="1" x14ac:dyDescent="0.35">
      <c r="O3772" s="9"/>
      <c r="V3772" s="9"/>
      <c r="W3772" s="9"/>
    </row>
    <row r="3773" spans="15:23" ht="31.4" customHeight="1" x14ac:dyDescent="0.35">
      <c r="O3773" s="9"/>
      <c r="V3773" s="9"/>
      <c r="W3773" s="9"/>
    </row>
    <row r="3774" spans="15:23" ht="31.4" customHeight="1" x14ac:dyDescent="0.35">
      <c r="O3774" s="9"/>
      <c r="V3774" s="9"/>
      <c r="W3774" s="9"/>
    </row>
    <row r="3775" spans="15:23" ht="31.4" customHeight="1" x14ac:dyDescent="0.35">
      <c r="O3775" s="9"/>
      <c r="V3775" s="9"/>
      <c r="W3775" s="9"/>
    </row>
    <row r="3776" spans="15:23" ht="31.4" customHeight="1" x14ac:dyDescent="0.35">
      <c r="O3776" s="9"/>
      <c r="V3776" s="9"/>
      <c r="W3776" s="9"/>
    </row>
    <row r="3777" spans="15:23" ht="31.4" customHeight="1" x14ac:dyDescent="0.35">
      <c r="O3777" s="9"/>
      <c r="V3777" s="9"/>
      <c r="W3777" s="9"/>
    </row>
    <row r="3778" spans="15:23" ht="31.4" customHeight="1" x14ac:dyDescent="0.35">
      <c r="O3778" s="9"/>
      <c r="V3778" s="9"/>
      <c r="W3778" s="9"/>
    </row>
    <row r="3779" spans="15:23" ht="31.4" customHeight="1" x14ac:dyDescent="0.35">
      <c r="O3779" s="9"/>
      <c r="V3779" s="9"/>
      <c r="W3779" s="9"/>
    </row>
    <row r="3780" spans="15:23" ht="31.4" customHeight="1" x14ac:dyDescent="0.35">
      <c r="O3780" s="9"/>
      <c r="V3780" s="9"/>
      <c r="W3780" s="9"/>
    </row>
    <row r="3781" spans="15:23" ht="31.4" customHeight="1" x14ac:dyDescent="0.35">
      <c r="O3781" s="9"/>
      <c r="V3781" s="9"/>
      <c r="W3781" s="9"/>
    </row>
    <row r="3782" spans="15:23" ht="31.4" customHeight="1" x14ac:dyDescent="0.35">
      <c r="O3782" s="9"/>
      <c r="V3782" s="9"/>
      <c r="W3782" s="9"/>
    </row>
    <row r="3783" spans="15:23" ht="31.4" customHeight="1" x14ac:dyDescent="0.35">
      <c r="O3783" s="9"/>
      <c r="V3783" s="9"/>
      <c r="W3783" s="9"/>
    </row>
    <row r="3784" spans="15:23" ht="31.4" customHeight="1" x14ac:dyDescent="0.35">
      <c r="O3784" s="9"/>
      <c r="V3784" s="9"/>
      <c r="W3784" s="9"/>
    </row>
    <row r="3785" spans="15:23" ht="31.4" customHeight="1" x14ac:dyDescent="0.35">
      <c r="O3785" s="9"/>
      <c r="V3785" s="9"/>
      <c r="W3785" s="9"/>
    </row>
    <row r="3786" spans="15:23" ht="31.4" customHeight="1" x14ac:dyDescent="0.35">
      <c r="O3786" s="9"/>
      <c r="V3786" s="9"/>
      <c r="W3786" s="9"/>
    </row>
    <row r="3787" spans="15:23" ht="31.4" customHeight="1" x14ac:dyDescent="0.35">
      <c r="O3787" s="9"/>
      <c r="V3787" s="9"/>
      <c r="W3787" s="9"/>
    </row>
    <row r="3788" spans="15:23" ht="31.4" customHeight="1" x14ac:dyDescent="0.35">
      <c r="O3788" s="9"/>
      <c r="V3788" s="9"/>
      <c r="W3788" s="9"/>
    </row>
    <row r="3789" spans="15:23" ht="31.4" customHeight="1" x14ac:dyDescent="0.35">
      <c r="O3789" s="9"/>
      <c r="V3789" s="9"/>
      <c r="W3789" s="9"/>
    </row>
    <row r="3790" spans="15:23" ht="31.4" customHeight="1" x14ac:dyDescent="0.35">
      <c r="O3790" s="9"/>
      <c r="V3790" s="9"/>
      <c r="W3790" s="9"/>
    </row>
    <row r="3791" spans="15:23" ht="31.4" customHeight="1" x14ac:dyDescent="0.35">
      <c r="O3791" s="9"/>
      <c r="V3791" s="9"/>
      <c r="W3791" s="9"/>
    </row>
    <row r="3792" spans="15:23" ht="31.4" customHeight="1" x14ac:dyDescent="0.35">
      <c r="O3792" s="9"/>
      <c r="V3792" s="9"/>
      <c r="W3792" s="9"/>
    </row>
    <row r="3793" spans="15:23" ht="31.4" customHeight="1" x14ac:dyDescent="0.35">
      <c r="O3793" s="9"/>
      <c r="V3793" s="9"/>
      <c r="W3793" s="9"/>
    </row>
    <row r="3794" spans="15:23" ht="31.4" customHeight="1" x14ac:dyDescent="0.35">
      <c r="O3794" s="9"/>
      <c r="V3794" s="9"/>
      <c r="W3794" s="9"/>
    </row>
    <row r="3795" spans="15:23" ht="31.4" customHeight="1" x14ac:dyDescent="0.35">
      <c r="O3795" s="9"/>
      <c r="V3795" s="9"/>
      <c r="W3795" s="9"/>
    </row>
    <row r="3796" spans="15:23" ht="31.4" customHeight="1" x14ac:dyDescent="0.35">
      <c r="O3796" s="9"/>
      <c r="V3796" s="9"/>
      <c r="W3796" s="9"/>
    </row>
    <row r="3797" spans="15:23" ht="31.4" customHeight="1" x14ac:dyDescent="0.35">
      <c r="O3797" s="9"/>
      <c r="V3797" s="9"/>
      <c r="W3797" s="9"/>
    </row>
    <row r="3798" spans="15:23" ht="31.4" customHeight="1" x14ac:dyDescent="0.35">
      <c r="O3798" s="9"/>
      <c r="V3798" s="9"/>
      <c r="W3798" s="9"/>
    </row>
    <row r="3799" spans="15:23" ht="31.4" customHeight="1" x14ac:dyDescent="0.35">
      <c r="O3799" s="9"/>
      <c r="V3799" s="9"/>
      <c r="W3799" s="9"/>
    </row>
    <row r="3800" spans="15:23" ht="31.4" customHeight="1" x14ac:dyDescent="0.35">
      <c r="O3800" s="9"/>
      <c r="V3800" s="9"/>
      <c r="W3800" s="9"/>
    </row>
    <row r="3801" spans="15:23" ht="31.4" customHeight="1" x14ac:dyDescent="0.35">
      <c r="O3801" s="9"/>
      <c r="V3801" s="9"/>
      <c r="W3801" s="9"/>
    </row>
    <row r="3802" spans="15:23" ht="31.4" customHeight="1" x14ac:dyDescent="0.35">
      <c r="O3802" s="9"/>
      <c r="V3802" s="9"/>
      <c r="W3802" s="9"/>
    </row>
    <row r="3803" spans="15:23" ht="31.4" customHeight="1" x14ac:dyDescent="0.35">
      <c r="O3803" s="9"/>
      <c r="V3803" s="9"/>
      <c r="W3803" s="9"/>
    </row>
    <row r="3804" spans="15:23" ht="31.4" customHeight="1" x14ac:dyDescent="0.35">
      <c r="O3804" s="9"/>
      <c r="V3804" s="9"/>
      <c r="W3804" s="9"/>
    </row>
    <row r="3805" spans="15:23" ht="31.4" customHeight="1" x14ac:dyDescent="0.35">
      <c r="O3805" s="9"/>
      <c r="V3805" s="9"/>
      <c r="W3805" s="9"/>
    </row>
    <row r="3806" spans="15:23" ht="31.4" customHeight="1" x14ac:dyDescent="0.35">
      <c r="O3806" s="9"/>
      <c r="V3806" s="9"/>
      <c r="W3806" s="9"/>
    </row>
    <row r="3807" spans="15:23" ht="31.4" customHeight="1" x14ac:dyDescent="0.35">
      <c r="O3807" s="9"/>
      <c r="V3807" s="9"/>
      <c r="W3807" s="9"/>
    </row>
    <row r="3808" spans="15:23" ht="31.4" customHeight="1" x14ac:dyDescent="0.35">
      <c r="O3808" s="9"/>
      <c r="V3808" s="9"/>
      <c r="W3808" s="9"/>
    </row>
    <row r="3809" spans="15:23" ht="31.4" customHeight="1" x14ac:dyDescent="0.35">
      <c r="O3809" s="9"/>
      <c r="V3809" s="9"/>
      <c r="W3809" s="9"/>
    </row>
    <row r="3810" spans="15:23" ht="31.4" customHeight="1" x14ac:dyDescent="0.35">
      <c r="O3810" s="9"/>
      <c r="V3810" s="9"/>
      <c r="W3810" s="9"/>
    </row>
    <row r="3811" spans="15:23" ht="31.4" customHeight="1" x14ac:dyDescent="0.35">
      <c r="O3811" s="9"/>
      <c r="V3811" s="9"/>
      <c r="W3811" s="9"/>
    </row>
    <row r="3812" spans="15:23" ht="31.4" customHeight="1" x14ac:dyDescent="0.35">
      <c r="O3812" s="9"/>
      <c r="V3812" s="9"/>
      <c r="W3812" s="9"/>
    </row>
    <row r="3813" spans="15:23" ht="31.4" customHeight="1" x14ac:dyDescent="0.35">
      <c r="O3813" s="9"/>
      <c r="V3813" s="9"/>
      <c r="W3813" s="9"/>
    </row>
    <row r="3814" spans="15:23" ht="31.4" customHeight="1" x14ac:dyDescent="0.35">
      <c r="O3814" s="9"/>
      <c r="V3814" s="9"/>
      <c r="W3814" s="9"/>
    </row>
    <row r="3815" spans="15:23" ht="31.4" customHeight="1" x14ac:dyDescent="0.35">
      <c r="O3815" s="9"/>
      <c r="V3815" s="9"/>
      <c r="W3815" s="9"/>
    </row>
    <row r="3816" spans="15:23" ht="31.4" customHeight="1" x14ac:dyDescent="0.35">
      <c r="O3816" s="9"/>
      <c r="V3816" s="9"/>
      <c r="W3816" s="9"/>
    </row>
    <row r="3817" spans="15:23" ht="31.4" customHeight="1" x14ac:dyDescent="0.35">
      <c r="O3817" s="9"/>
      <c r="V3817" s="9"/>
      <c r="W3817" s="9"/>
    </row>
    <row r="3818" spans="15:23" ht="31.4" customHeight="1" x14ac:dyDescent="0.35">
      <c r="O3818" s="9"/>
      <c r="V3818" s="9"/>
      <c r="W3818" s="9"/>
    </row>
    <row r="3819" spans="15:23" ht="31.4" customHeight="1" x14ac:dyDescent="0.35">
      <c r="O3819" s="9"/>
      <c r="V3819" s="9"/>
      <c r="W3819" s="9"/>
    </row>
    <row r="3820" spans="15:23" ht="31.4" customHeight="1" x14ac:dyDescent="0.35">
      <c r="O3820" s="9"/>
      <c r="V3820" s="9"/>
      <c r="W3820" s="9"/>
    </row>
    <row r="3821" spans="15:23" ht="31.4" customHeight="1" x14ac:dyDescent="0.35">
      <c r="O3821" s="9"/>
      <c r="V3821" s="9"/>
      <c r="W3821" s="9"/>
    </row>
    <row r="3822" spans="15:23" ht="31.4" customHeight="1" x14ac:dyDescent="0.35">
      <c r="O3822" s="9"/>
      <c r="V3822" s="9"/>
      <c r="W3822" s="9"/>
    </row>
    <row r="3823" spans="15:23" ht="31.4" customHeight="1" x14ac:dyDescent="0.35">
      <c r="O3823" s="9"/>
      <c r="V3823" s="9"/>
      <c r="W3823" s="9"/>
    </row>
    <row r="3824" spans="15:23" ht="31.4" customHeight="1" x14ac:dyDescent="0.35">
      <c r="O3824" s="9"/>
      <c r="V3824" s="9"/>
      <c r="W3824" s="9"/>
    </row>
    <row r="3825" spans="15:23" ht="31.4" customHeight="1" x14ac:dyDescent="0.35">
      <c r="O3825" s="9"/>
      <c r="V3825" s="9"/>
      <c r="W3825" s="9"/>
    </row>
    <row r="3826" spans="15:23" ht="31.4" customHeight="1" x14ac:dyDescent="0.35">
      <c r="O3826" s="9"/>
      <c r="V3826" s="9"/>
      <c r="W3826" s="9"/>
    </row>
    <row r="3827" spans="15:23" ht="31.4" customHeight="1" x14ac:dyDescent="0.35">
      <c r="O3827" s="9"/>
      <c r="V3827" s="9"/>
      <c r="W3827" s="9"/>
    </row>
    <row r="3828" spans="15:23" ht="31.4" customHeight="1" x14ac:dyDescent="0.35">
      <c r="O3828" s="9"/>
      <c r="V3828" s="9"/>
      <c r="W3828" s="9"/>
    </row>
    <row r="3829" spans="15:23" ht="31.4" customHeight="1" x14ac:dyDescent="0.35">
      <c r="O3829" s="9"/>
      <c r="V3829" s="9"/>
      <c r="W3829" s="9"/>
    </row>
    <row r="3830" spans="15:23" ht="31.4" customHeight="1" x14ac:dyDescent="0.35">
      <c r="O3830" s="9"/>
      <c r="V3830" s="9"/>
      <c r="W3830" s="9"/>
    </row>
    <row r="3831" spans="15:23" ht="31.4" customHeight="1" x14ac:dyDescent="0.35">
      <c r="O3831" s="9"/>
      <c r="V3831" s="9"/>
      <c r="W3831" s="9"/>
    </row>
    <row r="3832" spans="15:23" ht="31.4" customHeight="1" x14ac:dyDescent="0.35">
      <c r="O3832" s="9"/>
      <c r="V3832" s="9"/>
      <c r="W3832" s="9"/>
    </row>
    <row r="3833" spans="15:23" ht="31.4" customHeight="1" x14ac:dyDescent="0.35">
      <c r="O3833" s="9"/>
      <c r="V3833" s="9"/>
      <c r="W3833" s="9"/>
    </row>
    <row r="3834" spans="15:23" ht="31.4" customHeight="1" x14ac:dyDescent="0.35">
      <c r="O3834" s="9"/>
      <c r="V3834" s="9"/>
      <c r="W3834" s="9"/>
    </row>
    <row r="3835" spans="15:23" ht="31.4" customHeight="1" x14ac:dyDescent="0.35">
      <c r="O3835" s="9"/>
      <c r="V3835" s="9"/>
      <c r="W3835" s="9"/>
    </row>
    <row r="3836" spans="15:23" ht="31.4" customHeight="1" x14ac:dyDescent="0.35">
      <c r="O3836" s="9"/>
      <c r="V3836" s="9"/>
      <c r="W3836" s="9"/>
    </row>
    <row r="3837" spans="15:23" ht="31.4" customHeight="1" x14ac:dyDescent="0.35">
      <c r="O3837" s="9"/>
      <c r="V3837" s="9"/>
      <c r="W3837" s="9"/>
    </row>
    <row r="3838" spans="15:23" ht="31.4" customHeight="1" x14ac:dyDescent="0.35">
      <c r="O3838" s="9"/>
      <c r="V3838" s="9"/>
      <c r="W3838" s="9"/>
    </row>
    <row r="3839" spans="15:23" ht="31.4" customHeight="1" x14ac:dyDescent="0.35">
      <c r="O3839" s="9"/>
      <c r="V3839" s="9"/>
      <c r="W3839" s="9"/>
    </row>
    <row r="3840" spans="15:23" ht="31.4" customHeight="1" x14ac:dyDescent="0.35">
      <c r="O3840" s="9"/>
      <c r="V3840" s="9"/>
      <c r="W3840" s="9"/>
    </row>
    <row r="3841" spans="15:23" ht="31.4" customHeight="1" x14ac:dyDescent="0.35">
      <c r="O3841" s="9"/>
      <c r="V3841" s="9"/>
      <c r="W3841" s="9"/>
    </row>
    <row r="3842" spans="15:23" ht="31.4" customHeight="1" x14ac:dyDescent="0.35">
      <c r="O3842" s="9"/>
      <c r="V3842" s="9"/>
      <c r="W3842" s="9"/>
    </row>
    <row r="3843" spans="15:23" ht="31.4" customHeight="1" x14ac:dyDescent="0.35">
      <c r="O3843" s="9"/>
      <c r="V3843" s="9"/>
      <c r="W3843" s="9"/>
    </row>
    <row r="3844" spans="15:23" ht="31.4" customHeight="1" x14ac:dyDescent="0.35">
      <c r="O3844" s="9"/>
      <c r="V3844" s="9"/>
      <c r="W3844" s="9"/>
    </row>
    <row r="3845" spans="15:23" ht="31.4" customHeight="1" x14ac:dyDescent="0.35">
      <c r="O3845" s="9"/>
      <c r="V3845" s="9"/>
      <c r="W3845" s="9"/>
    </row>
    <row r="3846" spans="15:23" ht="31.4" customHeight="1" x14ac:dyDescent="0.35">
      <c r="O3846" s="9"/>
      <c r="V3846" s="9"/>
      <c r="W3846" s="9"/>
    </row>
    <row r="3847" spans="15:23" ht="31.4" customHeight="1" x14ac:dyDescent="0.35">
      <c r="O3847" s="9"/>
      <c r="V3847" s="9"/>
      <c r="W3847" s="9"/>
    </row>
    <row r="3848" spans="15:23" ht="31.4" customHeight="1" x14ac:dyDescent="0.35">
      <c r="O3848" s="9"/>
      <c r="V3848" s="9"/>
      <c r="W3848" s="9"/>
    </row>
    <row r="3849" spans="15:23" ht="31.4" customHeight="1" x14ac:dyDescent="0.35">
      <c r="O3849" s="9"/>
      <c r="V3849" s="9"/>
      <c r="W3849" s="9"/>
    </row>
    <row r="3850" spans="15:23" ht="31.4" customHeight="1" x14ac:dyDescent="0.35">
      <c r="O3850" s="9"/>
      <c r="V3850" s="9"/>
      <c r="W3850" s="9"/>
    </row>
    <row r="3851" spans="15:23" ht="31.4" customHeight="1" x14ac:dyDescent="0.35">
      <c r="O3851" s="9"/>
      <c r="V3851" s="9"/>
      <c r="W3851" s="9"/>
    </row>
    <row r="3852" spans="15:23" ht="31.4" customHeight="1" x14ac:dyDescent="0.35">
      <c r="O3852" s="9"/>
      <c r="V3852" s="9"/>
      <c r="W3852" s="9"/>
    </row>
    <row r="3853" spans="15:23" ht="31.4" customHeight="1" x14ac:dyDescent="0.35">
      <c r="O3853" s="9"/>
      <c r="V3853" s="9"/>
      <c r="W3853" s="9"/>
    </row>
    <row r="3854" spans="15:23" ht="31.4" customHeight="1" x14ac:dyDescent="0.35">
      <c r="O3854" s="9"/>
      <c r="V3854" s="9"/>
      <c r="W3854" s="9"/>
    </row>
    <row r="3855" spans="15:23" ht="31.4" customHeight="1" x14ac:dyDescent="0.35">
      <c r="O3855" s="9"/>
      <c r="V3855" s="9"/>
      <c r="W3855" s="9"/>
    </row>
    <row r="3856" spans="15:23" ht="31.4" customHeight="1" x14ac:dyDescent="0.35">
      <c r="O3856" s="9"/>
      <c r="V3856" s="9"/>
      <c r="W3856" s="9"/>
    </row>
    <row r="3857" spans="15:23" ht="31.4" customHeight="1" x14ac:dyDescent="0.35">
      <c r="O3857" s="9"/>
      <c r="V3857" s="9"/>
      <c r="W3857" s="9"/>
    </row>
    <row r="3858" spans="15:23" ht="31.4" customHeight="1" x14ac:dyDescent="0.35">
      <c r="O3858" s="9"/>
      <c r="V3858" s="9"/>
      <c r="W3858" s="9"/>
    </row>
    <row r="3859" spans="15:23" ht="31.4" customHeight="1" x14ac:dyDescent="0.35">
      <c r="O3859" s="9"/>
      <c r="V3859" s="9"/>
      <c r="W3859" s="9"/>
    </row>
    <row r="3860" spans="15:23" ht="31.4" customHeight="1" x14ac:dyDescent="0.35">
      <c r="O3860" s="9"/>
      <c r="V3860" s="9"/>
      <c r="W3860" s="9"/>
    </row>
    <row r="3861" spans="15:23" ht="31.4" customHeight="1" x14ac:dyDescent="0.35">
      <c r="O3861" s="9"/>
      <c r="V3861" s="9"/>
      <c r="W3861" s="9"/>
    </row>
    <row r="3862" spans="15:23" ht="31.4" customHeight="1" x14ac:dyDescent="0.35">
      <c r="O3862" s="9"/>
      <c r="V3862" s="9"/>
      <c r="W3862" s="9"/>
    </row>
    <row r="3863" spans="15:23" ht="31.4" customHeight="1" x14ac:dyDescent="0.35">
      <c r="O3863" s="9"/>
      <c r="V3863" s="9"/>
      <c r="W3863" s="9"/>
    </row>
    <row r="3864" spans="15:23" ht="31.4" customHeight="1" x14ac:dyDescent="0.35">
      <c r="O3864" s="9"/>
      <c r="V3864" s="9"/>
      <c r="W3864" s="9"/>
    </row>
    <row r="3865" spans="15:23" ht="31.4" customHeight="1" x14ac:dyDescent="0.35">
      <c r="O3865" s="9"/>
      <c r="V3865" s="9"/>
      <c r="W3865" s="9"/>
    </row>
    <row r="3866" spans="15:23" ht="31.4" customHeight="1" x14ac:dyDescent="0.35">
      <c r="O3866" s="9"/>
      <c r="V3866" s="9"/>
      <c r="W3866" s="9"/>
    </row>
    <row r="3867" spans="15:23" ht="31.4" customHeight="1" x14ac:dyDescent="0.35">
      <c r="O3867" s="9"/>
      <c r="V3867" s="9"/>
      <c r="W3867" s="9"/>
    </row>
    <row r="3868" spans="15:23" ht="31.4" customHeight="1" x14ac:dyDescent="0.35">
      <c r="O3868" s="9"/>
      <c r="V3868" s="9"/>
      <c r="W3868" s="9"/>
    </row>
    <row r="3869" spans="15:23" ht="31.4" customHeight="1" x14ac:dyDescent="0.35">
      <c r="O3869" s="9"/>
      <c r="V3869" s="9"/>
      <c r="W3869" s="9"/>
    </row>
    <row r="3870" spans="15:23" ht="31.4" customHeight="1" x14ac:dyDescent="0.35">
      <c r="O3870" s="9"/>
      <c r="V3870" s="9"/>
      <c r="W3870" s="9"/>
    </row>
    <row r="3871" spans="15:23" ht="31.4" customHeight="1" x14ac:dyDescent="0.35">
      <c r="O3871" s="9"/>
      <c r="V3871" s="9"/>
      <c r="W3871" s="9"/>
    </row>
    <row r="3872" spans="15:23" ht="31.4" customHeight="1" x14ac:dyDescent="0.35">
      <c r="O3872" s="9"/>
      <c r="V3872" s="9"/>
      <c r="W3872" s="9"/>
    </row>
    <row r="3873" spans="15:23" ht="31.4" customHeight="1" x14ac:dyDescent="0.35">
      <c r="O3873" s="9"/>
      <c r="V3873" s="9"/>
      <c r="W3873" s="9"/>
    </row>
    <row r="3874" spans="15:23" ht="31.4" customHeight="1" x14ac:dyDescent="0.35">
      <c r="O3874" s="9"/>
      <c r="V3874" s="9"/>
      <c r="W3874" s="9"/>
    </row>
    <row r="3875" spans="15:23" ht="31.4" customHeight="1" x14ac:dyDescent="0.35">
      <c r="O3875" s="9"/>
      <c r="V3875" s="9"/>
      <c r="W3875" s="9"/>
    </row>
    <row r="3876" spans="15:23" ht="31.4" customHeight="1" x14ac:dyDescent="0.35">
      <c r="O3876" s="9"/>
      <c r="V3876" s="9"/>
      <c r="W3876" s="9"/>
    </row>
    <row r="3877" spans="15:23" ht="31.4" customHeight="1" x14ac:dyDescent="0.35">
      <c r="O3877" s="9"/>
      <c r="V3877" s="9"/>
      <c r="W3877" s="9"/>
    </row>
    <row r="3878" spans="15:23" ht="31.4" customHeight="1" x14ac:dyDescent="0.35">
      <c r="O3878" s="9"/>
      <c r="V3878" s="9"/>
      <c r="W3878" s="9"/>
    </row>
    <row r="3879" spans="15:23" ht="31.4" customHeight="1" x14ac:dyDescent="0.35">
      <c r="O3879" s="9"/>
      <c r="V3879" s="9"/>
      <c r="W3879" s="9"/>
    </row>
    <row r="3880" spans="15:23" ht="31.4" customHeight="1" x14ac:dyDescent="0.35">
      <c r="O3880" s="9"/>
      <c r="V3880" s="9"/>
      <c r="W3880" s="9"/>
    </row>
    <row r="3881" spans="15:23" ht="31.4" customHeight="1" x14ac:dyDescent="0.35">
      <c r="O3881" s="9"/>
      <c r="V3881" s="9"/>
      <c r="W3881" s="9"/>
    </row>
    <row r="3882" spans="15:23" ht="31.4" customHeight="1" x14ac:dyDescent="0.35">
      <c r="O3882" s="9"/>
      <c r="V3882" s="9"/>
      <c r="W3882" s="9"/>
    </row>
    <row r="3883" spans="15:23" ht="31.4" customHeight="1" x14ac:dyDescent="0.35">
      <c r="O3883" s="9"/>
      <c r="V3883" s="9"/>
      <c r="W3883" s="9"/>
    </row>
    <row r="3884" spans="15:23" ht="31.4" customHeight="1" x14ac:dyDescent="0.35">
      <c r="O3884" s="9"/>
      <c r="V3884" s="9"/>
      <c r="W3884" s="9"/>
    </row>
    <row r="3885" spans="15:23" ht="31.4" customHeight="1" x14ac:dyDescent="0.35">
      <c r="O3885" s="9"/>
      <c r="V3885" s="9"/>
      <c r="W3885" s="9"/>
    </row>
    <row r="3886" spans="15:23" ht="31.4" customHeight="1" x14ac:dyDescent="0.35">
      <c r="O3886" s="9"/>
      <c r="V3886" s="9"/>
      <c r="W3886" s="9"/>
    </row>
    <row r="3887" spans="15:23" ht="31.4" customHeight="1" x14ac:dyDescent="0.35">
      <c r="O3887" s="9"/>
      <c r="V3887" s="9"/>
      <c r="W3887" s="9"/>
    </row>
    <row r="3888" spans="15:23" ht="31.4" customHeight="1" x14ac:dyDescent="0.35">
      <c r="O3888" s="9"/>
      <c r="V3888" s="9"/>
      <c r="W3888" s="9"/>
    </row>
    <row r="3889" spans="15:23" ht="31.4" customHeight="1" x14ac:dyDescent="0.35">
      <c r="O3889" s="9"/>
      <c r="V3889" s="9"/>
      <c r="W3889" s="9"/>
    </row>
    <row r="3890" spans="15:23" ht="31.4" customHeight="1" x14ac:dyDescent="0.35">
      <c r="O3890" s="9"/>
      <c r="V3890" s="9"/>
      <c r="W3890" s="9"/>
    </row>
    <row r="3891" spans="15:23" ht="31.4" customHeight="1" x14ac:dyDescent="0.35">
      <c r="O3891" s="9"/>
      <c r="V3891" s="9"/>
      <c r="W3891" s="9"/>
    </row>
    <row r="3892" spans="15:23" ht="31.4" customHeight="1" x14ac:dyDescent="0.35">
      <c r="O3892" s="9"/>
      <c r="V3892" s="9"/>
      <c r="W3892" s="9"/>
    </row>
    <row r="3893" spans="15:23" ht="31.4" customHeight="1" x14ac:dyDescent="0.35">
      <c r="O3893" s="9"/>
      <c r="V3893" s="9"/>
      <c r="W3893" s="9"/>
    </row>
    <row r="3894" spans="15:23" ht="31.4" customHeight="1" x14ac:dyDescent="0.35">
      <c r="O3894" s="9"/>
      <c r="V3894" s="9"/>
      <c r="W3894" s="9"/>
    </row>
    <row r="3895" spans="15:23" ht="31.4" customHeight="1" x14ac:dyDescent="0.35">
      <c r="O3895" s="9"/>
      <c r="V3895" s="9"/>
      <c r="W3895" s="9"/>
    </row>
    <row r="3896" spans="15:23" ht="31.4" customHeight="1" x14ac:dyDescent="0.35">
      <c r="O3896" s="9"/>
      <c r="V3896" s="9"/>
      <c r="W3896" s="9"/>
    </row>
    <row r="3897" spans="15:23" ht="31.4" customHeight="1" x14ac:dyDescent="0.35">
      <c r="O3897" s="9"/>
      <c r="V3897" s="9"/>
      <c r="W3897" s="9"/>
    </row>
    <row r="3898" spans="15:23" ht="31.4" customHeight="1" x14ac:dyDescent="0.35">
      <c r="O3898" s="9"/>
      <c r="V3898" s="9"/>
      <c r="W3898" s="9"/>
    </row>
    <row r="3899" spans="15:23" ht="31.4" customHeight="1" x14ac:dyDescent="0.35">
      <c r="O3899" s="9"/>
      <c r="V3899" s="9"/>
      <c r="W3899" s="9"/>
    </row>
    <row r="3900" spans="15:23" ht="31.4" customHeight="1" x14ac:dyDescent="0.35">
      <c r="O3900" s="9"/>
      <c r="V3900" s="9"/>
      <c r="W3900" s="9"/>
    </row>
    <row r="3901" spans="15:23" ht="31.4" customHeight="1" x14ac:dyDescent="0.35">
      <c r="O3901" s="9"/>
      <c r="V3901" s="9"/>
      <c r="W3901" s="9"/>
    </row>
    <row r="3902" spans="15:23" ht="31.4" customHeight="1" x14ac:dyDescent="0.35">
      <c r="O3902" s="9"/>
      <c r="V3902" s="9"/>
      <c r="W3902" s="9"/>
    </row>
    <row r="3903" spans="15:23" ht="31.4" customHeight="1" x14ac:dyDescent="0.35">
      <c r="O3903" s="9"/>
      <c r="V3903" s="9"/>
      <c r="W3903" s="9"/>
    </row>
    <row r="3904" spans="15:23" ht="31.4" customHeight="1" x14ac:dyDescent="0.35">
      <c r="O3904" s="9"/>
      <c r="V3904" s="9"/>
      <c r="W3904" s="9"/>
    </row>
    <row r="3905" spans="15:23" ht="31.4" customHeight="1" x14ac:dyDescent="0.35">
      <c r="O3905" s="9"/>
      <c r="V3905" s="9"/>
      <c r="W3905" s="9"/>
    </row>
    <row r="3906" spans="15:23" ht="31.4" customHeight="1" x14ac:dyDescent="0.35">
      <c r="O3906" s="9"/>
      <c r="V3906" s="9"/>
      <c r="W3906" s="9"/>
    </row>
    <row r="3907" spans="15:23" ht="31.4" customHeight="1" x14ac:dyDescent="0.35">
      <c r="O3907" s="9"/>
      <c r="V3907" s="9"/>
      <c r="W3907" s="9"/>
    </row>
    <row r="3908" spans="15:23" ht="31.4" customHeight="1" x14ac:dyDescent="0.35">
      <c r="O3908" s="9"/>
      <c r="V3908" s="9"/>
      <c r="W3908" s="9"/>
    </row>
    <row r="3909" spans="15:23" ht="31.4" customHeight="1" x14ac:dyDescent="0.35">
      <c r="O3909" s="9"/>
      <c r="V3909" s="9"/>
      <c r="W3909" s="9"/>
    </row>
    <row r="3910" spans="15:23" ht="31.4" customHeight="1" x14ac:dyDescent="0.35">
      <c r="O3910" s="9"/>
      <c r="V3910" s="9"/>
      <c r="W3910" s="9"/>
    </row>
    <row r="3911" spans="15:23" ht="31.4" customHeight="1" x14ac:dyDescent="0.35">
      <c r="O3911" s="9"/>
      <c r="V3911" s="9"/>
      <c r="W3911" s="9"/>
    </row>
    <row r="3912" spans="15:23" ht="31.4" customHeight="1" x14ac:dyDescent="0.35">
      <c r="O3912" s="9"/>
      <c r="V3912" s="9"/>
      <c r="W3912" s="9"/>
    </row>
    <row r="3913" spans="15:23" ht="31.4" customHeight="1" x14ac:dyDescent="0.35">
      <c r="O3913" s="9"/>
      <c r="V3913" s="9"/>
      <c r="W3913" s="9"/>
    </row>
    <row r="3914" spans="15:23" ht="31.4" customHeight="1" x14ac:dyDescent="0.35">
      <c r="O3914" s="9"/>
      <c r="V3914" s="9"/>
      <c r="W3914" s="9"/>
    </row>
    <row r="3915" spans="15:23" ht="31.4" customHeight="1" x14ac:dyDescent="0.35">
      <c r="O3915" s="9"/>
      <c r="V3915" s="9"/>
      <c r="W3915" s="9"/>
    </row>
    <row r="3916" spans="15:23" ht="31.4" customHeight="1" x14ac:dyDescent="0.35">
      <c r="O3916" s="9"/>
      <c r="V3916" s="9"/>
      <c r="W3916" s="9"/>
    </row>
    <row r="3917" spans="15:23" ht="31.4" customHeight="1" x14ac:dyDescent="0.35">
      <c r="O3917" s="9"/>
      <c r="V3917" s="9"/>
      <c r="W3917" s="9"/>
    </row>
    <row r="3918" spans="15:23" ht="31.4" customHeight="1" x14ac:dyDescent="0.35">
      <c r="O3918" s="9"/>
      <c r="V3918" s="9"/>
      <c r="W3918" s="9"/>
    </row>
    <row r="3919" spans="15:23" ht="31.4" customHeight="1" x14ac:dyDescent="0.35">
      <c r="O3919" s="9"/>
      <c r="V3919" s="9"/>
      <c r="W3919" s="9"/>
    </row>
    <row r="3920" spans="15:23" ht="31.4" customHeight="1" x14ac:dyDescent="0.35">
      <c r="O3920" s="9"/>
      <c r="V3920" s="9"/>
      <c r="W3920" s="9"/>
    </row>
    <row r="3921" spans="15:23" ht="31.4" customHeight="1" x14ac:dyDescent="0.35">
      <c r="O3921" s="9"/>
      <c r="V3921" s="9"/>
      <c r="W3921" s="9"/>
    </row>
    <row r="3922" spans="15:23" ht="31.4" customHeight="1" x14ac:dyDescent="0.35">
      <c r="O3922" s="9"/>
      <c r="V3922" s="9"/>
      <c r="W3922" s="9"/>
    </row>
    <row r="3923" spans="15:23" ht="31.4" customHeight="1" x14ac:dyDescent="0.35">
      <c r="O3923" s="9"/>
      <c r="V3923" s="9"/>
      <c r="W3923" s="9"/>
    </row>
    <row r="3924" spans="15:23" ht="31.4" customHeight="1" x14ac:dyDescent="0.35">
      <c r="O3924" s="9"/>
      <c r="V3924" s="9"/>
      <c r="W3924" s="9"/>
    </row>
    <row r="3925" spans="15:23" ht="31.4" customHeight="1" x14ac:dyDescent="0.35">
      <c r="O3925" s="9"/>
      <c r="V3925" s="9"/>
      <c r="W3925" s="9"/>
    </row>
    <row r="3926" spans="15:23" ht="31.4" customHeight="1" x14ac:dyDescent="0.35">
      <c r="O3926" s="9"/>
      <c r="V3926" s="9"/>
      <c r="W3926" s="9"/>
    </row>
    <row r="3927" spans="15:23" ht="31.4" customHeight="1" x14ac:dyDescent="0.35">
      <c r="O3927" s="9"/>
      <c r="V3927" s="9"/>
      <c r="W3927" s="9"/>
    </row>
    <row r="3928" spans="15:23" ht="31.4" customHeight="1" x14ac:dyDescent="0.35">
      <c r="O3928" s="9"/>
      <c r="V3928" s="9"/>
      <c r="W3928" s="9"/>
    </row>
    <row r="3929" spans="15:23" ht="31.4" customHeight="1" x14ac:dyDescent="0.35">
      <c r="O3929" s="9"/>
      <c r="V3929" s="9"/>
      <c r="W3929" s="9"/>
    </row>
    <row r="3930" spans="15:23" ht="31.4" customHeight="1" x14ac:dyDescent="0.35">
      <c r="O3930" s="9"/>
      <c r="V3930" s="9"/>
      <c r="W3930" s="9"/>
    </row>
    <row r="3931" spans="15:23" ht="31.4" customHeight="1" x14ac:dyDescent="0.35">
      <c r="O3931" s="9"/>
      <c r="V3931" s="9"/>
      <c r="W3931" s="9"/>
    </row>
    <row r="3932" spans="15:23" ht="31.4" customHeight="1" x14ac:dyDescent="0.35">
      <c r="O3932" s="9"/>
      <c r="V3932" s="9"/>
      <c r="W3932" s="9"/>
    </row>
    <row r="3933" spans="15:23" ht="31.4" customHeight="1" x14ac:dyDescent="0.35">
      <c r="O3933" s="9"/>
      <c r="V3933" s="9"/>
      <c r="W3933" s="9"/>
    </row>
    <row r="3934" spans="15:23" ht="31.4" customHeight="1" x14ac:dyDescent="0.35">
      <c r="O3934" s="9"/>
      <c r="V3934" s="9"/>
      <c r="W3934" s="9"/>
    </row>
    <row r="3935" spans="15:23" ht="31.4" customHeight="1" x14ac:dyDescent="0.35">
      <c r="O3935" s="9"/>
      <c r="V3935" s="9"/>
      <c r="W3935" s="9"/>
    </row>
    <row r="3936" spans="15:23" ht="31.4" customHeight="1" x14ac:dyDescent="0.35">
      <c r="O3936" s="9"/>
      <c r="V3936" s="9"/>
      <c r="W3936" s="9"/>
    </row>
    <row r="3937" spans="15:23" ht="31.4" customHeight="1" x14ac:dyDescent="0.35">
      <c r="O3937" s="9"/>
      <c r="V3937" s="9"/>
      <c r="W3937" s="9"/>
    </row>
    <row r="3938" spans="15:23" ht="31.4" customHeight="1" x14ac:dyDescent="0.35">
      <c r="O3938" s="9"/>
      <c r="V3938" s="9"/>
      <c r="W3938" s="9"/>
    </row>
    <row r="3939" spans="15:23" ht="31.4" customHeight="1" x14ac:dyDescent="0.35">
      <c r="O3939" s="9"/>
      <c r="V3939" s="9"/>
      <c r="W3939" s="9"/>
    </row>
    <row r="3940" spans="15:23" ht="31.4" customHeight="1" x14ac:dyDescent="0.35">
      <c r="O3940" s="9"/>
      <c r="V3940" s="9"/>
      <c r="W3940" s="9"/>
    </row>
    <row r="3941" spans="15:23" ht="31.4" customHeight="1" x14ac:dyDescent="0.35">
      <c r="O3941" s="9"/>
      <c r="V3941" s="9"/>
      <c r="W3941" s="9"/>
    </row>
    <row r="3942" spans="15:23" ht="31.4" customHeight="1" x14ac:dyDescent="0.35">
      <c r="O3942" s="9"/>
      <c r="V3942" s="9"/>
      <c r="W3942" s="9"/>
    </row>
    <row r="3943" spans="15:23" ht="31.4" customHeight="1" x14ac:dyDescent="0.35">
      <c r="O3943" s="9"/>
      <c r="V3943" s="9"/>
      <c r="W3943" s="9"/>
    </row>
    <row r="3944" spans="15:23" ht="31.4" customHeight="1" x14ac:dyDescent="0.35">
      <c r="O3944" s="9"/>
      <c r="V3944" s="9"/>
      <c r="W3944" s="9"/>
    </row>
    <row r="3945" spans="15:23" ht="31.4" customHeight="1" x14ac:dyDescent="0.35">
      <c r="O3945" s="9"/>
      <c r="V3945" s="9"/>
      <c r="W3945" s="9"/>
    </row>
    <row r="3946" spans="15:23" ht="31.4" customHeight="1" x14ac:dyDescent="0.35">
      <c r="O3946" s="9"/>
      <c r="V3946" s="9"/>
      <c r="W3946" s="9"/>
    </row>
    <row r="3947" spans="15:23" ht="31.4" customHeight="1" x14ac:dyDescent="0.35">
      <c r="O3947" s="9"/>
      <c r="V3947" s="9"/>
      <c r="W3947" s="9"/>
    </row>
    <row r="3948" spans="15:23" ht="31.4" customHeight="1" x14ac:dyDescent="0.35">
      <c r="O3948" s="9"/>
      <c r="V3948" s="9"/>
      <c r="W3948" s="9"/>
    </row>
    <row r="3949" spans="15:23" ht="31.4" customHeight="1" x14ac:dyDescent="0.35">
      <c r="O3949" s="9"/>
      <c r="V3949" s="9"/>
      <c r="W3949" s="9"/>
    </row>
    <row r="3950" spans="15:23" ht="31.4" customHeight="1" x14ac:dyDescent="0.35">
      <c r="O3950" s="9"/>
      <c r="V3950" s="9"/>
      <c r="W3950" s="9"/>
    </row>
    <row r="3951" spans="15:23" ht="31.4" customHeight="1" x14ac:dyDescent="0.35">
      <c r="O3951" s="9"/>
      <c r="V3951" s="9"/>
      <c r="W3951" s="9"/>
    </row>
    <row r="3952" spans="15:23" ht="31.4" customHeight="1" x14ac:dyDescent="0.35">
      <c r="O3952" s="9"/>
      <c r="V3952" s="9"/>
      <c r="W3952" s="9"/>
    </row>
    <row r="3953" spans="15:23" ht="31.4" customHeight="1" x14ac:dyDescent="0.35">
      <c r="O3953" s="9"/>
      <c r="V3953" s="9"/>
      <c r="W3953" s="9"/>
    </row>
    <row r="3954" spans="15:23" ht="31.4" customHeight="1" x14ac:dyDescent="0.35">
      <c r="O3954" s="9"/>
      <c r="V3954" s="9"/>
      <c r="W3954" s="9"/>
    </row>
    <row r="3955" spans="15:23" ht="31.4" customHeight="1" x14ac:dyDescent="0.35">
      <c r="O3955" s="9"/>
      <c r="V3955" s="9"/>
      <c r="W3955" s="9"/>
    </row>
    <row r="3956" spans="15:23" ht="31.4" customHeight="1" x14ac:dyDescent="0.35">
      <c r="O3956" s="9"/>
      <c r="V3956" s="9"/>
      <c r="W3956" s="9"/>
    </row>
    <row r="3957" spans="15:23" ht="31.4" customHeight="1" x14ac:dyDescent="0.35">
      <c r="O3957" s="9"/>
      <c r="V3957" s="9"/>
      <c r="W3957" s="9"/>
    </row>
    <row r="3958" spans="15:23" ht="31.4" customHeight="1" x14ac:dyDescent="0.35">
      <c r="O3958" s="9"/>
      <c r="V3958" s="9"/>
      <c r="W3958" s="9"/>
    </row>
    <row r="3959" spans="15:23" ht="31.4" customHeight="1" x14ac:dyDescent="0.35">
      <c r="O3959" s="9"/>
      <c r="V3959" s="9"/>
      <c r="W3959" s="9"/>
    </row>
    <row r="3960" spans="15:23" ht="31.4" customHeight="1" x14ac:dyDescent="0.35">
      <c r="O3960" s="9"/>
      <c r="V3960" s="9"/>
      <c r="W3960" s="9"/>
    </row>
    <row r="3961" spans="15:23" ht="31.4" customHeight="1" x14ac:dyDescent="0.35">
      <c r="O3961" s="9"/>
      <c r="V3961" s="9"/>
      <c r="W3961" s="9"/>
    </row>
    <row r="3962" spans="15:23" ht="31.4" customHeight="1" x14ac:dyDescent="0.35">
      <c r="O3962" s="9"/>
      <c r="V3962" s="9"/>
      <c r="W3962" s="9"/>
    </row>
    <row r="3963" spans="15:23" ht="31.4" customHeight="1" x14ac:dyDescent="0.35">
      <c r="O3963" s="9"/>
      <c r="V3963" s="9"/>
      <c r="W3963" s="9"/>
    </row>
    <row r="3964" spans="15:23" ht="31.4" customHeight="1" x14ac:dyDescent="0.35">
      <c r="O3964" s="9"/>
      <c r="V3964" s="9"/>
      <c r="W3964" s="9"/>
    </row>
    <row r="3965" spans="15:23" ht="31.4" customHeight="1" x14ac:dyDescent="0.35">
      <c r="O3965" s="9"/>
      <c r="V3965" s="9"/>
      <c r="W3965" s="9"/>
    </row>
    <row r="3966" spans="15:23" ht="31.4" customHeight="1" x14ac:dyDescent="0.35">
      <c r="O3966" s="9"/>
      <c r="V3966" s="9"/>
      <c r="W3966" s="9"/>
    </row>
    <row r="3967" spans="15:23" ht="31.4" customHeight="1" x14ac:dyDescent="0.35">
      <c r="O3967" s="9"/>
      <c r="V3967" s="9"/>
      <c r="W3967" s="9"/>
    </row>
    <row r="3968" spans="15:23" ht="31.4" customHeight="1" x14ac:dyDescent="0.35">
      <c r="O3968" s="9"/>
      <c r="V3968" s="9"/>
      <c r="W3968" s="9"/>
    </row>
    <row r="3969" spans="15:23" ht="31.4" customHeight="1" x14ac:dyDescent="0.35">
      <c r="O3969" s="9"/>
      <c r="V3969" s="9"/>
      <c r="W3969" s="9"/>
    </row>
    <row r="3970" spans="15:23" ht="31.4" customHeight="1" x14ac:dyDescent="0.35">
      <c r="O3970" s="9"/>
      <c r="V3970" s="9"/>
      <c r="W3970" s="9"/>
    </row>
    <row r="3971" spans="15:23" ht="31.4" customHeight="1" x14ac:dyDescent="0.35">
      <c r="O3971" s="9"/>
      <c r="V3971" s="9"/>
      <c r="W3971" s="9"/>
    </row>
    <row r="3972" spans="15:23" ht="31.4" customHeight="1" x14ac:dyDescent="0.35">
      <c r="O3972" s="9"/>
      <c r="V3972" s="9"/>
      <c r="W3972" s="9"/>
    </row>
    <row r="3973" spans="15:23" ht="31.4" customHeight="1" x14ac:dyDescent="0.35">
      <c r="O3973" s="9"/>
      <c r="V3973" s="9"/>
      <c r="W3973" s="9"/>
    </row>
    <row r="3974" spans="15:23" ht="31.4" customHeight="1" x14ac:dyDescent="0.35">
      <c r="O3974" s="9"/>
      <c r="V3974" s="9"/>
      <c r="W3974" s="9"/>
    </row>
    <row r="3975" spans="15:23" ht="31.4" customHeight="1" x14ac:dyDescent="0.35">
      <c r="O3975" s="9"/>
      <c r="V3975" s="9"/>
      <c r="W3975" s="9"/>
    </row>
    <row r="3976" spans="15:23" ht="31.4" customHeight="1" x14ac:dyDescent="0.35">
      <c r="O3976" s="9"/>
      <c r="V3976" s="9"/>
      <c r="W3976" s="9"/>
    </row>
    <row r="3977" spans="15:23" ht="31.4" customHeight="1" x14ac:dyDescent="0.35">
      <c r="O3977" s="9"/>
      <c r="V3977" s="9"/>
      <c r="W3977" s="9"/>
    </row>
    <row r="3978" spans="15:23" ht="31.4" customHeight="1" x14ac:dyDescent="0.35">
      <c r="O3978" s="9"/>
      <c r="V3978" s="9"/>
      <c r="W3978" s="9"/>
    </row>
    <row r="3979" spans="15:23" ht="31.4" customHeight="1" x14ac:dyDescent="0.35">
      <c r="O3979" s="9"/>
      <c r="V3979" s="9"/>
      <c r="W3979" s="9"/>
    </row>
    <row r="3980" spans="15:23" ht="31.4" customHeight="1" x14ac:dyDescent="0.35">
      <c r="O3980" s="9"/>
      <c r="V3980" s="9"/>
      <c r="W3980" s="9"/>
    </row>
    <row r="3981" spans="15:23" ht="31.4" customHeight="1" x14ac:dyDescent="0.35">
      <c r="O3981" s="9"/>
      <c r="V3981" s="9"/>
      <c r="W3981" s="9"/>
    </row>
    <row r="3982" spans="15:23" ht="31.4" customHeight="1" x14ac:dyDescent="0.35">
      <c r="O3982" s="9"/>
      <c r="V3982" s="9"/>
      <c r="W3982" s="9"/>
    </row>
    <row r="3983" spans="15:23" ht="31.4" customHeight="1" x14ac:dyDescent="0.35">
      <c r="O3983" s="9"/>
      <c r="V3983" s="9"/>
      <c r="W3983" s="9"/>
    </row>
    <row r="3984" spans="15:23" ht="31.4" customHeight="1" x14ac:dyDescent="0.35">
      <c r="O3984" s="9"/>
      <c r="V3984" s="9"/>
      <c r="W3984" s="9"/>
    </row>
    <row r="3985" spans="15:23" ht="31.4" customHeight="1" x14ac:dyDescent="0.35">
      <c r="O3985" s="9"/>
      <c r="V3985" s="9"/>
      <c r="W3985" s="9"/>
    </row>
    <row r="3986" spans="15:23" ht="31.4" customHeight="1" x14ac:dyDescent="0.35">
      <c r="O3986" s="9"/>
      <c r="V3986" s="9"/>
      <c r="W3986" s="9"/>
    </row>
    <row r="3987" spans="15:23" ht="31.4" customHeight="1" x14ac:dyDescent="0.35">
      <c r="O3987" s="9"/>
      <c r="V3987" s="9"/>
      <c r="W3987" s="9"/>
    </row>
    <row r="3988" spans="15:23" ht="31.4" customHeight="1" x14ac:dyDescent="0.35">
      <c r="O3988" s="9"/>
      <c r="V3988" s="9"/>
      <c r="W3988" s="9"/>
    </row>
    <row r="3989" spans="15:23" ht="31.4" customHeight="1" x14ac:dyDescent="0.35">
      <c r="O3989" s="9"/>
      <c r="V3989" s="9"/>
      <c r="W3989" s="9"/>
    </row>
    <row r="3990" spans="15:23" ht="31.4" customHeight="1" x14ac:dyDescent="0.35">
      <c r="O3990" s="9"/>
      <c r="V3990" s="9"/>
      <c r="W3990" s="9"/>
    </row>
    <row r="3991" spans="15:23" ht="31.4" customHeight="1" x14ac:dyDescent="0.35">
      <c r="O3991" s="9"/>
      <c r="V3991" s="9"/>
      <c r="W3991" s="9"/>
    </row>
    <row r="3992" spans="15:23" ht="31.4" customHeight="1" x14ac:dyDescent="0.35">
      <c r="O3992" s="9"/>
      <c r="V3992" s="9"/>
      <c r="W3992" s="9"/>
    </row>
    <row r="3993" spans="15:23" ht="31.4" customHeight="1" x14ac:dyDescent="0.35">
      <c r="O3993" s="9"/>
      <c r="V3993" s="9"/>
      <c r="W3993" s="9"/>
    </row>
    <row r="3994" spans="15:23" ht="31.4" customHeight="1" x14ac:dyDescent="0.35">
      <c r="O3994" s="9"/>
      <c r="V3994" s="9"/>
      <c r="W3994" s="9"/>
    </row>
    <row r="3995" spans="15:23" ht="31.4" customHeight="1" x14ac:dyDescent="0.35">
      <c r="O3995" s="9"/>
      <c r="V3995" s="9"/>
      <c r="W3995" s="9"/>
    </row>
    <row r="3996" spans="15:23" ht="31.4" customHeight="1" x14ac:dyDescent="0.35">
      <c r="O3996" s="9"/>
      <c r="V3996" s="9"/>
      <c r="W3996" s="9"/>
    </row>
    <row r="3997" spans="15:23" ht="31.4" customHeight="1" x14ac:dyDescent="0.35">
      <c r="O3997" s="9"/>
      <c r="V3997" s="9"/>
      <c r="W3997" s="9"/>
    </row>
    <row r="3998" spans="15:23" ht="31.4" customHeight="1" x14ac:dyDescent="0.35">
      <c r="O3998" s="9"/>
      <c r="V3998" s="9"/>
      <c r="W3998" s="9"/>
    </row>
    <row r="3999" spans="15:23" ht="31.4" customHeight="1" x14ac:dyDescent="0.35">
      <c r="O3999" s="9"/>
      <c r="V3999" s="9"/>
      <c r="W3999" s="9"/>
    </row>
    <row r="4000" spans="15:23" ht="31.4" customHeight="1" x14ac:dyDescent="0.35">
      <c r="O4000" s="9"/>
      <c r="V4000" s="9"/>
      <c r="W4000" s="9"/>
    </row>
    <row r="4001" spans="15:23" ht="31.4" customHeight="1" x14ac:dyDescent="0.35">
      <c r="O4001" s="9"/>
      <c r="V4001" s="9"/>
      <c r="W4001" s="9"/>
    </row>
    <row r="4002" spans="15:23" ht="31.4" customHeight="1" x14ac:dyDescent="0.35">
      <c r="O4002" s="9"/>
      <c r="V4002" s="9"/>
      <c r="W4002" s="9"/>
    </row>
    <row r="4003" spans="15:23" ht="31.4" customHeight="1" x14ac:dyDescent="0.35">
      <c r="O4003" s="9"/>
      <c r="V4003" s="9"/>
      <c r="W4003" s="9"/>
    </row>
    <row r="4004" spans="15:23" ht="31.4" customHeight="1" x14ac:dyDescent="0.35">
      <c r="O4004" s="9"/>
      <c r="V4004" s="9"/>
      <c r="W4004" s="9"/>
    </row>
    <row r="4005" spans="15:23" ht="31.4" customHeight="1" x14ac:dyDescent="0.35">
      <c r="O4005" s="9"/>
      <c r="V4005" s="9"/>
      <c r="W4005" s="9"/>
    </row>
    <row r="4006" spans="15:23" ht="31.4" customHeight="1" x14ac:dyDescent="0.35">
      <c r="O4006" s="9"/>
      <c r="V4006" s="9"/>
      <c r="W4006" s="9"/>
    </row>
    <row r="4007" spans="15:23" ht="31.4" customHeight="1" x14ac:dyDescent="0.35">
      <c r="O4007" s="9"/>
      <c r="V4007" s="9"/>
      <c r="W4007" s="9"/>
    </row>
    <row r="4008" spans="15:23" ht="31.4" customHeight="1" x14ac:dyDescent="0.35">
      <c r="O4008" s="9"/>
      <c r="V4008" s="9"/>
      <c r="W4008" s="9"/>
    </row>
    <row r="4009" spans="15:23" ht="31.4" customHeight="1" x14ac:dyDescent="0.35">
      <c r="O4009" s="9"/>
      <c r="V4009" s="9"/>
      <c r="W4009" s="9"/>
    </row>
    <row r="4010" spans="15:23" ht="31.4" customHeight="1" x14ac:dyDescent="0.35">
      <c r="O4010" s="9"/>
      <c r="V4010" s="9"/>
      <c r="W4010" s="9"/>
    </row>
    <row r="4011" spans="15:23" ht="31.4" customHeight="1" x14ac:dyDescent="0.35">
      <c r="O4011" s="9"/>
      <c r="V4011" s="9"/>
      <c r="W4011" s="9"/>
    </row>
    <row r="4012" spans="15:23" ht="31.4" customHeight="1" x14ac:dyDescent="0.35">
      <c r="O4012" s="9"/>
      <c r="V4012" s="9"/>
      <c r="W4012" s="9"/>
    </row>
    <row r="4013" spans="15:23" ht="31.4" customHeight="1" x14ac:dyDescent="0.35">
      <c r="O4013" s="9"/>
      <c r="V4013" s="9"/>
      <c r="W4013" s="9"/>
    </row>
    <row r="4014" spans="15:23" ht="31.4" customHeight="1" x14ac:dyDescent="0.35">
      <c r="O4014" s="9"/>
      <c r="V4014" s="9"/>
      <c r="W4014" s="9"/>
    </row>
    <row r="4015" spans="15:23" ht="31.4" customHeight="1" x14ac:dyDescent="0.35">
      <c r="O4015" s="9"/>
      <c r="V4015" s="9"/>
      <c r="W4015" s="9"/>
    </row>
    <row r="4016" spans="15:23" ht="31.4" customHeight="1" x14ac:dyDescent="0.35">
      <c r="O4016" s="9"/>
      <c r="V4016" s="9"/>
      <c r="W4016" s="9"/>
    </row>
    <row r="4017" spans="15:23" ht="31.4" customHeight="1" x14ac:dyDescent="0.35">
      <c r="O4017" s="9"/>
      <c r="V4017" s="9"/>
      <c r="W4017" s="9"/>
    </row>
    <row r="4018" spans="15:23" ht="31.4" customHeight="1" x14ac:dyDescent="0.35">
      <c r="O4018" s="9"/>
      <c r="V4018" s="9"/>
      <c r="W4018" s="9"/>
    </row>
    <row r="4019" spans="15:23" ht="31.4" customHeight="1" x14ac:dyDescent="0.35">
      <c r="O4019" s="9"/>
      <c r="V4019" s="9"/>
      <c r="W4019" s="9"/>
    </row>
    <row r="4020" spans="15:23" ht="31.4" customHeight="1" x14ac:dyDescent="0.35">
      <c r="O4020" s="9"/>
      <c r="V4020" s="9"/>
      <c r="W4020" s="9"/>
    </row>
    <row r="4021" spans="15:23" ht="31.4" customHeight="1" x14ac:dyDescent="0.35">
      <c r="O4021" s="9"/>
      <c r="V4021" s="9"/>
      <c r="W4021" s="9"/>
    </row>
    <row r="4022" spans="15:23" ht="31.4" customHeight="1" x14ac:dyDescent="0.35">
      <c r="O4022" s="9"/>
      <c r="V4022" s="9"/>
      <c r="W4022" s="9"/>
    </row>
    <row r="4023" spans="15:23" ht="31.4" customHeight="1" x14ac:dyDescent="0.35">
      <c r="O4023" s="9"/>
      <c r="V4023" s="9"/>
      <c r="W4023" s="9"/>
    </row>
    <row r="4024" spans="15:23" ht="31.4" customHeight="1" x14ac:dyDescent="0.35">
      <c r="O4024" s="9"/>
      <c r="V4024" s="9"/>
      <c r="W4024" s="9"/>
    </row>
    <row r="4025" spans="15:23" ht="31.4" customHeight="1" x14ac:dyDescent="0.35">
      <c r="O4025" s="9"/>
      <c r="V4025" s="9"/>
      <c r="W4025" s="9"/>
    </row>
    <row r="4026" spans="15:23" ht="31.4" customHeight="1" x14ac:dyDescent="0.35">
      <c r="O4026" s="9"/>
      <c r="V4026" s="9"/>
      <c r="W4026" s="9"/>
    </row>
    <row r="4027" spans="15:23" ht="31.4" customHeight="1" x14ac:dyDescent="0.35">
      <c r="O4027" s="9"/>
      <c r="V4027" s="9"/>
      <c r="W4027" s="9"/>
    </row>
    <row r="4028" spans="15:23" ht="31.4" customHeight="1" x14ac:dyDescent="0.35">
      <c r="O4028" s="9"/>
      <c r="V4028" s="9"/>
      <c r="W4028" s="9"/>
    </row>
    <row r="4029" spans="15:23" ht="31.4" customHeight="1" x14ac:dyDescent="0.35">
      <c r="O4029" s="9"/>
      <c r="V4029" s="9"/>
      <c r="W4029" s="9"/>
    </row>
    <row r="4030" spans="15:23" ht="31.4" customHeight="1" x14ac:dyDescent="0.35">
      <c r="O4030" s="9"/>
      <c r="V4030" s="9"/>
      <c r="W4030" s="9"/>
    </row>
    <row r="4031" spans="15:23" ht="31.4" customHeight="1" x14ac:dyDescent="0.35">
      <c r="O4031" s="9"/>
      <c r="V4031" s="9"/>
      <c r="W4031" s="9"/>
    </row>
    <row r="4032" spans="15:23" ht="31.4" customHeight="1" x14ac:dyDescent="0.35">
      <c r="O4032" s="9"/>
      <c r="V4032" s="9"/>
      <c r="W4032" s="9"/>
    </row>
    <row r="4033" spans="15:23" ht="31.4" customHeight="1" x14ac:dyDescent="0.35">
      <c r="O4033" s="9"/>
      <c r="V4033" s="9"/>
      <c r="W4033" s="9"/>
    </row>
    <row r="4034" spans="15:23" ht="31.4" customHeight="1" x14ac:dyDescent="0.35">
      <c r="O4034" s="9"/>
      <c r="V4034" s="9"/>
      <c r="W4034" s="9"/>
    </row>
    <row r="4035" spans="15:23" ht="31.4" customHeight="1" x14ac:dyDescent="0.35">
      <c r="O4035" s="9"/>
      <c r="V4035" s="9"/>
      <c r="W4035" s="9"/>
    </row>
    <row r="4036" spans="15:23" ht="31.4" customHeight="1" x14ac:dyDescent="0.35">
      <c r="O4036" s="9"/>
      <c r="V4036" s="9"/>
      <c r="W4036" s="9"/>
    </row>
    <row r="4037" spans="15:23" ht="31.4" customHeight="1" x14ac:dyDescent="0.35">
      <c r="O4037" s="9"/>
      <c r="V4037" s="9"/>
      <c r="W4037" s="9"/>
    </row>
    <row r="4038" spans="15:23" ht="31.4" customHeight="1" x14ac:dyDescent="0.35">
      <c r="O4038" s="9"/>
      <c r="V4038" s="9"/>
      <c r="W4038" s="9"/>
    </row>
    <row r="4039" spans="15:23" ht="31.4" customHeight="1" x14ac:dyDescent="0.35">
      <c r="O4039" s="9"/>
      <c r="V4039" s="9"/>
      <c r="W4039" s="9"/>
    </row>
    <row r="4040" spans="15:23" ht="31.4" customHeight="1" x14ac:dyDescent="0.35">
      <c r="O4040" s="9"/>
      <c r="V4040" s="9"/>
      <c r="W4040" s="9"/>
    </row>
    <row r="4041" spans="15:23" ht="31.4" customHeight="1" x14ac:dyDescent="0.35">
      <c r="O4041" s="9"/>
      <c r="V4041" s="9"/>
      <c r="W4041" s="9"/>
    </row>
    <row r="4042" spans="15:23" ht="31.4" customHeight="1" x14ac:dyDescent="0.35">
      <c r="O4042" s="9"/>
      <c r="V4042" s="9"/>
      <c r="W4042" s="9"/>
    </row>
    <row r="4043" spans="15:23" ht="31.4" customHeight="1" x14ac:dyDescent="0.35">
      <c r="O4043" s="9"/>
      <c r="V4043" s="9"/>
      <c r="W4043" s="9"/>
    </row>
    <row r="4044" spans="15:23" ht="31.4" customHeight="1" x14ac:dyDescent="0.35">
      <c r="O4044" s="9"/>
      <c r="V4044" s="9"/>
      <c r="W4044" s="9"/>
    </row>
    <row r="4045" spans="15:23" ht="31.4" customHeight="1" x14ac:dyDescent="0.35">
      <c r="O4045" s="9"/>
      <c r="V4045" s="9"/>
      <c r="W4045" s="9"/>
    </row>
    <row r="4046" spans="15:23" ht="31.4" customHeight="1" x14ac:dyDescent="0.35">
      <c r="O4046" s="9"/>
      <c r="V4046" s="9"/>
      <c r="W4046" s="9"/>
    </row>
    <row r="4047" spans="15:23" ht="31.4" customHeight="1" x14ac:dyDescent="0.35">
      <c r="O4047" s="9"/>
      <c r="V4047" s="9"/>
      <c r="W4047" s="9"/>
    </row>
    <row r="4048" spans="15:23" ht="31.4" customHeight="1" x14ac:dyDescent="0.35">
      <c r="O4048" s="9"/>
      <c r="V4048" s="9"/>
      <c r="W4048" s="9"/>
    </row>
    <row r="4049" spans="15:23" ht="31.4" customHeight="1" x14ac:dyDescent="0.35">
      <c r="O4049" s="9"/>
      <c r="V4049" s="9"/>
      <c r="W4049" s="9"/>
    </row>
    <row r="4050" spans="15:23" ht="31.4" customHeight="1" x14ac:dyDescent="0.35">
      <c r="O4050" s="9"/>
      <c r="V4050" s="9"/>
      <c r="W4050" s="9"/>
    </row>
    <row r="4051" spans="15:23" ht="31.4" customHeight="1" x14ac:dyDescent="0.35">
      <c r="O4051" s="9"/>
      <c r="V4051" s="9"/>
      <c r="W4051" s="9"/>
    </row>
    <row r="4052" spans="15:23" ht="31.4" customHeight="1" x14ac:dyDescent="0.35">
      <c r="O4052" s="9"/>
      <c r="V4052" s="9"/>
      <c r="W4052" s="9"/>
    </row>
    <row r="4053" spans="15:23" ht="31.4" customHeight="1" x14ac:dyDescent="0.35">
      <c r="O4053" s="9"/>
      <c r="V4053" s="9"/>
      <c r="W4053" s="9"/>
    </row>
    <row r="4054" spans="15:23" ht="31.4" customHeight="1" x14ac:dyDescent="0.35">
      <c r="O4054" s="9"/>
      <c r="V4054" s="9"/>
      <c r="W4054" s="9"/>
    </row>
    <row r="4055" spans="15:23" ht="31.4" customHeight="1" x14ac:dyDescent="0.35">
      <c r="O4055" s="9"/>
      <c r="V4055" s="9"/>
      <c r="W4055" s="9"/>
    </row>
    <row r="4056" spans="15:23" ht="31.4" customHeight="1" x14ac:dyDescent="0.35">
      <c r="O4056" s="9"/>
      <c r="V4056" s="9"/>
      <c r="W4056" s="9"/>
    </row>
    <row r="4057" spans="15:23" ht="31.4" customHeight="1" x14ac:dyDescent="0.35">
      <c r="O4057" s="9"/>
      <c r="V4057" s="9"/>
      <c r="W4057" s="9"/>
    </row>
    <row r="4058" spans="15:23" ht="31.4" customHeight="1" x14ac:dyDescent="0.35">
      <c r="O4058" s="9"/>
      <c r="V4058" s="9"/>
      <c r="W4058" s="9"/>
    </row>
    <row r="4059" spans="15:23" ht="31.4" customHeight="1" x14ac:dyDescent="0.35">
      <c r="O4059" s="9"/>
      <c r="V4059" s="9"/>
      <c r="W4059" s="9"/>
    </row>
    <row r="4060" spans="15:23" ht="31.4" customHeight="1" x14ac:dyDescent="0.35">
      <c r="O4060" s="9"/>
      <c r="V4060" s="9"/>
      <c r="W4060" s="9"/>
    </row>
    <row r="4061" spans="15:23" ht="31.4" customHeight="1" x14ac:dyDescent="0.35">
      <c r="O4061" s="9"/>
      <c r="V4061" s="9"/>
      <c r="W4061" s="9"/>
    </row>
    <row r="4062" spans="15:23" ht="31.4" customHeight="1" x14ac:dyDescent="0.35">
      <c r="O4062" s="9"/>
      <c r="V4062" s="9"/>
      <c r="W4062" s="9"/>
    </row>
    <row r="4063" spans="15:23" ht="31.4" customHeight="1" x14ac:dyDescent="0.35">
      <c r="O4063" s="9"/>
      <c r="V4063" s="9"/>
      <c r="W4063" s="9"/>
    </row>
    <row r="4064" spans="15:23" ht="31.4" customHeight="1" x14ac:dyDescent="0.35">
      <c r="O4064" s="9"/>
      <c r="V4064" s="9"/>
      <c r="W4064" s="9"/>
    </row>
    <row r="4065" spans="15:23" ht="31.4" customHeight="1" x14ac:dyDescent="0.35">
      <c r="O4065" s="9"/>
      <c r="V4065" s="9"/>
      <c r="W4065" s="9"/>
    </row>
    <row r="4066" spans="15:23" ht="31.4" customHeight="1" x14ac:dyDescent="0.35">
      <c r="O4066" s="9"/>
      <c r="V4066" s="9"/>
      <c r="W4066" s="9"/>
    </row>
    <row r="4067" spans="15:23" ht="31.4" customHeight="1" x14ac:dyDescent="0.35">
      <c r="O4067" s="9"/>
      <c r="V4067" s="9"/>
      <c r="W4067" s="9"/>
    </row>
    <row r="4068" spans="15:23" ht="31.4" customHeight="1" x14ac:dyDescent="0.35">
      <c r="O4068" s="9"/>
      <c r="V4068" s="9"/>
      <c r="W4068" s="9"/>
    </row>
    <row r="4069" spans="15:23" ht="31.4" customHeight="1" x14ac:dyDescent="0.35">
      <c r="O4069" s="9"/>
      <c r="V4069" s="9"/>
      <c r="W4069" s="9"/>
    </row>
    <row r="4070" spans="15:23" ht="31.4" customHeight="1" x14ac:dyDescent="0.35">
      <c r="O4070" s="9"/>
      <c r="V4070" s="9"/>
      <c r="W4070" s="9"/>
    </row>
    <row r="4071" spans="15:23" ht="31.4" customHeight="1" x14ac:dyDescent="0.35">
      <c r="O4071" s="9"/>
      <c r="V4071" s="9"/>
      <c r="W4071" s="9"/>
    </row>
    <row r="4072" spans="15:23" ht="31.4" customHeight="1" x14ac:dyDescent="0.35">
      <c r="O4072" s="9"/>
      <c r="V4072" s="9"/>
      <c r="W4072" s="9"/>
    </row>
    <row r="4073" spans="15:23" ht="31.4" customHeight="1" x14ac:dyDescent="0.35">
      <c r="O4073" s="9"/>
      <c r="V4073" s="9"/>
      <c r="W4073" s="9"/>
    </row>
    <row r="4074" spans="15:23" ht="31.4" customHeight="1" x14ac:dyDescent="0.35">
      <c r="O4074" s="9"/>
      <c r="V4074" s="9"/>
      <c r="W4074" s="9"/>
    </row>
    <row r="4075" spans="15:23" ht="31.4" customHeight="1" x14ac:dyDescent="0.35">
      <c r="O4075" s="9"/>
      <c r="V4075" s="9"/>
      <c r="W4075" s="9"/>
    </row>
    <row r="4076" spans="15:23" ht="31.4" customHeight="1" x14ac:dyDescent="0.35">
      <c r="O4076" s="9"/>
      <c r="V4076" s="9"/>
      <c r="W4076" s="9"/>
    </row>
    <row r="4077" spans="15:23" ht="31.4" customHeight="1" x14ac:dyDescent="0.35">
      <c r="O4077" s="9"/>
      <c r="V4077" s="9"/>
      <c r="W4077" s="9"/>
    </row>
    <row r="4078" spans="15:23" ht="31.4" customHeight="1" x14ac:dyDescent="0.35">
      <c r="O4078" s="9"/>
      <c r="V4078" s="9"/>
      <c r="W4078" s="9"/>
    </row>
    <row r="4079" spans="15:23" ht="31.4" customHeight="1" x14ac:dyDescent="0.35">
      <c r="O4079" s="9"/>
      <c r="V4079" s="9"/>
      <c r="W4079" s="9"/>
    </row>
    <row r="4080" spans="15:23" ht="31.4" customHeight="1" x14ac:dyDescent="0.35">
      <c r="O4080" s="9"/>
      <c r="V4080" s="9"/>
      <c r="W4080" s="9"/>
    </row>
    <row r="4081" spans="15:23" ht="31.4" customHeight="1" x14ac:dyDescent="0.35">
      <c r="O4081" s="9"/>
      <c r="V4081" s="9"/>
      <c r="W4081" s="9"/>
    </row>
    <row r="4082" spans="15:23" ht="31.4" customHeight="1" x14ac:dyDescent="0.35">
      <c r="O4082" s="9"/>
      <c r="V4082" s="9"/>
      <c r="W4082" s="9"/>
    </row>
    <row r="4083" spans="15:23" ht="31.4" customHeight="1" x14ac:dyDescent="0.35">
      <c r="O4083" s="9"/>
      <c r="V4083" s="9"/>
      <c r="W4083" s="9"/>
    </row>
    <row r="4084" spans="15:23" ht="31.4" customHeight="1" x14ac:dyDescent="0.35">
      <c r="O4084" s="9"/>
      <c r="V4084" s="9"/>
      <c r="W4084" s="9"/>
    </row>
    <row r="4085" spans="15:23" ht="31.4" customHeight="1" x14ac:dyDescent="0.35">
      <c r="O4085" s="9"/>
      <c r="V4085" s="9"/>
      <c r="W4085" s="9"/>
    </row>
    <row r="4086" spans="15:23" ht="31.4" customHeight="1" x14ac:dyDescent="0.35">
      <c r="O4086" s="9"/>
      <c r="V4086" s="9"/>
      <c r="W4086" s="9"/>
    </row>
    <row r="4087" spans="15:23" ht="31.4" customHeight="1" x14ac:dyDescent="0.35">
      <c r="O4087" s="9"/>
      <c r="V4087" s="9"/>
      <c r="W4087" s="9"/>
    </row>
    <row r="4088" spans="15:23" ht="31.4" customHeight="1" x14ac:dyDescent="0.35">
      <c r="O4088" s="9"/>
      <c r="V4088" s="9"/>
      <c r="W4088" s="9"/>
    </row>
    <row r="4089" spans="15:23" ht="31.4" customHeight="1" x14ac:dyDescent="0.35">
      <c r="O4089" s="9"/>
      <c r="V4089" s="9"/>
      <c r="W4089" s="9"/>
    </row>
    <row r="4090" spans="15:23" ht="31.4" customHeight="1" x14ac:dyDescent="0.35">
      <c r="O4090" s="9"/>
      <c r="V4090" s="9"/>
      <c r="W4090" s="9"/>
    </row>
    <row r="4091" spans="15:23" ht="31.4" customHeight="1" x14ac:dyDescent="0.35">
      <c r="O4091" s="9"/>
      <c r="V4091" s="9"/>
      <c r="W4091" s="9"/>
    </row>
    <row r="4092" spans="15:23" ht="31.4" customHeight="1" x14ac:dyDescent="0.35">
      <c r="O4092" s="9"/>
      <c r="V4092" s="9"/>
      <c r="W4092" s="9"/>
    </row>
    <row r="4093" spans="15:23" ht="31.4" customHeight="1" x14ac:dyDescent="0.35">
      <c r="O4093" s="9"/>
      <c r="V4093" s="9"/>
      <c r="W4093" s="9"/>
    </row>
    <row r="4094" spans="15:23" ht="31.4" customHeight="1" x14ac:dyDescent="0.35">
      <c r="O4094" s="9"/>
      <c r="V4094" s="9"/>
      <c r="W4094" s="9"/>
    </row>
    <row r="4095" spans="15:23" ht="31.4" customHeight="1" x14ac:dyDescent="0.35">
      <c r="O4095" s="9"/>
      <c r="V4095" s="9"/>
      <c r="W4095" s="9"/>
    </row>
    <row r="4096" spans="15:23" ht="31.4" customHeight="1" x14ac:dyDescent="0.35">
      <c r="O4096" s="9"/>
      <c r="V4096" s="9"/>
      <c r="W4096" s="9"/>
    </row>
    <row r="4097" spans="15:23" ht="31.4" customHeight="1" x14ac:dyDescent="0.35">
      <c r="O4097" s="9"/>
      <c r="V4097" s="9"/>
      <c r="W4097" s="9"/>
    </row>
    <row r="4098" spans="15:23" ht="31.4" customHeight="1" x14ac:dyDescent="0.35">
      <c r="O4098" s="9"/>
      <c r="V4098" s="9"/>
      <c r="W4098" s="9"/>
    </row>
    <row r="4099" spans="15:23" ht="31.4" customHeight="1" x14ac:dyDescent="0.35">
      <c r="O4099" s="9"/>
      <c r="V4099" s="9"/>
      <c r="W4099" s="9"/>
    </row>
    <row r="4100" spans="15:23" ht="31.4" customHeight="1" x14ac:dyDescent="0.35">
      <c r="O4100" s="9"/>
      <c r="V4100" s="9"/>
      <c r="W4100" s="9"/>
    </row>
    <row r="4101" spans="15:23" ht="31.4" customHeight="1" x14ac:dyDescent="0.35">
      <c r="O4101" s="9"/>
      <c r="V4101" s="9"/>
      <c r="W4101" s="9"/>
    </row>
    <row r="4102" spans="15:23" ht="31.4" customHeight="1" x14ac:dyDescent="0.35">
      <c r="O4102" s="9"/>
      <c r="V4102" s="9"/>
      <c r="W4102" s="9"/>
    </row>
    <row r="4103" spans="15:23" ht="31.4" customHeight="1" x14ac:dyDescent="0.35">
      <c r="O4103" s="9"/>
      <c r="V4103" s="9"/>
      <c r="W4103" s="9"/>
    </row>
    <row r="4104" spans="15:23" ht="31.4" customHeight="1" x14ac:dyDescent="0.35">
      <c r="O4104" s="9"/>
      <c r="V4104" s="9"/>
      <c r="W4104" s="9"/>
    </row>
    <row r="4105" spans="15:23" ht="31.4" customHeight="1" x14ac:dyDescent="0.35">
      <c r="O4105" s="9"/>
      <c r="V4105" s="9"/>
      <c r="W4105" s="9"/>
    </row>
    <row r="4106" spans="15:23" ht="31.4" customHeight="1" x14ac:dyDescent="0.35">
      <c r="O4106" s="9"/>
      <c r="V4106" s="9"/>
      <c r="W4106" s="9"/>
    </row>
    <row r="4107" spans="15:23" ht="31.4" customHeight="1" x14ac:dyDescent="0.35">
      <c r="O4107" s="9"/>
      <c r="V4107" s="9"/>
      <c r="W4107" s="9"/>
    </row>
    <row r="4108" spans="15:23" ht="31.4" customHeight="1" x14ac:dyDescent="0.35">
      <c r="O4108" s="9"/>
      <c r="V4108" s="9"/>
      <c r="W4108" s="9"/>
    </row>
    <row r="4109" spans="15:23" ht="31.4" customHeight="1" x14ac:dyDescent="0.35">
      <c r="O4109" s="9"/>
      <c r="V4109" s="9"/>
      <c r="W4109" s="9"/>
    </row>
    <row r="4110" spans="15:23" ht="31.4" customHeight="1" x14ac:dyDescent="0.35">
      <c r="O4110" s="9"/>
      <c r="V4110" s="9"/>
      <c r="W4110" s="9"/>
    </row>
    <row r="4111" spans="15:23" ht="31.4" customHeight="1" x14ac:dyDescent="0.35">
      <c r="O4111" s="9"/>
      <c r="V4111" s="9"/>
      <c r="W4111" s="9"/>
    </row>
    <row r="4112" spans="15:23" ht="31.4" customHeight="1" x14ac:dyDescent="0.35">
      <c r="O4112" s="9"/>
      <c r="V4112" s="9"/>
      <c r="W4112" s="9"/>
    </row>
    <row r="4113" spans="15:23" ht="31.4" customHeight="1" x14ac:dyDescent="0.35">
      <c r="O4113" s="9"/>
      <c r="V4113" s="9"/>
      <c r="W4113" s="9"/>
    </row>
    <row r="4114" spans="15:23" ht="31.4" customHeight="1" x14ac:dyDescent="0.35">
      <c r="O4114" s="9"/>
      <c r="V4114" s="9"/>
      <c r="W4114" s="9"/>
    </row>
    <row r="4115" spans="15:23" ht="31.4" customHeight="1" x14ac:dyDescent="0.35">
      <c r="O4115" s="9"/>
      <c r="V4115" s="9"/>
      <c r="W4115" s="9"/>
    </row>
    <row r="4116" spans="15:23" ht="31.4" customHeight="1" x14ac:dyDescent="0.35">
      <c r="O4116" s="9"/>
      <c r="V4116" s="9"/>
      <c r="W4116" s="9"/>
    </row>
    <row r="4117" spans="15:23" ht="31.4" customHeight="1" x14ac:dyDescent="0.35">
      <c r="O4117" s="9"/>
      <c r="V4117" s="9"/>
      <c r="W4117" s="9"/>
    </row>
    <row r="4118" spans="15:23" ht="31.4" customHeight="1" x14ac:dyDescent="0.35">
      <c r="O4118" s="9"/>
      <c r="V4118" s="9"/>
      <c r="W4118" s="9"/>
    </row>
    <row r="4119" spans="15:23" ht="31.4" customHeight="1" x14ac:dyDescent="0.35">
      <c r="O4119" s="9"/>
      <c r="V4119" s="9"/>
      <c r="W4119" s="9"/>
    </row>
    <row r="4120" spans="15:23" ht="31.4" customHeight="1" x14ac:dyDescent="0.35">
      <c r="O4120" s="9"/>
      <c r="V4120" s="9"/>
      <c r="W4120" s="9"/>
    </row>
    <row r="4121" spans="15:23" ht="31.4" customHeight="1" x14ac:dyDescent="0.35">
      <c r="O4121" s="9"/>
      <c r="V4121" s="9"/>
      <c r="W4121" s="9"/>
    </row>
    <row r="4122" spans="15:23" ht="31.4" customHeight="1" x14ac:dyDescent="0.35">
      <c r="O4122" s="9"/>
      <c r="V4122" s="9"/>
      <c r="W4122" s="9"/>
    </row>
    <row r="4123" spans="15:23" ht="31.4" customHeight="1" x14ac:dyDescent="0.35">
      <c r="O4123" s="9"/>
      <c r="V4123" s="9"/>
      <c r="W4123" s="9"/>
    </row>
    <row r="4124" spans="15:23" ht="31.4" customHeight="1" x14ac:dyDescent="0.35">
      <c r="O4124" s="9"/>
      <c r="V4124" s="9"/>
      <c r="W4124" s="9"/>
    </row>
    <row r="4125" spans="15:23" ht="31.4" customHeight="1" x14ac:dyDescent="0.35">
      <c r="O4125" s="9"/>
      <c r="V4125" s="9"/>
      <c r="W4125" s="9"/>
    </row>
    <row r="4126" spans="15:23" ht="31.4" customHeight="1" x14ac:dyDescent="0.35">
      <c r="O4126" s="9"/>
      <c r="V4126" s="9"/>
      <c r="W4126" s="9"/>
    </row>
    <row r="4127" spans="15:23" ht="31.4" customHeight="1" x14ac:dyDescent="0.35">
      <c r="O4127" s="9"/>
      <c r="V4127" s="9"/>
      <c r="W4127" s="9"/>
    </row>
    <row r="4128" spans="15:23" ht="31.4" customHeight="1" x14ac:dyDescent="0.35">
      <c r="O4128" s="9"/>
      <c r="V4128" s="9"/>
      <c r="W4128" s="9"/>
    </row>
    <row r="4129" spans="15:23" ht="31.4" customHeight="1" x14ac:dyDescent="0.35">
      <c r="O4129" s="9"/>
      <c r="V4129" s="9"/>
      <c r="W4129" s="9"/>
    </row>
    <row r="4130" spans="15:23" ht="31.4" customHeight="1" x14ac:dyDescent="0.35">
      <c r="O4130" s="9"/>
      <c r="V4130" s="9"/>
      <c r="W4130" s="9"/>
    </row>
    <row r="4131" spans="15:23" ht="31.4" customHeight="1" x14ac:dyDescent="0.35">
      <c r="O4131" s="9"/>
      <c r="V4131" s="9"/>
      <c r="W4131" s="9"/>
    </row>
    <row r="4132" spans="15:23" ht="31.4" customHeight="1" x14ac:dyDescent="0.35">
      <c r="O4132" s="9"/>
      <c r="V4132" s="9"/>
      <c r="W4132" s="9"/>
    </row>
    <row r="4133" spans="15:23" ht="31.4" customHeight="1" x14ac:dyDescent="0.35">
      <c r="O4133" s="9"/>
      <c r="V4133" s="9"/>
      <c r="W4133" s="9"/>
    </row>
    <row r="4134" spans="15:23" ht="31.4" customHeight="1" x14ac:dyDescent="0.35">
      <c r="O4134" s="9"/>
      <c r="V4134" s="9"/>
      <c r="W4134" s="9"/>
    </row>
    <row r="4135" spans="15:23" ht="31.4" customHeight="1" x14ac:dyDescent="0.35">
      <c r="O4135" s="9"/>
      <c r="V4135" s="9"/>
      <c r="W4135" s="9"/>
    </row>
    <row r="4136" spans="15:23" ht="31.4" customHeight="1" x14ac:dyDescent="0.35">
      <c r="O4136" s="9"/>
      <c r="V4136" s="9"/>
      <c r="W4136" s="9"/>
    </row>
    <row r="4137" spans="15:23" ht="31.4" customHeight="1" x14ac:dyDescent="0.35">
      <c r="O4137" s="9"/>
      <c r="V4137" s="9"/>
      <c r="W4137" s="9"/>
    </row>
    <row r="4138" spans="15:23" ht="31.4" customHeight="1" x14ac:dyDescent="0.35">
      <c r="O4138" s="9"/>
      <c r="V4138" s="9"/>
      <c r="W4138" s="9"/>
    </row>
    <row r="4139" spans="15:23" ht="31.4" customHeight="1" x14ac:dyDescent="0.35">
      <c r="O4139" s="9"/>
      <c r="V4139" s="9"/>
      <c r="W4139" s="9"/>
    </row>
    <row r="4140" spans="15:23" ht="31.4" customHeight="1" x14ac:dyDescent="0.35">
      <c r="O4140" s="9"/>
      <c r="V4140" s="9"/>
      <c r="W4140" s="9"/>
    </row>
    <row r="4141" spans="15:23" ht="31.4" customHeight="1" x14ac:dyDescent="0.35">
      <c r="O4141" s="9"/>
      <c r="V4141" s="9"/>
      <c r="W4141" s="9"/>
    </row>
    <row r="4142" spans="15:23" ht="31.4" customHeight="1" x14ac:dyDescent="0.35">
      <c r="O4142" s="9"/>
      <c r="V4142" s="9"/>
      <c r="W4142" s="9"/>
    </row>
    <row r="4143" spans="15:23" ht="31.4" customHeight="1" x14ac:dyDescent="0.35">
      <c r="O4143" s="9"/>
      <c r="V4143" s="9"/>
      <c r="W4143" s="9"/>
    </row>
    <row r="4144" spans="15:23" ht="31.4" customHeight="1" x14ac:dyDescent="0.35">
      <c r="O4144" s="9"/>
      <c r="V4144" s="9"/>
      <c r="W4144" s="9"/>
    </row>
    <row r="4145" spans="15:23" ht="31.4" customHeight="1" x14ac:dyDescent="0.35">
      <c r="O4145" s="9"/>
      <c r="V4145" s="9"/>
      <c r="W4145" s="9"/>
    </row>
    <row r="4146" spans="15:23" ht="31.4" customHeight="1" x14ac:dyDescent="0.35">
      <c r="O4146" s="9"/>
      <c r="V4146" s="9"/>
      <c r="W4146" s="9"/>
    </row>
    <row r="4147" spans="15:23" ht="31.4" customHeight="1" x14ac:dyDescent="0.35">
      <c r="O4147" s="9"/>
      <c r="V4147" s="9"/>
      <c r="W4147" s="9"/>
    </row>
    <row r="4148" spans="15:23" ht="31.4" customHeight="1" x14ac:dyDescent="0.35">
      <c r="O4148" s="9"/>
      <c r="V4148" s="9"/>
      <c r="W4148" s="9"/>
    </row>
    <row r="4149" spans="15:23" ht="31.4" customHeight="1" x14ac:dyDescent="0.35">
      <c r="O4149" s="9"/>
      <c r="V4149" s="9"/>
      <c r="W4149" s="9"/>
    </row>
    <row r="4150" spans="15:23" ht="31.4" customHeight="1" x14ac:dyDescent="0.35">
      <c r="O4150" s="9"/>
      <c r="V4150" s="9"/>
      <c r="W4150" s="9"/>
    </row>
    <row r="4151" spans="15:23" ht="31.4" customHeight="1" x14ac:dyDescent="0.35">
      <c r="O4151" s="9"/>
      <c r="V4151" s="9"/>
      <c r="W4151" s="9"/>
    </row>
    <row r="4152" spans="15:23" ht="31.4" customHeight="1" x14ac:dyDescent="0.35">
      <c r="O4152" s="9"/>
      <c r="V4152" s="9"/>
      <c r="W4152" s="9"/>
    </row>
    <row r="4153" spans="15:23" ht="31.4" customHeight="1" x14ac:dyDescent="0.35">
      <c r="O4153" s="9"/>
      <c r="V4153" s="9"/>
      <c r="W4153" s="9"/>
    </row>
    <row r="4154" spans="15:23" ht="31.4" customHeight="1" x14ac:dyDescent="0.35">
      <c r="O4154" s="9"/>
      <c r="V4154" s="9"/>
      <c r="W4154" s="9"/>
    </row>
    <row r="4155" spans="15:23" ht="31.4" customHeight="1" x14ac:dyDescent="0.35">
      <c r="O4155" s="9"/>
      <c r="V4155" s="9"/>
      <c r="W4155" s="9"/>
    </row>
    <row r="4156" spans="15:23" ht="31.4" customHeight="1" x14ac:dyDescent="0.35">
      <c r="O4156" s="9"/>
      <c r="V4156" s="9"/>
      <c r="W4156" s="9"/>
    </row>
    <row r="4157" spans="15:23" ht="31.4" customHeight="1" x14ac:dyDescent="0.35">
      <c r="O4157" s="9"/>
      <c r="V4157" s="9"/>
      <c r="W4157" s="9"/>
    </row>
    <row r="4158" spans="15:23" ht="31.4" customHeight="1" x14ac:dyDescent="0.35">
      <c r="O4158" s="9"/>
      <c r="V4158" s="9"/>
      <c r="W4158" s="9"/>
    </row>
    <row r="4159" spans="15:23" ht="31.4" customHeight="1" x14ac:dyDescent="0.35">
      <c r="O4159" s="9"/>
      <c r="V4159" s="9"/>
      <c r="W4159" s="9"/>
    </row>
    <row r="4160" spans="15:23" ht="31.4" customHeight="1" x14ac:dyDescent="0.35">
      <c r="O4160" s="9"/>
      <c r="V4160" s="9"/>
      <c r="W4160" s="9"/>
    </row>
    <row r="4161" spans="15:23" ht="31.4" customHeight="1" x14ac:dyDescent="0.35">
      <c r="O4161" s="9"/>
      <c r="V4161" s="9"/>
      <c r="W4161" s="9"/>
    </row>
    <row r="4162" spans="15:23" ht="31.4" customHeight="1" x14ac:dyDescent="0.35">
      <c r="O4162" s="9"/>
      <c r="V4162" s="9"/>
      <c r="W4162" s="9"/>
    </row>
    <row r="4163" spans="15:23" ht="31.4" customHeight="1" x14ac:dyDescent="0.35">
      <c r="O4163" s="9"/>
      <c r="V4163" s="9"/>
      <c r="W4163" s="9"/>
    </row>
    <row r="4164" spans="15:23" ht="31.4" customHeight="1" x14ac:dyDescent="0.35">
      <c r="O4164" s="9"/>
      <c r="V4164" s="9"/>
      <c r="W4164" s="9"/>
    </row>
    <row r="4165" spans="15:23" ht="31.4" customHeight="1" x14ac:dyDescent="0.35">
      <c r="O4165" s="9"/>
      <c r="V4165" s="9"/>
      <c r="W4165" s="9"/>
    </row>
    <row r="4166" spans="15:23" ht="31.4" customHeight="1" x14ac:dyDescent="0.35">
      <c r="O4166" s="9"/>
      <c r="V4166" s="9"/>
      <c r="W4166" s="9"/>
    </row>
    <row r="4167" spans="15:23" ht="31.4" customHeight="1" x14ac:dyDescent="0.35">
      <c r="O4167" s="9"/>
      <c r="V4167" s="9"/>
      <c r="W4167" s="9"/>
    </row>
    <row r="4168" spans="15:23" ht="31.4" customHeight="1" x14ac:dyDescent="0.35">
      <c r="O4168" s="9"/>
      <c r="V4168" s="9"/>
      <c r="W4168" s="9"/>
    </row>
    <row r="4169" spans="15:23" ht="31.4" customHeight="1" x14ac:dyDescent="0.35">
      <c r="O4169" s="9"/>
      <c r="V4169" s="9"/>
      <c r="W4169" s="9"/>
    </row>
    <row r="4170" spans="15:23" ht="31.4" customHeight="1" x14ac:dyDescent="0.35">
      <c r="O4170" s="9"/>
      <c r="V4170" s="9"/>
      <c r="W4170" s="9"/>
    </row>
    <row r="4171" spans="15:23" ht="31.4" customHeight="1" x14ac:dyDescent="0.35">
      <c r="O4171" s="9"/>
      <c r="V4171" s="9"/>
      <c r="W4171" s="9"/>
    </row>
    <row r="4172" spans="15:23" ht="31.4" customHeight="1" x14ac:dyDescent="0.35">
      <c r="O4172" s="9"/>
      <c r="V4172" s="9"/>
      <c r="W4172" s="9"/>
    </row>
    <row r="4173" spans="15:23" ht="31.4" customHeight="1" x14ac:dyDescent="0.35">
      <c r="O4173" s="9"/>
      <c r="V4173" s="9"/>
      <c r="W4173" s="9"/>
    </row>
    <row r="4174" spans="15:23" ht="31.4" customHeight="1" x14ac:dyDescent="0.35">
      <c r="O4174" s="9"/>
      <c r="V4174" s="9"/>
      <c r="W4174" s="9"/>
    </row>
    <row r="4175" spans="15:23" ht="31.4" customHeight="1" x14ac:dyDescent="0.35">
      <c r="O4175" s="9"/>
      <c r="V4175" s="9"/>
      <c r="W4175" s="9"/>
    </row>
    <row r="4176" spans="15:23" ht="31.4" customHeight="1" x14ac:dyDescent="0.35">
      <c r="O4176" s="9"/>
      <c r="V4176" s="9"/>
      <c r="W4176" s="9"/>
    </row>
    <row r="4177" spans="15:23" ht="31.4" customHeight="1" x14ac:dyDescent="0.35">
      <c r="O4177" s="9"/>
      <c r="V4177" s="9"/>
      <c r="W4177" s="9"/>
    </row>
    <row r="4178" spans="15:23" ht="31.4" customHeight="1" x14ac:dyDescent="0.35">
      <c r="O4178" s="9"/>
      <c r="V4178" s="9"/>
      <c r="W4178" s="9"/>
    </row>
    <row r="4179" spans="15:23" ht="31.4" customHeight="1" x14ac:dyDescent="0.35">
      <c r="O4179" s="9"/>
      <c r="V4179" s="9"/>
      <c r="W4179" s="9"/>
    </row>
    <row r="4180" spans="15:23" ht="31.4" customHeight="1" x14ac:dyDescent="0.35">
      <c r="O4180" s="9"/>
      <c r="V4180" s="9"/>
      <c r="W4180" s="9"/>
    </row>
    <row r="4181" spans="15:23" ht="31.4" customHeight="1" x14ac:dyDescent="0.35">
      <c r="O4181" s="9"/>
      <c r="V4181" s="9"/>
      <c r="W4181" s="9"/>
    </row>
    <row r="4182" spans="15:23" ht="31.4" customHeight="1" x14ac:dyDescent="0.35">
      <c r="O4182" s="9"/>
      <c r="V4182" s="9"/>
      <c r="W4182" s="9"/>
    </row>
    <row r="4183" spans="15:23" ht="31.4" customHeight="1" x14ac:dyDescent="0.35">
      <c r="O4183" s="9"/>
      <c r="V4183" s="9"/>
      <c r="W4183" s="9"/>
    </row>
    <row r="4184" spans="15:23" ht="31.4" customHeight="1" x14ac:dyDescent="0.35">
      <c r="O4184" s="9"/>
      <c r="V4184" s="9"/>
      <c r="W4184" s="9"/>
    </row>
    <row r="4185" spans="15:23" ht="31.4" customHeight="1" x14ac:dyDescent="0.35">
      <c r="O4185" s="9"/>
      <c r="V4185" s="9"/>
      <c r="W4185" s="9"/>
    </row>
    <row r="4186" spans="15:23" ht="31.4" customHeight="1" x14ac:dyDescent="0.35">
      <c r="O4186" s="9"/>
      <c r="V4186" s="9"/>
      <c r="W4186" s="9"/>
    </row>
    <row r="4187" spans="15:23" ht="31.4" customHeight="1" x14ac:dyDescent="0.35">
      <c r="O4187" s="9"/>
      <c r="V4187" s="9"/>
      <c r="W4187" s="9"/>
    </row>
    <row r="4188" spans="15:23" ht="31.4" customHeight="1" x14ac:dyDescent="0.35">
      <c r="O4188" s="9"/>
      <c r="V4188" s="9"/>
      <c r="W4188" s="9"/>
    </row>
    <row r="4189" spans="15:23" ht="31.4" customHeight="1" x14ac:dyDescent="0.35">
      <c r="O4189" s="9"/>
      <c r="V4189" s="9"/>
      <c r="W4189" s="9"/>
    </row>
    <row r="4190" spans="15:23" ht="31.4" customHeight="1" x14ac:dyDescent="0.35">
      <c r="O4190" s="9"/>
      <c r="V4190" s="9"/>
      <c r="W4190" s="9"/>
    </row>
    <row r="4191" spans="15:23" ht="31.4" customHeight="1" x14ac:dyDescent="0.35">
      <c r="O4191" s="9"/>
      <c r="V4191" s="9"/>
      <c r="W4191" s="9"/>
    </row>
    <row r="4192" spans="15:23" ht="31.4" customHeight="1" x14ac:dyDescent="0.35">
      <c r="O4192" s="9"/>
      <c r="V4192" s="9"/>
      <c r="W4192" s="9"/>
    </row>
    <row r="4193" spans="15:23" ht="31.4" customHeight="1" x14ac:dyDescent="0.35">
      <c r="O4193" s="9"/>
      <c r="V4193" s="9"/>
      <c r="W4193" s="9"/>
    </row>
    <row r="4194" spans="15:23" ht="31.4" customHeight="1" x14ac:dyDescent="0.35">
      <c r="O4194" s="9"/>
      <c r="V4194" s="9"/>
      <c r="W4194" s="9"/>
    </row>
    <row r="4195" spans="15:23" ht="31.4" customHeight="1" x14ac:dyDescent="0.35">
      <c r="O4195" s="9"/>
      <c r="V4195" s="9"/>
      <c r="W4195" s="9"/>
    </row>
    <row r="4196" spans="15:23" ht="31.4" customHeight="1" x14ac:dyDescent="0.35">
      <c r="O4196" s="9"/>
      <c r="V4196" s="9"/>
      <c r="W4196" s="9"/>
    </row>
    <row r="4197" spans="15:23" ht="31.4" customHeight="1" x14ac:dyDescent="0.35">
      <c r="O4197" s="9"/>
      <c r="V4197" s="9"/>
      <c r="W4197" s="9"/>
    </row>
    <row r="4198" spans="15:23" ht="31.4" customHeight="1" x14ac:dyDescent="0.35">
      <c r="O4198" s="9"/>
      <c r="V4198" s="9"/>
      <c r="W4198" s="9"/>
    </row>
    <row r="4199" spans="15:23" ht="31.4" customHeight="1" x14ac:dyDescent="0.35">
      <c r="O4199" s="9"/>
      <c r="V4199" s="9"/>
      <c r="W4199" s="9"/>
    </row>
    <row r="4200" spans="15:23" ht="31.4" customHeight="1" x14ac:dyDescent="0.35">
      <c r="O4200" s="9"/>
      <c r="V4200" s="9"/>
      <c r="W4200" s="9"/>
    </row>
    <row r="4201" spans="15:23" ht="31.4" customHeight="1" x14ac:dyDescent="0.35">
      <c r="O4201" s="9"/>
      <c r="V4201" s="9"/>
      <c r="W4201" s="9"/>
    </row>
    <row r="4202" spans="15:23" ht="31.4" customHeight="1" x14ac:dyDescent="0.35">
      <c r="O4202" s="9"/>
      <c r="V4202" s="9"/>
      <c r="W4202" s="9"/>
    </row>
    <row r="4203" spans="15:23" ht="31.4" customHeight="1" x14ac:dyDescent="0.35">
      <c r="O4203" s="9"/>
      <c r="V4203" s="9"/>
      <c r="W4203" s="9"/>
    </row>
    <row r="4204" spans="15:23" ht="31.4" customHeight="1" x14ac:dyDescent="0.35">
      <c r="O4204" s="9"/>
      <c r="V4204" s="9"/>
      <c r="W4204" s="9"/>
    </row>
    <row r="4205" spans="15:23" ht="31.4" customHeight="1" x14ac:dyDescent="0.35">
      <c r="O4205" s="9"/>
      <c r="V4205" s="9"/>
      <c r="W4205" s="9"/>
    </row>
    <row r="4206" spans="15:23" ht="31.4" customHeight="1" x14ac:dyDescent="0.35">
      <c r="O4206" s="9"/>
      <c r="V4206" s="9"/>
      <c r="W4206" s="9"/>
    </row>
    <row r="4207" spans="15:23" ht="31.4" customHeight="1" x14ac:dyDescent="0.35">
      <c r="O4207" s="9"/>
      <c r="V4207" s="9"/>
      <c r="W4207" s="9"/>
    </row>
    <row r="4208" spans="15:23" ht="31.4" customHeight="1" x14ac:dyDescent="0.35">
      <c r="O4208" s="9"/>
      <c r="V4208" s="9"/>
      <c r="W4208" s="9"/>
    </row>
    <row r="4209" spans="15:23" ht="31.4" customHeight="1" x14ac:dyDescent="0.35">
      <c r="O4209" s="9"/>
      <c r="V4209" s="9"/>
      <c r="W4209" s="9"/>
    </row>
    <row r="4210" spans="15:23" ht="31.4" customHeight="1" x14ac:dyDescent="0.35">
      <c r="O4210" s="9"/>
      <c r="V4210" s="9"/>
      <c r="W4210" s="9"/>
    </row>
    <row r="4211" spans="15:23" ht="31.4" customHeight="1" x14ac:dyDescent="0.35">
      <c r="O4211" s="9"/>
      <c r="V4211" s="9"/>
      <c r="W4211" s="9"/>
    </row>
    <row r="4212" spans="15:23" ht="31.4" customHeight="1" x14ac:dyDescent="0.35">
      <c r="O4212" s="9"/>
      <c r="V4212" s="9"/>
      <c r="W4212" s="9"/>
    </row>
    <row r="4213" spans="15:23" ht="31.4" customHeight="1" x14ac:dyDescent="0.35">
      <c r="O4213" s="9"/>
      <c r="V4213" s="9"/>
      <c r="W4213" s="9"/>
    </row>
    <row r="4214" spans="15:23" ht="31.4" customHeight="1" x14ac:dyDescent="0.35">
      <c r="O4214" s="9"/>
      <c r="V4214" s="9"/>
      <c r="W4214" s="9"/>
    </row>
    <row r="4215" spans="15:23" ht="31.4" customHeight="1" x14ac:dyDescent="0.35">
      <c r="O4215" s="9"/>
      <c r="V4215" s="9"/>
      <c r="W4215" s="9"/>
    </row>
    <row r="4216" spans="15:23" ht="31.4" customHeight="1" x14ac:dyDescent="0.35">
      <c r="O4216" s="9"/>
      <c r="V4216" s="9"/>
      <c r="W4216" s="9"/>
    </row>
    <row r="4217" spans="15:23" ht="31.4" customHeight="1" x14ac:dyDescent="0.35">
      <c r="O4217" s="9"/>
      <c r="V4217" s="9"/>
      <c r="W4217" s="9"/>
    </row>
    <row r="4218" spans="15:23" ht="31.4" customHeight="1" x14ac:dyDescent="0.35">
      <c r="O4218" s="9"/>
      <c r="V4218" s="9"/>
      <c r="W4218" s="9"/>
    </row>
    <row r="4219" spans="15:23" ht="31.4" customHeight="1" x14ac:dyDescent="0.35">
      <c r="O4219" s="9"/>
      <c r="V4219" s="9"/>
      <c r="W4219" s="9"/>
    </row>
    <row r="4220" spans="15:23" ht="31.4" customHeight="1" x14ac:dyDescent="0.35">
      <c r="O4220" s="9"/>
      <c r="V4220" s="9"/>
      <c r="W4220" s="9"/>
    </row>
    <row r="4221" spans="15:23" ht="31.4" customHeight="1" x14ac:dyDescent="0.35">
      <c r="O4221" s="9"/>
      <c r="V4221" s="9"/>
      <c r="W4221" s="9"/>
    </row>
    <row r="4222" spans="15:23" ht="31.4" customHeight="1" x14ac:dyDescent="0.35">
      <c r="O4222" s="9"/>
      <c r="V4222" s="9"/>
      <c r="W4222" s="9"/>
    </row>
    <row r="4223" spans="15:23" ht="31.4" customHeight="1" x14ac:dyDescent="0.35">
      <c r="O4223" s="9"/>
      <c r="V4223" s="9"/>
      <c r="W4223" s="9"/>
    </row>
    <row r="4224" spans="15:23" ht="31.4" customHeight="1" x14ac:dyDescent="0.35">
      <c r="O4224" s="9"/>
      <c r="V4224" s="9"/>
      <c r="W4224" s="9"/>
    </row>
    <row r="4225" spans="15:23" ht="31.4" customHeight="1" x14ac:dyDescent="0.35">
      <c r="O4225" s="9"/>
      <c r="V4225" s="9"/>
      <c r="W4225" s="9"/>
    </row>
    <row r="4226" spans="15:23" ht="31.4" customHeight="1" x14ac:dyDescent="0.35">
      <c r="O4226" s="9"/>
      <c r="V4226" s="9"/>
      <c r="W4226" s="9"/>
    </row>
    <row r="4227" spans="15:23" ht="31.4" customHeight="1" x14ac:dyDescent="0.35">
      <c r="O4227" s="9"/>
      <c r="V4227" s="9"/>
      <c r="W4227" s="9"/>
    </row>
    <row r="4228" spans="15:23" ht="31.4" customHeight="1" x14ac:dyDescent="0.35">
      <c r="O4228" s="9"/>
      <c r="V4228" s="9"/>
      <c r="W4228" s="9"/>
    </row>
    <row r="4229" spans="15:23" ht="31.4" customHeight="1" x14ac:dyDescent="0.35">
      <c r="O4229" s="9"/>
      <c r="V4229" s="9"/>
      <c r="W4229" s="9"/>
    </row>
    <row r="4230" spans="15:23" ht="31.4" customHeight="1" x14ac:dyDescent="0.35">
      <c r="O4230" s="9"/>
      <c r="V4230" s="9"/>
      <c r="W4230" s="9"/>
    </row>
    <row r="4231" spans="15:23" ht="31.4" customHeight="1" x14ac:dyDescent="0.35">
      <c r="O4231" s="9"/>
      <c r="V4231" s="9"/>
      <c r="W4231" s="9"/>
    </row>
    <row r="4232" spans="15:23" ht="31.4" customHeight="1" x14ac:dyDescent="0.35">
      <c r="O4232" s="9"/>
      <c r="V4232" s="9"/>
      <c r="W4232" s="9"/>
    </row>
    <row r="4233" spans="15:23" ht="31.4" customHeight="1" x14ac:dyDescent="0.35">
      <c r="O4233" s="9"/>
      <c r="V4233" s="9"/>
      <c r="W4233" s="9"/>
    </row>
    <row r="4234" spans="15:23" ht="31.4" customHeight="1" x14ac:dyDescent="0.35">
      <c r="O4234" s="9"/>
      <c r="V4234" s="9"/>
      <c r="W4234" s="9"/>
    </row>
    <row r="4235" spans="15:23" ht="31.4" customHeight="1" x14ac:dyDescent="0.35">
      <c r="O4235" s="9"/>
      <c r="V4235" s="9"/>
      <c r="W4235" s="9"/>
    </row>
    <row r="4236" spans="15:23" ht="31.4" customHeight="1" x14ac:dyDescent="0.35">
      <c r="O4236" s="9"/>
      <c r="V4236" s="9"/>
      <c r="W4236" s="9"/>
    </row>
    <row r="4237" spans="15:23" ht="31.4" customHeight="1" x14ac:dyDescent="0.35">
      <c r="O4237" s="9"/>
      <c r="V4237" s="9"/>
      <c r="W4237" s="9"/>
    </row>
    <row r="4238" spans="15:23" ht="31.4" customHeight="1" x14ac:dyDescent="0.35">
      <c r="O4238" s="9"/>
      <c r="V4238" s="9"/>
      <c r="W4238" s="9"/>
    </row>
    <row r="4239" spans="15:23" ht="31.4" customHeight="1" x14ac:dyDescent="0.35">
      <c r="O4239" s="9"/>
      <c r="V4239" s="9"/>
      <c r="W4239" s="9"/>
    </row>
    <row r="4240" spans="15:23" ht="31.4" customHeight="1" x14ac:dyDescent="0.35">
      <c r="O4240" s="9"/>
      <c r="V4240" s="9"/>
      <c r="W4240" s="9"/>
    </row>
    <row r="4241" spans="15:23" ht="31.4" customHeight="1" x14ac:dyDescent="0.35">
      <c r="O4241" s="9"/>
      <c r="V4241" s="9"/>
      <c r="W4241" s="9"/>
    </row>
    <row r="4242" spans="15:23" ht="31.4" customHeight="1" x14ac:dyDescent="0.35">
      <c r="O4242" s="9"/>
      <c r="V4242" s="9"/>
      <c r="W4242" s="9"/>
    </row>
    <row r="4243" spans="15:23" ht="31.4" customHeight="1" x14ac:dyDescent="0.35">
      <c r="O4243" s="9"/>
      <c r="V4243" s="9"/>
      <c r="W4243" s="9"/>
    </row>
    <row r="4244" spans="15:23" ht="31.4" customHeight="1" x14ac:dyDescent="0.35">
      <c r="O4244" s="9"/>
      <c r="V4244" s="9"/>
      <c r="W4244" s="9"/>
    </row>
    <row r="4245" spans="15:23" ht="31.4" customHeight="1" x14ac:dyDescent="0.35">
      <c r="O4245" s="9"/>
      <c r="V4245" s="9"/>
      <c r="W4245" s="9"/>
    </row>
    <row r="4246" spans="15:23" ht="31.4" customHeight="1" x14ac:dyDescent="0.35">
      <c r="O4246" s="9"/>
      <c r="V4246" s="9"/>
      <c r="W4246" s="9"/>
    </row>
    <row r="4247" spans="15:23" ht="31.4" customHeight="1" x14ac:dyDescent="0.35">
      <c r="O4247" s="9"/>
      <c r="V4247" s="9"/>
      <c r="W4247" s="9"/>
    </row>
    <row r="4248" spans="15:23" ht="31.4" customHeight="1" x14ac:dyDescent="0.35">
      <c r="O4248" s="9"/>
      <c r="V4248" s="9"/>
      <c r="W4248" s="9"/>
    </row>
    <row r="4249" spans="15:23" ht="31.4" customHeight="1" x14ac:dyDescent="0.35">
      <c r="O4249" s="9"/>
      <c r="V4249" s="9"/>
      <c r="W4249" s="9"/>
    </row>
    <row r="4250" spans="15:23" ht="31.4" customHeight="1" x14ac:dyDescent="0.35">
      <c r="O4250" s="9"/>
      <c r="V4250" s="9"/>
      <c r="W4250" s="9"/>
    </row>
    <row r="4251" spans="15:23" ht="31.4" customHeight="1" x14ac:dyDescent="0.35">
      <c r="O4251" s="9"/>
      <c r="V4251" s="9"/>
      <c r="W4251" s="9"/>
    </row>
    <row r="4252" spans="15:23" ht="31.4" customHeight="1" x14ac:dyDescent="0.35">
      <c r="O4252" s="9"/>
      <c r="V4252" s="9"/>
      <c r="W4252" s="9"/>
    </row>
    <row r="4253" spans="15:23" ht="31.4" customHeight="1" x14ac:dyDescent="0.35">
      <c r="O4253" s="9"/>
      <c r="V4253" s="9"/>
      <c r="W4253" s="9"/>
    </row>
    <row r="4254" spans="15:23" ht="31.4" customHeight="1" x14ac:dyDescent="0.35">
      <c r="O4254" s="9"/>
      <c r="V4254" s="9"/>
      <c r="W4254" s="9"/>
    </row>
    <row r="4255" spans="15:23" ht="31.4" customHeight="1" x14ac:dyDescent="0.35">
      <c r="O4255" s="9"/>
      <c r="V4255" s="9"/>
      <c r="W4255" s="9"/>
    </row>
    <row r="4256" spans="15:23" ht="31.4" customHeight="1" x14ac:dyDescent="0.35">
      <c r="O4256" s="9"/>
      <c r="V4256" s="9"/>
      <c r="W4256" s="9"/>
    </row>
    <row r="4257" spans="15:23" ht="31.4" customHeight="1" x14ac:dyDescent="0.35">
      <c r="O4257" s="9"/>
      <c r="V4257" s="9"/>
      <c r="W4257" s="9"/>
    </row>
    <row r="4258" spans="15:23" ht="31.4" customHeight="1" x14ac:dyDescent="0.35">
      <c r="O4258" s="9"/>
      <c r="V4258" s="9"/>
      <c r="W4258" s="9"/>
    </row>
    <row r="4259" spans="15:23" ht="31.4" customHeight="1" x14ac:dyDescent="0.35">
      <c r="O4259" s="9"/>
      <c r="V4259" s="9"/>
      <c r="W4259" s="9"/>
    </row>
    <row r="4260" spans="15:23" ht="31.4" customHeight="1" x14ac:dyDescent="0.35">
      <c r="O4260" s="9"/>
      <c r="V4260" s="9"/>
      <c r="W4260" s="9"/>
    </row>
    <row r="4261" spans="15:23" ht="31.4" customHeight="1" x14ac:dyDescent="0.35">
      <c r="O4261" s="9"/>
      <c r="V4261" s="9"/>
      <c r="W4261" s="9"/>
    </row>
    <row r="4262" spans="15:23" ht="31.4" customHeight="1" x14ac:dyDescent="0.35">
      <c r="O4262" s="9"/>
      <c r="V4262" s="9"/>
      <c r="W4262" s="9"/>
    </row>
    <row r="4263" spans="15:23" ht="31.4" customHeight="1" x14ac:dyDescent="0.35">
      <c r="O4263" s="9"/>
      <c r="V4263" s="9"/>
      <c r="W4263" s="9"/>
    </row>
    <row r="4264" spans="15:23" ht="31.4" customHeight="1" x14ac:dyDescent="0.35">
      <c r="O4264" s="9"/>
      <c r="V4264" s="9"/>
      <c r="W4264" s="9"/>
    </row>
    <row r="4265" spans="15:23" ht="31.4" customHeight="1" x14ac:dyDescent="0.35">
      <c r="O4265" s="9"/>
      <c r="V4265" s="9"/>
      <c r="W4265" s="9"/>
    </row>
    <row r="4266" spans="15:23" ht="31.4" customHeight="1" x14ac:dyDescent="0.35">
      <c r="O4266" s="9"/>
      <c r="V4266" s="9"/>
      <c r="W4266" s="9"/>
    </row>
    <row r="4267" spans="15:23" ht="31.4" customHeight="1" x14ac:dyDescent="0.35">
      <c r="O4267" s="9"/>
      <c r="V4267" s="9"/>
      <c r="W4267" s="9"/>
    </row>
    <row r="4268" spans="15:23" ht="31.4" customHeight="1" x14ac:dyDescent="0.35">
      <c r="O4268" s="9"/>
      <c r="V4268" s="9"/>
      <c r="W4268" s="9"/>
    </row>
    <row r="4269" spans="15:23" ht="31.4" customHeight="1" x14ac:dyDescent="0.35">
      <c r="O4269" s="9"/>
      <c r="V4269" s="9"/>
      <c r="W4269" s="9"/>
    </row>
    <row r="4270" spans="15:23" ht="31.4" customHeight="1" x14ac:dyDescent="0.35">
      <c r="O4270" s="9"/>
      <c r="V4270" s="9"/>
      <c r="W4270" s="9"/>
    </row>
    <row r="4271" spans="15:23" ht="31.4" customHeight="1" x14ac:dyDescent="0.35">
      <c r="O4271" s="9"/>
      <c r="V4271" s="9"/>
      <c r="W4271" s="9"/>
    </row>
    <row r="4272" spans="15:23" ht="31.4" customHeight="1" x14ac:dyDescent="0.35">
      <c r="O4272" s="9"/>
      <c r="V4272" s="9"/>
      <c r="W4272" s="9"/>
    </row>
    <row r="4273" spans="15:23" ht="31.4" customHeight="1" x14ac:dyDescent="0.35">
      <c r="O4273" s="9"/>
      <c r="V4273" s="9"/>
      <c r="W4273" s="9"/>
    </row>
    <row r="4274" spans="15:23" ht="31.4" customHeight="1" x14ac:dyDescent="0.35">
      <c r="O4274" s="9"/>
      <c r="V4274" s="9"/>
      <c r="W4274" s="9"/>
    </row>
    <row r="4275" spans="15:23" ht="31.4" customHeight="1" x14ac:dyDescent="0.35">
      <c r="O4275" s="9"/>
      <c r="V4275" s="9"/>
      <c r="W4275" s="9"/>
    </row>
    <row r="4276" spans="15:23" ht="31.4" customHeight="1" x14ac:dyDescent="0.35">
      <c r="O4276" s="9"/>
      <c r="V4276" s="9"/>
      <c r="W4276" s="9"/>
    </row>
    <row r="4277" spans="15:23" ht="31.4" customHeight="1" x14ac:dyDescent="0.35">
      <c r="O4277" s="9"/>
      <c r="V4277" s="9"/>
      <c r="W4277" s="9"/>
    </row>
    <row r="4278" spans="15:23" ht="31.4" customHeight="1" x14ac:dyDescent="0.35">
      <c r="O4278" s="9"/>
      <c r="V4278" s="9"/>
      <c r="W4278" s="9"/>
    </row>
    <row r="4279" spans="15:23" ht="31.4" customHeight="1" x14ac:dyDescent="0.35">
      <c r="O4279" s="9"/>
      <c r="V4279" s="9"/>
      <c r="W4279" s="9"/>
    </row>
    <row r="4280" spans="15:23" ht="31.4" customHeight="1" x14ac:dyDescent="0.35">
      <c r="O4280" s="9"/>
      <c r="V4280" s="9"/>
      <c r="W4280" s="9"/>
    </row>
    <row r="4281" spans="15:23" ht="31.4" customHeight="1" x14ac:dyDescent="0.35">
      <c r="O4281" s="9"/>
      <c r="V4281" s="9"/>
      <c r="W4281" s="9"/>
    </row>
    <row r="4282" spans="15:23" ht="31.4" customHeight="1" x14ac:dyDescent="0.35">
      <c r="O4282" s="9"/>
      <c r="V4282" s="9"/>
      <c r="W4282" s="9"/>
    </row>
    <row r="4283" spans="15:23" ht="31.4" customHeight="1" x14ac:dyDescent="0.35">
      <c r="O4283" s="9"/>
      <c r="V4283" s="9"/>
      <c r="W4283" s="9"/>
    </row>
    <row r="4284" spans="15:23" ht="31.4" customHeight="1" x14ac:dyDescent="0.35">
      <c r="O4284" s="9"/>
      <c r="V4284" s="9"/>
      <c r="W4284" s="9"/>
    </row>
    <row r="4285" spans="15:23" ht="31.4" customHeight="1" x14ac:dyDescent="0.35">
      <c r="O4285" s="9"/>
      <c r="V4285" s="9"/>
      <c r="W4285" s="9"/>
    </row>
    <row r="4286" spans="15:23" ht="31.4" customHeight="1" x14ac:dyDescent="0.35">
      <c r="O4286" s="9"/>
      <c r="V4286" s="9"/>
      <c r="W4286" s="9"/>
    </row>
    <row r="4287" spans="15:23" ht="31.4" customHeight="1" x14ac:dyDescent="0.35">
      <c r="O4287" s="9"/>
      <c r="V4287" s="9"/>
      <c r="W4287" s="9"/>
    </row>
    <row r="4288" spans="15:23" ht="31.4" customHeight="1" x14ac:dyDescent="0.35">
      <c r="O4288" s="9"/>
      <c r="V4288" s="9"/>
      <c r="W4288" s="9"/>
    </row>
    <row r="4289" spans="15:23" ht="31.4" customHeight="1" x14ac:dyDescent="0.35">
      <c r="O4289" s="9"/>
      <c r="V4289" s="9"/>
      <c r="W4289" s="9"/>
    </row>
    <row r="4290" spans="15:23" ht="31.4" customHeight="1" x14ac:dyDescent="0.35">
      <c r="O4290" s="9"/>
      <c r="V4290" s="9"/>
      <c r="W4290" s="9"/>
    </row>
    <row r="4291" spans="15:23" ht="31.4" customHeight="1" x14ac:dyDescent="0.35">
      <c r="O4291" s="9"/>
      <c r="V4291" s="9"/>
      <c r="W4291" s="9"/>
    </row>
    <row r="4292" spans="15:23" ht="31.4" customHeight="1" x14ac:dyDescent="0.35">
      <c r="O4292" s="9"/>
      <c r="V4292" s="9"/>
      <c r="W4292" s="9"/>
    </row>
    <row r="4293" spans="15:23" ht="31.4" customHeight="1" x14ac:dyDescent="0.35">
      <c r="O4293" s="9"/>
      <c r="V4293" s="9"/>
      <c r="W4293" s="9"/>
    </row>
    <row r="4294" spans="15:23" ht="31.4" customHeight="1" x14ac:dyDescent="0.35">
      <c r="O4294" s="9"/>
      <c r="V4294" s="9"/>
      <c r="W4294" s="9"/>
    </row>
    <row r="4295" spans="15:23" ht="31.4" customHeight="1" x14ac:dyDescent="0.35">
      <c r="O4295" s="9"/>
      <c r="V4295" s="9"/>
      <c r="W4295" s="9"/>
    </row>
    <row r="4296" spans="15:23" ht="31.4" customHeight="1" x14ac:dyDescent="0.35">
      <c r="O4296" s="9"/>
      <c r="V4296" s="9"/>
      <c r="W4296" s="9"/>
    </row>
    <row r="4297" spans="15:23" ht="31.4" customHeight="1" x14ac:dyDescent="0.35">
      <c r="O4297" s="9"/>
      <c r="V4297" s="9"/>
      <c r="W4297" s="9"/>
    </row>
    <row r="4298" spans="15:23" ht="31.4" customHeight="1" x14ac:dyDescent="0.35">
      <c r="O4298" s="9"/>
      <c r="V4298" s="9"/>
      <c r="W4298" s="9"/>
    </row>
    <row r="4299" spans="15:23" ht="31.4" customHeight="1" x14ac:dyDescent="0.35">
      <c r="O4299" s="9"/>
      <c r="V4299" s="9"/>
      <c r="W4299" s="9"/>
    </row>
    <row r="4300" spans="15:23" ht="31.4" customHeight="1" x14ac:dyDescent="0.35">
      <c r="O4300" s="9"/>
      <c r="V4300" s="9"/>
      <c r="W4300" s="9"/>
    </row>
    <row r="4301" spans="15:23" ht="31.4" customHeight="1" x14ac:dyDescent="0.35">
      <c r="O4301" s="9"/>
      <c r="V4301" s="9"/>
      <c r="W4301" s="9"/>
    </row>
    <row r="4302" spans="15:23" ht="31.4" customHeight="1" x14ac:dyDescent="0.35">
      <c r="O4302" s="9"/>
      <c r="V4302" s="9"/>
      <c r="W4302" s="9"/>
    </row>
    <row r="4303" spans="15:23" ht="31.4" customHeight="1" x14ac:dyDescent="0.35">
      <c r="O4303" s="9"/>
      <c r="V4303" s="9"/>
      <c r="W4303" s="9"/>
    </row>
    <row r="4304" spans="15:23" ht="31.4" customHeight="1" x14ac:dyDescent="0.35">
      <c r="O4304" s="9"/>
      <c r="V4304" s="9"/>
      <c r="W4304" s="9"/>
    </row>
    <row r="4305" spans="15:23" ht="31.4" customHeight="1" x14ac:dyDescent="0.35">
      <c r="O4305" s="9"/>
      <c r="V4305" s="9"/>
      <c r="W4305" s="9"/>
    </row>
    <row r="4306" spans="15:23" ht="31.4" customHeight="1" x14ac:dyDescent="0.35">
      <c r="O4306" s="9"/>
      <c r="V4306" s="9"/>
      <c r="W4306" s="9"/>
    </row>
    <row r="4307" spans="15:23" ht="31.4" customHeight="1" x14ac:dyDescent="0.35">
      <c r="O4307" s="9"/>
      <c r="V4307" s="9"/>
      <c r="W4307" s="9"/>
    </row>
    <row r="4308" spans="15:23" ht="31.4" customHeight="1" x14ac:dyDescent="0.35">
      <c r="O4308" s="9"/>
      <c r="V4308" s="9"/>
      <c r="W4308" s="9"/>
    </row>
    <row r="4309" spans="15:23" ht="31.4" customHeight="1" x14ac:dyDescent="0.35">
      <c r="O4309" s="9"/>
      <c r="V4309" s="9"/>
      <c r="W4309" s="9"/>
    </row>
    <row r="4310" spans="15:23" ht="31.4" customHeight="1" x14ac:dyDescent="0.35">
      <c r="O4310" s="9"/>
      <c r="V4310" s="9"/>
      <c r="W4310" s="9"/>
    </row>
    <row r="4311" spans="15:23" ht="31.4" customHeight="1" x14ac:dyDescent="0.35">
      <c r="O4311" s="9"/>
      <c r="V4311" s="9"/>
      <c r="W4311" s="9"/>
    </row>
    <row r="4312" spans="15:23" ht="31.4" customHeight="1" x14ac:dyDescent="0.35">
      <c r="O4312" s="9"/>
      <c r="V4312" s="9"/>
      <c r="W4312" s="9"/>
    </row>
    <row r="4313" spans="15:23" ht="31.4" customHeight="1" x14ac:dyDescent="0.35">
      <c r="O4313" s="9"/>
      <c r="V4313" s="9"/>
      <c r="W4313" s="9"/>
    </row>
    <row r="4314" spans="15:23" ht="31.4" customHeight="1" x14ac:dyDescent="0.35">
      <c r="O4314" s="9"/>
      <c r="V4314" s="9"/>
      <c r="W4314" s="9"/>
    </row>
    <row r="4315" spans="15:23" ht="31.4" customHeight="1" x14ac:dyDescent="0.35">
      <c r="O4315" s="9"/>
      <c r="V4315" s="9"/>
      <c r="W4315" s="9"/>
    </row>
    <row r="4316" spans="15:23" ht="31.4" customHeight="1" x14ac:dyDescent="0.35">
      <c r="O4316" s="9"/>
      <c r="V4316" s="9"/>
      <c r="W4316" s="9"/>
    </row>
    <row r="4317" spans="15:23" ht="31.4" customHeight="1" x14ac:dyDescent="0.35">
      <c r="O4317" s="9"/>
      <c r="V4317" s="9"/>
      <c r="W4317" s="9"/>
    </row>
    <row r="4318" spans="15:23" ht="31.4" customHeight="1" x14ac:dyDescent="0.35">
      <c r="O4318" s="9"/>
      <c r="V4318" s="9"/>
      <c r="W4318" s="9"/>
    </row>
    <row r="4319" spans="15:23" ht="31.4" customHeight="1" x14ac:dyDescent="0.35">
      <c r="O4319" s="9"/>
      <c r="V4319" s="9"/>
      <c r="W4319" s="9"/>
    </row>
    <row r="4320" spans="15:23" ht="31.4" customHeight="1" x14ac:dyDescent="0.35">
      <c r="O4320" s="9"/>
      <c r="V4320" s="9"/>
      <c r="W4320" s="9"/>
    </row>
    <row r="4321" spans="15:23" ht="31.4" customHeight="1" x14ac:dyDescent="0.35">
      <c r="O4321" s="9"/>
      <c r="V4321" s="9"/>
      <c r="W4321" s="9"/>
    </row>
    <row r="4322" spans="15:23" ht="31.4" customHeight="1" x14ac:dyDescent="0.35">
      <c r="O4322" s="9"/>
      <c r="V4322" s="9"/>
      <c r="W4322" s="9"/>
    </row>
    <row r="4323" spans="15:23" ht="31.4" customHeight="1" x14ac:dyDescent="0.35">
      <c r="O4323" s="9"/>
      <c r="V4323" s="9"/>
      <c r="W4323" s="9"/>
    </row>
    <row r="4324" spans="15:23" ht="31.4" customHeight="1" x14ac:dyDescent="0.35">
      <c r="O4324" s="9"/>
      <c r="V4324" s="9"/>
      <c r="W4324" s="9"/>
    </row>
    <row r="4325" spans="15:23" ht="31.4" customHeight="1" x14ac:dyDescent="0.35">
      <c r="O4325" s="9"/>
      <c r="V4325" s="9"/>
      <c r="W4325" s="9"/>
    </row>
    <row r="4326" spans="15:23" ht="31.4" customHeight="1" x14ac:dyDescent="0.35">
      <c r="O4326" s="9"/>
      <c r="V4326" s="9"/>
      <c r="W4326" s="9"/>
    </row>
    <row r="4327" spans="15:23" ht="31.4" customHeight="1" x14ac:dyDescent="0.35">
      <c r="O4327" s="9"/>
      <c r="V4327" s="9"/>
      <c r="W4327" s="9"/>
    </row>
    <row r="4328" spans="15:23" ht="31.4" customHeight="1" x14ac:dyDescent="0.35">
      <c r="O4328" s="9"/>
      <c r="V4328" s="9"/>
      <c r="W4328" s="9"/>
    </row>
    <row r="4329" spans="15:23" ht="31.4" customHeight="1" x14ac:dyDescent="0.35">
      <c r="O4329" s="9"/>
      <c r="V4329" s="9"/>
      <c r="W4329" s="9"/>
    </row>
    <row r="4330" spans="15:23" ht="31.4" customHeight="1" x14ac:dyDescent="0.35">
      <c r="O4330" s="9"/>
      <c r="V4330" s="9"/>
      <c r="W4330" s="9"/>
    </row>
    <row r="4331" spans="15:23" ht="31.4" customHeight="1" x14ac:dyDescent="0.35">
      <c r="O4331" s="9"/>
      <c r="V4331" s="9"/>
      <c r="W4331" s="9"/>
    </row>
    <row r="4332" spans="15:23" ht="31.4" customHeight="1" x14ac:dyDescent="0.35">
      <c r="O4332" s="9"/>
      <c r="V4332" s="9"/>
      <c r="W4332" s="9"/>
    </row>
    <row r="4333" spans="15:23" ht="31.4" customHeight="1" x14ac:dyDescent="0.35">
      <c r="O4333" s="9"/>
      <c r="V4333" s="9"/>
      <c r="W4333" s="9"/>
    </row>
    <row r="4334" spans="15:23" ht="31.4" customHeight="1" x14ac:dyDescent="0.35">
      <c r="O4334" s="9"/>
      <c r="V4334" s="9"/>
      <c r="W4334" s="9"/>
    </row>
    <row r="4335" spans="15:23" ht="31.4" customHeight="1" x14ac:dyDescent="0.35">
      <c r="O4335" s="9"/>
      <c r="V4335" s="9"/>
      <c r="W4335" s="9"/>
    </row>
    <row r="4336" spans="15:23" ht="31.4" customHeight="1" x14ac:dyDescent="0.35">
      <c r="O4336" s="9"/>
      <c r="V4336" s="9"/>
      <c r="W4336" s="9"/>
    </row>
    <row r="4337" spans="15:23" ht="31.4" customHeight="1" x14ac:dyDescent="0.35">
      <c r="O4337" s="9"/>
      <c r="V4337" s="9"/>
      <c r="W4337" s="9"/>
    </row>
    <row r="4338" spans="15:23" ht="31.4" customHeight="1" x14ac:dyDescent="0.35">
      <c r="O4338" s="9"/>
      <c r="V4338" s="9"/>
      <c r="W4338" s="9"/>
    </row>
    <row r="4339" spans="15:23" ht="31.4" customHeight="1" x14ac:dyDescent="0.35">
      <c r="O4339" s="9"/>
      <c r="V4339" s="9"/>
      <c r="W4339" s="9"/>
    </row>
    <row r="4340" spans="15:23" ht="31.4" customHeight="1" x14ac:dyDescent="0.35">
      <c r="O4340" s="9"/>
      <c r="V4340" s="9"/>
      <c r="W4340" s="9"/>
    </row>
    <row r="4341" spans="15:23" ht="31.4" customHeight="1" x14ac:dyDescent="0.35">
      <c r="O4341" s="9"/>
      <c r="V4341" s="9"/>
      <c r="W4341" s="9"/>
    </row>
    <row r="4342" spans="15:23" ht="31.4" customHeight="1" x14ac:dyDescent="0.35">
      <c r="O4342" s="9"/>
      <c r="V4342" s="9"/>
      <c r="W4342" s="9"/>
    </row>
    <row r="4343" spans="15:23" ht="31.4" customHeight="1" x14ac:dyDescent="0.35">
      <c r="O4343" s="9"/>
      <c r="V4343" s="9"/>
      <c r="W4343" s="9"/>
    </row>
    <row r="4344" spans="15:23" ht="31.4" customHeight="1" x14ac:dyDescent="0.35">
      <c r="O4344" s="9"/>
      <c r="V4344" s="9"/>
      <c r="W4344" s="9"/>
    </row>
    <row r="4345" spans="15:23" ht="31.4" customHeight="1" x14ac:dyDescent="0.35">
      <c r="O4345" s="9"/>
      <c r="V4345" s="9"/>
      <c r="W4345" s="9"/>
    </row>
    <row r="4346" spans="15:23" ht="31.4" customHeight="1" x14ac:dyDescent="0.35">
      <c r="O4346" s="9"/>
      <c r="V4346" s="9"/>
      <c r="W4346" s="9"/>
    </row>
    <row r="4347" spans="15:23" ht="31.4" customHeight="1" x14ac:dyDescent="0.35">
      <c r="O4347" s="9"/>
      <c r="V4347" s="9"/>
      <c r="W4347" s="9"/>
    </row>
    <row r="4348" spans="15:23" ht="31.4" customHeight="1" x14ac:dyDescent="0.35">
      <c r="O4348" s="9"/>
      <c r="V4348" s="9"/>
      <c r="W4348" s="9"/>
    </row>
    <row r="4349" spans="15:23" ht="31.4" customHeight="1" x14ac:dyDescent="0.35">
      <c r="O4349" s="9"/>
      <c r="V4349" s="9"/>
      <c r="W4349" s="9"/>
    </row>
    <row r="4350" spans="15:23" ht="31.4" customHeight="1" x14ac:dyDescent="0.35">
      <c r="O4350" s="9"/>
      <c r="V4350" s="9"/>
      <c r="W4350" s="9"/>
    </row>
    <row r="4351" spans="15:23" ht="31.4" customHeight="1" x14ac:dyDescent="0.35">
      <c r="O4351" s="9"/>
      <c r="V4351" s="9"/>
      <c r="W4351" s="9"/>
    </row>
    <row r="4352" spans="15:23" ht="31.4" customHeight="1" x14ac:dyDescent="0.35">
      <c r="O4352" s="9"/>
      <c r="V4352" s="9"/>
      <c r="W4352" s="9"/>
    </row>
    <row r="4353" spans="15:23" ht="31.4" customHeight="1" x14ac:dyDescent="0.35">
      <c r="O4353" s="9"/>
      <c r="V4353" s="9"/>
      <c r="W4353" s="9"/>
    </row>
    <row r="4354" spans="15:23" ht="31.4" customHeight="1" x14ac:dyDescent="0.35">
      <c r="O4354" s="9"/>
      <c r="V4354" s="9"/>
      <c r="W4354" s="9"/>
    </row>
    <row r="4355" spans="15:23" ht="31.4" customHeight="1" x14ac:dyDescent="0.35">
      <c r="O4355" s="9"/>
      <c r="V4355" s="9"/>
      <c r="W4355" s="9"/>
    </row>
    <row r="4356" spans="15:23" ht="31.4" customHeight="1" x14ac:dyDescent="0.35">
      <c r="O4356" s="9"/>
      <c r="V4356" s="9"/>
      <c r="W4356" s="9"/>
    </row>
    <row r="4357" spans="15:23" ht="31.4" customHeight="1" x14ac:dyDescent="0.35">
      <c r="O4357" s="9"/>
      <c r="V4357" s="9"/>
      <c r="W4357" s="9"/>
    </row>
    <row r="4358" spans="15:23" ht="31.4" customHeight="1" x14ac:dyDescent="0.35">
      <c r="O4358" s="9"/>
      <c r="V4358" s="9"/>
      <c r="W4358" s="9"/>
    </row>
    <row r="4359" spans="15:23" ht="31.4" customHeight="1" x14ac:dyDescent="0.35">
      <c r="O4359" s="9"/>
      <c r="V4359" s="9"/>
      <c r="W4359" s="9"/>
    </row>
    <row r="4360" spans="15:23" ht="31.4" customHeight="1" x14ac:dyDescent="0.35">
      <c r="O4360" s="9"/>
      <c r="V4360" s="9"/>
      <c r="W4360" s="9"/>
    </row>
    <row r="4361" spans="15:23" ht="31.4" customHeight="1" x14ac:dyDescent="0.35">
      <c r="O4361" s="9"/>
      <c r="V4361" s="9"/>
      <c r="W4361" s="9"/>
    </row>
    <row r="4362" spans="15:23" ht="31.4" customHeight="1" x14ac:dyDescent="0.35">
      <c r="O4362" s="9"/>
      <c r="V4362" s="9"/>
      <c r="W4362" s="9"/>
    </row>
    <row r="4363" spans="15:23" ht="31.4" customHeight="1" x14ac:dyDescent="0.35">
      <c r="O4363" s="9"/>
      <c r="V4363" s="9"/>
      <c r="W4363" s="9"/>
    </row>
    <row r="4364" spans="15:23" ht="31.4" customHeight="1" x14ac:dyDescent="0.35">
      <c r="O4364" s="9"/>
      <c r="V4364" s="9"/>
      <c r="W4364" s="9"/>
    </row>
    <row r="4365" spans="15:23" ht="31.4" customHeight="1" x14ac:dyDescent="0.35">
      <c r="O4365" s="9"/>
      <c r="V4365" s="9"/>
      <c r="W4365" s="9"/>
    </row>
    <row r="4366" spans="15:23" ht="31.4" customHeight="1" x14ac:dyDescent="0.35">
      <c r="O4366" s="9"/>
      <c r="V4366" s="9"/>
      <c r="W4366" s="9"/>
    </row>
    <row r="4367" spans="15:23" ht="31.4" customHeight="1" x14ac:dyDescent="0.35">
      <c r="O4367" s="9"/>
      <c r="V4367" s="9"/>
      <c r="W4367" s="9"/>
    </row>
    <row r="4368" spans="15:23" ht="31.4" customHeight="1" x14ac:dyDescent="0.35">
      <c r="O4368" s="9"/>
      <c r="V4368" s="9"/>
      <c r="W4368" s="9"/>
    </row>
    <row r="4369" spans="15:23" ht="31.4" customHeight="1" x14ac:dyDescent="0.35">
      <c r="O4369" s="9"/>
      <c r="V4369" s="9"/>
      <c r="W4369" s="9"/>
    </row>
    <row r="4370" spans="15:23" ht="31.4" customHeight="1" x14ac:dyDescent="0.35">
      <c r="O4370" s="9"/>
      <c r="V4370" s="9"/>
      <c r="W4370" s="9"/>
    </row>
    <row r="4371" spans="15:23" ht="31.4" customHeight="1" x14ac:dyDescent="0.35">
      <c r="O4371" s="9"/>
      <c r="V4371" s="9"/>
      <c r="W4371" s="9"/>
    </row>
    <row r="4372" spans="15:23" ht="31.4" customHeight="1" x14ac:dyDescent="0.35">
      <c r="O4372" s="9"/>
      <c r="V4372" s="9"/>
      <c r="W4372" s="9"/>
    </row>
    <row r="4373" spans="15:23" ht="31.4" customHeight="1" x14ac:dyDescent="0.35">
      <c r="O4373" s="9"/>
      <c r="V4373" s="9"/>
      <c r="W4373" s="9"/>
    </row>
    <row r="4374" spans="15:23" ht="31.4" customHeight="1" x14ac:dyDescent="0.35">
      <c r="O4374" s="9"/>
      <c r="V4374" s="9"/>
      <c r="W4374" s="9"/>
    </row>
    <row r="4375" spans="15:23" ht="31.4" customHeight="1" x14ac:dyDescent="0.35">
      <c r="O4375" s="9"/>
      <c r="V4375" s="9"/>
      <c r="W4375" s="9"/>
    </row>
    <row r="4376" spans="15:23" ht="31.4" customHeight="1" x14ac:dyDescent="0.35">
      <c r="O4376" s="9"/>
      <c r="V4376" s="9"/>
      <c r="W4376" s="9"/>
    </row>
    <row r="4377" spans="15:23" ht="31.4" customHeight="1" x14ac:dyDescent="0.35">
      <c r="O4377" s="9"/>
      <c r="V4377" s="9"/>
      <c r="W4377" s="9"/>
    </row>
    <row r="4378" spans="15:23" ht="31.4" customHeight="1" x14ac:dyDescent="0.35">
      <c r="O4378" s="9"/>
      <c r="V4378" s="9"/>
      <c r="W4378" s="9"/>
    </row>
    <row r="4379" spans="15:23" ht="31.4" customHeight="1" x14ac:dyDescent="0.35">
      <c r="O4379" s="9"/>
      <c r="V4379" s="9"/>
      <c r="W4379" s="9"/>
    </row>
    <row r="4380" spans="15:23" ht="31.4" customHeight="1" x14ac:dyDescent="0.35">
      <c r="O4380" s="9"/>
      <c r="V4380" s="9"/>
      <c r="W4380" s="9"/>
    </row>
    <row r="4381" spans="15:23" ht="31.4" customHeight="1" x14ac:dyDescent="0.35">
      <c r="O4381" s="9"/>
      <c r="V4381" s="9"/>
      <c r="W4381" s="9"/>
    </row>
    <row r="4382" spans="15:23" ht="31.4" customHeight="1" x14ac:dyDescent="0.35">
      <c r="O4382" s="9"/>
      <c r="V4382" s="9"/>
      <c r="W4382" s="9"/>
    </row>
    <row r="4383" spans="15:23" ht="31.4" customHeight="1" x14ac:dyDescent="0.35">
      <c r="O4383" s="9"/>
      <c r="V4383" s="9"/>
      <c r="W4383" s="9"/>
    </row>
    <row r="4384" spans="15:23" ht="31.4" customHeight="1" x14ac:dyDescent="0.35">
      <c r="O4384" s="9"/>
      <c r="V4384" s="9"/>
      <c r="W4384" s="9"/>
    </row>
    <row r="4385" spans="15:23" ht="31.4" customHeight="1" x14ac:dyDescent="0.35">
      <c r="O4385" s="9"/>
      <c r="V4385" s="9"/>
      <c r="W4385" s="9"/>
    </row>
    <row r="4386" spans="15:23" ht="31.4" customHeight="1" x14ac:dyDescent="0.35">
      <c r="O4386" s="9"/>
      <c r="V4386" s="9"/>
      <c r="W4386" s="9"/>
    </row>
    <row r="4387" spans="15:23" ht="31.4" customHeight="1" x14ac:dyDescent="0.35">
      <c r="O4387" s="9"/>
      <c r="V4387" s="9"/>
      <c r="W4387" s="9"/>
    </row>
    <row r="4388" spans="15:23" ht="31.4" customHeight="1" x14ac:dyDescent="0.35">
      <c r="O4388" s="9"/>
      <c r="V4388" s="9"/>
      <c r="W4388" s="9"/>
    </row>
    <row r="4389" spans="15:23" ht="31.4" customHeight="1" x14ac:dyDescent="0.35">
      <c r="O4389" s="9"/>
      <c r="V4389" s="9"/>
      <c r="W4389" s="9"/>
    </row>
    <row r="4390" spans="15:23" ht="31.4" customHeight="1" x14ac:dyDescent="0.35">
      <c r="O4390" s="9"/>
      <c r="V4390" s="9"/>
      <c r="W4390" s="9"/>
    </row>
    <row r="4391" spans="15:23" ht="31.4" customHeight="1" x14ac:dyDescent="0.35">
      <c r="O4391" s="9"/>
      <c r="V4391" s="9"/>
      <c r="W4391" s="9"/>
    </row>
    <row r="4392" spans="15:23" ht="31.4" customHeight="1" x14ac:dyDescent="0.35">
      <c r="O4392" s="9"/>
      <c r="V4392" s="9"/>
      <c r="W4392" s="9"/>
    </row>
    <row r="4393" spans="15:23" ht="31.4" customHeight="1" x14ac:dyDescent="0.35">
      <c r="O4393" s="9"/>
      <c r="V4393" s="9"/>
      <c r="W4393" s="9"/>
    </row>
    <row r="4394" spans="15:23" ht="31.4" customHeight="1" x14ac:dyDescent="0.35">
      <c r="O4394" s="9"/>
      <c r="V4394" s="9"/>
      <c r="W4394" s="9"/>
    </row>
    <row r="4395" spans="15:23" ht="31.4" customHeight="1" x14ac:dyDescent="0.35">
      <c r="O4395" s="9"/>
      <c r="V4395" s="9"/>
      <c r="W4395" s="9"/>
    </row>
    <row r="4396" spans="15:23" ht="31.4" customHeight="1" x14ac:dyDescent="0.35">
      <c r="O4396" s="9"/>
      <c r="V4396" s="9"/>
      <c r="W4396" s="9"/>
    </row>
    <row r="4397" spans="15:23" ht="31.4" customHeight="1" x14ac:dyDescent="0.35">
      <c r="O4397" s="9"/>
      <c r="V4397" s="9"/>
      <c r="W4397" s="9"/>
    </row>
    <row r="4398" spans="15:23" ht="31.4" customHeight="1" x14ac:dyDescent="0.35">
      <c r="O4398" s="9"/>
      <c r="V4398" s="9"/>
      <c r="W4398" s="9"/>
    </row>
    <row r="4399" spans="15:23" ht="31.4" customHeight="1" x14ac:dyDescent="0.35">
      <c r="O4399" s="9"/>
      <c r="V4399" s="9"/>
      <c r="W4399" s="9"/>
    </row>
    <row r="4400" spans="15:23" ht="31.4" customHeight="1" x14ac:dyDescent="0.35">
      <c r="O4400" s="9"/>
      <c r="V4400" s="9"/>
      <c r="W4400" s="9"/>
    </row>
    <row r="4401" spans="15:23" ht="31.4" customHeight="1" x14ac:dyDescent="0.35">
      <c r="O4401" s="9"/>
      <c r="V4401" s="9"/>
      <c r="W4401" s="9"/>
    </row>
    <row r="4402" spans="15:23" ht="31.4" customHeight="1" x14ac:dyDescent="0.35">
      <c r="O4402" s="9"/>
      <c r="V4402" s="9"/>
      <c r="W4402" s="9"/>
    </row>
    <row r="4403" spans="15:23" ht="31.4" customHeight="1" x14ac:dyDescent="0.35">
      <c r="O4403" s="9"/>
      <c r="V4403" s="9"/>
      <c r="W4403" s="9"/>
    </row>
    <row r="4404" spans="15:23" ht="31.4" customHeight="1" x14ac:dyDescent="0.35">
      <c r="O4404" s="9"/>
      <c r="V4404" s="9"/>
      <c r="W4404" s="9"/>
    </row>
    <row r="4405" spans="15:23" ht="31.4" customHeight="1" x14ac:dyDescent="0.35">
      <c r="O4405" s="9"/>
      <c r="V4405" s="9"/>
      <c r="W4405" s="9"/>
    </row>
    <row r="4406" spans="15:23" ht="31.4" customHeight="1" x14ac:dyDescent="0.35">
      <c r="O4406" s="9"/>
      <c r="V4406" s="9"/>
      <c r="W4406" s="9"/>
    </row>
    <row r="4407" spans="15:23" ht="31.4" customHeight="1" x14ac:dyDescent="0.35">
      <c r="O4407" s="9"/>
      <c r="V4407" s="9"/>
      <c r="W4407" s="9"/>
    </row>
    <row r="4408" spans="15:23" ht="31.4" customHeight="1" x14ac:dyDescent="0.35">
      <c r="O4408" s="9"/>
      <c r="V4408" s="9"/>
      <c r="W4408" s="9"/>
    </row>
    <row r="4409" spans="15:23" ht="31.4" customHeight="1" x14ac:dyDescent="0.35">
      <c r="O4409" s="9"/>
      <c r="V4409" s="9"/>
      <c r="W4409" s="9"/>
    </row>
    <row r="4410" spans="15:23" ht="31.4" customHeight="1" x14ac:dyDescent="0.35">
      <c r="O4410" s="9"/>
      <c r="V4410" s="9"/>
      <c r="W4410" s="9"/>
    </row>
    <row r="4411" spans="15:23" ht="31.4" customHeight="1" x14ac:dyDescent="0.35">
      <c r="O4411" s="9"/>
      <c r="V4411" s="9"/>
      <c r="W4411" s="9"/>
    </row>
    <row r="4412" spans="15:23" ht="31.4" customHeight="1" x14ac:dyDescent="0.35">
      <c r="O4412" s="9"/>
      <c r="V4412" s="9"/>
      <c r="W4412" s="9"/>
    </row>
    <row r="4413" spans="15:23" ht="31.4" customHeight="1" x14ac:dyDescent="0.35">
      <c r="O4413" s="9"/>
      <c r="V4413" s="9"/>
      <c r="W4413" s="9"/>
    </row>
    <row r="4414" spans="15:23" ht="31.4" customHeight="1" x14ac:dyDescent="0.35">
      <c r="O4414" s="9"/>
      <c r="V4414" s="9"/>
      <c r="W4414" s="9"/>
    </row>
    <row r="4415" spans="15:23" ht="31.4" customHeight="1" x14ac:dyDescent="0.35">
      <c r="O4415" s="9"/>
      <c r="V4415" s="9"/>
      <c r="W4415" s="9"/>
    </row>
    <row r="4416" spans="15:23" ht="31.4" customHeight="1" x14ac:dyDescent="0.35">
      <c r="O4416" s="9"/>
      <c r="V4416" s="9"/>
      <c r="W4416" s="9"/>
    </row>
    <row r="4417" spans="15:23" ht="31.4" customHeight="1" x14ac:dyDescent="0.35">
      <c r="O4417" s="9"/>
      <c r="V4417" s="9"/>
      <c r="W4417" s="9"/>
    </row>
    <row r="4418" spans="15:23" ht="31.4" customHeight="1" x14ac:dyDescent="0.35">
      <c r="O4418" s="9"/>
      <c r="V4418" s="9"/>
      <c r="W4418" s="9"/>
    </row>
    <row r="4419" spans="15:23" ht="31.4" customHeight="1" x14ac:dyDescent="0.35">
      <c r="O4419" s="9"/>
      <c r="V4419" s="9"/>
      <c r="W4419" s="9"/>
    </row>
    <row r="4420" spans="15:23" ht="31.4" customHeight="1" x14ac:dyDescent="0.35">
      <c r="O4420" s="9"/>
      <c r="V4420" s="9"/>
      <c r="W4420" s="9"/>
    </row>
    <row r="4421" spans="15:23" ht="31.4" customHeight="1" x14ac:dyDescent="0.35">
      <c r="O4421" s="9"/>
      <c r="V4421" s="9"/>
      <c r="W4421" s="9"/>
    </row>
    <row r="4422" spans="15:23" ht="31.4" customHeight="1" x14ac:dyDescent="0.35">
      <c r="O4422" s="9"/>
      <c r="V4422" s="9"/>
      <c r="W4422" s="9"/>
    </row>
    <row r="4423" spans="15:23" ht="31.4" customHeight="1" x14ac:dyDescent="0.35">
      <c r="O4423" s="9"/>
      <c r="V4423" s="9"/>
      <c r="W4423" s="9"/>
    </row>
    <row r="4424" spans="15:23" ht="31.4" customHeight="1" x14ac:dyDescent="0.35">
      <c r="O4424" s="9"/>
      <c r="V4424" s="9"/>
      <c r="W4424" s="9"/>
    </row>
    <row r="4425" spans="15:23" ht="31.4" customHeight="1" x14ac:dyDescent="0.35">
      <c r="O4425" s="9"/>
      <c r="V4425" s="9"/>
      <c r="W4425" s="9"/>
    </row>
    <row r="4426" spans="15:23" ht="31.4" customHeight="1" x14ac:dyDescent="0.35">
      <c r="O4426" s="9"/>
      <c r="V4426" s="9"/>
      <c r="W4426" s="9"/>
    </row>
    <row r="4427" spans="15:23" ht="31.4" customHeight="1" x14ac:dyDescent="0.35">
      <c r="O4427" s="9"/>
      <c r="V4427" s="9"/>
      <c r="W4427" s="9"/>
    </row>
    <row r="4428" spans="15:23" ht="31.4" customHeight="1" x14ac:dyDescent="0.35">
      <c r="O4428" s="9"/>
      <c r="V4428" s="9"/>
      <c r="W4428" s="9"/>
    </row>
    <row r="4429" spans="15:23" ht="31.4" customHeight="1" x14ac:dyDescent="0.35">
      <c r="O4429" s="9"/>
      <c r="V4429" s="9"/>
      <c r="W4429" s="9"/>
    </row>
    <row r="4430" spans="15:23" ht="31.4" customHeight="1" x14ac:dyDescent="0.35">
      <c r="O4430" s="9"/>
      <c r="V4430" s="9"/>
      <c r="W4430" s="9"/>
    </row>
    <row r="4431" spans="15:23" ht="31.4" customHeight="1" x14ac:dyDescent="0.35">
      <c r="O4431" s="9"/>
      <c r="V4431" s="9"/>
      <c r="W4431" s="9"/>
    </row>
    <row r="4432" spans="15:23" ht="31.4" customHeight="1" x14ac:dyDescent="0.35">
      <c r="O4432" s="9"/>
      <c r="V4432" s="9"/>
      <c r="W4432" s="9"/>
    </row>
    <row r="4433" spans="15:23" ht="31.4" customHeight="1" x14ac:dyDescent="0.35">
      <c r="O4433" s="9"/>
      <c r="V4433" s="9"/>
      <c r="W4433" s="9"/>
    </row>
    <row r="4434" spans="15:23" ht="31.4" customHeight="1" x14ac:dyDescent="0.35">
      <c r="O4434" s="9"/>
      <c r="V4434" s="9"/>
      <c r="W4434" s="9"/>
    </row>
    <row r="4435" spans="15:23" ht="31.4" customHeight="1" x14ac:dyDescent="0.35">
      <c r="O4435" s="9"/>
      <c r="V4435" s="9"/>
      <c r="W4435" s="9"/>
    </row>
    <row r="4436" spans="15:23" ht="31.4" customHeight="1" x14ac:dyDescent="0.35">
      <c r="O4436" s="9"/>
      <c r="V4436" s="9"/>
      <c r="W4436" s="9"/>
    </row>
    <row r="4437" spans="15:23" ht="31.4" customHeight="1" x14ac:dyDescent="0.35">
      <c r="O4437" s="9"/>
      <c r="V4437" s="9"/>
      <c r="W4437" s="9"/>
    </row>
    <row r="4438" spans="15:23" ht="31.4" customHeight="1" x14ac:dyDescent="0.35">
      <c r="O4438" s="9"/>
      <c r="V4438" s="9"/>
      <c r="W4438" s="9"/>
    </row>
    <row r="4439" spans="15:23" ht="31.4" customHeight="1" x14ac:dyDescent="0.35">
      <c r="O4439" s="9"/>
      <c r="V4439" s="9"/>
      <c r="W4439" s="9"/>
    </row>
    <row r="4440" spans="15:23" ht="31.4" customHeight="1" x14ac:dyDescent="0.35">
      <c r="O4440" s="9"/>
      <c r="V4440" s="9"/>
      <c r="W4440" s="9"/>
    </row>
    <row r="4441" spans="15:23" ht="31.4" customHeight="1" x14ac:dyDescent="0.35">
      <c r="O4441" s="9"/>
      <c r="V4441" s="9"/>
      <c r="W4441" s="9"/>
    </row>
    <row r="4442" spans="15:23" ht="31.4" customHeight="1" x14ac:dyDescent="0.35">
      <c r="O4442" s="9"/>
      <c r="V4442" s="9"/>
      <c r="W4442" s="9"/>
    </row>
    <row r="4443" spans="15:23" ht="31.4" customHeight="1" x14ac:dyDescent="0.35">
      <c r="O4443" s="9"/>
      <c r="V4443" s="9"/>
      <c r="W4443" s="9"/>
    </row>
    <row r="4444" spans="15:23" ht="31.4" customHeight="1" x14ac:dyDescent="0.35">
      <c r="O4444" s="9"/>
      <c r="V4444" s="9"/>
      <c r="W4444" s="9"/>
    </row>
    <row r="4445" spans="15:23" ht="31.4" customHeight="1" x14ac:dyDescent="0.35">
      <c r="O4445" s="9"/>
      <c r="V4445" s="9"/>
      <c r="W4445" s="9"/>
    </row>
    <row r="4446" spans="15:23" ht="31.4" customHeight="1" x14ac:dyDescent="0.35">
      <c r="O4446" s="9"/>
      <c r="V4446" s="9"/>
      <c r="W4446" s="9"/>
    </row>
    <row r="4447" spans="15:23" ht="31.4" customHeight="1" x14ac:dyDescent="0.35">
      <c r="O4447" s="9"/>
      <c r="V4447" s="9"/>
      <c r="W4447" s="9"/>
    </row>
    <row r="4448" spans="15:23" ht="31.4" customHeight="1" x14ac:dyDescent="0.35">
      <c r="O4448" s="9"/>
      <c r="V4448" s="9"/>
      <c r="W4448" s="9"/>
    </row>
    <row r="4449" spans="15:23" ht="31.4" customHeight="1" x14ac:dyDescent="0.35">
      <c r="O4449" s="9"/>
      <c r="V4449" s="9"/>
      <c r="W4449" s="9"/>
    </row>
    <row r="4450" spans="15:23" ht="31.4" customHeight="1" x14ac:dyDescent="0.35">
      <c r="O4450" s="9"/>
      <c r="V4450" s="9"/>
      <c r="W4450" s="9"/>
    </row>
    <row r="4451" spans="15:23" ht="31.4" customHeight="1" x14ac:dyDescent="0.35">
      <c r="O4451" s="9"/>
      <c r="V4451" s="9"/>
      <c r="W4451" s="9"/>
    </row>
    <row r="4452" spans="15:23" ht="31.4" customHeight="1" x14ac:dyDescent="0.35">
      <c r="O4452" s="9"/>
      <c r="V4452" s="9"/>
      <c r="W4452" s="9"/>
    </row>
    <row r="4453" spans="15:23" ht="31.4" customHeight="1" x14ac:dyDescent="0.35">
      <c r="O4453" s="9"/>
      <c r="V4453" s="9"/>
      <c r="W4453" s="9"/>
    </row>
    <row r="4454" spans="15:23" ht="31.4" customHeight="1" x14ac:dyDescent="0.35">
      <c r="O4454" s="9"/>
      <c r="V4454" s="9"/>
      <c r="W4454" s="9"/>
    </row>
    <row r="4455" spans="15:23" ht="31.4" customHeight="1" x14ac:dyDescent="0.35">
      <c r="O4455" s="9"/>
      <c r="V4455" s="9"/>
      <c r="W4455" s="9"/>
    </row>
    <row r="4456" spans="15:23" ht="31.4" customHeight="1" x14ac:dyDescent="0.35">
      <c r="O4456" s="9"/>
      <c r="V4456" s="9"/>
      <c r="W4456" s="9"/>
    </row>
    <row r="4457" spans="15:23" ht="31.4" customHeight="1" x14ac:dyDescent="0.35">
      <c r="O4457" s="9"/>
      <c r="V4457" s="9"/>
      <c r="W4457" s="9"/>
    </row>
    <row r="4458" spans="15:23" ht="31.4" customHeight="1" x14ac:dyDescent="0.35">
      <c r="O4458" s="9"/>
      <c r="V4458" s="9"/>
      <c r="W4458" s="9"/>
    </row>
    <row r="4459" spans="15:23" ht="31.4" customHeight="1" x14ac:dyDescent="0.35">
      <c r="O4459" s="9"/>
      <c r="V4459" s="9"/>
      <c r="W4459" s="9"/>
    </row>
    <row r="4460" spans="15:23" ht="31.4" customHeight="1" x14ac:dyDescent="0.35">
      <c r="O4460" s="9"/>
      <c r="V4460" s="9"/>
      <c r="W4460" s="9"/>
    </row>
    <row r="4461" spans="15:23" ht="31.4" customHeight="1" x14ac:dyDescent="0.35">
      <c r="O4461" s="9"/>
      <c r="V4461" s="9"/>
      <c r="W4461" s="9"/>
    </row>
    <row r="4462" spans="15:23" ht="31.4" customHeight="1" x14ac:dyDescent="0.35">
      <c r="O4462" s="9"/>
      <c r="V4462" s="9"/>
      <c r="W4462" s="9"/>
    </row>
    <row r="4463" spans="15:23" ht="31.4" customHeight="1" x14ac:dyDescent="0.35">
      <c r="O4463" s="9"/>
      <c r="V4463" s="9"/>
      <c r="W4463" s="9"/>
    </row>
    <row r="4464" spans="15:23" ht="31.4" customHeight="1" x14ac:dyDescent="0.35">
      <c r="O4464" s="9"/>
      <c r="V4464" s="9"/>
      <c r="W4464" s="9"/>
    </row>
    <row r="4465" spans="15:23" ht="31.4" customHeight="1" x14ac:dyDescent="0.35">
      <c r="O4465" s="9"/>
      <c r="V4465" s="9"/>
      <c r="W4465" s="9"/>
    </row>
    <row r="4466" spans="15:23" ht="31.4" customHeight="1" x14ac:dyDescent="0.35">
      <c r="O4466" s="9"/>
      <c r="V4466" s="9"/>
      <c r="W4466" s="9"/>
    </row>
    <row r="4467" spans="15:23" ht="31.4" customHeight="1" x14ac:dyDescent="0.35">
      <c r="O4467" s="9"/>
      <c r="V4467" s="9"/>
      <c r="W4467" s="9"/>
    </row>
    <row r="4468" spans="15:23" ht="31.4" customHeight="1" x14ac:dyDescent="0.35">
      <c r="O4468" s="9"/>
      <c r="V4468" s="9"/>
      <c r="W4468" s="9"/>
    </row>
    <row r="4469" spans="15:23" ht="31.4" customHeight="1" x14ac:dyDescent="0.35">
      <c r="O4469" s="9"/>
      <c r="V4469" s="9"/>
      <c r="W4469" s="9"/>
    </row>
    <row r="4470" spans="15:23" ht="31.4" customHeight="1" x14ac:dyDescent="0.35">
      <c r="O4470" s="9"/>
      <c r="V4470" s="9"/>
      <c r="W4470" s="9"/>
    </row>
    <row r="4471" spans="15:23" ht="31.4" customHeight="1" x14ac:dyDescent="0.35">
      <c r="O4471" s="9"/>
      <c r="V4471" s="9"/>
      <c r="W4471" s="9"/>
    </row>
    <row r="4472" spans="15:23" ht="31.4" customHeight="1" x14ac:dyDescent="0.35">
      <c r="O4472" s="9"/>
      <c r="V4472" s="9"/>
      <c r="W4472" s="9"/>
    </row>
    <row r="4473" spans="15:23" ht="31.4" customHeight="1" x14ac:dyDescent="0.35">
      <c r="O4473" s="9"/>
      <c r="V4473" s="9"/>
      <c r="W4473" s="9"/>
    </row>
    <row r="4474" spans="15:23" ht="31.4" customHeight="1" x14ac:dyDescent="0.35">
      <c r="O4474" s="9"/>
      <c r="V4474" s="9"/>
      <c r="W4474" s="9"/>
    </row>
    <row r="4475" spans="15:23" ht="31.4" customHeight="1" x14ac:dyDescent="0.35">
      <c r="O4475" s="9"/>
      <c r="V4475" s="9"/>
      <c r="W4475" s="9"/>
    </row>
    <row r="4476" spans="15:23" ht="31.4" customHeight="1" x14ac:dyDescent="0.35">
      <c r="O4476" s="9"/>
      <c r="V4476" s="9"/>
      <c r="W4476" s="9"/>
    </row>
    <row r="4477" spans="15:23" ht="31.4" customHeight="1" x14ac:dyDescent="0.35">
      <c r="O4477" s="9"/>
      <c r="V4477" s="9"/>
      <c r="W4477" s="9"/>
    </row>
    <row r="4478" spans="15:23" ht="31.4" customHeight="1" x14ac:dyDescent="0.35">
      <c r="O4478" s="9"/>
      <c r="V4478" s="9"/>
      <c r="W4478" s="9"/>
    </row>
    <row r="4479" spans="15:23" ht="31.4" customHeight="1" x14ac:dyDescent="0.35">
      <c r="O4479" s="9"/>
      <c r="V4479" s="9"/>
      <c r="W4479" s="9"/>
    </row>
    <row r="4480" spans="15:23" ht="31.4" customHeight="1" x14ac:dyDescent="0.35">
      <c r="O4480" s="9"/>
      <c r="V4480" s="9"/>
      <c r="W4480" s="9"/>
    </row>
    <row r="4481" spans="15:23" ht="31.4" customHeight="1" x14ac:dyDescent="0.35">
      <c r="O4481" s="9"/>
      <c r="V4481" s="9"/>
      <c r="W4481" s="9"/>
    </row>
    <row r="4482" spans="15:23" ht="31.4" customHeight="1" x14ac:dyDescent="0.35">
      <c r="O4482" s="9"/>
      <c r="V4482" s="9"/>
      <c r="W4482" s="9"/>
    </row>
    <row r="4483" spans="15:23" ht="31.4" customHeight="1" x14ac:dyDescent="0.35">
      <c r="O4483" s="9"/>
      <c r="V4483" s="9"/>
      <c r="W4483" s="9"/>
    </row>
    <row r="4484" spans="15:23" ht="31.4" customHeight="1" x14ac:dyDescent="0.35">
      <c r="O4484" s="9"/>
      <c r="V4484" s="9"/>
      <c r="W4484" s="9"/>
    </row>
    <row r="4485" spans="15:23" ht="31.4" customHeight="1" x14ac:dyDescent="0.35">
      <c r="O4485" s="9"/>
      <c r="V4485" s="9"/>
      <c r="W4485" s="9"/>
    </row>
    <row r="4486" spans="15:23" ht="31.4" customHeight="1" x14ac:dyDescent="0.35">
      <c r="O4486" s="9"/>
      <c r="V4486" s="9"/>
      <c r="W4486" s="9"/>
    </row>
    <row r="4487" spans="15:23" ht="31.4" customHeight="1" x14ac:dyDescent="0.35">
      <c r="O4487" s="9"/>
      <c r="V4487" s="9"/>
      <c r="W4487" s="9"/>
    </row>
    <row r="4488" spans="15:23" ht="31.4" customHeight="1" x14ac:dyDescent="0.35">
      <c r="O4488" s="9"/>
      <c r="V4488" s="9"/>
      <c r="W4488" s="9"/>
    </row>
    <row r="4489" spans="15:23" ht="31.4" customHeight="1" x14ac:dyDescent="0.35">
      <c r="O4489" s="9"/>
      <c r="V4489" s="9"/>
      <c r="W4489" s="9"/>
    </row>
    <row r="4490" spans="15:23" ht="31.4" customHeight="1" x14ac:dyDescent="0.35">
      <c r="O4490" s="9"/>
      <c r="V4490" s="9"/>
      <c r="W4490" s="9"/>
    </row>
    <row r="4491" spans="15:23" ht="31.4" customHeight="1" x14ac:dyDescent="0.35">
      <c r="O4491" s="9"/>
      <c r="V4491" s="9"/>
      <c r="W4491" s="9"/>
    </row>
    <row r="4492" spans="15:23" ht="31.4" customHeight="1" x14ac:dyDescent="0.35">
      <c r="O4492" s="9"/>
      <c r="V4492" s="9"/>
      <c r="W4492" s="9"/>
    </row>
    <row r="4493" spans="15:23" ht="31.4" customHeight="1" x14ac:dyDescent="0.35">
      <c r="O4493" s="9"/>
      <c r="V4493" s="9"/>
      <c r="W4493" s="9"/>
    </row>
    <row r="4494" spans="15:23" ht="31.4" customHeight="1" x14ac:dyDescent="0.35">
      <c r="O4494" s="9"/>
      <c r="V4494" s="9"/>
      <c r="W4494" s="9"/>
    </row>
    <row r="4495" spans="15:23" ht="31.4" customHeight="1" x14ac:dyDescent="0.35">
      <c r="O4495" s="9"/>
      <c r="V4495" s="9"/>
      <c r="W4495" s="9"/>
    </row>
    <row r="4496" spans="15:23" ht="31.4" customHeight="1" x14ac:dyDescent="0.35">
      <c r="O4496" s="9"/>
      <c r="V4496" s="9"/>
      <c r="W4496" s="9"/>
    </row>
    <row r="4497" spans="15:23" ht="31.4" customHeight="1" x14ac:dyDescent="0.35">
      <c r="O4497" s="9"/>
      <c r="V4497" s="9"/>
      <c r="W4497" s="9"/>
    </row>
    <row r="4498" spans="15:23" ht="31.4" customHeight="1" x14ac:dyDescent="0.35">
      <c r="O4498" s="9"/>
      <c r="V4498" s="9"/>
      <c r="W4498" s="9"/>
    </row>
    <row r="4499" spans="15:23" ht="31.4" customHeight="1" x14ac:dyDescent="0.35">
      <c r="O4499" s="9"/>
      <c r="V4499" s="9"/>
      <c r="W4499" s="9"/>
    </row>
    <row r="4500" spans="15:23" ht="31.4" customHeight="1" x14ac:dyDescent="0.35">
      <c r="O4500" s="9"/>
      <c r="V4500" s="9"/>
      <c r="W4500" s="9"/>
    </row>
    <row r="4501" spans="15:23" ht="31.4" customHeight="1" x14ac:dyDescent="0.35">
      <c r="O4501" s="9"/>
      <c r="V4501" s="9"/>
      <c r="W4501" s="9"/>
    </row>
    <row r="4502" spans="15:23" ht="31.4" customHeight="1" x14ac:dyDescent="0.35">
      <c r="O4502" s="9"/>
      <c r="V4502" s="9"/>
      <c r="W4502" s="9"/>
    </row>
    <row r="4503" spans="15:23" ht="31.4" customHeight="1" x14ac:dyDescent="0.35">
      <c r="O4503" s="9"/>
      <c r="V4503" s="9"/>
      <c r="W4503" s="9"/>
    </row>
    <row r="4504" spans="15:23" ht="31.4" customHeight="1" x14ac:dyDescent="0.35">
      <c r="O4504" s="9"/>
      <c r="V4504" s="9"/>
      <c r="W4504" s="9"/>
    </row>
    <row r="4505" spans="15:23" ht="31.4" customHeight="1" x14ac:dyDescent="0.35">
      <c r="O4505" s="9"/>
      <c r="V4505" s="9"/>
      <c r="W4505" s="9"/>
    </row>
    <row r="4506" spans="15:23" ht="31.4" customHeight="1" x14ac:dyDescent="0.35">
      <c r="O4506" s="9"/>
      <c r="V4506" s="9"/>
      <c r="W4506" s="9"/>
    </row>
    <row r="4507" spans="15:23" ht="31.4" customHeight="1" x14ac:dyDescent="0.35">
      <c r="O4507" s="9"/>
      <c r="V4507" s="9"/>
      <c r="W4507" s="9"/>
    </row>
    <row r="4508" spans="15:23" ht="31.4" customHeight="1" x14ac:dyDescent="0.35">
      <c r="O4508" s="9"/>
      <c r="V4508" s="9"/>
      <c r="W4508" s="9"/>
    </row>
    <row r="4509" spans="15:23" ht="31.4" customHeight="1" x14ac:dyDescent="0.35">
      <c r="O4509" s="9"/>
      <c r="V4509" s="9"/>
      <c r="W4509" s="9"/>
    </row>
    <row r="4510" spans="15:23" ht="31.4" customHeight="1" x14ac:dyDescent="0.35">
      <c r="O4510" s="9"/>
      <c r="V4510" s="9"/>
      <c r="W4510" s="9"/>
    </row>
    <row r="4511" spans="15:23" ht="31.4" customHeight="1" x14ac:dyDescent="0.35">
      <c r="O4511" s="9"/>
      <c r="V4511" s="9"/>
      <c r="W4511" s="9"/>
    </row>
    <row r="4512" spans="15:23" ht="31.4" customHeight="1" x14ac:dyDescent="0.35">
      <c r="O4512" s="9"/>
      <c r="V4512" s="9"/>
      <c r="W4512" s="9"/>
    </row>
    <row r="4513" spans="15:23" ht="31.4" customHeight="1" x14ac:dyDescent="0.35">
      <c r="O4513" s="9"/>
      <c r="V4513" s="9"/>
      <c r="W4513" s="9"/>
    </row>
    <row r="4514" spans="15:23" ht="31.4" customHeight="1" x14ac:dyDescent="0.35">
      <c r="O4514" s="9"/>
      <c r="V4514" s="9"/>
      <c r="W4514" s="9"/>
    </row>
    <row r="4515" spans="15:23" ht="31.4" customHeight="1" x14ac:dyDescent="0.35">
      <c r="O4515" s="9"/>
      <c r="V4515" s="9"/>
      <c r="W4515" s="9"/>
    </row>
    <row r="4516" spans="15:23" ht="31.4" customHeight="1" x14ac:dyDescent="0.35">
      <c r="O4516" s="9"/>
      <c r="V4516" s="9"/>
      <c r="W4516" s="9"/>
    </row>
    <row r="4517" spans="15:23" ht="31.4" customHeight="1" x14ac:dyDescent="0.35">
      <c r="O4517" s="9"/>
      <c r="V4517" s="9"/>
      <c r="W4517" s="9"/>
    </row>
    <row r="4518" spans="15:23" ht="31.4" customHeight="1" x14ac:dyDescent="0.35">
      <c r="O4518" s="9"/>
      <c r="V4518" s="9"/>
      <c r="W4518" s="9"/>
    </row>
    <row r="4519" spans="15:23" ht="31.4" customHeight="1" x14ac:dyDescent="0.35">
      <c r="O4519" s="9"/>
      <c r="V4519" s="9"/>
      <c r="W4519" s="9"/>
    </row>
    <row r="4520" spans="15:23" ht="31.4" customHeight="1" x14ac:dyDescent="0.35">
      <c r="O4520" s="9"/>
      <c r="V4520" s="9"/>
      <c r="W4520" s="9"/>
    </row>
    <row r="4521" spans="15:23" ht="31.4" customHeight="1" x14ac:dyDescent="0.35">
      <c r="O4521" s="9"/>
      <c r="V4521" s="9"/>
      <c r="W4521" s="9"/>
    </row>
    <row r="4522" spans="15:23" ht="31.4" customHeight="1" x14ac:dyDescent="0.35">
      <c r="O4522" s="9"/>
      <c r="V4522" s="9"/>
      <c r="W4522" s="9"/>
    </row>
    <row r="4523" spans="15:23" ht="31.4" customHeight="1" x14ac:dyDescent="0.35">
      <c r="O4523" s="9"/>
      <c r="V4523" s="9"/>
      <c r="W4523" s="9"/>
    </row>
    <row r="4524" spans="15:23" ht="31.4" customHeight="1" x14ac:dyDescent="0.35">
      <c r="O4524" s="9"/>
      <c r="V4524" s="9"/>
      <c r="W4524" s="9"/>
    </row>
    <row r="4525" spans="15:23" ht="31.4" customHeight="1" x14ac:dyDescent="0.35">
      <c r="O4525" s="9"/>
      <c r="V4525" s="9"/>
      <c r="W4525" s="9"/>
    </row>
    <row r="4526" spans="15:23" ht="31.4" customHeight="1" x14ac:dyDescent="0.35">
      <c r="O4526" s="9"/>
      <c r="V4526" s="9"/>
      <c r="W4526" s="9"/>
    </row>
    <row r="4527" spans="15:23" ht="31.4" customHeight="1" x14ac:dyDescent="0.35">
      <c r="O4527" s="9"/>
      <c r="V4527" s="9"/>
      <c r="W4527" s="9"/>
    </row>
    <row r="4528" spans="15:23" ht="31.4" customHeight="1" x14ac:dyDescent="0.35">
      <c r="O4528" s="9"/>
      <c r="V4528" s="9"/>
      <c r="W4528" s="9"/>
    </row>
    <row r="4529" spans="15:23" ht="31.4" customHeight="1" x14ac:dyDescent="0.35">
      <c r="O4529" s="9"/>
      <c r="V4529" s="9"/>
      <c r="W4529" s="9"/>
    </row>
    <row r="4530" spans="15:23" ht="31.4" customHeight="1" x14ac:dyDescent="0.35">
      <c r="O4530" s="9"/>
      <c r="V4530" s="9"/>
      <c r="W4530" s="9"/>
    </row>
    <row r="4531" spans="15:23" ht="31.4" customHeight="1" x14ac:dyDescent="0.35">
      <c r="O4531" s="9"/>
      <c r="V4531" s="9"/>
      <c r="W4531" s="9"/>
    </row>
    <row r="4532" spans="15:23" ht="31.4" customHeight="1" x14ac:dyDescent="0.35">
      <c r="O4532" s="9"/>
      <c r="V4532" s="9"/>
      <c r="W4532" s="9"/>
    </row>
    <row r="4533" spans="15:23" ht="31.4" customHeight="1" x14ac:dyDescent="0.35">
      <c r="O4533" s="9"/>
      <c r="V4533" s="9"/>
      <c r="W4533" s="9"/>
    </row>
    <row r="4534" spans="15:23" ht="31.4" customHeight="1" x14ac:dyDescent="0.35">
      <c r="O4534" s="9"/>
      <c r="V4534" s="9"/>
      <c r="W4534" s="9"/>
    </row>
    <row r="4535" spans="15:23" ht="31.4" customHeight="1" x14ac:dyDescent="0.35">
      <c r="O4535" s="9"/>
      <c r="V4535" s="9"/>
      <c r="W4535" s="9"/>
    </row>
    <row r="4536" spans="15:23" ht="31.4" customHeight="1" x14ac:dyDescent="0.35">
      <c r="O4536" s="9"/>
      <c r="V4536" s="9"/>
      <c r="W4536" s="9"/>
    </row>
    <row r="4537" spans="15:23" ht="31.4" customHeight="1" x14ac:dyDescent="0.35">
      <c r="O4537" s="9"/>
      <c r="V4537" s="9"/>
      <c r="W4537" s="9"/>
    </row>
    <row r="4538" spans="15:23" ht="31.4" customHeight="1" x14ac:dyDescent="0.35">
      <c r="O4538" s="9"/>
      <c r="V4538" s="9"/>
      <c r="W4538" s="9"/>
    </row>
    <row r="4539" spans="15:23" ht="31.4" customHeight="1" x14ac:dyDescent="0.35">
      <c r="O4539" s="9"/>
      <c r="V4539" s="9"/>
      <c r="W4539" s="9"/>
    </row>
    <row r="4540" spans="15:23" ht="31.4" customHeight="1" x14ac:dyDescent="0.35">
      <c r="O4540" s="9"/>
      <c r="V4540" s="9"/>
      <c r="W4540" s="9"/>
    </row>
    <row r="4541" spans="15:23" ht="31.4" customHeight="1" x14ac:dyDescent="0.35">
      <c r="O4541" s="9"/>
      <c r="V4541" s="9"/>
      <c r="W4541" s="9"/>
    </row>
    <row r="4542" spans="15:23" ht="31.4" customHeight="1" x14ac:dyDescent="0.35">
      <c r="O4542" s="9"/>
      <c r="V4542" s="9"/>
      <c r="W4542" s="9"/>
    </row>
    <row r="4543" spans="15:23" ht="31.4" customHeight="1" x14ac:dyDescent="0.35">
      <c r="O4543" s="9"/>
      <c r="V4543" s="9"/>
      <c r="W4543" s="9"/>
    </row>
    <row r="4544" spans="15:23" ht="31.4" customHeight="1" x14ac:dyDescent="0.35">
      <c r="O4544" s="9"/>
      <c r="V4544" s="9"/>
      <c r="W4544" s="9"/>
    </row>
    <row r="4545" spans="15:23" ht="31.4" customHeight="1" x14ac:dyDescent="0.35">
      <c r="O4545" s="9"/>
      <c r="V4545" s="9"/>
      <c r="W4545" s="9"/>
    </row>
    <row r="4546" spans="15:23" ht="31.4" customHeight="1" x14ac:dyDescent="0.35">
      <c r="O4546" s="9"/>
      <c r="V4546" s="9"/>
      <c r="W4546" s="9"/>
    </row>
    <row r="4547" spans="15:23" ht="31.4" customHeight="1" x14ac:dyDescent="0.35">
      <c r="O4547" s="9"/>
      <c r="V4547" s="9"/>
      <c r="W4547" s="9"/>
    </row>
    <row r="4548" spans="15:23" ht="31.4" customHeight="1" x14ac:dyDescent="0.35">
      <c r="O4548" s="9"/>
      <c r="V4548" s="9"/>
      <c r="W4548" s="9"/>
    </row>
    <row r="4549" spans="15:23" ht="31.4" customHeight="1" x14ac:dyDescent="0.35">
      <c r="O4549" s="9"/>
      <c r="V4549" s="9"/>
      <c r="W4549" s="9"/>
    </row>
    <row r="4550" spans="15:23" ht="31.4" customHeight="1" x14ac:dyDescent="0.35">
      <c r="O4550" s="9"/>
      <c r="V4550" s="9"/>
      <c r="W4550" s="9"/>
    </row>
    <row r="4551" spans="15:23" ht="31.4" customHeight="1" x14ac:dyDescent="0.35">
      <c r="O4551" s="9"/>
      <c r="V4551" s="9"/>
      <c r="W4551" s="9"/>
    </row>
    <row r="4552" spans="15:23" ht="31.4" customHeight="1" x14ac:dyDescent="0.35">
      <c r="O4552" s="9"/>
      <c r="V4552" s="9"/>
      <c r="W4552" s="9"/>
    </row>
    <row r="4553" spans="15:23" ht="31.4" customHeight="1" x14ac:dyDescent="0.35">
      <c r="O4553" s="9"/>
      <c r="V4553" s="9"/>
      <c r="W4553" s="9"/>
    </row>
    <row r="4554" spans="15:23" ht="31.4" customHeight="1" x14ac:dyDescent="0.35">
      <c r="O4554" s="9"/>
      <c r="V4554" s="9"/>
      <c r="W4554" s="9"/>
    </row>
    <row r="4555" spans="15:23" ht="31.4" customHeight="1" x14ac:dyDescent="0.35">
      <c r="O4555" s="9"/>
      <c r="V4555" s="9"/>
      <c r="W4555" s="9"/>
    </row>
    <row r="4556" spans="15:23" ht="31.4" customHeight="1" x14ac:dyDescent="0.35">
      <c r="O4556" s="9"/>
      <c r="V4556" s="9"/>
      <c r="W4556" s="9"/>
    </row>
    <row r="4557" spans="15:23" ht="31.4" customHeight="1" x14ac:dyDescent="0.35">
      <c r="O4557" s="9"/>
      <c r="V4557" s="9"/>
      <c r="W4557" s="9"/>
    </row>
    <row r="4558" spans="15:23" ht="31.4" customHeight="1" x14ac:dyDescent="0.35">
      <c r="O4558" s="9"/>
      <c r="V4558" s="9"/>
      <c r="W4558" s="9"/>
    </row>
    <row r="4559" spans="15:23" ht="31.4" customHeight="1" x14ac:dyDescent="0.35">
      <c r="O4559" s="9"/>
      <c r="V4559" s="9"/>
      <c r="W4559" s="9"/>
    </row>
    <row r="4560" spans="15:23" ht="31.4" customHeight="1" x14ac:dyDescent="0.35">
      <c r="O4560" s="9"/>
      <c r="V4560" s="9"/>
      <c r="W4560" s="9"/>
    </row>
    <row r="4561" spans="15:23" ht="31.4" customHeight="1" x14ac:dyDescent="0.35">
      <c r="O4561" s="9"/>
      <c r="V4561" s="9"/>
      <c r="W4561" s="9"/>
    </row>
    <row r="4562" spans="15:23" ht="31.4" customHeight="1" x14ac:dyDescent="0.35">
      <c r="O4562" s="9"/>
      <c r="V4562" s="9"/>
      <c r="W4562" s="9"/>
    </row>
    <row r="4563" spans="15:23" ht="31.4" customHeight="1" x14ac:dyDescent="0.35">
      <c r="O4563" s="9"/>
      <c r="V4563" s="9"/>
      <c r="W4563" s="9"/>
    </row>
    <row r="4564" spans="15:23" ht="31.4" customHeight="1" x14ac:dyDescent="0.35">
      <c r="O4564" s="9"/>
      <c r="V4564" s="9"/>
      <c r="W4564" s="9"/>
    </row>
    <row r="4565" spans="15:23" ht="31.4" customHeight="1" x14ac:dyDescent="0.35">
      <c r="O4565" s="9"/>
      <c r="V4565" s="9"/>
      <c r="W4565" s="9"/>
    </row>
    <row r="4566" spans="15:23" ht="31.4" customHeight="1" x14ac:dyDescent="0.35">
      <c r="O4566" s="9"/>
      <c r="V4566" s="9"/>
      <c r="W4566" s="9"/>
    </row>
    <row r="4567" spans="15:23" ht="31.4" customHeight="1" x14ac:dyDescent="0.35">
      <c r="O4567" s="9"/>
      <c r="V4567" s="9"/>
      <c r="W4567" s="9"/>
    </row>
    <row r="4568" spans="15:23" ht="31.4" customHeight="1" x14ac:dyDescent="0.35">
      <c r="O4568" s="9"/>
      <c r="V4568" s="9"/>
      <c r="W4568" s="9"/>
    </row>
    <row r="4569" spans="15:23" ht="31.4" customHeight="1" x14ac:dyDescent="0.35">
      <c r="O4569" s="9"/>
      <c r="V4569" s="9"/>
      <c r="W4569" s="9"/>
    </row>
    <row r="4570" spans="15:23" ht="31.4" customHeight="1" x14ac:dyDescent="0.35">
      <c r="O4570" s="9"/>
      <c r="V4570" s="9"/>
      <c r="W4570" s="9"/>
    </row>
    <row r="4571" spans="15:23" ht="31.4" customHeight="1" x14ac:dyDescent="0.35">
      <c r="O4571" s="9"/>
      <c r="V4571" s="9"/>
      <c r="W4571" s="9"/>
    </row>
    <row r="4572" spans="15:23" ht="31.4" customHeight="1" x14ac:dyDescent="0.35">
      <c r="O4572" s="9"/>
      <c r="V4572" s="9"/>
      <c r="W4572" s="9"/>
    </row>
    <row r="4573" spans="15:23" ht="31.4" customHeight="1" x14ac:dyDescent="0.35">
      <c r="O4573" s="9"/>
      <c r="V4573" s="9"/>
      <c r="W4573" s="9"/>
    </row>
    <row r="4574" spans="15:23" ht="31.4" customHeight="1" x14ac:dyDescent="0.35">
      <c r="O4574" s="9"/>
      <c r="V4574" s="9"/>
      <c r="W4574" s="9"/>
    </row>
    <row r="4575" spans="15:23" ht="31.4" customHeight="1" x14ac:dyDescent="0.35">
      <c r="O4575" s="9"/>
      <c r="V4575" s="9"/>
      <c r="W4575" s="9"/>
    </row>
    <row r="4576" spans="15:23" ht="31.4" customHeight="1" x14ac:dyDescent="0.35">
      <c r="O4576" s="9"/>
      <c r="V4576" s="9"/>
      <c r="W4576" s="9"/>
    </row>
    <row r="4577" spans="15:23" ht="31.4" customHeight="1" x14ac:dyDescent="0.35">
      <c r="O4577" s="9"/>
      <c r="V4577" s="9"/>
      <c r="W4577" s="9"/>
    </row>
    <row r="4578" spans="15:23" ht="31.4" customHeight="1" x14ac:dyDescent="0.35">
      <c r="O4578" s="9"/>
      <c r="V4578" s="9"/>
      <c r="W4578" s="9"/>
    </row>
    <row r="4579" spans="15:23" ht="31.4" customHeight="1" x14ac:dyDescent="0.35">
      <c r="O4579" s="9"/>
      <c r="V4579" s="9"/>
      <c r="W4579" s="9"/>
    </row>
    <row r="4580" spans="15:23" ht="31.4" customHeight="1" x14ac:dyDescent="0.35">
      <c r="O4580" s="9"/>
      <c r="V4580" s="9"/>
      <c r="W4580" s="9"/>
    </row>
    <row r="4581" spans="15:23" ht="31.4" customHeight="1" x14ac:dyDescent="0.35">
      <c r="O4581" s="9"/>
      <c r="V4581" s="9"/>
      <c r="W4581" s="9"/>
    </row>
    <row r="4582" spans="15:23" ht="31.4" customHeight="1" x14ac:dyDescent="0.35">
      <c r="O4582" s="9"/>
      <c r="V4582" s="9"/>
      <c r="W4582" s="9"/>
    </row>
    <row r="4583" spans="15:23" ht="31.4" customHeight="1" x14ac:dyDescent="0.35">
      <c r="O4583" s="9"/>
      <c r="V4583" s="9"/>
      <c r="W4583" s="9"/>
    </row>
    <row r="4584" spans="15:23" ht="31.4" customHeight="1" x14ac:dyDescent="0.35">
      <c r="O4584" s="9"/>
      <c r="V4584" s="9"/>
      <c r="W4584" s="9"/>
    </row>
    <row r="4585" spans="15:23" ht="31.4" customHeight="1" x14ac:dyDescent="0.35">
      <c r="O4585" s="9"/>
      <c r="V4585" s="9"/>
      <c r="W4585" s="9"/>
    </row>
    <row r="4586" spans="15:23" ht="31.4" customHeight="1" x14ac:dyDescent="0.35">
      <c r="O4586" s="9"/>
      <c r="V4586" s="9"/>
      <c r="W4586" s="9"/>
    </row>
    <row r="4587" spans="15:23" ht="31.4" customHeight="1" x14ac:dyDescent="0.35">
      <c r="O4587" s="9"/>
      <c r="V4587" s="9"/>
      <c r="W4587" s="9"/>
    </row>
    <row r="4588" spans="15:23" ht="31.4" customHeight="1" x14ac:dyDescent="0.35">
      <c r="O4588" s="9"/>
      <c r="V4588" s="9"/>
      <c r="W4588" s="9"/>
    </row>
    <row r="4589" spans="15:23" ht="31.4" customHeight="1" x14ac:dyDescent="0.35">
      <c r="O4589" s="9"/>
      <c r="V4589" s="9"/>
      <c r="W4589" s="9"/>
    </row>
    <row r="4590" spans="15:23" ht="31.4" customHeight="1" x14ac:dyDescent="0.35">
      <c r="O4590" s="9"/>
      <c r="V4590" s="9"/>
      <c r="W4590" s="9"/>
    </row>
    <row r="4591" spans="15:23" ht="31.4" customHeight="1" x14ac:dyDescent="0.35">
      <c r="O4591" s="9"/>
      <c r="V4591" s="9"/>
      <c r="W4591" s="9"/>
    </row>
    <row r="4592" spans="15:23" ht="31.4" customHeight="1" x14ac:dyDescent="0.35">
      <c r="O4592" s="9"/>
      <c r="V4592" s="9"/>
      <c r="W4592" s="9"/>
    </row>
    <row r="4593" spans="15:23" ht="31.4" customHeight="1" x14ac:dyDescent="0.35">
      <c r="O4593" s="9"/>
      <c r="V4593" s="9"/>
      <c r="W4593" s="9"/>
    </row>
    <row r="4594" spans="15:23" ht="31.4" customHeight="1" x14ac:dyDescent="0.35">
      <c r="O4594" s="9"/>
      <c r="V4594" s="9"/>
      <c r="W4594" s="9"/>
    </row>
    <row r="4595" spans="15:23" ht="31.4" customHeight="1" x14ac:dyDescent="0.35">
      <c r="O4595" s="9"/>
      <c r="V4595" s="9"/>
      <c r="W4595" s="9"/>
    </row>
    <row r="4596" spans="15:23" ht="31.4" customHeight="1" x14ac:dyDescent="0.35">
      <c r="O4596" s="9"/>
      <c r="V4596" s="9"/>
      <c r="W4596" s="9"/>
    </row>
    <row r="4597" spans="15:23" ht="31.4" customHeight="1" x14ac:dyDescent="0.35">
      <c r="O4597" s="9"/>
      <c r="V4597" s="9"/>
      <c r="W4597" s="9"/>
    </row>
    <row r="4598" spans="15:23" ht="31.4" customHeight="1" x14ac:dyDescent="0.35">
      <c r="O4598" s="9"/>
      <c r="V4598" s="9"/>
      <c r="W4598" s="9"/>
    </row>
    <row r="4599" spans="15:23" ht="31.4" customHeight="1" x14ac:dyDescent="0.35">
      <c r="O4599" s="9"/>
      <c r="V4599" s="9"/>
      <c r="W4599" s="9"/>
    </row>
    <row r="4600" spans="15:23" ht="31.4" customHeight="1" x14ac:dyDescent="0.35">
      <c r="O4600" s="9"/>
      <c r="V4600" s="9"/>
      <c r="W4600" s="9"/>
    </row>
    <row r="4601" spans="15:23" ht="31.4" customHeight="1" x14ac:dyDescent="0.35">
      <c r="O4601" s="9"/>
      <c r="V4601" s="9"/>
      <c r="W4601" s="9"/>
    </row>
    <row r="4602" spans="15:23" ht="31.4" customHeight="1" x14ac:dyDescent="0.35">
      <c r="O4602" s="9"/>
      <c r="V4602" s="9"/>
      <c r="W4602" s="9"/>
    </row>
    <row r="4603" spans="15:23" ht="31.4" customHeight="1" x14ac:dyDescent="0.35">
      <c r="O4603" s="9"/>
      <c r="V4603" s="9"/>
      <c r="W4603" s="9"/>
    </row>
    <row r="4604" spans="15:23" ht="31.4" customHeight="1" x14ac:dyDescent="0.35">
      <c r="O4604" s="9"/>
      <c r="V4604" s="9"/>
      <c r="W4604" s="9"/>
    </row>
    <row r="4605" spans="15:23" ht="31.4" customHeight="1" x14ac:dyDescent="0.35">
      <c r="O4605" s="9"/>
      <c r="V4605" s="9"/>
      <c r="W4605" s="9"/>
    </row>
    <row r="4606" spans="15:23" ht="31.4" customHeight="1" x14ac:dyDescent="0.35">
      <c r="O4606" s="9"/>
      <c r="V4606" s="9"/>
      <c r="W4606" s="9"/>
    </row>
    <row r="4607" spans="15:23" ht="31.4" customHeight="1" x14ac:dyDescent="0.35">
      <c r="O4607" s="9"/>
      <c r="V4607" s="9"/>
      <c r="W4607" s="9"/>
    </row>
    <row r="4608" spans="15:23" ht="31.4" customHeight="1" x14ac:dyDescent="0.35">
      <c r="O4608" s="9"/>
      <c r="V4608" s="9"/>
      <c r="W4608" s="9"/>
    </row>
    <row r="4609" spans="15:23" ht="31.4" customHeight="1" x14ac:dyDescent="0.35">
      <c r="O4609" s="9"/>
      <c r="V4609" s="9"/>
      <c r="W4609" s="9"/>
    </row>
    <row r="4610" spans="15:23" ht="31.4" customHeight="1" x14ac:dyDescent="0.35">
      <c r="O4610" s="9"/>
      <c r="V4610" s="9"/>
      <c r="W4610" s="9"/>
    </row>
    <row r="4611" spans="15:23" ht="31.4" customHeight="1" x14ac:dyDescent="0.35">
      <c r="O4611" s="9"/>
      <c r="V4611" s="9"/>
      <c r="W4611" s="9"/>
    </row>
    <row r="4612" spans="15:23" ht="31.4" customHeight="1" x14ac:dyDescent="0.35">
      <c r="O4612" s="9"/>
      <c r="V4612" s="9"/>
      <c r="W4612" s="9"/>
    </row>
    <row r="4613" spans="15:23" ht="31.4" customHeight="1" x14ac:dyDescent="0.35">
      <c r="O4613" s="9"/>
      <c r="V4613" s="9"/>
      <c r="W4613" s="9"/>
    </row>
    <row r="4614" spans="15:23" ht="31.4" customHeight="1" x14ac:dyDescent="0.35">
      <c r="O4614" s="9"/>
      <c r="V4614" s="9"/>
      <c r="W4614" s="9"/>
    </row>
    <row r="4615" spans="15:23" ht="31.4" customHeight="1" x14ac:dyDescent="0.35">
      <c r="O4615" s="9"/>
      <c r="V4615" s="9"/>
      <c r="W4615" s="9"/>
    </row>
    <row r="4616" spans="15:23" ht="31.4" customHeight="1" x14ac:dyDescent="0.35">
      <c r="O4616" s="9"/>
      <c r="V4616" s="9"/>
      <c r="W4616" s="9"/>
    </row>
    <row r="4617" spans="15:23" ht="31.4" customHeight="1" x14ac:dyDescent="0.35">
      <c r="O4617" s="9"/>
      <c r="V4617" s="9"/>
      <c r="W4617" s="9"/>
    </row>
    <row r="4618" spans="15:23" ht="31.4" customHeight="1" x14ac:dyDescent="0.35">
      <c r="O4618" s="9"/>
      <c r="V4618" s="9"/>
      <c r="W4618" s="9"/>
    </row>
    <row r="4619" spans="15:23" ht="31.4" customHeight="1" x14ac:dyDescent="0.35">
      <c r="O4619" s="9"/>
      <c r="V4619" s="9"/>
      <c r="W4619" s="9"/>
    </row>
    <row r="4620" spans="15:23" ht="31.4" customHeight="1" x14ac:dyDescent="0.35">
      <c r="O4620" s="9"/>
      <c r="V4620" s="9"/>
      <c r="W4620" s="9"/>
    </row>
    <row r="4621" spans="15:23" ht="31.4" customHeight="1" x14ac:dyDescent="0.35">
      <c r="O4621" s="9"/>
      <c r="V4621" s="9"/>
      <c r="W4621" s="9"/>
    </row>
    <row r="4622" spans="15:23" ht="31.4" customHeight="1" x14ac:dyDescent="0.35">
      <c r="O4622" s="9"/>
      <c r="V4622" s="9"/>
      <c r="W4622" s="9"/>
    </row>
    <row r="4623" spans="15:23" ht="31.4" customHeight="1" x14ac:dyDescent="0.35">
      <c r="O4623" s="9"/>
      <c r="V4623" s="9"/>
      <c r="W4623" s="9"/>
    </row>
    <row r="4624" spans="15:23" ht="31.4" customHeight="1" x14ac:dyDescent="0.35">
      <c r="O4624" s="9"/>
      <c r="V4624" s="9"/>
      <c r="W4624" s="9"/>
    </row>
    <row r="4625" spans="15:23" ht="31.4" customHeight="1" x14ac:dyDescent="0.35">
      <c r="O4625" s="9"/>
      <c r="V4625" s="9"/>
      <c r="W4625" s="9"/>
    </row>
    <row r="4626" spans="15:23" ht="31.4" customHeight="1" x14ac:dyDescent="0.35">
      <c r="O4626" s="9"/>
      <c r="V4626" s="9"/>
      <c r="W4626" s="9"/>
    </row>
    <row r="4627" spans="15:23" ht="31.4" customHeight="1" x14ac:dyDescent="0.35">
      <c r="O4627" s="9"/>
      <c r="V4627" s="9"/>
      <c r="W4627" s="9"/>
    </row>
    <row r="4628" spans="15:23" ht="31.4" customHeight="1" x14ac:dyDescent="0.35">
      <c r="O4628" s="9"/>
      <c r="V4628" s="9"/>
      <c r="W4628" s="9"/>
    </row>
    <row r="4629" spans="15:23" ht="31.4" customHeight="1" x14ac:dyDescent="0.35">
      <c r="O4629" s="9"/>
      <c r="V4629" s="9"/>
      <c r="W4629" s="9"/>
    </row>
    <row r="4630" spans="15:23" ht="31.4" customHeight="1" x14ac:dyDescent="0.35">
      <c r="O4630" s="9"/>
      <c r="V4630" s="9"/>
      <c r="W4630" s="9"/>
    </row>
    <row r="4631" spans="15:23" ht="31.4" customHeight="1" x14ac:dyDescent="0.35">
      <c r="O4631" s="9"/>
      <c r="V4631" s="9"/>
      <c r="W4631" s="9"/>
    </row>
    <row r="4632" spans="15:23" ht="31.4" customHeight="1" x14ac:dyDescent="0.35">
      <c r="O4632" s="9"/>
      <c r="V4632" s="9"/>
      <c r="W4632" s="9"/>
    </row>
    <row r="4633" spans="15:23" ht="31.4" customHeight="1" x14ac:dyDescent="0.35">
      <c r="O4633" s="9"/>
      <c r="V4633" s="9"/>
      <c r="W4633" s="9"/>
    </row>
    <row r="4634" spans="15:23" ht="31.4" customHeight="1" x14ac:dyDescent="0.35">
      <c r="O4634" s="9"/>
      <c r="V4634" s="9"/>
      <c r="W4634" s="9"/>
    </row>
    <row r="4635" spans="15:23" ht="31.4" customHeight="1" x14ac:dyDescent="0.35">
      <c r="O4635" s="9"/>
      <c r="V4635" s="9"/>
      <c r="W4635" s="9"/>
    </row>
    <row r="4636" spans="15:23" ht="31.4" customHeight="1" x14ac:dyDescent="0.35">
      <c r="O4636" s="9"/>
      <c r="V4636" s="9"/>
      <c r="W4636" s="9"/>
    </row>
    <row r="4637" spans="15:23" ht="31.4" customHeight="1" x14ac:dyDescent="0.35">
      <c r="O4637" s="9"/>
      <c r="V4637" s="9"/>
      <c r="W4637" s="9"/>
    </row>
    <row r="4638" spans="15:23" ht="31.4" customHeight="1" x14ac:dyDescent="0.35">
      <c r="O4638" s="9"/>
      <c r="V4638" s="9"/>
      <c r="W4638" s="9"/>
    </row>
    <row r="4639" spans="15:23" ht="31.4" customHeight="1" x14ac:dyDescent="0.35">
      <c r="O4639" s="9"/>
      <c r="V4639" s="9"/>
      <c r="W4639" s="9"/>
    </row>
    <row r="4640" spans="15:23" ht="31.4" customHeight="1" x14ac:dyDescent="0.35">
      <c r="O4640" s="9"/>
      <c r="V4640" s="9"/>
      <c r="W4640" s="9"/>
    </row>
    <row r="4641" spans="15:23" ht="31.4" customHeight="1" x14ac:dyDescent="0.35">
      <c r="O4641" s="9"/>
      <c r="V4641" s="9"/>
      <c r="W4641" s="9"/>
    </row>
    <row r="4642" spans="15:23" ht="31.4" customHeight="1" x14ac:dyDescent="0.35">
      <c r="O4642" s="9"/>
      <c r="V4642" s="9"/>
      <c r="W4642" s="9"/>
    </row>
    <row r="4643" spans="15:23" ht="31.4" customHeight="1" x14ac:dyDescent="0.35">
      <c r="O4643" s="9"/>
      <c r="V4643" s="9"/>
      <c r="W4643" s="9"/>
    </row>
    <row r="4644" spans="15:23" ht="31.4" customHeight="1" x14ac:dyDescent="0.35">
      <c r="O4644" s="9"/>
      <c r="V4644" s="9"/>
      <c r="W4644" s="9"/>
    </row>
    <row r="4645" spans="15:23" ht="31.4" customHeight="1" x14ac:dyDescent="0.35">
      <c r="O4645" s="9"/>
      <c r="V4645" s="9"/>
      <c r="W4645" s="9"/>
    </row>
    <row r="4646" spans="15:23" ht="31.4" customHeight="1" x14ac:dyDescent="0.35">
      <c r="O4646" s="9"/>
      <c r="V4646" s="9"/>
      <c r="W4646" s="9"/>
    </row>
    <row r="4647" spans="15:23" ht="31.4" customHeight="1" x14ac:dyDescent="0.35">
      <c r="O4647" s="9"/>
      <c r="V4647" s="9"/>
      <c r="W4647" s="9"/>
    </row>
    <row r="4648" spans="15:23" ht="31.4" customHeight="1" x14ac:dyDescent="0.35">
      <c r="O4648" s="9"/>
      <c r="V4648" s="9"/>
      <c r="W4648" s="9"/>
    </row>
    <row r="4649" spans="15:23" ht="31.4" customHeight="1" x14ac:dyDescent="0.35">
      <c r="O4649" s="9"/>
      <c r="V4649" s="9"/>
      <c r="W4649" s="9"/>
    </row>
    <row r="4650" spans="15:23" ht="31.4" customHeight="1" x14ac:dyDescent="0.35">
      <c r="O4650" s="9"/>
      <c r="V4650" s="9"/>
      <c r="W4650" s="9"/>
    </row>
    <row r="4651" spans="15:23" ht="31.4" customHeight="1" x14ac:dyDescent="0.35">
      <c r="O4651" s="9"/>
      <c r="V4651" s="9"/>
      <c r="W4651" s="9"/>
    </row>
    <row r="4652" spans="15:23" ht="31.4" customHeight="1" x14ac:dyDescent="0.35">
      <c r="O4652" s="9"/>
      <c r="V4652" s="9"/>
      <c r="W4652" s="9"/>
    </row>
    <row r="4653" spans="15:23" ht="31.4" customHeight="1" x14ac:dyDescent="0.35">
      <c r="O4653" s="9"/>
      <c r="V4653" s="9"/>
      <c r="W4653" s="9"/>
    </row>
    <row r="4654" spans="15:23" ht="31.4" customHeight="1" x14ac:dyDescent="0.35">
      <c r="O4654" s="9"/>
      <c r="V4654" s="9"/>
      <c r="W4654" s="9"/>
    </row>
    <row r="4655" spans="15:23" ht="31.4" customHeight="1" x14ac:dyDescent="0.35">
      <c r="O4655" s="9"/>
      <c r="V4655" s="9"/>
      <c r="W4655" s="9"/>
    </row>
    <row r="4656" spans="15:23" ht="31.4" customHeight="1" x14ac:dyDescent="0.35">
      <c r="O4656" s="9"/>
      <c r="V4656" s="9"/>
      <c r="W4656" s="9"/>
    </row>
    <row r="4657" spans="15:23" ht="31.4" customHeight="1" x14ac:dyDescent="0.35">
      <c r="O4657" s="9"/>
      <c r="V4657" s="9"/>
      <c r="W4657" s="9"/>
    </row>
    <row r="4658" spans="15:23" ht="31.4" customHeight="1" x14ac:dyDescent="0.35">
      <c r="O4658" s="9"/>
      <c r="V4658" s="9"/>
      <c r="W4658" s="9"/>
    </row>
    <row r="4659" spans="15:23" ht="31.4" customHeight="1" x14ac:dyDescent="0.35">
      <c r="O4659" s="9"/>
      <c r="V4659" s="9"/>
      <c r="W4659" s="9"/>
    </row>
    <row r="4660" spans="15:23" ht="31.4" customHeight="1" x14ac:dyDescent="0.35">
      <c r="O4660" s="9"/>
      <c r="V4660" s="9"/>
      <c r="W4660" s="9"/>
    </row>
    <row r="4661" spans="15:23" ht="31.4" customHeight="1" x14ac:dyDescent="0.35">
      <c r="O4661" s="9"/>
      <c r="V4661" s="9"/>
      <c r="W4661" s="9"/>
    </row>
    <row r="4662" spans="15:23" ht="31.4" customHeight="1" x14ac:dyDescent="0.35">
      <c r="O4662" s="9"/>
      <c r="V4662" s="9"/>
      <c r="W4662" s="9"/>
    </row>
    <row r="4663" spans="15:23" ht="31.4" customHeight="1" x14ac:dyDescent="0.35">
      <c r="O4663" s="9"/>
      <c r="V4663" s="9"/>
      <c r="W4663" s="9"/>
    </row>
    <row r="4664" spans="15:23" ht="31.4" customHeight="1" x14ac:dyDescent="0.35">
      <c r="O4664" s="9"/>
      <c r="V4664" s="9"/>
      <c r="W4664" s="9"/>
    </row>
    <row r="4665" spans="15:23" ht="31.4" customHeight="1" x14ac:dyDescent="0.35">
      <c r="O4665" s="9"/>
      <c r="V4665" s="9"/>
      <c r="W4665" s="9"/>
    </row>
    <row r="4666" spans="15:23" ht="31.4" customHeight="1" x14ac:dyDescent="0.35">
      <c r="O4666" s="9"/>
      <c r="V4666" s="9"/>
      <c r="W4666" s="9"/>
    </row>
    <row r="4667" spans="15:23" ht="31.4" customHeight="1" x14ac:dyDescent="0.35">
      <c r="O4667" s="9"/>
      <c r="V4667" s="9"/>
      <c r="W4667" s="9"/>
    </row>
    <row r="4668" spans="15:23" ht="31.4" customHeight="1" x14ac:dyDescent="0.35">
      <c r="O4668" s="9"/>
      <c r="V4668" s="9"/>
      <c r="W4668" s="9"/>
    </row>
    <row r="4669" spans="15:23" ht="31.4" customHeight="1" x14ac:dyDescent="0.35">
      <c r="O4669" s="9"/>
      <c r="V4669" s="9"/>
      <c r="W4669" s="9"/>
    </row>
    <row r="4670" spans="15:23" ht="31.4" customHeight="1" x14ac:dyDescent="0.35">
      <c r="O4670" s="9"/>
      <c r="V4670" s="9"/>
      <c r="W4670" s="9"/>
    </row>
    <row r="4671" spans="15:23" ht="31.4" customHeight="1" x14ac:dyDescent="0.35">
      <c r="O4671" s="9"/>
      <c r="V4671" s="9"/>
      <c r="W4671" s="9"/>
    </row>
    <row r="4672" spans="15:23" ht="31.4" customHeight="1" x14ac:dyDescent="0.35">
      <c r="O4672" s="9"/>
      <c r="V4672" s="9"/>
      <c r="W4672" s="9"/>
    </row>
    <row r="4673" spans="15:23" ht="31.4" customHeight="1" x14ac:dyDescent="0.35">
      <c r="O4673" s="9"/>
      <c r="V4673" s="9"/>
      <c r="W4673" s="9"/>
    </row>
    <row r="4674" spans="15:23" ht="31.4" customHeight="1" x14ac:dyDescent="0.35">
      <c r="O4674" s="9"/>
      <c r="V4674" s="9"/>
      <c r="W4674" s="9"/>
    </row>
    <row r="4675" spans="15:23" ht="31.4" customHeight="1" x14ac:dyDescent="0.35">
      <c r="O4675" s="9"/>
      <c r="V4675" s="9"/>
      <c r="W4675" s="9"/>
    </row>
    <row r="4676" spans="15:23" ht="31.4" customHeight="1" x14ac:dyDescent="0.35">
      <c r="O4676" s="9"/>
      <c r="V4676" s="9"/>
      <c r="W4676" s="9"/>
    </row>
    <row r="4677" spans="15:23" ht="31.4" customHeight="1" x14ac:dyDescent="0.35">
      <c r="O4677" s="9"/>
      <c r="V4677" s="9"/>
      <c r="W4677" s="9"/>
    </row>
    <row r="4678" spans="15:23" ht="31.4" customHeight="1" x14ac:dyDescent="0.35">
      <c r="O4678" s="9"/>
      <c r="V4678" s="9"/>
      <c r="W4678" s="9"/>
    </row>
    <row r="4679" spans="15:23" ht="31.4" customHeight="1" x14ac:dyDescent="0.35">
      <c r="O4679" s="9"/>
      <c r="V4679" s="9"/>
      <c r="W4679" s="9"/>
    </row>
    <row r="4680" spans="15:23" ht="31.4" customHeight="1" x14ac:dyDescent="0.35">
      <c r="O4680" s="9"/>
      <c r="V4680" s="9"/>
      <c r="W4680" s="9"/>
    </row>
    <row r="4681" spans="15:23" ht="31.4" customHeight="1" x14ac:dyDescent="0.35">
      <c r="O4681" s="9"/>
      <c r="V4681" s="9"/>
      <c r="W4681" s="9"/>
    </row>
    <row r="4682" spans="15:23" ht="31.4" customHeight="1" x14ac:dyDescent="0.35">
      <c r="O4682" s="9"/>
      <c r="V4682" s="9"/>
      <c r="W4682" s="9"/>
    </row>
    <row r="4683" spans="15:23" ht="31.4" customHeight="1" x14ac:dyDescent="0.35">
      <c r="O4683" s="9"/>
      <c r="V4683" s="9"/>
      <c r="W4683" s="9"/>
    </row>
    <row r="4684" spans="15:23" ht="31.4" customHeight="1" x14ac:dyDescent="0.35">
      <c r="O4684" s="9"/>
      <c r="V4684" s="9"/>
      <c r="W4684" s="9"/>
    </row>
    <row r="4685" spans="15:23" ht="31.4" customHeight="1" x14ac:dyDescent="0.35">
      <c r="O4685" s="9"/>
      <c r="V4685" s="9"/>
      <c r="W4685" s="9"/>
    </row>
    <row r="4686" spans="15:23" ht="31.4" customHeight="1" x14ac:dyDescent="0.35">
      <c r="O4686" s="9"/>
      <c r="V4686" s="9"/>
      <c r="W4686" s="9"/>
    </row>
    <row r="4687" spans="15:23" ht="31.4" customHeight="1" x14ac:dyDescent="0.35">
      <c r="O4687" s="9"/>
      <c r="V4687" s="9"/>
      <c r="W4687" s="9"/>
    </row>
    <row r="4688" spans="15:23" ht="31.4" customHeight="1" x14ac:dyDescent="0.35">
      <c r="O4688" s="9"/>
      <c r="V4688" s="9"/>
      <c r="W4688" s="9"/>
    </row>
    <row r="4689" spans="15:23" ht="31.4" customHeight="1" x14ac:dyDescent="0.35">
      <c r="O4689" s="9"/>
      <c r="V4689" s="9"/>
      <c r="W4689" s="9"/>
    </row>
    <row r="4690" spans="15:23" ht="31.4" customHeight="1" x14ac:dyDescent="0.35">
      <c r="O4690" s="9"/>
      <c r="V4690" s="9"/>
      <c r="W4690" s="9"/>
    </row>
    <row r="4691" spans="15:23" ht="31.4" customHeight="1" x14ac:dyDescent="0.35">
      <c r="O4691" s="9"/>
      <c r="V4691" s="9"/>
      <c r="W4691" s="9"/>
    </row>
    <row r="4692" spans="15:23" ht="31.4" customHeight="1" x14ac:dyDescent="0.35">
      <c r="O4692" s="9"/>
      <c r="V4692" s="9"/>
      <c r="W4692" s="9"/>
    </row>
    <row r="4693" spans="15:23" ht="31.4" customHeight="1" x14ac:dyDescent="0.35">
      <c r="O4693" s="9"/>
      <c r="V4693" s="9"/>
      <c r="W4693" s="9"/>
    </row>
    <row r="4694" spans="15:23" ht="31.4" customHeight="1" x14ac:dyDescent="0.35">
      <c r="O4694" s="9"/>
      <c r="V4694" s="9"/>
      <c r="W4694" s="9"/>
    </row>
    <row r="4695" spans="15:23" ht="31.4" customHeight="1" x14ac:dyDescent="0.35">
      <c r="O4695" s="9"/>
      <c r="V4695" s="9"/>
      <c r="W4695" s="9"/>
    </row>
    <row r="4696" spans="15:23" ht="31.4" customHeight="1" x14ac:dyDescent="0.35">
      <c r="O4696" s="9"/>
      <c r="V4696" s="9"/>
      <c r="W4696" s="9"/>
    </row>
    <row r="4697" spans="15:23" ht="31.4" customHeight="1" x14ac:dyDescent="0.35">
      <c r="O4697" s="9"/>
      <c r="V4697" s="9"/>
      <c r="W4697" s="9"/>
    </row>
    <row r="4698" spans="15:23" ht="31.4" customHeight="1" x14ac:dyDescent="0.35">
      <c r="O4698" s="9"/>
      <c r="V4698" s="9"/>
      <c r="W4698" s="9"/>
    </row>
    <row r="4699" spans="15:23" ht="31.4" customHeight="1" x14ac:dyDescent="0.35">
      <c r="O4699" s="9"/>
      <c r="V4699" s="9"/>
      <c r="W4699" s="9"/>
    </row>
    <row r="4700" spans="15:23" ht="31.4" customHeight="1" x14ac:dyDescent="0.35">
      <c r="O4700" s="9"/>
      <c r="V4700" s="9"/>
      <c r="W4700" s="9"/>
    </row>
    <row r="4701" spans="15:23" ht="31.4" customHeight="1" x14ac:dyDescent="0.35">
      <c r="O4701" s="9"/>
      <c r="V4701" s="9"/>
      <c r="W4701" s="9"/>
    </row>
    <row r="4702" spans="15:23" ht="31.4" customHeight="1" x14ac:dyDescent="0.35">
      <c r="O4702" s="9"/>
      <c r="V4702" s="9"/>
      <c r="W4702" s="9"/>
    </row>
    <row r="4703" spans="15:23" ht="31.4" customHeight="1" x14ac:dyDescent="0.35">
      <c r="O4703" s="9"/>
      <c r="V4703" s="9"/>
      <c r="W4703" s="9"/>
    </row>
    <row r="4704" spans="15:23" ht="31.4" customHeight="1" x14ac:dyDescent="0.35">
      <c r="O4704" s="9"/>
      <c r="V4704" s="9"/>
      <c r="W4704" s="9"/>
    </row>
    <row r="4705" spans="15:23" ht="31.4" customHeight="1" x14ac:dyDescent="0.35">
      <c r="O4705" s="9"/>
      <c r="V4705" s="9"/>
      <c r="W4705" s="9"/>
    </row>
    <row r="4706" spans="15:23" ht="31.4" customHeight="1" x14ac:dyDescent="0.35">
      <c r="O4706" s="9"/>
      <c r="V4706" s="9"/>
      <c r="W4706" s="9"/>
    </row>
    <row r="4707" spans="15:23" ht="31.4" customHeight="1" x14ac:dyDescent="0.35">
      <c r="O4707" s="9"/>
      <c r="V4707" s="9"/>
      <c r="W4707" s="9"/>
    </row>
    <row r="4708" spans="15:23" ht="31.4" customHeight="1" x14ac:dyDescent="0.35">
      <c r="O4708" s="9"/>
      <c r="V4708" s="9"/>
      <c r="W4708" s="9"/>
    </row>
    <row r="4709" spans="15:23" ht="31.4" customHeight="1" x14ac:dyDescent="0.35">
      <c r="O4709" s="9"/>
      <c r="V4709" s="9"/>
      <c r="W4709" s="9"/>
    </row>
    <row r="4710" spans="15:23" ht="31.4" customHeight="1" x14ac:dyDescent="0.35">
      <c r="O4710" s="9"/>
      <c r="V4710" s="9"/>
      <c r="W4710" s="9"/>
    </row>
    <row r="4711" spans="15:23" ht="31.4" customHeight="1" x14ac:dyDescent="0.35">
      <c r="O4711" s="9"/>
      <c r="V4711" s="9"/>
      <c r="W4711" s="9"/>
    </row>
    <row r="4712" spans="15:23" ht="31.4" customHeight="1" x14ac:dyDescent="0.35">
      <c r="O4712" s="9"/>
      <c r="V4712" s="9"/>
      <c r="W4712" s="9"/>
    </row>
    <row r="4713" spans="15:23" ht="31.4" customHeight="1" x14ac:dyDescent="0.35">
      <c r="O4713" s="9"/>
      <c r="V4713" s="9"/>
      <c r="W4713" s="9"/>
    </row>
    <row r="4714" spans="15:23" ht="31.4" customHeight="1" x14ac:dyDescent="0.35">
      <c r="O4714" s="9"/>
      <c r="V4714" s="9"/>
      <c r="W4714" s="9"/>
    </row>
    <row r="4715" spans="15:23" ht="31.4" customHeight="1" x14ac:dyDescent="0.35">
      <c r="O4715" s="9"/>
      <c r="V4715" s="9"/>
      <c r="W4715" s="9"/>
    </row>
    <row r="4716" spans="15:23" ht="31.4" customHeight="1" x14ac:dyDescent="0.35">
      <c r="O4716" s="9"/>
      <c r="V4716" s="9"/>
      <c r="W4716" s="9"/>
    </row>
    <row r="4717" spans="15:23" ht="31.4" customHeight="1" x14ac:dyDescent="0.35">
      <c r="O4717" s="9"/>
      <c r="V4717" s="9"/>
      <c r="W4717" s="9"/>
    </row>
    <row r="4718" spans="15:23" ht="31.4" customHeight="1" x14ac:dyDescent="0.35">
      <c r="O4718" s="9"/>
      <c r="V4718" s="9"/>
      <c r="W4718" s="9"/>
    </row>
    <row r="4719" spans="15:23" ht="31.4" customHeight="1" x14ac:dyDescent="0.35">
      <c r="O4719" s="9"/>
      <c r="V4719" s="9"/>
      <c r="W4719" s="9"/>
    </row>
    <row r="4720" spans="15:23" ht="31.4" customHeight="1" x14ac:dyDescent="0.35">
      <c r="O4720" s="9"/>
      <c r="V4720" s="9"/>
      <c r="W4720" s="9"/>
    </row>
    <row r="4721" spans="15:23" ht="31.4" customHeight="1" x14ac:dyDescent="0.35">
      <c r="O4721" s="9"/>
      <c r="V4721" s="9"/>
      <c r="W4721" s="9"/>
    </row>
    <row r="4722" spans="15:23" ht="31.4" customHeight="1" x14ac:dyDescent="0.35">
      <c r="O4722" s="9"/>
      <c r="V4722" s="9"/>
      <c r="W4722" s="9"/>
    </row>
    <row r="4723" spans="15:23" ht="31.4" customHeight="1" x14ac:dyDescent="0.35">
      <c r="O4723" s="9"/>
      <c r="V4723" s="9"/>
      <c r="W4723" s="9"/>
    </row>
    <row r="4724" spans="15:23" ht="31.4" customHeight="1" x14ac:dyDescent="0.35">
      <c r="O4724" s="9"/>
      <c r="V4724" s="9"/>
      <c r="W4724" s="9"/>
    </row>
    <row r="4725" spans="15:23" ht="31.4" customHeight="1" x14ac:dyDescent="0.35">
      <c r="O4725" s="9"/>
      <c r="V4725" s="9"/>
      <c r="W4725" s="9"/>
    </row>
    <row r="4726" spans="15:23" ht="31.4" customHeight="1" x14ac:dyDescent="0.35">
      <c r="O4726" s="9"/>
      <c r="V4726" s="9"/>
      <c r="W4726" s="9"/>
    </row>
    <row r="4727" spans="15:23" ht="31.4" customHeight="1" x14ac:dyDescent="0.35">
      <c r="O4727" s="9"/>
      <c r="V4727" s="9"/>
      <c r="W4727" s="9"/>
    </row>
    <row r="4728" spans="15:23" ht="31.4" customHeight="1" x14ac:dyDescent="0.35">
      <c r="O4728" s="9"/>
      <c r="V4728" s="9"/>
      <c r="W4728" s="9"/>
    </row>
    <row r="4729" spans="15:23" ht="31.4" customHeight="1" x14ac:dyDescent="0.35">
      <c r="O4729" s="9"/>
      <c r="V4729" s="9"/>
      <c r="W4729" s="9"/>
    </row>
    <row r="4730" spans="15:23" ht="31.4" customHeight="1" x14ac:dyDescent="0.35">
      <c r="O4730" s="9"/>
      <c r="V4730" s="9"/>
      <c r="W4730" s="9"/>
    </row>
    <row r="4731" spans="15:23" ht="31.4" customHeight="1" x14ac:dyDescent="0.35">
      <c r="O4731" s="9"/>
      <c r="V4731" s="9"/>
      <c r="W4731" s="9"/>
    </row>
    <row r="4732" spans="15:23" ht="31.4" customHeight="1" x14ac:dyDescent="0.35">
      <c r="O4732" s="9"/>
      <c r="V4732" s="9"/>
      <c r="W4732" s="9"/>
    </row>
    <row r="4733" spans="15:23" ht="31.4" customHeight="1" x14ac:dyDescent="0.35">
      <c r="O4733" s="9"/>
      <c r="V4733" s="9"/>
      <c r="W4733" s="9"/>
    </row>
    <row r="4734" spans="15:23" ht="31.4" customHeight="1" x14ac:dyDescent="0.35">
      <c r="O4734" s="9"/>
      <c r="V4734" s="9"/>
      <c r="W4734" s="9"/>
    </row>
    <row r="4735" spans="15:23" ht="31.4" customHeight="1" x14ac:dyDescent="0.35">
      <c r="O4735" s="9"/>
      <c r="V4735" s="9"/>
      <c r="W4735" s="9"/>
    </row>
    <row r="4736" spans="15:23" ht="31.4" customHeight="1" x14ac:dyDescent="0.35">
      <c r="O4736" s="9"/>
      <c r="V4736" s="9"/>
      <c r="W4736" s="9"/>
    </row>
    <row r="4737" spans="15:23" ht="31.4" customHeight="1" x14ac:dyDescent="0.35">
      <c r="O4737" s="9"/>
      <c r="V4737" s="9"/>
      <c r="W4737" s="9"/>
    </row>
    <row r="4738" spans="15:23" ht="31.4" customHeight="1" x14ac:dyDescent="0.35">
      <c r="O4738" s="9"/>
      <c r="V4738" s="9"/>
      <c r="W4738" s="9"/>
    </row>
    <row r="4739" spans="15:23" ht="31.4" customHeight="1" x14ac:dyDescent="0.35">
      <c r="O4739" s="9"/>
      <c r="V4739" s="9"/>
      <c r="W4739" s="9"/>
    </row>
    <row r="4740" spans="15:23" ht="31.4" customHeight="1" x14ac:dyDescent="0.35">
      <c r="O4740" s="9"/>
      <c r="V4740" s="9"/>
      <c r="W4740" s="9"/>
    </row>
    <row r="4741" spans="15:23" ht="31.4" customHeight="1" x14ac:dyDescent="0.35">
      <c r="O4741" s="9"/>
      <c r="V4741" s="9"/>
      <c r="W4741" s="9"/>
    </row>
    <row r="4742" spans="15:23" ht="31.4" customHeight="1" x14ac:dyDescent="0.35">
      <c r="O4742" s="9"/>
      <c r="V4742" s="9"/>
      <c r="W4742" s="9"/>
    </row>
    <row r="4743" spans="15:23" ht="31.4" customHeight="1" x14ac:dyDescent="0.35">
      <c r="O4743" s="9"/>
      <c r="V4743" s="9"/>
      <c r="W4743" s="9"/>
    </row>
    <row r="4744" spans="15:23" ht="31.4" customHeight="1" x14ac:dyDescent="0.35">
      <c r="O4744" s="9"/>
      <c r="V4744" s="9"/>
      <c r="W4744" s="9"/>
    </row>
    <row r="4745" spans="15:23" ht="31.4" customHeight="1" x14ac:dyDescent="0.35">
      <c r="O4745" s="9"/>
      <c r="V4745" s="9"/>
      <c r="W4745" s="9"/>
    </row>
    <row r="4746" spans="15:23" ht="31.4" customHeight="1" x14ac:dyDescent="0.35">
      <c r="O4746" s="9"/>
      <c r="V4746" s="9"/>
      <c r="W4746" s="9"/>
    </row>
    <row r="4747" spans="15:23" ht="31.4" customHeight="1" x14ac:dyDescent="0.35">
      <c r="O4747" s="9"/>
      <c r="V4747" s="9"/>
      <c r="W4747" s="9"/>
    </row>
    <row r="4748" spans="15:23" ht="31.4" customHeight="1" x14ac:dyDescent="0.35">
      <c r="O4748" s="9"/>
      <c r="V4748" s="9"/>
      <c r="W4748" s="9"/>
    </row>
    <row r="4749" spans="15:23" ht="31.4" customHeight="1" x14ac:dyDescent="0.35">
      <c r="O4749" s="9"/>
      <c r="V4749" s="9"/>
      <c r="W4749" s="9"/>
    </row>
    <row r="4750" spans="15:23" ht="31.4" customHeight="1" x14ac:dyDescent="0.35">
      <c r="O4750" s="9"/>
      <c r="V4750" s="9"/>
      <c r="W4750" s="9"/>
    </row>
    <row r="4751" spans="15:23" ht="31.4" customHeight="1" x14ac:dyDescent="0.35">
      <c r="O4751" s="9"/>
      <c r="V4751" s="9"/>
      <c r="W4751" s="9"/>
    </row>
    <row r="4752" spans="15:23" ht="31.4" customHeight="1" x14ac:dyDescent="0.35">
      <c r="O4752" s="9"/>
      <c r="V4752" s="9"/>
      <c r="W4752" s="9"/>
    </row>
    <row r="4753" spans="15:23" ht="31.4" customHeight="1" x14ac:dyDescent="0.35">
      <c r="O4753" s="9"/>
      <c r="V4753" s="9"/>
      <c r="W4753" s="9"/>
    </row>
    <row r="4754" spans="15:23" ht="31.4" customHeight="1" x14ac:dyDescent="0.35">
      <c r="O4754" s="9"/>
      <c r="V4754" s="9"/>
      <c r="W4754" s="9"/>
    </row>
    <row r="4755" spans="15:23" ht="31.4" customHeight="1" x14ac:dyDescent="0.35">
      <c r="O4755" s="9"/>
      <c r="V4755" s="9"/>
      <c r="W4755" s="9"/>
    </row>
    <row r="4756" spans="15:23" ht="31.4" customHeight="1" x14ac:dyDescent="0.35">
      <c r="O4756" s="9"/>
      <c r="V4756" s="9"/>
      <c r="W4756" s="9"/>
    </row>
    <row r="4757" spans="15:23" ht="31.4" customHeight="1" x14ac:dyDescent="0.35">
      <c r="O4757" s="9"/>
      <c r="V4757" s="9"/>
      <c r="W4757" s="9"/>
    </row>
    <row r="4758" spans="15:23" ht="31.4" customHeight="1" x14ac:dyDescent="0.35">
      <c r="O4758" s="9"/>
      <c r="V4758" s="9"/>
      <c r="W4758" s="9"/>
    </row>
    <row r="4759" spans="15:23" ht="31.4" customHeight="1" x14ac:dyDescent="0.35">
      <c r="O4759" s="9"/>
      <c r="V4759" s="9"/>
      <c r="W4759" s="9"/>
    </row>
    <row r="4760" spans="15:23" ht="31.4" customHeight="1" x14ac:dyDescent="0.35">
      <c r="O4760" s="9"/>
      <c r="V4760" s="9"/>
      <c r="W4760" s="9"/>
    </row>
    <row r="4761" spans="15:23" ht="31.4" customHeight="1" x14ac:dyDescent="0.35">
      <c r="O4761" s="9"/>
      <c r="V4761" s="9"/>
      <c r="W4761" s="9"/>
    </row>
    <row r="4762" spans="15:23" ht="31.4" customHeight="1" x14ac:dyDescent="0.35">
      <c r="O4762" s="9"/>
      <c r="V4762" s="9"/>
      <c r="W4762" s="9"/>
    </row>
    <row r="4763" spans="15:23" ht="31.4" customHeight="1" x14ac:dyDescent="0.35">
      <c r="O4763" s="9"/>
      <c r="V4763" s="9"/>
      <c r="W4763" s="9"/>
    </row>
    <row r="4764" spans="15:23" ht="31.4" customHeight="1" x14ac:dyDescent="0.35">
      <c r="O4764" s="9"/>
      <c r="V4764" s="9"/>
      <c r="W4764" s="9"/>
    </row>
    <row r="4765" spans="15:23" ht="31.4" customHeight="1" x14ac:dyDescent="0.35">
      <c r="O4765" s="9"/>
      <c r="V4765" s="9"/>
      <c r="W4765" s="9"/>
    </row>
    <row r="4766" spans="15:23" ht="31.4" customHeight="1" x14ac:dyDescent="0.35">
      <c r="O4766" s="9"/>
      <c r="V4766" s="9"/>
      <c r="W4766" s="9"/>
    </row>
    <row r="4767" spans="15:23" ht="31.4" customHeight="1" x14ac:dyDescent="0.35">
      <c r="O4767" s="9"/>
      <c r="V4767" s="9"/>
      <c r="W4767" s="9"/>
    </row>
    <row r="4768" spans="15:23" ht="31.4" customHeight="1" x14ac:dyDescent="0.35">
      <c r="O4768" s="9"/>
      <c r="V4768" s="9"/>
      <c r="W4768" s="9"/>
    </row>
    <row r="4769" spans="15:23" ht="31.4" customHeight="1" x14ac:dyDescent="0.35">
      <c r="O4769" s="9"/>
      <c r="V4769" s="9"/>
      <c r="W4769" s="9"/>
    </row>
    <row r="4770" spans="15:23" ht="31.4" customHeight="1" x14ac:dyDescent="0.35">
      <c r="O4770" s="9"/>
      <c r="V4770" s="9"/>
      <c r="W4770" s="9"/>
    </row>
    <row r="4771" spans="15:23" ht="31.4" customHeight="1" x14ac:dyDescent="0.35">
      <c r="O4771" s="9"/>
      <c r="V4771" s="9"/>
      <c r="W4771" s="9"/>
    </row>
    <row r="4772" spans="15:23" ht="31.4" customHeight="1" x14ac:dyDescent="0.35">
      <c r="O4772" s="9"/>
      <c r="V4772" s="9"/>
      <c r="W4772" s="9"/>
    </row>
    <row r="4773" spans="15:23" ht="31.4" customHeight="1" x14ac:dyDescent="0.35">
      <c r="O4773" s="9"/>
      <c r="V4773" s="9"/>
      <c r="W4773" s="9"/>
    </row>
    <row r="4774" spans="15:23" ht="31.4" customHeight="1" x14ac:dyDescent="0.35">
      <c r="O4774" s="9"/>
      <c r="V4774" s="9"/>
      <c r="W4774" s="9"/>
    </row>
    <row r="4775" spans="15:23" ht="31.4" customHeight="1" x14ac:dyDescent="0.35">
      <c r="O4775" s="9"/>
      <c r="V4775" s="9"/>
      <c r="W4775" s="9"/>
    </row>
    <row r="4776" spans="15:23" ht="31.4" customHeight="1" x14ac:dyDescent="0.35">
      <c r="O4776" s="9"/>
      <c r="V4776" s="9"/>
      <c r="W4776" s="9"/>
    </row>
    <row r="4777" spans="15:23" ht="31.4" customHeight="1" x14ac:dyDescent="0.35">
      <c r="O4777" s="9"/>
      <c r="V4777" s="9"/>
      <c r="W4777" s="9"/>
    </row>
    <row r="4778" spans="15:23" ht="31.4" customHeight="1" x14ac:dyDescent="0.35">
      <c r="O4778" s="9"/>
      <c r="V4778" s="9"/>
      <c r="W4778" s="9"/>
    </row>
    <row r="4779" spans="15:23" ht="31.4" customHeight="1" x14ac:dyDescent="0.35">
      <c r="O4779" s="9"/>
      <c r="V4779" s="9"/>
      <c r="W4779" s="9"/>
    </row>
    <row r="4780" spans="15:23" ht="31.4" customHeight="1" x14ac:dyDescent="0.35">
      <c r="O4780" s="9"/>
      <c r="V4780" s="9"/>
      <c r="W4780" s="9"/>
    </row>
    <row r="4781" spans="15:23" ht="31.4" customHeight="1" x14ac:dyDescent="0.35">
      <c r="O4781" s="9"/>
      <c r="V4781" s="9"/>
      <c r="W4781" s="9"/>
    </row>
    <row r="4782" spans="15:23" ht="31.4" customHeight="1" x14ac:dyDescent="0.35">
      <c r="O4782" s="9"/>
      <c r="V4782" s="9"/>
      <c r="W4782" s="9"/>
    </row>
    <row r="4783" spans="15:23" ht="31.4" customHeight="1" x14ac:dyDescent="0.35">
      <c r="O4783" s="9"/>
      <c r="V4783" s="9"/>
      <c r="W4783" s="9"/>
    </row>
    <row r="4784" spans="15:23" ht="31.4" customHeight="1" x14ac:dyDescent="0.35">
      <c r="O4784" s="9"/>
      <c r="V4784" s="9"/>
      <c r="W4784" s="9"/>
    </row>
    <row r="4785" spans="15:23" ht="31.4" customHeight="1" x14ac:dyDescent="0.35">
      <c r="O4785" s="9"/>
      <c r="V4785" s="9"/>
      <c r="W4785" s="9"/>
    </row>
    <row r="4786" spans="15:23" ht="31.4" customHeight="1" x14ac:dyDescent="0.35">
      <c r="O4786" s="9"/>
      <c r="V4786" s="9"/>
      <c r="W4786" s="9"/>
    </row>
    <row r="4787" spans="15:23" ht="31.4" customHeight="1" x14ac:dyDescent="0.35">
      <c r="O4787" s="9"/>
      <c r="V4787" s="9"/>
      <c r="W4787" s="9"/>
    </row>
    <row r="4788" spans="15:23" ht="31.4" customHeight="1" x14ac:dyDescent="0.35">
      <c r="O4788" s="9"/>
      <c r="V4788" s="9"/>
      <c r="W4788" s="9"/>
    </row>
    <row r="4789" spans="15:23" ht="31.4" customHeight="1" x14ac:dyDescent="0.35">
      <c r="O4789" s="9"/>
      <c r="V4789" s="9"/>
      <c r="W4789" s="9"/>
    </row>
    <row r="4790" spans="15:23" ht="31.4" customHeight="1" x14ac:dyDescent="0.35">
      <c r="O4790" s="9"/>
      <c r="V4790" s="9"/>
      <c r="W4790" s="9"/>
    </row>
    <row r="4791" spans="15:23" ht="31.4" customHeight="1" x14ac:dyDescent="0.35">
      <c r="O4791" s="9"/>
      <c r="V4791" s="9"/>
      <c r="W4791" s="9"/>
    </row>
    <row r="4792" spans="15:23" ht="31.4" customHeight="1" x14ac:dyDescent="0.35">
      <c r="O4792" s="9"/>
      <c r="V4792" s="9"/>
      <c r="W4792" s="9"/>
    </row>
    <row r="4793" spans="15:23" ht="31.4" customHeight="1" x14ac:dyDescent="0.35">
      <c r="O4793" s="9"/>
      <c r="V4793" s="9"/>
      <c r="W4793" s="9"/>
    </row>
    <row r="4794" spans="15:23" ht="31.4" customHeight="1" x14ac:dyDescent="0.35">
      <c r="O4794" s="9"/>
      <c r="V4794" s="9"/>
      <c r="W4794" s="9"/>
    </row>
    <row r="4795" spans="15:23" ht="31.4" customHeight="1" x14ac:dyDescent="0.35">
      <c r="O4795" s="9"/>
      <c r="V4795" s="9"/>
      <c r="W4795" s="9"/>
    </row>
    <row r="4796" spans="15:23" ht="31.4" customHeight="1" x14ac:dyDescent="0.35">
      <c r="O4796" s="9"/>
      <c r="V4796" s="9"/>
      <c r="W4796" s="9"/>
    </row>
    <row r="4797" spans="15:23" ht="31.4" customHeight="1" x14ac:dyDescent="0.35">
      <c r="O4797" s="9"/>
      <c r="V4797" s="9"/>
      <c r="W4797" s="9"/>
    </row>
    <row r="4798" spans="15:23" ht="31.4" customHeight="1" x14ac:dyDescent="0.35">
      <c r="O4798" s="9"/>
      <c r="V4798" s="9"/>
      <c r="W4798" s="9"/>
    </row>
    <row r="4799" spans="15:23" ht="31.4" customHeight="1" x14ac:dyDescent="0.35">
      <c r="O4799" s="9"/>
      <c r="V4799" s="9"/>
      <c r="W4799" s="9"/>
    </row>
    <row r="4800" spans="15:23" ht="31.4" customHeight="1" x14ac:dyDescent="0.35">
      <c r="O4800" s="9"/>
      <c r="V4800" s="9"/>
      <c r="W4800" s="9"/>
    </row>
    <row r="4801" spans="15:23" ht="31.4" customHeight="1" x14ac:dyDescent="0.35">
      <c r="O4801" s="9"/>
      <c r="V4801" s="9"/>
      <c r="W4801" s="9"/>
    </row>
    <row r="4802" spans="15:23" ht="31.4" customHeight="1" x14ac:dyDescent="0.35">
      <c r="O4802" s="9"/>
      <c r="V4802" s="9"/>
      <c r="W4802" s="9"/>
    </row>
    <row r="4803" spans="15:23" ht="31.4" customHeight="1" x14ac:dyDescent="0.35">
      <c r="O4803" s="9"/>
      <c r="V4803" s="9"/>
      <c r="W4803" s="9"/>
    </row>
    <row r="4804" spans="15:23" ht="31.4" customHeight="1" x14ac:dyDescent="0.35">
      <c r="O4804" s="9"/>
      <c r="V4804" s="9"/>
      <c r="W4804" s="9"/>
    </row>
    <row r="4805" spans="15:23" ht="31.4" customHeight="1" x14ac:dyDescent="0.35">
      <c r="O4805" s="9"/>
      <c r="V4805" s="9"/>
      <c r="W4805" s="9"/>
    </row>
    <row r="4806" spans="15:23" ht="31.4" customHeight="1" x14ac:dyDescent="0.35">
      <c r="O4806" s="9"/>
      <c r="V4806" s="9"/>
      <c r="W4806" s="9"/>
    </row>
    <row r="4807" spans="15:23" ht="31.4" customHeight="1" x14ac:dyDescent="0.35">
      <c r="O4807" s="9"/>
      <c r="V4807" s="9"/>
      <c r="W4807" s="9"/>
    </row>
    <row r="4808" spans="15:23" ht="31.4" customHeight="1" x14ac:dyDescent="0.35">
      <c r="O4808" s="9"/>
      <c r="V4808" s="9"/>
      <c r="W4808" s="9"/>
    </row>
    <row r="4809" spans="15:23" ht="31.4" customHeight="1" x14ac:dyDescent="0.35">
      <c r="O4809" s="9"/>
      <c r="V4809" s="9"/>
      <c r="W4809" s="9"/>
    </row>
    <row r="4810" spans="15:23" ht="31.4" customHeight="1" x14ac:dyDescent="0.35">
      <c r="O4810" s="9"/>
      <c r="V4810" s="9"/>
      <c r="W4810" s="9"/>
    </row>
    <row r="4811" spans="15:23" ht="31.4" customHeight="1" x14ac:dyDescent="0.35">
      <c r="O4811" s="9"/>
      <c r="V4811" s="9"/>
      <c r="W4811" s="9"/>
    </row>
    <row r="4812" spans="15:23" ht="31.4" customHeight="1" x14ac:dyDescent="0.35">
      <c r="O4812" s="9"/>
      <c r="V4812" s="9"/>
      <c r="W4812" s="9"/>
    </row>
    <row r="4813" spans="15:23" ht="31.4" customHeight="1" x14ac:dyDescent="0.35">
      <c r="O4813" s="9"/>
      <c r="V4813" s="9"/>
      <c r="W4813" s="9"/>
    </row>
    <row r="4814" spans="15:23" ht="31.4" customHeight="1" x14ac:dyDescent="0.35">
      <c r="O4814" s="9"/>
      <c r="V4814" s="9"/>
      <c r="W4814" s="9"/>
    </row>
    <row r="4815" spans="15:23" ht="31.4" customHeight="1" x14ac:dyDescent="0.35">
      <c r="O4815" s="9"/>
      <c r="V4815" s="9"/>
      <c r="W4815" s="9"/>
    </row>
    <row r="4816" spans="15:23" ht="31.4" customHeight="1" x14ac:dyDescent="0.35">
      <c r="O4816" s="9"/>
      <c r="V4816" s="9"/>
      <c r="W4816" s="9"/>
    </row>
    <row r="4817" spans="15:23" ht="31.4" customHeight="1" x14ac:dyDescent="0.35">
      <c r="O4817" s="9"/>
      <c r="V4817" s="9"/>
      <c r="W4817" s="9"/>
    </row>
    <row r="4818" spans="15:23" ht="31.4" customHeight="1" x14ac:dyDescent="0.35">
      <c r="O4818" s="9"/>
      <c r="V4818" s="9"/>
      <c r="W4818" s="9"/>
    </row>
    <row r="4819" spans="15:23" ht="31.4" customHeight="1" x14ac:dyDescent="0.35">
      <c r="O4819" s="9"/>
      <c r="V4819" s="9"/>
      <c r="W4819" s="9"/>
    </row>
    <row r="4820" spans="15:23" ht="31.4" customHeight="1" x14ac:dyDescent="0.35">
      <c r="O4820" s="9"/>
      <c r="V4820" s="9"/>
      <c r="W4820" s="9"/>
    </row>
    <row r="4821" spans="15:23" ht="31.4" customHeight="1" x14ac:dyDescent="0.35">
      <c r="O4821" s="9"/>
      <c r="V4821" s="9"/>
      <c r="W4821" s="9"/>
    </row>
    <row r="4822" spans="15:23" ht="31.4" customHeight="1" x14ac:dyDescent="0.35">
      <c r="O4822" s="9"/>
      <c r="V4822" s="9"/>
      <c r="W4822" s="9"/>
    </row>
    <row r="4823" spans="15:23" ht="31.4" customHeight="1" x14ac:dyDescent="0.35">
      <c r="O4823" s="9"/>
      <c r="V4823" s="9"/>
      <c r="W4823" s="9"/>
    </row>
    <row r="4824" spans="15:23" ht="31.4" customHeight="1" x14ac:dyDescent="0.35">
      <c r="O4824" s="9"/>
      <c r="V4824" s="9"/>
      <c r="W4824" s="9"/>
    </row>
    <row r="4825" spans="15:23" ht="31.4" customHeight="1" x14ac:dyDescent="0.35">
      <c r="O4825" s="9"/>
      <c r="V4825" s="9"/>
      <c r="W4825" s="9"/>
    </row>
    <row r="4826" spans="15:23" ht="31.4" customHeight="1" x14ac:dyDescent="0.35">
      <c r="O4826" s="9"/>
      <c r="V4826" s="9"/>
      <c r="W4826" s="9"/>
    </row>
    <row r="4827" spans="15:23" ht="31.4" customHeight="1" x14ac:dyDescent="0.35">
      <c r="O4827" s="9"/>
      <c r="V4827" s="9"/>
      <c r="W4827" s="9"/>
    </row>
    <row r="4828" spans="15:23" ht="31.4" customHeight="1" x14ac:dyDescent="0.35">
      <c r="O4828" s="9"/>
      <c r="V4828" s="9"/>
      <c r="W4828" s="9"/>
    </row>
    <row r="4829" spans="15:23" ht="31.4" customHeight="1" x14ac:dyDescent="0.35">
      <c r="O4829" s="9"/>
      <c r="V4829" s="9"/>
      <c r="W4829" s="9"/>
    </row>
    <row r="4830" spans="15:23" ht="31.4" customHeight="1" x14ac:dyDescent="0.35">
      <c r="O4830" s="9"/>
      <c r="V4830" s="9"/>
      <c r="W4830" s="9"/>
    </row>
    <row r="4831" spans="15:23" ht="31.4" customHeight="1" x14ac:dyDescent="0.35">
      <c r="O4831" s="9"/>
      <c r="V4831" s="9"/>
      <c r="W4831" s="9"/>
    </row>
    <row r="4832" spans="15:23" ht="31.4" customHeight="1" x14ac:dyDescent="0.35">
      <c r="O4832" s="9"/>
      <c r="V4832" s="9"/>
      <c r="W4832" s="9"/>
    </row>
    <row r="4833" spans="15:23" ht="31.4" customHeight="1" x14ac:dyDescent="0.35">
      <c r="O4833" s="9"/>
      <c r="V4833" s="9"/>
      <c r="W4833" s="9"/>
    </row>
    <row r="4834" spans="15:23" ht="31.4" customHeight="1" x14ac:dyDescent="0.35">
      <c r="O4834" s="9"/>
      <c r="V4834" s="9"/>
      <c r="W4834" s="9"/>
    </row>
    <row r="4835" spans="15:23" ht="31.4" customHeight="1" x14ac:dyDescent="0.35">
      <c r="O4835" s="9"/>
      <c r="V4835" s="9"/>
      <c r="W4835" s="9"/>
    </row>
    <row r="4836" spans="15:23" ht="31.4" customHeight="1" x14ac:dyDescent="0.35">
      <c r="O4836" s="9"/>
      <c r="V4836" s="9"/>
      <c r="W4836" s="9"/>
    </row>
    <row r="4837" spans="15:23" ht="31.4" customHeight="1" x14ac:dyDescent="0.35">
      <c r="O4837" s="9"/>
      <c r="V4837" s="9"/>
      <c r="W4837" s="9"/>
    </row>
    <row r="4838" spans="15:23" ht="31.4" customHeight="1" x14ac:dyDescent="0.35">
      <c r="O4838" s="9"/>
      <c r="V4838" s="9"/>
      <c r="W4838" s="9"/>
    </row>
    <row r="4839" spans="15:23" ht="31.4" customHeight="1" x14ac:dyDescent="0.35">
      <c r="O4839" s="9"/>
      <c r="V4839" s="9"/>
      <c r="W4839" s="9"/>
    </row>
    <row r="4840" spans="15:23" ht="31.4" customHeight="1" x14ac:dyDescent="0.35">
      <c r="O4840" s="9"/>
      <c r="V4840" s="9"/>
      <c r="W4840" s="9"/>
    </row>
    <row r="4841" spans="15:23" ht="31.4" customHeight="1" x14ac:dyDescent="0.35">
      <c r="O4841" s="9"/>
      <c r="V4841" s="9"/>
      <c r="W4841" s="9"/>
    </row>
    <row r="4842" spans="15:23" ht="31.4" customHeight="1" x14ac:dyDescent="0.35">
      <c r="O4842" s="9"/>
      <c r="V4842" s="9"/>
      <c r="W4842" s="9"/>
    </row>
    <row r="4843" spans="15:23" ht="31.4" customHeight="1" x14ac:dyDescent="0.35">
      <c r="O4843" s="9"/>
      <c r="V4843" s="9"/>
      <c r="W4843" s="9"/>
    </row>
    <row r="4844" spans="15:23" ht="31.4" customHeight="1" x14ac:dyDescent="0.35">
      <c r="O4844" s="9"/>
      <c r="V4844" s="9"/>
      <c r="W4844" s="9"/>
    </row>
    <row r="4845" spans="15:23" ht="31.4" customHeight="1" x14ac:dyDescent="0.35">
      <c r="O4845" s="9"/>
      <c r="V4845" s="9"/>
      <c r="W4845" s="9"/>
    </row>
    <row r="4846" spans="15:23" ht="31.4" customHeight="1" x14ac:dyDescent="0.35">
      <c r="O4846" s="9"/>
      <c r="V4846" s="9"/>
      <c r="W4846" s="9"/>
    </row>
    <row r="4847" spans="15:23" ht="31.4" customHeight="1" x14ac:dyDescent="0.35">
      <c r="O4847" s="9"/>
      <c r="V4847" s="9"/>
      <c r="W4847" s="9"/>
    </row>
    <row r="4848" spans="15:23" ht="31.4" customHeight="1" x14ac:dyDescent="0.35">
      <c r="O4848" s="9"/>
      <c r="V4848" s="9"/>
      <c r="W4848" s="9"/>
    </row>
    <row r="4849" spans="15:23" ht="31.4" customHeight="1" x14ac:dyDescent="0.35">
      <c r="O4849" s="9"/>
      <c r="V4849" s="9"/>
      <c r="W4849" s="9"/>
    </row>
    <row r="4850" spans="15:23" ht="31.4" customHeight="1" x14ac:dyDescent="0.35">
      <c r="O4850" s="9"/>
      <c r="V4850" s="9"/>
      <c r="W4850" s="9"/>
    </row>
    <row r="4851" spans="15:23" ht="31.4" customHeight="1" x14ac:dyDescent="0.35">
      <c r="O4851" s="9"/>
      <c r="V4851" s="9"/>
      <c r="W4851" s="9"/>
    </row>
    <row r="4852" spans="15:23" ht="31.4" customHeight="1" x14ac:dyDescent="0.35">
      <c r="O4852" s="9"/>
      <c r="V4852" s="9"/>
      <c r="W4852" s="9"/>
    </row>
    <row r="4853" spans="15:23" ht="31.4" customHeight="1" x14ac:dyDescent="0.35">
      <c r="O4853" s="9"/>
      <c r="V4853" s="9"/>
      <c r="W4853" s="9"/>
    </row>
    <row r="4854" spans="15:23" ht="31.4" customHeight="1" x14ac:dyDescent="0.35">
      <c r="O4854" s="9"/>
      <c r="V4854" s="9"/>
      <c r="W4854" s="9"/>
    </row>
    <row r="4855" spans="15:23" ht="31.4" customHeight="1" x14ac:dyDescent="0.35">
      <c r="O4855" s="9"/>
      <c r="V4855" s="9"/>
      <c r="W4855" s="9"/>
    </row>
    <row r="4856" spans="15:23" ht="31.4" customHeight="1" x14ac:dyDescent="0.35">
      <c r="O4856" s="9"/>
      <c r="V4856" s="9"/>
      <c r="W4856" s="9"/>
    </row>
    <row r="4857" spans="15:23" ht="31.4" customHeight="1" x14ac:dyDescent="0.35">
      <c r="O4857" s="9"/>
      <c r="V4857" s="9"/>
      <c r="W4857" s="9"/>
    </row>
    <row r="4858" spans="15:23" ht="31.4" customHeight="1" x14ac:dyDescent="0.35">
      <c r="O4858" s="9"/>
      <c r="V4858" s="9"/>
      <c r="W4858" s="9"/>
    </row>
    <row r="4859" spans="15:23" ht="31.4" customHeight="1" x14ac:dyDescent="0.35">
      <c r="O4859" s="9"/>
      <c r="V4859" s="9"/>
      <c r="W4859" s="9"/>
    </row>
    <row r="4860" spans="15:23" ht="31.4" customHeight="1" x14ac:dyDescent="0.35">
      <c r="O4860" s="9"/>
      <c r="V4860" s="9"/>
      <c r="W4860" s="9"/>
    </row>
    <row r="4861" spans="15:23" ht="31.4" customHeight="1" x14ac:dyDescent="0.35">
      <c r="O4861" s="9"/>
      <c r="V4861" s="9"/>
      <c r="W4861" s="9"/>
    </row>
    <row r="4862" spans="15:23" ht="31.4" customHeight="1" x14ac:dyDescent="0.35">
      <c r="O4862" s="9"/>
      <c r="V4862" s="9"/>
      <c r="W4862" s="9"/>
    </row>
    <row r="4863" spans="15:23" ht="31.4" customHeight="1" x14ac:dyDescent="0.35">
      <c r="O4863" s="9"/>
      <c r="V4863" s="9"/>
      <c r="W4863" s="9"/>
    </row>
    <row r="4864" spans="15:23" ht="31.4" customHeight="1" x14ac:dyDescent="0.35">
      <c r="O4864" s="9"/>
      <c r="V4864" s="9"/>
      <c r="W4864" s="9"/>
    </row>
    <row r="4865" spans="15:23" ht="31.4" customHeight="1" x14ac:dyDescent="0.35">
      <c r="O4865" s="9"/>
      <c r="V4865" s="9"/>
      <c r="W4865" s="9"/>
    </row>
    <row r="4866" spans="15:23" ht="31.4" customHeight="1" x14ac:dyDescent="0.35">
      <c r="O4866" s="9"/>
      <c r="V4866" s="9"/>
      <c r="W4866" s="9"/>
    </row>
    <row r="4867" spans="15:23" ht="31.4" customHeight="1" x14ac:dyDescent="0.35">
      <c r="O4867" s="9"/>
      <c r="V4867" s="9"/>
      <c r="W4867" s="9"/>
    </row>
    <row r="4868" spans="15:23" ht="31.4" customHeight="1" x14ac:dyDescent="0.35">
      <c r="O4868" s="9"/>
      <c r="V4868" s="9"/>
      <c r="W4868" s="9"/>
    </row>
    <row r="4869" spans="15:23" ht="31.4" customHeight="1" x14ac:dyDescent="0.35">
      <c r="O4869" s="9"/>
      <c r="V4869" s="9"/>
      <c r="W4869" s="9"/>
    </row>
    <row r="4870" spans="15:23" ht="31.4" customHeight="1" x14ac:dyDescent="0.35">
      <c r="O4870" s="9"/>
      <c r="V4870" s="9"/>
      <c r="W4870" s="9"/>
    </row>
    <row r="4871" spans="15:23" ht="31.4" customHeight="1" x14ac:dyDescent="0.35">
      <c r="O4871" s="9"/>
      <c r="V4871" s="9"/>
      <c r="W4871" s="9"/>
    </row>
    <row r="4872" spans="15:23" ht="31.4" customHeight="1" x14ac:dyDescent="0.35">
      <c r="O4872" s="9"/>
      <c r="V4872" s="9"/>
      <c r="W4872" s="9"/>
    </row>
    <row r="4873" spans="15:23" ht="31.4" customHeight="1" x14ac:dyDescent="0.35">
      <c r="O4873" s="9"/>
      <c r="V4873" s="9"/>
      <c r="W4873" s="9"/>
    </row>
    <row r="4874" spans="15:23" ht="31.4" customHeight="1" x14ac:dyDescent="0.35">
      <c r="O4874" s="9"/>
      <c r="V4874" s="9"/>
      <c r="W4874" s="9"/>
    </row>
    <row r="4875" spans="15:23" ht="31.4" customHeight="1" x14ac:dyDescent="0.35">
      <c r="O4875" s="9"/>
      <c r="V4875" s="9"/>
      <c r="W4875" s="9"/>
    </row>
    <row r="4876" spans="15:23" ht="31.4" customHeight="1" x14ac:dyDescent="0.35">
      <c r="O4876" s="9"/>
      <c r="V4876" s="9"/>
      <c r="W4876" s="9"/>
    </row>
    <row r="4877" spans="15:23" ht="31.4" customHeight="1" x14ac:dyDescent="0.35">
      <c r="O4877" s="9"/>
      <c r="V4877" s="9"/>
      <c r="W4877" s="9"/>
    </row>
    <row r="4878" spans="15:23" ht="31.4" customHeight="1" x14ac:dyDescent="0.35">
      <c r="O4878" s="9"/>
      <c r="V4878" s="9"/>
      <c r="W4878" s="9"/>
    </row>
    <row r="4879" spans="15:23" ht="31.4" customHeight="1" x14ac:dyDescent="0.35">
      <c r="O4879" s="9"/>
      <c r="V4879" s="9"/>
      <c r="W4879" s="9"/>
    </row>
    <row r="4880" spans="15:23" ht="31.4" customHeight="1" x14ac:dyDescent="0.35">
      <c r="O4880" s="9"/>
      <c r="V4880" s="9"/>
      <c r="W4880" s="9"/>
    </row>
    <row r="4881" spans="15:23" ht="31.4" customHeight="1" x14ac:dyDescent="0.35">
      <c r="O4881" s="9"/>
      <c r="V4881" s="9"/>
      <c r="W4881" s="9"/>
    </row>
    <row r="4882" spans="15:23" ht="31.4" customHeight="1" x14ac:dyDescent="0.35">
      <c r="O4882" s="9"/>
      <c r="V4882" s="9"/>
      <c r="W4882" s="9"/>
    </row>
    <row r="4883" spans="15:23" ht="31.4" customHeight="1" x14ac:dyDescent="0.35">
      <c r="O4883" s="9"/>
      <c r="V4883" s="9"/>
      <c r="W4883" s="9"/>
    </row>
    <row r="4884" spans="15:23" ht="31.4" customHeight="1" x14ac:dyDescent="0.35">
      <c r="O4884" s="9"/>
      <c r="V4884" s="9"/>
      <c r="W4884" s="9"/>
    </row>
    <row r="4885" spans="15:23" ht="31.4" customHeight="1" x14ac:dyDescent="0.35">
      <c r="O4885" s="9"/>
      <c r="V4885" s="9"/>
      <c r="W4885" s="9"/>
    </row>
    <row r="4886" spans="15:23" ht="31.4" customHeight="1" x14ac:dyDescent="0.35">
      <c r="O4886" s="9"/>
      <c r="V4886" s="9"/>
      <c r="W4886" s="9"/>
    </row>
    <row r="4887" spans="15:23" ht="31.4" customHeight="1" x14ac:dyDescent="0.35">
      <c r="O4887" s="9"/>
      <c r="V4887" s="9"/>
      <c r="W4887" s="9"/>
    </row>
    <row r="4888" spans="15:23" ht="31.4" customHeight="1" x14ac:dyDescent="0.35">
      <c r="O4888" s="9"/>
      <c r="V4888" s="9"/>
      <c r="W4888" s="9"/>
    </row>
    <row r="4889" spans="15:23" ht="31.4" customHeight="1" x14ac:dyDescent="0.35">
      <c r="O4889" s="9"/>
      <c r="V4889" s="9"/>
      <c r="W4889" s="9"/>
    </row>
    <row r="4890" spans="15:23" ht="31.4" customHeight="1" x14ac:dyDescent="0.35">
      <c r="O4890" s="9"/>
      <c r="V4890" s="9"/>
      <c r="W4890" s="9"/>
    </row>
    <row r="4891" spans="15:23" ht="31.4" customHeight="1" x14ac:dyDescent="0.35">
      <c r="O4891" s="9"/>
      <c r="V4891" s="9"/>
      <c r="W4891" s="9"/>
    </row>
    <row r="4892" spans="15:23" ht="31.4" customHeight="1" x14ac:dyDescent="0.35">
      <c r="O4892" s="9"/>
      <c r="V4892" s="9"/>
      <c r="W4892" s="9"/>
    </row>
    <row r="4893" spans="15:23" ht="31.4" customHeight="1" x14ac:dyDescent="0.35">
      <c r="O4893" s="9"/>
      <c r="V4893" s="9"/>
      <c r="W4893" s="9"/>
    </row>
    <row r="4894" spans="15:23" ht="31.4" customHeight="1" x14ac:dyDescent="0.35">
      <c r="O4894" s="9"/>
      <c r="V4894" s="9"/>
      <c r="W4894" s="9"/>
    </row>
    <row r="4895" spans="15:23" ht="31.4" customHeight="1" x14ac:dyDescent="0.35">
      <c r="O4895" s="9"/>
      <c r="V4895" s="9"/>
      <c r="W4895" s="9"/>
    </row>
    <row r="4896" spans="15:23" ht="31.4" customHeight="1" x14ac:dyDescent="0.35">
      <c r="O4896" s="9"/>
      <c r="V4896" s="9"/>
      <c r="W4896" s="9"/>
    </row>
    <row r="4897" spans="15:23" ht="31.4" customHeight="1" x14ac:dyDescent="0.35">
      <c r="O4897" s="9"/>
      <c r="V4897" s="9"/>
      <c r="W4897" s="9"/>
    </row>
    <row r="4898" spans="15:23" ht="31.4" customHeight="1" x14ac:dyDescent="0.35">
      <c r="O4898" s="9"/>
      <c r="V4898" s="9"/>
      <c r="W4898" s="9"/>
    </row>
    <row r="4899" spans="15:23" ht="31.4" customHeight="1" x14ac:dyDescent="0.35">
      <c r="O4899" s="9"/>
      <c r="V4899" s="9"/>
      <c r="W4899" s="9"/>
    </row>
    <row r="4900" spans="15:23" ht="31.4" customHeight="1" x14ac:dyDescent="0.35">
      <c r="O4900" s="9"/>
      <c r="V4900" s="9"/>
      <c r="W4900" s="9"/>
    </row>
    <row r="4901" spans="15:23" ht="31.4" customHeight="1" x14ac:dyDescent="0.35">
      <c r="O4901" s="9"/>
      <c r="V4901" s="9"/>
      <c r="W4901" s="9"/>
    </row>
    <row r="4902" spans="15:23" ht="31.4" customHeight="1" x14ac:dyDescent="0.35">
      <c r="O4902" s="9"/>
      <c r="V4902" s="9"/>
      <c r="W4902" s="9"/>
    </row>
    <row r="4903" spans="15:23" ht="31.4" customHeight="1" x14ac:dyDescent="0.35">
      <c r="O4903" s="9"/>
      <c r="V4903" s="9"/>
      <c r="W4903" s="9"/>
    </row>
    <row r="4904" spans="15:23" ht="31.4" customHeight="1" x14ac:dyDescent="0.35">
      <c r="O4904" s="9"/>
      <c r="V4904" s="9"/>
      <c r="W4904" s="9"/>
    </row>
    <row r="4905" spans="15:23" ht="31.4" customHeight="1" x14ac:dyDescent="0.35">
      <c r="O4905" s="9"/>
      <c r="V4905" s="9"/>
      <c r="W4905" s="9"/>
    </row>
    <row r="4906" spans="15:23" ht="31.4" customHeight="1" x14ac:dyDescent="0.35">
      <c r="O4906" s="9"/>
      <c r="V4906" s="9"/>
      <c r="W4906" s="9"/>
    </row>
    <row r="4907" spans="15:23" ht="31.4" customHeight="1" x14ac:dyDescent="0.35">
      <c r="O4907" s="9"/>
      <c r="V4907" s="9"/>
      <c r="W4907" s="9"/>
    </row>
    <row r="4908" spans="15:23" ht="31.4" customHeight="1" x14ac:dyDescent="0.35">
      <c r="O4908" s="9"/>
      <c r="V4908" s="9"/>
      <c r="W4908" s="9"/>
    </row>
    <row r="4909" spans="15:23" ht="31.4" customHeight="1" x14ac:dyDescent="0.35">
      <c r="O4909" s="9"/>
      <c r="V4909" s="9"/>
      <c r="W4909" s="9"/>
    </row>
    <row r="4910" spans="15:23" ht="31.4" customHeight="1" x14ac:dyDescent="0.35">
      <c r="O4910" s="9"/>
      <c r="V4910" s="9"/>
      <c r="W4910" s="9"/>
    </row>
    <row r="4911" spans="15:23" ht="31.4" customHeight="1" x14ac:dyDescent="0.35">
      <c r="O4911" s="9"/>
      <c r="V4911" s="9"/>
      <c r="W4911" s="9"/>
    </row>
    <row r="4912" spans="15:23" ht="31.4" customHeight="1" x14ac:dyDescent="0.35">
      <c r="O4912" s="9"/>
      <c r="V4912" s="9"/>
      <c r="W4912" s="9"/>
    </row>
    <row r="4913" spans="15:23" ht="31.4" customHeight="1" x14ac:dyDescent="0.35">
      <c r="O4913" s="9"/>
      <c r="V4913" s="9"/>
      <c r="W4913" s="9"/>
    </row>
    <row r="4914" spans="15:23" ht="31.4" customHeight="1" x14ac:dyDescent="0.35">
      <c r="O4914" s="9"/>
      <c r="V4914" s="9"/>
      <c r="W4914" s="9"/>
    </row>
    <row r="4915" spans="15:23" ht="31.4" customHeight="1" x14ac:dyDescent="0.35">
      <c r="O4915" s="9"/>
      <c r="V4915" s="9"/>
      <c r="W4915" s="9"/>
    </row>
    <row r="4916" spans="15:23" ht="31.4" customHeight="1" x14ac:dyDescent="0.35">
      <c r="O4916" s="9"/>
      <c r="V4916" s="9"/>
      <c r="W4916" s="9"/>
    </row>
    <row r="4917" spans="15:23" ht="31.4" customHeight="1" x14ac:dyDescent="0.35">
      <c r="O4917" s="9"/>
      <c r="V4917" s="9"/>
      <c r="W4917" s="9"/>
    </row>
    <row r="4918" spans="15:23" ht="31.4" customHeight="1" x14ac:dyDescent="0.35">
      <c r="O4918" s="9"/>
      <c r="V4918" s="9"/>
      <c r="W4918" s="9"/>
    </row>
    <row r="4919" spans="15:23" ht="31.4" customHeight="1" x14ac:dyDescent="0.35">
      <c r="O4919" s="9"/>
      <c r="V4919" s="9"/>
      <c r="W4919" s="9"/>
    </row>
    <row r="4920" spans="15:23" ht="31.4" customHeight="1" x14ac:dyDescent="0.35">
      <c r="O4920" s="9"/>
      <c r="V4920" s="9"/>
      <c r="W4920" s="9"/>
    </row>
    <row r="4921" spans="15:23" ht="31.4" customHeight="1" x14ac:dyDescent="0.35">
      <c r="O4921" s="9"/>
      <c r="V4921" s="9"/>
      <c r="W4921" s="9"/>
    </row>
    <row r="4922" spans="15:23" ht="31.4" customHeight="1" x14ac:dyDescent="0.35">
      <c r="O4922" s="9"/>
      <c r="V4922" s="9"/>
      <c r="W4922" s="9"/>
    </row>
    <row r="4923" spans="15:23" ht="31.4" customHeight="1" x14ac:dyDescent="0.35">
      <c r="O4923" s="9"/>
      <c r="V4923" s="9"/>
      <c r="W4923" s="9"/>
    </row>
    <row r="4924" spans="15:23" ht="31.4" customHeight="1" x14ac:dyDescent="0.35">
      <c r="O4924" s="9"/>
      <c r="V4924" s="9"/>
      <c r="W4924" s="9"/>
    </row>
    <row r="4925" spans="15:23" ht="31.4" customHeight="1" x14ac:dyDescent="0.35">
      <c r="O4925" s="9"/>
      <c r="V4925" s="9"/>
      <c r="W4925" s="9"/>
    </row>
    <row r="4926" spans="15:23" ht="31.4" customHeight="1" x14ac:dyDescent="0.35">
      <c r="O4926" s="9"/>
      <c r="V4926" s="9"/>
      <c r="W4926" s="9"/>
    </row>
    <row r="4927" spans="15:23" ht="31.4" customHeight="1" x14ac:dyDescent="0.35">
      <c r="O4927" s="9"/>
      <c r="V4927" s="9"/>
      <c r="W4927" s="9"/>
    </row>
    <row r="4928" spans="15:23" ht="31.4" customHeight="1" x14ac:dyDescent="0.35">
      <c r="O4928" s="9"/>
      <c r="V4928" s="9"/>
      <c r="W4928" s="9"/>
    </row>
    <row r="4929" spans="15:23" ht="31.4" customHeight="1" x14ac:dyDescent="0.35">
      <c r="O4929" s="9"/>
      <c r="V4929" s="9"/>
      <c r="W4929" s="9"/>
    </row>
    <row r="4930" spans="15:23" ht="31.4" customHeight="1" x14ac:dyDescent="0.35">
      <c r="O4930" s="9"/>
      <c r="V4930" s="9"/>
      <c r="W4930" s="9"/>
    </row>
    <row r="4931" spans="15:23" ht="31.4" customHeight="1" x14ac:dyDescent="0.35">
      <c r="O4931" s="9"/>
      <c r="V4931" s="9"/>
      <c r="W4931" s="9"/>
    </row>
    <row r="4932" spans="15:23" ht="31.4" customHeight="1" x14ac:dyDescent="0.35">
      <c r="O4932" s="9"/>
      <c r="V4932" s="9"/>
      <c r="W4932" s="9"/>
    </row>
    <row r="4933" spans="15:23" ht="31.4" customHeight="1" x14ac:dyDescent="0.35">
      <c r="O4933" s="9"/>
      <c r="V4933" s="9"/>
      <c r="W4933" s="9"/>
    </row>
    <row r="4934" spans="15:23" ht="31.4" customHeight="1" x14ac:dyDescent="0.35">
      <c r="O4934" s="9"/>
      <c r="V4934" s="9"/>
      <c r="W4934" s="9"/>
    </row>
    <row r="4935" spans="15:23" ht="31.4" customHeight="1" x14ac:dyDescent="0.35">
      <c r="O4935" s="9"/>
      <c r="V4935" s="9"/>
      <c r="W4935" s="9"/>
    </row>
    <row r="4936" spans="15:23" ht="31.4" customHeight="1" x14ac:dyDescent="0.35">
      <c r="O4936" s="9"/>
      <c r="V4936" s="9"/>
      <c r="W4936" s="9"/>
    </row>
    <row r="4937" spans="15:23" ht="31.4" customHeight="1" x14ac:dyDescent="0.35">
      <c r="O4937" s="9"/>
      <c r="V4937" s="9"/>
      <c r="W4937" s="9"/>
    </row>
    <row r="4938" spans="15:23" ht="31.4" customHeight="1" x14ac:dyDescent="0.35">
      <c r="O4938" s="9"/>
      <c r="V4938" s="9"/>
      <c r="W4938" s="9"/>
    </row>
    <row r="4939" spans="15:23" ht="31.4" customHeight="1" x14ac:dyDescent="0.35">
      <c r="O4939" s="9"/>
      <c r="V4939" s="9"/>
      <c r="W4939" s="9"/>
    </row>
    <row r="4940" spans="15:23" ht="31.4" customHeight="1" x14ac:dyDescent="0.35">
      <c r="O4940" s="9"/>
      <c r="V4940" s="9"/>
      <c r="W4940" s="9"/>
    </row>
    <row r="4941" spans="15:23" ht="31.4" customHeight="1" x14ac:dyDescent="0.35">
      <c r="O4941" s="9"/>
      <c r="V4941" s="9"/>
      <c r="W4941" s="9"/>
    </row>
    <row r="4942" spans="15:23" ht="31.4" customHeight="1" x14ac:dyDescent="0.35">
      <c r="O4942" s="9"/>
      <c r="V4942" s="9"/>
      <c r="W4942" s="9"/>
    </row>
    <row r="4943" spans="15:23" ht="31.4" customHeight="1" x14ac:dyDescent="0.35">
      <c r="O4943" s="9"/>
      <c r="V4943" s="9"/>
      <c r="W4943" s="9"/>
    </row>
    <row r="4944" spans="15:23" ht="31.4" customHeight="1" x14ac:dyDescent="0.35">
      <c r="O4944" s="9"/>
      <c r="V4944" s="9"/>
      <c r="W4944" s="9"/>
    </row>
    <row r="4945" spans="15:23" ht="31.4" customHeight="1" x14ac:dyDescent="0.35">
      <c r="O4945" s="9"/>
      <c r="V4945" s="9"/>
      <c r="W4945" s="9"/>
    </row>
    <row r="4946" spans="15:23" ht="31.4" customHeight="1" x14ac:dyDescent="0.35">
      <c r="O4946" s="9"/>
      <c r="V4946" s="9"/>
      <c r="W4946" s="9"/>
    </row>
    <row r="4947" spans="15:23" ht="31.4" customHeight="1" x14ac:dyDescent="0.35">
      <c r="O4947" s="9"/>
      <c r="V4947" s="9"/>
      <c r="W4947" s="9"/>
    </row>
    <row r="4948" spans="15:23" ht="31.4" customHeight="1" x14ac:dyDescent="0.35">
      <c r="O4948" s="9"/>
      <c r="V4948" s="9"/>
      <c r="W4948" s="9"/>
    </row>
    <row r="4949" spans="15:23" ht="31.4" customHeight="1" x14ac:dyDescent="0.35">
      <c r="O4949" s="9"/>
      <c r="V4949" s="9"/>
      <c r="W4949" s="9"/>
    </row>
    <row r="4950" spans="15:23" ht="31.4" customHeight="1" x14ac:dyDescent="0.35">
      <c r="O4950" s="9"/>
      <c r="V4950" s="9"/>
      <c r="W4950" s="9"/>
    </row>
    <row r="4951" spans="15:23" ht="31.4" customHeight="1" x14ac:dyDescent="0.35">
      <c r="O4951" s="9"/>
      <c r="V4951" s="9"/>
      <c r="W4951" s="9"/>
    </row>
    <row r="4952" spans="15:23" ht="31.4" customHeight="1" x14ac:dyDescent="0.35">
      <c r="O4952" s="9"/>
      <c r="V4952" s="9"/>
      <c r="W4952" s="9"/>
    </row>
    <row r="4953" spans="15:23" ht="31.4" customHeight="1" x14ac:dyDescent="0.35">
      <c r="O4953" s="9"/>
      <c r="V4953" s="9"/>
      <c r="W4953" s="9"/>
    </row>
    <row r="4954" spans="15:23" ht="31.4" customHeight="1" x14ac:dyDescent="0.35">
      <c r="O4954" s="9"/>
      <c r="V4954" s="9"/>
      <c r="W4954" s="9"/>
    </row>
    <row r="4955" spans="15:23" ht="31.4" customHeight="1" x14ac:dyDescent="0.35">
      <c r="O4955" s="9"/>
      <c r="V4955" s="9"/>
      <c r="W4955" s="9"/>
    </row>
    <row r="4956" spans="15:23" ht="31.4" customHeight="1" x14ac:dyDescent="0.35">
      <c r="O4956" s="9"/>
      <c r="V4956" s="9"/>
      <c r="W4956" s="9"/>
    </row>
    <row r="4957" spans="15:23" ht="31.4" customHeight="1" x14ac:dyDescent="0.35">
      <c r="O4957" s="9"/>
      <c r="V4957" s="9"/>
      <c r="W4957" s="9"/>
    </row>
    <row r="4958" spans="15:23" ht="31.4" customHeight="1" x14ac:dyDescent="0.35">
      <c r="O4958" s="9"/>
      <c r="V4958" s="9"/>
      <c r="W4958" s="9"/>
    </row>
    <row r="4959" spans="15:23" ht="31.4" customHeight="1" x14ac:dyDescent="0.35">
      <c r="O4959" s="9"/>
      <c r="V4959" s="9"/>
      <c r="W4959" s="9"/>
    </row>
    <row r="4960" spans="15:23" ht="31.4" customHeight="1" x14ac:dyDescent="0.35">
      <c r="O4960" s="9"/>
      <c r="V4960" s="9"/>
      <c r="W4960" s="9"/>
    </row>
    <row r="4961" spans="15:23" ht="31.4" customHeight="1" x14ac:dyDescent="0.35">
      <c r="O4961" s="9"/>
      <c r="V4961" s="9"/>
      <c r="W4961" s="9"/>
    </row>
    <row r="4962" spans="15:23" ht="31.4" customHeight="1" x14ac:dyDescent="0.35">
      <c r="O4962" s="9"/>
      <c r="V4962" s="9"/>
      <c r="W4962" s="9"/>
    </row>
    <row r="4963" spans="15:23" ht="31.4" customHeight="1" x14ac:dyDescent="0.35">
      <c r="O4963" s="9"/>
      <c r="V4963" s="9"/>
      <c r="W4963" s="9"/>
    </row>
    <row r="4964" spans="15:23" ht="31.4" customHeight="1" x14ac:dyDescent="0.35">
      <c r="O4964" s="9"/>
      <c r="V4964" s="9"/>
      <c r="W4964" s="9"/>
    </row>
    <row r="4965" spans="15:23" ht="31.4" customHeight="1" x14ac:dyDescent="0.35">
      <c r="O4965" s="9"/>
      <c r="V4965" s="9"/>
      <c r="W4965" s="9"/>
    </row>
    <row r="4966" spans="15:23" ht="31.4" customHeight="1" x14ac:dyDescent="0.35">
      <c r="O4966" s="9"/>
      <c r="V4966" s="9"/>
      <c r="W4966" s="9"/>
    </row>
    <row r="4967" spans="15:23" ht="31.4" customHeight="1" x14ac:dyDescent="0.35">
      <c r="O4967" s="9"/>
      <c r="V4967" s="9"/>
      <c r="W4967" s="9"/>
    </row>
    <row r="4968" spans="15:23" ht="31.4" customHeight="1" x14ac:dyDescent="0.35">
      <c r="O4968" s="9"/>
      <c r="V4968" s="9"/>
      <c r="W4968" s="9"/>
    </row>
    <row r="4969" spans="15:23" ht="31.4" customHeight="1" x14ac:dyDescent="0.35">
      <c r="O4969" s="9"/>
      <c r="V4969" s="9"/>
      <c r="W4969" s="9"/>
    </row>
    <row r="4970" spans="15:23" ht="31.4" customHeight="1" x14ac:dyDescent="0.35">
      <c r="O4970" s="9"/>
      <c r="V4970" s="9"/>
      <c r="W4970" s="9"/>
    </row>
    <row r="4971" spans="15:23" ht="31.4" customHeight="1" x14ac:dyDescent="0.35">
      <c r="O4971" s="9"/>
      <c r="V4971" s="9"/>
      <c r="W4971" s="9"/>
    </row>
    <row r="4972" spans="15:23" ht="31.4" customHeight="1" x14ac:dyDescent="0.35">
      <c r="O4972" s="9"/>
      <c r="V4972" s="9"/>
      <c r="W4972" s="9"/>
    </row>
    <row r="4973" spans="15:23" ht="31.4" customHeight="1" x14ac:dyDescent="0.35">
      <c r="O4973" s="9"/>
      <c r="V4973" s="9"/>
      <c r="W4973" s="9"/>
    </row>
    <row r="4974" spans="15:23" ht="31.4" customHeight="1" x14ac:dyDescent="0.35">
      <c r="O4974" s="9"/>
      <c r="V4974" s="9"/>
      <c r="W4974" s="9"/>
    </row>
    <row r="4975" spans="15:23" ht="31.4" customHeight="1" x14ac:dyDescent="0.35">
      <c r="O4975" s="9"/>
      <c r="V4975" s="9"/>
      <c r="W4975" s="9"/>
    </row>
    <row r="4976" spans="15:23" ht="31.4" customHeight="1" x14ac:dyDescent="0.35">
      <c r="O4976" s="9"/>
      <c r="V4976" s="9"/>
      <c r="W4976" s="9"/>
    </row>
    <row r="4977" spans="15:23" ht="31.4" customHeight="1" x14ac:dyDescent="0.35">
      <c r="O4977" s="9"/>
      <c r="V4977" s="9"/>
      <c r="W4977" s="9"/>
    </row>
    <row r="4978" spans="15:23" ht="31.4" customHeight="1" x14ac:dyDescent="0.35">
      <c r="O4978" s="9"/>
      <c r="V4978" s="9"/>
      <c r="W4978" s="9"/>
    </row>
    <row r="4979" spans="15:23" ht="31.4" customHeight="1" x14ac:dyDescent="0.35">
      <c r="O4979" s="9"/>
      <c r="V4979" s="9"/>
      <c r="W4979" s="9"/>
    </row>
    <row r="4980" spans="15:23" ht="31.4" customHeight="1" x14ac:dyDescent="0.35">
      <c r="O4980" s="9"/>
      <c r="V4980" s="9"/>
      <c r="W4980" s="9"/>
    </row>
    <row r="4981" spans="15:23" ht="31.4" customHeight="1" x14ac:dyDescent="0.35">
      <c r="O4981" s="9"/>
      <c r="V4981" s="9"/>
      <c r="W4981" s="9"/>
    </row>
    <row r="4982" spans="15:23" ht="31.4" customHeight="1" x14ac:dyDescent="0.35">
      <c r="O4982" s="9"/>
      <c r="V4982" s="9"/>
      <c r="W4982" s="9"/>
    </row>
    <row r="4983" spans="15:23" ht="31.4" customHeight="1" x14ac:dyDescent="0.35">
      <c r="O4983" s="9"/>
      <c r="V4983" s="9"/>
      <c r="W4983" s="9"/>
    </row>
    <row r="4984" spans="15:23" ht="31.4" customHeight="1" x14ac:dyDescent="0.35">
      <c r="O4984" s="9"/>
      <c r="V4984" s="9"/>
      <c r="W4984" s="9"/>
    </row>
    <row r="4985" spans="15:23" ht="31.4" customHeight="1" x14ac:dyDescent="0.35">
      <c r="O4985" s="9"/>
      <c r="V4985" s="9"/>
      <c r="W4985" s="9"/>
    </row>
    <row r="4986" spans="15:23" ht="31.4" customHeight="1" x14ac:dyDescent="0.35">
      <c r="O4986" s="9"/>
      <c r="V4986" s="9"/>
      <c r="W4986" s="9"/>
    </row>
    <row r="4987" spans="15:23" ht="31.4" customHeight="1" x14ac:dyDescent="0.35">
      <c r="O4987" s="9"/>
      <c r="V4987" s="9"/>
      <c r="W4987" s="9"/>
    </row>
    <row r="4988" spans="15:23" ht="31.4" customHeight="1" x14ac:dyDescent="0.35">
      <c r="O4988" s="9"/>
      <c r="V4988" s="9"/>
      <c r="W4988" s="9"/>
    </row>
    <row r="4989" spans="15:23" ht="31.4" customHeight="1" x14ac:dyDescent="0.35">
      <c r="O4989" s="9"/>
      <c r="V4989" s="9"/>
      <c r="W4989" s="9"/>
    </row>
    <row r="4990" spans="15:23" ht="31.4" customHeight="1" x14ac:dyDescent="0.35">
      <c r="O4990" s="9"/>
      <c r="V4990" s="9"/>
      <c r="W4990" s="9"/>
    </row>
    <row r="4991" spans="15:23" ht="31.4" customHeight="1" x14ac:dyDescent="0.35">
      <c r="O4991" s="9"/>
      <c r="V4991" s="9"/>
      <c r="W4991" s="9"/>
    </row>
    <row r="4992" spans="15:23" ht="31.4" customHeight="1" x14ac:dyDescent="0.35">
      <c r="O4992" s="9"/>
      <c r="V4992" s="9"/>
      <c r="W4992" s="9"/>
    </row>
    <row r="4993" spans="15:23" ht="31.4" customHeight="1" x14ac:dyDescent="0.35">
      <c r="O4993" s="9"/>
      <c r="V4993" s="9"/>
      <c r="W4993" s="9"/>
    </row>
    <row r="4994" spans="15:23" ht="31.4" customHeight="1" x14ac:dyDescent="0.35">
      <c r="O4994" s="9"/>
      <c r="V4994" s="9"/>
      <c r="W4994" s="9"/>
    </row>
    <row r="4995" spans="15:23" ht="31.4" customHeight="1" x14ac:dyDescent="0.35">
      <c r="O4995" s="9"/>
      <c r="V4995" s="9"/>
      <c r="W4995" s="9"/>
    </row>
    <row r="4996" spans="15:23" ht="31.4" customHeight="1" x14ac:dyDescent="0.35">
      <c r="O4996" s="9"/>
      <c r="V4996" s="9"/>
      <c r="W4996" s="9"/>
    </row>
    <row r="4997" spans="15:23" ht="31.4" customHeight="1" x14ac:dyDescent="0.35">
      <c r="O4997" s="9"/>
      <c r="V4997" s="9"/>
      <c r="W4997" s="9"/>
    </row>
    <row r="4998" spans="15:23" ht="31.4" customHeight="1" x14ac:dyDescent="0.35">
      <c r="O4998" s="9"/>
      <c r="V4998" s="9"/>
      <c r="W4998" s="9"/>
    </row>
    <row r="4999" spans="15:23" ht="31.4" customHeight="1" x14ac:dyDescent="0.35">
      <c r="O4999" s="9"/>
      <c r="V4999" s="9"/>
      <c r="W4999" s="9"/>
    </row>
    <row r="5000" spans="15:23" ht="31.4" customHeight="1" x14ac:dyDescent="0.35">
      <c r="O5000" s="9"/>
      <c r="V5000" s="9"/>
      <c r="W5000" s="9"/>
    </row>
    <row r="5001" spans="15:23" ht="31.4" customHeight="1" x14ac:dyDescent="0.35">
      <c r="O5001" s="9"/>
      <c r="V5001" s="9"/>
      <c r="W5001" s="9"/>
    </row>
    <row r="5002" spans="15:23" ht="31.4" customHeight="1" x14ac:dyDescent="0.35">
      <c r="O5002" s="9"/>
      <c r="V5002" s="9"/>
      <c r="W5002" s="9"/>
    </row>
    <row r="5003" spans="15:23" ht="31.4" customHeight="1" x14ac:dyDescent="0.35">
      <c r="O5003" s="9"/>
      <c r="V5003" s="9"/>
      <c r="W5003" s="9"/>
    </row>
    <row r="5004" spans="15:23" ht="31.4" customHeight="1" x14ac:dyDescent="0.35">
      <c r="O5004" s="9"/>
      <c r="V5004" s="9"/>
      <c r="W5004" s="9"/>
    </row>
    <row r="5005" spans="15:23" ht="31.4" customHeight="1" x14ac:dyDescent="0.35">
      <c r="O5005" s="9"/>
      <c r="V5005" s="9"/>
      <c r="W5005" s="9"/>
    </row>
    <row r="5006" spans="15:23" ht="31.4" customHeight="1" x14ac:dyDescent="0.35">
      <c r="O5006" s="9"/>
      <c r="V5006" s="9"/>
      <c r="W5006" s="9"/>
    </row>
    <row r="5007" spans="15:23" ht="31.4" customHeight="1" x14ac:dyDescent="0.35">
      <c r="O5007" s="9"/>
      <c r="V5007" s="9"/>
      <c r="W5007" s="9"/>
    </row>
    <row r="5008" spans="15:23" ht="31.4" customHeight="1" x14ac:dyDescent="0.35">
      <c r="O5008" s="9"/>
      <c r="V5008" s="9"/>
      <c r="W5008" s="9"/>
    </row>
    <row r="5009" spans="15:23" ht="31.4" customHeight="1" x14ac:dyDescent="0.35">
      <c r="O5009" s="9"/>
      <c r="V5009" s="9"/>
      <c r="W5009" s="9"/>
    </row>
    <row r="5010" spans="15:23" ht="31.4" customHeight="1" x14ac:dyDescent="0.35">
      <c r="O5010" s="9"/>
      <c r="V5010" s="9"/>
      <c r="W5010" s="9"/>
    </row>
    <row r="5011" spans="15:23" ht="31.4" customHeight="1" x14ac:dyDescent="0.35">
      <c r="O5011" s="9"/>
      <c r="V5011" s="9"/>
      <c r="W5011" s="9"/>
    </row>
    <row r="5012" spans="15:23" ht="31.4" customHeight="1" x14ac:dyDescent="0.35">
      <c r="O5012" s="9"/>
      <c r="V5012" s="9"/>
      <c r="W5012" s="9"/>
    </row>
    <row r="5013" spans="15:23" ht="31.4" customHeight="1" x14ac:dyDescent="0.35">
      <c r="O5013" s="9"/>
      <c r="V5013" s="9"/>
      <c r="W5013" s="9"/>
    </row>
    <row r="5014" spans="15:23" ht="31.4" customHeight="1" x14ac:dyDescent="0.35">
      <c r="O5014" s="9"/>
      <c r="V5014" s="9"/>
      <c r="W5014" s="9"/>
    </row>
    <row r="5015" spans="15:23" ht="31.4" customHeight="1" x14ac:dyDescent="0.35">
      <c r="O5015" s="9"/>
      <c r="V5015" s="9"/>
      <c r="W5015" s="9"/>
    </row>
    <row r="5016" spans="15:23" ht="31.4" customHeight="1" x14ac:dyDescent="0.35">
      <c r="O5016" s="9"/>
      <c r="V5016" s="9"/>
      <c r="W5016" s="9"/>
    </row>
    <row r="5017" spans="15:23" ht="31.4" customHeight="1" x14ac:dyDescent="0.35">
      <c r="O5017" s="9"/>
      <c r="V5017" s="9"/>
      <c r="W5017" s="9"/>
    </row>
    <row r="5018" spans="15:23" ht="31.4" customHeight="1" x14ac:dyDescent="0.35">
      <c r="O5018" s="9"/>
      <c r="V5018" s="9"/>
      <c r="W5018" s="9"/>
    </row>
    <row r="5019" spans="15:23" ht="31.4" customHeight="1" x14ac:dyDescent="0.35">
      <c r="O5019" s="9"/>
      <c r="V5019" s="9"/>
      <c r="W5019" s="9"/>
    </row>
    <row r="5020" spans="15:23" ht="31.4" customHeight="1" x14ac:dyDescent="0.35">
      <c r="O5020" s="9"/>
      <c r="V5020" s="9"/>
      <c r="W5020" s="9"/>
    </row>
    <row r="5021" spans="15:23" ht="31.4" customHeight="1" x14ac:dyDescent="0.35">
      <c r="O5021" s="9"/>
      <c r="V5021" s="9"/>
      <c r="W5021" s="9"/>
    </row>
    <row r="5022" spans="15:23" ht="31.4" customHeight="1" x14ac:dyDescent="0.35">
      <c r="O5022" s="9"/>
      <c r="V5022" s="9"/>
      <c r="W5022" s="9"/>
    </row>
    <row r="5023" spans="15:23" ht="31.4" customHeight="1" x14ac:dyDescent="0.35">
      <c r="O5023" s="9"/>
      <c r="V5023" s="9"/>
      <c r="W5023" s="9"/>
    </row>
    <row r="5024" spans="15:23" ht="31.4" customHeight="1" x14ac:dyDescent="0.35">
      <c r="O5024" s="9"/>
      <c r="V5024" s="9"/>
      <c r="W5024" s="9"/>
    </row>
    <row r="5025" spans="15:23" ht="31.4" customHeight="1" x14ac:dyDescent="0.35">
      <c r="O5025" s="9"/>
      <c r="V5025" s="9"/>
      <c r="W5025" s="9"/>
    </row>
    <row r="5026" spans="15:23" ht="31.4" customHeight="1" x14ac:dyDescent="0.35">
      <c r="O5026" s="9"/>
      <c r="V5026" s="9"/>
      <c r="W5026" s="9"/>
    </row>
    <row r="5027" spans="15:23" ht="31.4" customHeight="1" x14ac:dyDescent="0.35">
      <c r="O5027" s="9"/>
      <c r="V5027" s="9"/>
      <c r="W5027" s="9"/>
    </row>
    <row r="5028" spans="15:23" ht="31.4" customHeight="1" x14ac:dyDescent="0.35">
      <c r="O5028" s="9"/>
      <c r="V5028" s="9"/>
      <c r="W5028" s="9"/>
    </row>
    <row r="5029" spans="15:23" ht="31.4" customHeight="1" x14ac:dyDescent="0.35">
      <c r="O5029" s="9"/>
      <c r="V5029" s="9"/>
      <c r="W5029" s="9"/>
    </row>
    <row r="5030" spans="15:23" ht="31.4" customHeight="1" x14ac:dyDescent="0.35">
      <c r="O5030" s="9"/>
      <c r="V5030" s="9"/>
      <c r="W5030" s="9"/>
    </row>
    <row r="5031" spans="15:23" ht="31.4" customHeight="1" x14ac:dyDescent="0.35">
      <c r="O5031" s="9"/>
      <c r="V5031" s="9"/>
      <c r="W5031" s="9"/>
    </row>
    <row r="5032" spans="15:23" ht="31.4" customHeight="1" x14ac:dyDescent="0.35">
      <c r="O5032" s="9"/>
      <c r="V5032" s="9"/>
      <c r="W5032" s="9"/>
    </row>
    <row r="5033" spans="15:23" ht="31.4" customHeight="1" x14ac:dyDescent="0.35">
      <c r="O5033" s="9"/>
      <c r="V5033" s="9"/>
      <c r="W5033" s="9"/>
    </row>
    <row r="5034" spans="15:23" ht="31.4" customHeight="1" x14ac:dyDescent="0.35">
      <c r="O5034" s="9"/>
      <c r="V5034" s="9"/>
      <c r="W5034" s="9"/>
    </row>
    <row r="5035" spans="15:23" ht="31.4" customHeight="1" x14ac:dyDescent="0.35">
      <c r="O5035" s="9"/>
      <c r="V5035" s="9"/>
      <c r="W5035" s="9"/>
    </row>
    <row r="5036" spans="15:23" ht="31.4" customHeight="1" x14ac:dyDescent="0.35">
      <c r="O5036" s="9"/>
      <c r="V5036" s="9"/>
      <c r="W5036" s="9"/>
    </row>
    <row r="5037" spans="15:23" ht="31.4" customHeight="1" x14ac:dyDescent="0.35">
      <c r="O5037" s="9"/>
      <c r="V5037" s="9"/>
      <c r="W5037" s="9"/>
    </row>
    <row r="5038" spans="15:23" ht="31.4" customHeight="1" x14ac:dyDescent="0.35">
      <c r="O5038" s="9"/>
      <c r="V5038" s="9"/>
      <c r="W5038" s="9"/>
    </row>
    <row r="5039" spans="15:23" ht="31.4" customHeight="1" x14ac:dyDescent="0.35">
      <c r="O5039" s="9"/>
      <c r="V5039" s="9"/>
      <c r="W5039" s="9"/>
    </row>
    <row r="5040" spans="15:23" ht="31.4" customHeight="1" x14ac:dyDescent="0.35">
      <c r="O5040" s="9"/>
      <c r="V5040" s="9"/>
      <c r="W5040" s="9"/>
    </row>
    <row r="5041" spans="1:23" ht="31.4" customHeight="1" x14ac:dyDescent="0.35">
      <c r="O5041" s="9"/>
      <c r="V5041" s="9"/>
      <c r="W5041" s="9"/>
    </row>
    <row r="5042" spans="1:23" ht="31.4" customHeight="1" x14ac:dyDescent="0.35">
      <c r="O5042" s="9"/>
      <c r="V5042" s="9"/>
      <c r="W5042" s="9"/>
    </row>
    <row r="5043" spans="1:23" ht="31.4" customHeight="1" x14ac:dyDescent="0.35">
      <c r="O5043" s="9"/>
      <c r="V5043" s="9"/>
      <c r="W5043" s="9"/>
    </row>
    <row r="5044" spans="1:23" ht="31.4" customHeight="1" x14ac:dyDescent="0.35">
      <c r="O5044" s="9"/>
      <c r="V5044" s="9"/>
      <c r="W5044" s="9"/>
    </row>
    <row r="5045" spans="1:23" ht="31.4" customHeight="1" x14ac:dyDescent="0.35">
      <c r="O5045" s="9"/>
      <c r="V5045" s="9"/>
      <c r="W5045" s="9"/>
    </row>
    <row r="5046" spans="1:23" ht="31.4" customHeight="1" x14ac:dyDescent="0.35">
      <c r="O5046" s="9"/>
      <c r="V5046" s="9"/>
      <c r="W5046" s="9"/>
    </row>
    <row r="5049" spans="1:23" ht="31.4" customHeight="1" x14ac:dyDescent="0.35">
      <c r="A5049" s="211"/>
      <c r="B5049" s="5"/>
      <c r="C5049" s="5"/>
      <c r="D5049" s="5"/>
      <c r="E5049" s="149"/>
      <c r="F5049" s="11" t="str">
        <f>IF($E5049="","",WORKDAY($E5049,1,$Z$33:$Z$41))</f>
        <v/>
      </c>
      <c r="G5049" s="11" t="str">
        <f>IF($E5049="","",WORKDAY($E5049,10,$Z$33:$Z$41))</f>
        <v/>
      </c>
      <c r="H5049" s="11" t="str">
        <f>IF($E5049="","",WORKDAY($E5049,20,$Z$33:$Z$41))</f>
        <v/>
      </c>
      <c r="I5049" s="69" t="str">
        <f>IF(ISBLANK(E5049),"",TEXT(E5049,"mmm"))</f>
        <v/>
      </c>
      <c r="J5049" s="236"/>
      <c r="K5049" s="149"/>
      <c r="M5049" s="11"/>
      <c r="N5049" s="11"/>
      <c r="O5049" s="12" t="str">
        <f>IF(ISBLANK(M5049),"",IF(M5049&gt;H5049,"No","Yes"))</f>
        <v/>
      </c>
      <c r="R5049" s="11"/>
      <c r="T5049" s="5"/>
    </row>
    <row r="5050" spans="1:23" ht="31.4" customHeight="1" x14ac:dyDescent="0.35">
      <c r="O5050" s="9"/>
    </row>
    <row r="5051" spans="1:23" ht="31.4" customHeight="1" x14ac:dyDescent="0.35">
      <c r="O5051" s="9"/>
    </row>
    <row r="5052" spans="1:23" ht="31.4" customHeight="1" x14ac:dyDescent="0.35">
      <c r="O5052" s="9"/>
    </row>
    <row r="5053" spans="1:23" ht="31.4" customHeight="1" x14ac:dyDescent="0.35">
      <c r="O5053" s="9"/>
    </row>
    <row r="5054" spans="1:23" ht="31.4" customHeight="1" x14ac:dyDescent="0.35">
      <c r="O5054" s="9"/>
    </row>
    <row r="5055" spans="1:23" ht="31.4" customHeight="1" x14ac:dyDescent="0.35">
      <c r="O5055" s="9"/>
    </row>
    <row r="5056" spans="1:23" ht="31.4" customHeight="1" x14ac:dyDescent="0.35">
      <c r="O5056" s="9"/>
    </row>
    <row r="5057" spans="15:15" ht="31.4" customHeight="1" x14ac:dyDescent="0.35">
      <c r="O5057" s="9"/>
    </row>
    <row r="5058" spans="15:15" ht="31.4" customHeight="1" x14ac:dyDescent="0.35">
      <c r="O5058" s="9"/>
    </row>
    <row r="5059" spans="15:15" ht="31.4" customHeight="1" x14ac:dyDescent="0.35">
      <c r="O5059" s="9"/>
    </row>
    <row r="5060" spans="15:15" ht="31.4" customHeight="1" x14ac:dyDescent="0.35">
      <c r="O5060" s="9"/>
    </row>
    <row r="5061" spans="15:15" ht="31.4" customHeight="1" x14ac:dyDescent="0.35">
      <c r="O5061" s="9"/>
    </row>
    <row r="5062" spans="15:15" ht="31.4" customHeight="1" x14ac:dyDescent="0.35">
      <c r="O5062" s="9"/>
    </row>
    <row r="5063" spans="15:15" ht="31.4" customHeight="1" x14ac:dyDescent="0.35">
      <c r="O5063" s="9"/>
    </row>
    <row r="5064" spans="15:15" ht="31.4" customHeight="1" x14ac:dyDescent="0.35">
      <c r="O5064" s="9"/>
    </row>
    <row r="5065" spans="15:15" ht="31.4" customHeight="1" x14ac:dyDescent="0.35">
      <c r="O5065" s="9"/>
    </row>
    <row r="5066" spans="15:15" ht="31.4" customHeight="1" x14ac:dyDescent="0.35">
      <c r="O5066" s="9"/>
    </row>
    <row r="5067" spans="15:15" ht="31.4" customHeight="1" x14ac:dyDescent="0.35">
      <c r="O5067" s="9"/>
    </row>
    <row r="5068" spans="15:15" ht="31.4" customHeight="1" x14ac:dyDescent="0.35">
      <c r="O5068" s="9"/>
    </row>
    <row r="5069" spans="15:15" ht="31.4" customHeight="1" x14ac:dyDescent="0.35">
      <c r="O5069" s="9"/>
    </row>
    <row r="5070" spans="15:15" ht="31.4" customHeight="1" x14ac:dyDescent="0.35">
      <c r="O5070" s="9"/>
    </row>
    <row r="5071" spans="15:15" ht="31.4" customHeight="1" x14ac:dyDescent="0.35">
      <c r="O5071" s="9"/>
    </row>
    <row r="5072" spans="15:15" ht="31.4" customHeight="1" x14ac:dyDescent="0.35">
      <c r="O5072" s="9"/>
    </row>
    <row r="5073" spans="15:15" ht="31.4" customHeight="1" x14ac:dyDescent="0.35">
      <c r="O5073" s="9"/>
    </row>
    <row r="5074" spans="15:15" ht="31.4" customHeight="1" x14ac:dyDescent="0.35">
      <c r="O5074" s="9"/>
    </row>
    <row r="5075" spans="15:15" ht="31.4" customHeight="1" x14ac:dyDescent="0.35">
      <c r="O5075" s="9"/>
    </row>
    <row r="5076" spans="15:15" ht="31.4" customHeight="1" x14ac:dyDescent="0.35">
      <c r="O5076" s="9"/>
    </row>
    <row r="5077" spans="15:15" ht="31.4" customHeight="1" x14ac:dyDescent="0.35">
      <c r="O5077" s="9"/>
    </row>
    <row r="5078" spans="15:15" ht="31.4" customHeight="1" x14ac:dyDescent="0.35">
      <c r="O5078" s="9"/>
    </row>
    <row r="5079" spans="15:15" ht="31.4" customHeight="1" x14ac:dyDescent="0.35">
      <c r="O5079" s="9"/>
    </row>
    <row r="5080" spans="15:15" ht="31.4" customHeight="1" x14ac:dyDescent="0.35">
      <c r="O5080" s="9"/>
    </row>
    <row r="5081" spans="15:15" ht="31.4" customHeight="1" x14ac:dyDescent="0.35">
      <c r="O5081" s="9"/>
    </row>
    <row r="5082" spans="15:15" ht="31.4" customHeight="1" x14ac:dyDescent="0.35">
      <c r="O5082" s="9"/>
    </row>
    <row r="5083" spans="15:15" ht="31.4" customHeight="1" x14ac:dyDescent="0.35">
      <c r="O5083" s="9"/>
    </row>
    <row r="5084" spans="15:15" ht="31.4" customHeight="1" x14ac:dyDescent="0.35">
      <c r="O5084" s="9"/>
    </row>
    <row r="5085" spans="15:15" ht="31.4" customHeight="1" x14ac:dyDescent="0.35">
      <c r="O5085" s="9"/>
    </row>
    <row r="5086" spans="15:15" ht="31.4" customHeight="1" x14ac:dyDescent="0.35">
      <c r="O5086" s="9"/>
    </row>
    <row r="5087" spans="15:15" ht="31.4" customHeight="1" x14ac:dyDescent="0.35">
      <c r="O5087" s="9"/>
    </row>
    <row r="5088" spans="15:15" ht="31.4" customHeight="1" x14ac:dyDescent="0.35">
      <c r="O5088" s="9"/>
    </row>
    <row r="5089" spans="15:15" ht="31.4" customHeight="1" x14ac:dyDescent="0.35">
      <c r="O5089" s="9"/>
    </row>
    <row r="5090" spans="15:15" ht="31.4" customHeight="1" x14ac:dyDescent="0.35">
      <c r="O5090" s="9"/>
    </row>
    <row r="5091" spans="15:15" ht="31.4" customHeight="1" x14ac:dyDescent="0.35">
      <c r="O5091" s="9"/>
    </row>
    <row r="5092" spans="15:15" ht="31.4" customHeight="1" x14ac:dyDescent="0.35">
      <c r="O5092" s="9"/>
    </row>
    <row r="5093" spans="15:15" ht="31.4" customHeight="1" x14ac:dyDescent="0.35">
      <c r="O5093" s="9"/>
    </row>
    <row r="5094" spans="15:15" ht="31.4" customHeight="1" x14ac:dyDescent="0.35">
      <c r="O5094" s="9"/>
    </row>
    <row r="5095" spans="15:15" ht="31.4" customHeight="1" x14ac:dyDescent="0.35">
      <c r="O5095" s="9"/>
    </row>
    <row r="5096" spans="15:15" ht="31.4" customHeight="1" x14ac:dyDescent="0.35">
      <c r="O5096" s="9"/>
    </row>
    <row r="5097" spans="15:15" ht="31.4" customHeight="1" x14ac:dyDescent="0.35">
      <c r="O5097" s="9"/>
    </row>
    <row r="5098" spans="15:15" ht="31.4" customHeight="1" x14ac:dyDescent="0.35">
      <c r="O5098" s="9"/>
    </row>
    <row r="5099" spans="15:15" ht="31.4" customHeight="1" x14ac:dyDescent="0.35">
      <c r="O5099" s="9"/>
    </row>
    <row r="5100" spans="15:15" ht="31.4" customHeight="1" x14ac:dyDescent="0.35">
      <c r="O5100" s="9"/>
    </row>
    <row r="5101" spans="15:15" ht="31.4" customHeight="1" x14ac:dyDescent="0.35">
      <c r="O5101" s="9"/>
    </row>
    <row r="5102" spans="15:15" ht="31.4" customHeight="1" x14ac:dyDescent="0.35">
      <c r="O5102" s="9"/>
    </row>
    <row r="5103" spans="15:15" ht="31.4" customHeight="1" x14ac:dyDescent="0.35">
      <c r="O5103" s="9"/>
    </row>
    <row r="5104" spans="15:15" ht="31.4" customHeight="1" x14ac:dyDescent="0.35">
      <c r="O5104" s="9"/>
    </row>
    <row r="5105" spans="15:15" ht="31.4" customHeight="1" x14ac:dyDescent="0.35">
      <c r="O5105" s="9"/>
    </row>
    <row r="5106" spans="15:15" ht="31.4" customHeight="1" x14ac:dyDescent="0.35">
      <c r="O5106" s="9"/>
    </row>
    <row r="5107" spans="15:15" ht="31.4" customHeight="1" x14ac:dyDescent="0.35">
      <c r="O5107" s="9"/>
    </row>
    <row r="5108" spans="15:15" ht="31.4" customHeight="1" x14ac:dyDescent="0.35">
      <c r="O5108" s="9"/>
    </row>
    <row r="5109" spans="15:15" ht="31.4" customHeight="1" x14ac:dyDescent="0.35">
      <c r="O5109" s="9"/>
    </row>
    <row r="5110" spans="15:15" ht="31.4" customHeight="1" x14ac:dyDescent="0.35">
      <c r="O5110" s="9"/>
    </row>
    <row r="5111" spans="15:15" ht="31.4" customHeight="1" x14ac:dyDescent="0.35">
      <c r="O5111" s="9"/>
    </row>
    <row r="5112" spans="15:15" ht="31.4" customHeight="1" x14ac:dyDescent="0.35">
      <c r="O5112" s="9"/>
    </row>
    <row r="5113" spans="15:15" ht="31.4" customHeight="1" x14ac:dyDescent="0.35">
      <c r="O5113" s="9"/>
    </row>
    <row r="5114" spans="15:15" ht="31.4" customHeight="1" x14ac:dyDescent="0.35">
      <c r="O5114" s="9"/>
    </row>
    <row r="5115" spans="15:15" ht="31.4" customHeight="1" x14ac:dyDescent="0.35">
      <c r="O5115" s="9"/>
    </row>
    <row r="5116" spans="15:15" ht="31.4" customHeight="1" x14ac:dyDescent="0.35">
      <c r="O5116" s="9"/>
    </row>
    <row r="5117" spans="15:15" ht="31.4" customHeight="1" x14ac:dyDescent="0.35">
      <c r="O5117" s="9"/>
    </row>
    <row r="5118" spans="15:15" ht="31.4" customHeight="1" x14ac:dyDescent="0.35">
      <c r="O5118" s="9"/>
    </row>
    <row r="5119" spans="15:15" ht="31.4" customHeight="1" x14ac:dyDescent="0.35">
      <c r="O5119" s="9"/>
    </row>
    <row r="5120" spans="15:15" ht="31.4" customHeight="1" x14ac:dyDescent="0.35">
      <c r="O5120" s="9"/>
    </row>
    <row r="5121" spans="15:15" ht="31.4" customHeight="1" x14ac:dyDescent="0.35">
      <c r="O5121" s="9"/>
    </row>
    <row r="5122" spans="15:15" ht="31.4" customHeight="1" x14ac:dyDescent="0.35">
      <c r="O5122" s="9"/>
    </row>
    <row r="5123" spans="15:15" ht="31.4" customHeight="1" x14ac:dyDescent="0.35">
      <c r="O5123" s="9"/>
    </row>
    <row r="5124" spans="15:15" ht="31.4" customHeight="1" x14ac:dyDescent="0.35">
      <c r="O5124" s="9"/>
    </row>
    <row r="5125" spans="15:15" ht="31.4" customHeight="1" x14ac:dyDescent="0.35">
      <c r="O5125" s="9"/>
    </row>
    <row r="5126" spans="15:15" ht="31.4" customHeight="1" x14ac:dyDescent="0.35">
      <c r="O5126" s="9"/>
    </row>
    <row r="5127" spans="15:15" ht="31.4" customHeight="1" x14ac:dyDescent="0.35">
      <c r="O5127" s="9"/>
    </row>
    <row r="5128" spans="15:15" ht="31.4" customHeight="1" x14ac:dyDescent="0.35">
      <c r="O5128" s="9"/>
    </row>
    <row r="5129" spans="15:15" ht="31.4" customHeight="1" x14ac:dyDescent="0.35">
      <c r="O5129" s="9"/>
    </row>
    <row r="5130" spans="15:15" ht="31.4" customHeight="1" x14ac:dyDescent="0.35">
      <c r="O5130" s="9"/>
    </row>
    <row r="5131" spans="15:15" ht="31.4" customHeight="1" x14ac:dyDescent="0.35">
      <c r="O5131" s="9"/>
    </row>
    <row r="5132" spans="15:15" ht="31.4" customHeight="1" x14ac:dyDescent="0.35">
      <c r="O5132" s="9"/>
    </row>
    <row r="5133" spans="15:15" ht="31.4" customHeight="1" x14ac:dyDescent="0.35">
      <c r="O5133" s="9"/>
    </row>
    <row r="5134" spans="15:15" ht="31.4" customHeight="1" x14ac:dyDescent="0.35">
      <c r="O5134" s="9"/>
    </row>
    <row r="5135" spans="15:15" ht="31.4" customHeight="1" x14ac:dyDescent="0.35">
      <c r="O5135" s="9"/>
    </row>
    <row r="5136" spans="15:15" ht="31.4" customHeight="1" x14ac:dyDescent="0.35">
      <c r="O5136" s="9"/>
    </row>
    <row r="5137" spans="15:15" ht="31.4" customHeight="1" x14ac:dyDescent="0.35">
      <c r="O5137" s="9"/>
    </row>
    <row r="5138" spans="15:15" ht="31.4" customHeight="1" x14ac:dyDescent="0.35">
      <c r="O5138" s="9"/>
    </row>
    <row r="5139" spans="15:15" ht="31.4" customHeight="1" x14ac:dyDescent="0.35">
      <c r="O5139" s="9"/>
    </row>
    <row r="5140" spans="15:15" ht="31.4" customHeight="1" x14ac:dyDescent="0.35">
      <c r="O5140" s="9"/>
    </row>
    <row r="5141" spans="15:15" ht="31.4" customHeight="1" x14ac:dyDescent="0.35">
      <c r="O5141" s="9"/>
    </row>
    <row r="5142" spans="15:15" ht="31.4" customHeight="1" x14ac:dyDescent="0.35">
      <c r="O5142" s="9"/>
    </row>
    <row r="5143" spans="15:15" ht="31.4" customHeight="1" x14ac:dyDescent="0.35">
      <c r="O5143" s="9"/>
    </row>
    <row r="5144" spans="15:15" ht="31.4" customHeight="1" x14ac:dyDescent="0.35">
      <c r="O5144" s="9"/>
    </row>
    <row r="5145" spans="15:15" ht="31.4" customHeight="1" x14ac:dyDescent="0.35">
      <c r="O5145" s="9"/>
    </row>
    <row r="5146" spans="15:15" ht="31.4" customHeight="1" x14ac:dyDescent="0.35">
      <c r="O5146" s="9"/>
    </row>
    <row r="5147" spans="15:15" ht="31.4" customHeight="1" x14ac:dyDescent="0.35">
      <c r="O5147" s="9"/>
    </row>
    <row r="5148" spans="15:15" ht="31.4" customHeight="1" x14ac:dyDescent="0.35">
      <c r="O5148" s="9"/>
    </row>
    <row r="5149" spans="15:15" ht="31.4" customHeight="1" x14ac:dyDescent="0.35">
      <c r="O5149" s="9"/>
    </row>
    <row r="5150" spans="15:15" ht="31.4" customHeight="1" x14ac:dyDescent="0.35">
      <c r="O5150" s="9"/>
    </row>
    <row r="5151" spans="15:15" ht="31.4" customHeight="1" x14ac:dyDescent="0.35">
      <c r="O5151" s="9"/>
    </row>
    <row r="5152" spans="15:15" ht="31.4" customHeight="1" x14ac:dyDescent="0.35">
      <c r="O5152" s="9"/>
    </row>
    <row r="5153" spans="15:15" ht="31.4" customHeight="1" x14ac:dyDescent="0.35">
      <c r="O5153" s="9"/>
    </row>
    <row r="5154" spans="15:15" ht="31.4" customHeight="1" x14ac:dyDescent="0.35">
      <c r="O5154" s="9"/>
    </row>
    <row r="5155" spans="15:15" ht="31.4" customHeight="1" x14ac:dyDescent="0.35">
      <c r="O5155" s="9"/>
    </row>
    <row r="5156" spans="15:15" ht="31.4" customHeight="1" x14ac:dyDescent="0.35">
      <c r="O5156" s="9"/>
    </row>
    <row r="5157" spans="15:15" ht="31.4" customHeight="1" x14ac:dyDescent="0.35">
      <c r="O5157" s="9"/>
    </row>
    <row r="5158" spans="15:15" ht="31.4" customHeight="1" x14ac:dyDescent="0.35">
      <c r="O5158" s="9"/>
    </row>
    <row r="5159" spans="15:15" ht="31.4" customHeight="1" x14ac:dyDescent="0.35">
      <c r="O5159" s="9"/>
    </row>
    <row r="5160" spans="15:15" ht="31.4" customHeight="1" x14ac:dyDescent="0.35">
      <c r="O5160" s="9"/>
    </row>
    <row r="5161" spans="15:15" ht="31.4" customHeight="1" x14ac:dyDescent="0.35">
      <c r="O5161" s="9"/>
    </row>
    <row r="5162" spans="15:15" ht="31.4" customHeight="1" x14ac:dyDescent="0.35">
      <c r="O5162" s="9"/>
    </row>
    <row r="5163" spans="15:15" ht="31.4" customHeight="1" x14ac:dyDescent="0.35">
      <c r="O5163" s="9"/>
    </row>
    <row r="5164" spans="15:15" ht="31.4" customHeight="1" x14ac:dyDescent="0.35">
      <c r="O5164" s="9"/>
    </row>
    <row r="5165" spans="15:15" ht="31.4" customHeight="1" x14ac:dyDescent="0.35">
      <c r="O5165" s="9"/>
    </row>
    <row r="5166" spans="15:15" ht="31.4" customHeight="1" x14ac:dyDescent="0.35">
      <c r="O5166" s="9"/>
    </row>
    <row r="5167" spans="15:15" ht="31.4" customHeight="1" x14ac:dyDescent="0.35">
      <c r="O5167" s="9"/>
    </row>
    <row r="5168" spans="15:15" ht="31.4" customHeight="1" x14ac:dyDescent="0.35">
      <c r="O5168" s="9"/>
    </row>
    <row r="5169" spans="15:15" ht="31.4" customHeight="1" x14ac:dyDescent="0.35">
      <c r="O5169" s="9"/>
    </row>
    <row r="5170" spans="15:15" ht="31.4" customHeight="1" x14ac:dyDescent="0.35">
      <c r="O5170" s="9"/>
    </row>
    <row r="5171" spans="15:15" ht="31.4" customHeight="1" x14ac:dyDescent="0.35">
      <c r="O5171" s="9"/>
    </row>
    <row r="5172" spans="15:15" ht="31.4" customHeight="1" x14ac:dyDescent="0.35">
      <c r="O5172" s="9"/>
    </row>
    <row r="5173" spans="15:15" ht="31.4" customHeight="1" x14ac:dyDescent="0.35">
      <c r="O5173" s="9"/>
    </row>
    <row r="5174" spans="15:15" ht="31.4" customHeight="1" x14ac:dyDescent="0.35">
      <c r="O5174" s="9"/>
    </row>
    <row r="5175" spans="15:15" ht="31.4" customHeight="1" x14ac:dyDescent="0.35">
      <c r="O5175" s="9"/>
    </row>
    <row r="5176" spans="15:15" ht="31.4" customHeight="1" x14ac:dyDescent="0.35">
      <c r="O5176" s="9"/>
    </row>
    <row r="5177" spans="15:15" ht="31.4" customHeight="1" x14ac:dyDescent="0.35">
      <c r="O5177" s="9"/>
    </row>
    <row r="5178" spans="15:15" ht="31.4" customHeight="1" x14ac:dyDescent="0.35">
      <c r="O5178" s="9"/>
    </row>
    <row r="5179" spans="15:15" ht="31.4" customHeight="1" x14ac:dyDescent="0.35">
      <c r="O5179" s="9"/>
    </row>
    <row r="5180" spans="15:15" ht="31.4" customHeight="1" x14ac:dyDescent="0.35">
      <c r="O5180" s="9"/>
    </row>
    <row r="5181" spans="15:15" ht="31.4" customHeight="1" x14ac:dyDescent="0.35">
      <c r="O5181" s="9"/>
    </row>
    <row r="5182" spans="15:15" ht="31.4" customHeight="1" x14ac:dyDescent="0.35">
      <c r="O5182" s="9"/>
    </row>
    <row r="5183" spans="15:15" ht="31.4" customHeight="1" x14ac:dyDescent="0.35">
      <c r="O5183" s="9"/>
    </row>
    <row r="5184" spans="15:15" ht="31.4" customHeight="1" x14ac:dyDescent="0.35">
      <c r="O5184" s="9"/>
    </row>
    <row r="5185" spans="15:15" ht="31.4" customHeight="1" x14ac:dyDescent="0.35">
      <c r="O5185" s="9"/>
    </row>
    <row r="5186" spans="15:15" ht="31.4" customHeight="1" x14ac:dyDescent="0.35">
      <c r="O5186" s="9"/>
    </row>
    <row r="5187" spans="15:15" ht="31.4" customHeight="1" x14ac:dyDescent="0.35">
      <c r="O5187" s="9"/>
    </row>
    <row r="5188" spans="15:15" ht="31.4" customHeight="1" x14ac:dyDescent="0.35">
      <c r="O5188" s="9"/>
    </row>
    <row r="5189" spans="15:15" ht="31.4" customHeight="1" x14ac:dyDescent="0.35">
      <c r="O5189" s="9"/>
    </row>
    <row r="5190" spans="15:15" ht="31.4" customHeight="1" x14ac:dyDescent="0.35">
      <c r="O5190" s="9"/>
    </row>
    <row r="5191" spans="15:15" ht="31.4" customHeight="1" x14ac:dyDescent="0.35">
      <c r="O5191" s="9"/>
    </row>
    <row r="5192" spans="15:15" ht="31.4" customHeight="1" x14ac:dyDescent="0.35">
      <c r="O5192" s="9"/>
    </row>
    <row r="5193" spans="15:15" ht="31.4" customHeight="1" x14ac:dyDescent="0.35">
      <c r="O5193" s="9"/>
    </row>
    <row r="5194" spans="15:15" ht="31.4" customHeight="1" x14ac:dyDescent="0.35">
      <c r="O5194" s="9"/>
    </row>
    <row r="5195" spans="15:15" ht="31.4" customHeight="1" x14ac:dyDescent="0.35">
      <c r="O5195" s="9"/>
    </row>
    <row r="5196" spans="15:15" ht="31.4" customHeight="1" x14ac:dyDescent="0.35">
      <c r="O5196" s="9"/>
    </row>
    <row r="5197" spans="15:15" ht="31.4" customHeight="1" x14ac:dyDescent="0.35">
      <c r="O5197" s="9"/>
    </row>
    <row r="5198" spans="15:15" ht="31.4" customHeight="1" x14ac:dyDescent="0.35">
      <c r="O5198" s="9"/>
    </row>
    <row r="5199" spans="15:15" ht="31.4" customHeight="1" x14ac:dyDescent="0.35">
      <c r="O5199" s="9"/>
    </row>
    <row r="5200" spans="15:15" ht="31.4" customHeight="1" x14ac:dyDescent="0.35">
      <c r="O5200" s="9"/>
    </row>
    <row r="5201" spans="15:15" ht="31.4" customHeight="1" x14ac:dyDescent="0.35">
      <c r="O5201" s="9"/>
    </row>
    <row r="5202" spans="15:15" ht="31.4" customHeight="1" x14ac:dyDescent="0.35">
      <c r="O5202" s="9"/>
    </row>
    <row r="5203" spans="15:15" ht="31.4" customHeight="1" x14ac:dyDescent="0.35">
      <c r="O5203" s="9"/>
    </row>
    <row r="5204" spans="15:15" ht="31.4" customHeight="1" x14ac:dyDescent="0.35">
      <c r="O5204" s="9"/>
    </row>
    <row r="5205" spans="15:15" ht="31.4" customHeight="1" x14ac:dyDescent="0.35">
      <c r="O5205" s="9"/>
    </row>
    <row r="5206" spans="15:15" ht="31.4" customHeight="1" x14ac:dyDescent="0.35">
      <c r="O5206" s="9"/>
    </row>
    <row r="5207" spans="15:15" ht="31.4" customHeight="1" x14ac:dyDescent="0.35">
      <c r="O5207" s="9"/>
    </row>
    <row r="5208" spans="15:15" ht="31.4" customHeight="1" x14ac:dyDescent="0.35">
      <c r="O5208" s="9"/>
    </row>
    <row r="5209" spans="15:15" ht="31.4" customHeight="1" x14ac:dyDescent="0.35">
      <c r="O5209" s="9"/>
    </row>
    <row r="5210" spans="15:15" ht="31.4" customHeight="1" x14ac:dyDescent="0.35">
      <c r="O5210" s="9"/>
    </row>
    <row r="5211" spans="15:15" ht="31.4" customHeight="1" x14ac:dyDescent="0.35">
      <c r="O5211" s="9"/>
    </row>
    <row r="5212" spans="15:15" ht="31.4" customHeight="1" x14ac:dyDescent="0.35">
      <c r="O5212" s="9"/>
    </row>
    <row r="5213" spans="15:15" ht="31.4" customHeight="1" x14ac:dyDescent="0.35">
      <c r="O5213" s="9"/>
    </row>
    <row r="5214" spans="15:15" ht="31.4" customHeight="1" x14ac:dyDescent="0.35">
      <c r="O5214" s="9"/>
    </row>
    <row r="5215" spans="15:15" ht="31.4" customHeight="1" x14ac:dyDescent="0.35">
      <c r="O5215" s="9"/>
    </row>
    <row r="5216" spans="15:15" ht="31.4" customHeight="1" x14ac:dyDescent="0.35">
      <c r="O5216" s="9"/>
    </row>
    <row r="5217" spans="15:15" ht="31.4" customHeight="1" x14ac:dyDescent="0.35">
      <c r="O5217" s="9"/>
    </row>
    <row r="5218" spans="15:15" ht="31.4" customHeight="1" x14ac:dyDescent="0.35">
      <c r="O5218" s="9"/>
    </row>
    <row r="5219" spans="15:15" ht="31.4" customHeight="1" x14ac:dyDescent="0.35">
      <c r="O5219" s="9"/>
    </row>
    <row r="5220" spans="15:15" ht="31.4" customHeight="1" x14ac:dyDescent="0.35">
      <c r="O5220" s="9"/>
    </row>
    <row r="5221" spans="15:15" ht="31.4" customHeight="1" x14ac:dyDescent="0.35">
      <c r="O5221" s="9"/>
    </row>
    <row r="5222" spans="15:15" ht="31.4" customHeight="1" x14ac:dyDescent="0.35">
      <c r="O5222" s="9"/>
    </row>
    <row r="5223" spans="15:15" ht="31.4" customHeight="1" x14ac:dyDescent="0.35">
      <c r="O5223" s="9"/>
    </row>
    <row r="5224" spans="15:15" ht="31.4" customHeight="1" x14ac:dyDescent="0.35">
      <c r="O5224" s="9"/>
    </row>
    <row r="5225" spans="15:15" ht="31.4" customHeight="1" x14ac:dyDescent="0.35">
      <c r="O5225" s="9"/>
    </row>
    <row r="5226" spans="15:15" ht="31.4" customHeight="1" x14ac:dyDescent="0.35">
      <c r="O5226" s="9"/>
    </row>
    <row r="5227" spans="15:15" ht="31.4" customHeight="1" x14ac:dyDescent="0.35">
      <c r="O5227" s="9"/>
    </row>
    <row r="5228" spans="15:15" ht="31.4" customHeight="1" x14ac:dyDescent="0.35">
      <c r="O5228" s="9"/>
    </row>
    <row r="5229" spans="15:15" ht="31.4" customHeight="1" x14ac:dyDescent="0.35">
      <c r="O5229" s="9"/>
    </row>
    <row r="5230" spans="15:15" ht="31.4" customHeight="1" x14ac:dyDescent="0.35">
      <c r="O5230" s="9"/>
    </row>
    <row r="5231" spans="15:15" ht="31.4" customHeight="1" x14ac:dyDescent="0.35">
      <c r="O5231" s="9"/>
    </row>
    <row r="5232" spans="15:15" ht="31.4" customHeight="1" x14ac:dyDescent="0.35">
      <c r="O5232" s="9"/>
    </row>
    <row r="5233" spans="15:15" ht="31.4" customHeight="1" x14ac:dyDescent="0.35">
      <c r="O5233" s="9"/>
    </row>
    <row r="5234" spans="15:15" ht="31.4" customHeight="1" x14ac:dyDescent="0.35">
      <c r="O5234" s="9"/>
    </row>
    <row r="5235" spans="15:15" ht="31.4" customHeight="1" x14ac:dyDescent="0.35">
      <c r="O5235" s="9"/>
    </row>
    <row r="5236" spans="15:15" ht="31.4" customHeight="1" x14ac:dyDescent="0.35">
      <c r="O5236" s="9"/>
    </row>
    <row r="5237" spans="15:15" ht="31.4" customHeight="1" x14ac:dyDescent="0.35">
      <c r="O5237" s="9"/>
    </row>
    <row r="5238" spans="15:15" ht="31.4" customHeight="1" x14ac:dyDescent="0.35">
      <c r="O5238" s="9"/>
    </row>
    <row r="5239" spans="15:15" ht="31.4" customHeight="1" x14ac:dyDescent="0.35">
      <c r="O5239" s="9"/>
    </row>
    <row r="5240" spans="15:15" ht="31.4" customHeight="1" x14ac:dyDescent="0.35">
      <c r="O5240" s="9"/>
    </row>
    <row r="5241" spans="15:15" ht="31.4" customHeight="1" x14ac:dyDescent="0.35">
      <c r="O5241" s="9"/>
    </row>
    <row r="5242" spans="15:15" ht="31.4" customHeight="1" x14ac:dyDescent="0.35">
      <c r="O5242" s="9"/>
    </row>
    <row r="5243" spans="15:15" ht="31.4" customHeight="1" x14ac:dyDescent="0.35">
      <c r="O5243" s="9"/>
    </row>
    <row r="5244" spans="15:15" ht="31.4" customHeight="1" x14ac:dyDescent="0.35">
      <c r="O5244" s="9"/>
    </row>
    <row r="5245" spans="15:15" ht="31.4" customHeight="1" x14ac:dyDescent="0.35">
      <c r="O5245" s="9"/>
    </row>
    <row r="5246" spans="15:15" ht="31.4" customHeight="1" x14ac:dyDescent="0.35">
      <c r="O5246" s="9"/>
    </row>
    <row r="5247" spans="15:15" ht="31.4" customHeight="1" x14ac:dyDescent="0.35">
      <c r="O5247" s="9"/>
    </row>
    <row r="5248" spans="15:15" ht="31.4" customHeight="1" x14ac:dyDescent="0.35">
      <c r="O5248" s="9"/>
    </row>
    <row r="5249" spans="15:15" ht="31.4" customHeight="1" x14ac:dyDescent="0.35">
      <c r="O5249" s="9"/>
    </row>
    <row r="5250" spans="15:15" ht="31.4" customHeight="1" x14ac:dyDescent="0.35">
      <c r="O5250" s="9"/>
    </row>
    <row r="5251" spans="15:15" ht="31.4" customHeight="1" x14ac:dyDescent="0.35">
      <c r="O5251" s="9"/>
    </row>
    <row r="5252" spans="15:15" ht="31.4" customHeight="1" x14ac:dyDescent="0.35">
      <c r="O5252" s="9"/>
    </row>
    <row r="5253" spans="15:15" ht="31.4" customHeight="1" x14ac:dyDescent="0.35">
      <c r="O5253" s="9"/>
    </row>
    <row r="5254" spans="15:15" ht="31.4" customHeight="1" x14ac:dyDescent="0.35">
      <c r="O5254" s="9"/>
    </row>
    <row r="5255" spans="15:15" ht="31.4" customHeight="1" x14ac:dyDescent="0.35">
      <c r="O5255" s="9"/>
    </row>
    <row r="5256" spans="15:15" ht="31.4" customHeight="1" x14ac:dyDescent="0.35">
      <c r="O5256" s="9"/>
    </row>
    <row r="5257" spans="15:15" ht="31.4" customHeight="1" x14ac:dyDescent="0.35">
      <c r="O5257" s="9"/>
    </row>
    <row r="5258" spans="15:15" ht="31.4" customHeight="1" x14ac:dyDescent="0.35">
      <c r="O5258" s="9"/>
    </row>
    <row r="5259" spans="15:15" ht="31.4" customHeight="1" x14ac:dyDescent="0.35">
      <c r="O5259" s="9"/>
    </row>
    <row r="5260" spans="15:15" ht="31.4" customHeight="1" x14ac:dyDescent="0.35">
      <c r="O5260" s="9"/>
    </row>
    <row r="5261" spans="15:15" ht="31.4" customHeight="1" x14ac:dyDescent="0.35">
      <c r="O5261" s="9"/>
    </row>
    <row r="5262" spans="15:15" ht="31.4" customHeight="1" x14ac:dyDescent="0.35">
      <c r="O5262" s="9"/>
    </row>
    <row r="5263" spans="15:15" ht="31.4" customHeight="1" x14ac:dyDescent="0.35">
      <c r="O5263" s="9"/>
    </row>
    <row r="5264" spans="15:15" ht="31.4" customHeight="1" x14ac:dyDescent="0.35">
      <c r="O5264" s="9"/>
    </row>
    <row r="5265" spans="15:15" ht="31.4" customHeight="1" x14ac:dyDescent="0.35">
      <c r="O5265" s="9"/>
    </row>
    <row r="5266" spans="15:15" ht="31.4" customHeight="1" x14ac:dyDescent="0.35">
      <c r="O5266" s="9"/>
    </row>
    <row r="5267" spans="15:15" ht="31.4" customHeight="1" x14ac:dyDescent="0.35">
      <c r="O5267" s="9"/>
    </row>
    <row r="5268" spans="15:15" ht="31.4" customHeight="1" x14ac:dyDescent="0.35">
      <c r="O5268" s="9"/>
    </row>
    <row r="5269" spans="15:15" ht="31.4" customHeight="1" x14ac:dyDescent="0.35">
      <c r="O5269" s="9"/>
    </row>
    <row r="5270" spans="15:15" ht="31.4" customHeight="1" x14ac:dyDescent="0.35">
      <c r="O5270" s="9"/>
    </row>
    <row r="5271" spans="15:15" ht="31.4" customHeight="1" x14ac:dyDescent="0.35">
      <c r="O5271" s="9"/>
    </row>
    <row r="5272" spans="15:15" ht="31.4" customHeight="1" x14ac:dyDescent="0.35">
      <c r="O5272" s="9"/>
    </row>
    <row r="5273" spans="15:15" ht="31.4" customHeight="1" x14ac:dyDescent="0.35">
      <c r="O5273" s="9"/>
    </row>
    <row r="5274" spans="15:15" ht="31.4" customHeight="1" x14ac:dyDescent="0.35">
      <c r="O5274" s="9"/>
    </row>
    <row r="5275" spans="15:15" ht="31.4" customHeight="1" x14ac:dyDescent="0.35">
      <c r="O5275" s="9"/>
    </row>
    <row r="5276" spans="15:15" ht="31.4" customHeight="1" x14ac:dyDescent="0.35">
      <c r="O5276" s="9"/>
    </row>
    <row r="5277" spans="15:15" ht="31.4" customHeight="1" x14ac:dyDescent="0.35">
      <c r="O5277" s="9"/>
    </row>
    <row r="5278" spans="15:15" ht="31.4" customHeight="1" x14ac:dyDescent="0.35">
      <c r="O5278" s="9"/>
    </row>
    <row r="5279" spans="15:15" ht="31.4" customHeight="1" x14ac:dyDescent="0.35">
      <c r="O5279" s="9"/>
    </row>
    <row r="5280" spans="15:15" ht="31.4" customHeight="1" x14ac:dyDescent="0.35">
      <c r="O5280" s="9"/>
    </row>
    <row r="5281" spans="15:15" ht="31.4" customHeight="1" x14ac:dyDescent="0.35">
      <c r="O5281" s="9"/>
    </row>
    <row r="5282" spans="15:15" ht="31.4" customHeight="1" x14ac:dyDescent="0.35">
      <c r="O5282" s="9"/>
    </row>
    <row r="5283" spans="15:15" ht="31.4" customHeight="1" x14ac:dyDescent="0.35">
      <c r="O5283" s="9"/>
    </row>
    <row r="5284" spans="15:15" ht="31.4" customHeight="1" x14ac:dyDescent="0.35">
      <c r="O5284" s="9"/>
    </row>
    <row r="5285" spans="15:15" ht="31.4" customHeight="1" x14ac:dyDescent="0.35">
      <c r="O5285" s="9"/>
    </row>
    <row r="5286" spans="15:15" ht="31.4" customHeight="1" x14ac:dyDescent="0.35">
      <c r="O5286" s="9"/>
    </row>
    <row r="5287" spans="15:15" ht="31.4" customHeight="1" x14ac:dyDescent="0.35">
      <c r="O5287" s="9"/>
    </row>
    <row r="5288" spans="15:15" ht="31.4" customHeight="1" x14ac:dyDescent="0.35">
      <c r="O5288" s="9"/>
    </row>
    <row r="5289" spans="15:15" ht="31.4" customHeight="1" x14ac:dyDescent="0.35">
      <c r="O5289" s="9"/>
    </row>
    <row r="5290" spans="15:15" ht="31.4" customHeight="1" x14ac:dyDescent="0.35">
      <c r="O5290" s="9"/>
    </row>
    <row r="5291" spans="15:15" ht="31.4" customHeight="1" x14ac:dyDescent="0.35">
      <c r="O5291" s="9"/>
    </row>
    <row r="5292" spans="15:15" ht="31.4" customHeight="1" x14ac:dyDescent="0.35">
      <c r="O5292" s="9"/>
    </row>
    <row r="5293" spans="15:15" ht="31.4" customHeight="1" x14ac:dyDescent="0.35">
      <c r="O5293" s="9"/>
    </row>
    <row r="5294" spans="15:15" ht="31.4" customHeight="1" x14ac:dyDescent="0.35">
      <c r="O5294" s="9"/>
    </row>
    <row r="5295" spans="15:15" ht="31.4" customHeight="1" x14ac:dyDescent="0.35">
      <c r="O5295" s="9"/>
    </row>
    <row r="5296" spans="15:15" ht="31.4" customHeight="1" x14ac:dyDescent="0.35">
      <c r="O5296" s="9"/>
    </row>
    <row r="5297" spans="15:15" ht="31.4" customHeight="1" x14ac:dyDescent="0.35">
      <c r="O5297" s="9"/>
    </row>
    <row r="5298" spans="15:15" ht="31.4" customHeight="1" x14ac:dyDescent="0.35">
      <c r="O5298" s="9"/>
    </row>
    <row r="5299" spans="15:15" ht="31.4" customHeight="1" x14ac:dyDescent="0.35">
      <c r="O5299" s="9"/>
    </row>
    <row r="5300" spans="15:15" ht="31.4" customHeight="1" x14ac:dyDescent="0.35">
      <c r="O5300" s="9"/>
    </row>
    <row r="5301" spans="15:15" ht="31.4" customHeight="1" x14ac:dyDescent="0.35">
      <c r="O5301" s="9"/>
    </row>
    <row r="5302" spans="15:15" ht="31.4" customHeight="1" x14ac:dyDescent="0.35">
      <c r="O5302" s="9"/>
    </row>
    <row r="5303" spans="15:15" ht="31.4" customHeight="1" x14ac:dyDescent="0.35">
      <c r="O5303" s="9"/>
    </row>
    <row r="5304" spans="15:15" ht="31.4" customHeight="1" x14ac:dyDescent="0.35">
      <c r="O5304" s="9"/>
    </row>
    <row r="5305" spans="15:15" ht="31.4" customHeight="1" x14ac:dyDescent="0.35">
      <c r="O5305" s="9"/>
    </row>
    <row r="5306" spans="15:15" ht="31.4" customHeight="1" x14ac:dyDescent="0.35">
      <c r="O5306" s="9"/>
    </row>
    <row r="5307" spans="15:15" ht="31.4" customHeight="1" x14ac:dyDescent="0.35">
      <c r="O5307" s="9"/>
    </row>
    <row r="5308" spans="15:15" ht="31.4" customHeight="1" x14ac:dyDescent="0.35">
      <c r="O5308" s="9"/>
    </row>
    <row r="5309" spans="15:15" ht="31.4" customHeight="1" x14ac:dyDescent="0.35">
      <c r="O5309" s="9"/>
    </row>
    <row r="5310" spans="15:15" ht="31.4" customHeight="1" x14ac:dyDescent="0.35">
      <c r="O5310" s="9"/>
    </row>
    <row r="5311" spans="15:15" ht="31.4" customHeight="1" x14ac:dyDescent="0.35">
      <c r="O5311" s="9"/>
    </row>
    <row r="5312" spans="15:15" ht="31.4" customHeight="1" x14ac:dyDescent="0.35">
      <c r="O5312" s="9"/>
    </row>
    <row r="5313" spans="15:15" ht="31.4" customHeight="1" x14ac:dyDescent="0.35">
      <c r="O5313" s="9"/>
    </row>
    <row r="5314" spans="15:15" ht="31.4" customHeight="1" x14ac:dyDescent="0.35">
      <c r="O5314" s="9"/>
    </row>
    <row r="5315" spans="15:15" ht="31.4" customHeight="1" x14ac:dyDescent="0.35">
      <c r="O5315" s="9"/>
    </row>
    <row r="5316" spans="15:15" ht="31.4" customHeight="1" x14ac:dyDescent="0.35">
      <c r="O5316" s="9"/>
    </row>
    <row r="5317" spans="15:15" ht="31.4" customHeight="1" x14ac:dyDescent="0.35">
      <c r="O5317" s="9"/>
    </row>
    <row r="5318" spans="15:15" ht="31.4" customHeight="1" x14ac:dyDescent="0.35">
      <c r="O5318" s="9"/>
    </row>
    <row r="5319" spans="15:15" ht="31.4" customHeight="1" x14ac:dyDescent="0.35">
      <c r="O5319" s="9"/>
    </row>
    <row r="5320" spans="15:15" ht="31.4" customHeight="1" x14ac:dyDescent="0.35">
      <c r="O5320" s="9"/>
    </row>
    <row r="5321" spans="15:15" ht="31.4" customHeight="1" x14ac:dyDescent="0.35">
      <c r="O5321" s="9"/>
    </row>
    <row r="5322" spans="15:15" ht="31.4" customHeight="1" x14ac:dyDescent="0.35">
      <c r="O5322" s="9"/>
    </row>
    <row r="5323" spans="15:15" ht="31.4" customHeight="1" x14ac:dyDescent="0.35">
      <c r="O5323" s="9"/>
    </row>
    <row r="5324" spans="15:15" ht="31.4" customHeight="1" x14ac:dyDescent="0.35">
      <c r="O5324" s="9"/>
    </row>
    <row r="5325" spans="15:15" ht="31.4" customHeight="1" x14ac:dyDescent="0.35">
      <c r="O5325" s="9"/>
    </row>
    <row r="5326" spans="15:15" ht="31.4" customHeight="1" x14ac:dyDescent="0.35">
      <c r="O5326" s="9"/>
    </row>
    <row r="5327" spans="15:15" ht="31.4" customHeight="1" x14ac:dyDescent="0.35">
      <c r="O5327" s="9"/>
    </row>
    <row r="5328" spans="15:15" ht="31.4" customHeight="1" x14ac:dyDescent="0.35">
      <c r="O5328" s="9"/>
    </row>
    <row r="5329" spans="15:15" ht="31.4" customHeight="1" x14ac:dyDescent="0.35">
      <c r="O5329" s="9"/>
    </row>
    <row r="5330" spans="15:15" ht="31.4" customHeight="1" x14ac:dyDescent="0.35">
      <c r="O5330" s="9"/>
    </row>
    <row r="5331" spans="15:15" ht="31.4" customHeight="1" x14ac:dyDescent="0.35">
      <c r="O5331" s="9"/>
    </row>
    <row r="5332" spans="15:15" ht="31.4" customHeight="1" x14ac:dyDescent="0.35">
      <c r="O5332" s="9"/>
    </row>
    <row r="5333" spans="15:15" ht="31.4" customHeight="1" x14ac:dyDescent="0.35">
      <c r="O5333" s="9"/>
    </row>
    <row r="5334" spans="15:15" ht="31.4" customHeight="1" x14ac:dyDescent="0.35">
      <c r="O5334" s="9"/>
    </row>
    <row r="5335" spans="15:15" ht="31.4" customHeight="1" x14ac:dyDescent="0.35">
      <c r="O5335" s="9"/>
    </row>
    <row r="5336" spans="15:15" ht="31.4" customHeight="1" x14ac:dyDescent="0.35">
      <c r="O5336" s="9"/>
    </row>
    <row r="5337" spans="15:15" ht="31.4" customHeight="1" x14ac:dyDescent="0.35">
      <c r="O5337" s="9"/>
    </row>
    <row r="5338" spans="15:15" ht="31.4" customHeight="1" x14ac:dyDescent="0.35">
      <c r="O5338" s="9"/>
    </row>
    <row r="5339" spans="15:15" ht="31.4" customHeight="1" x14ac:dyDescent="0.35">
      <c r="O5339" s="9"/>
    </row>
    <row r="5340" spans="15:15" ht="31.4" customHeight="1" x14ac:dyDescent="0.35">
      <c r="O5340" s="9"/>
    </row>
    <row r="5341" spans="15:15" ht="31.4" customHeight="1" x14ac:dyDescent="0.35">
      <c r="O5341" s="9"/>
    </row>
    <row r="5342" spans="15:15" ht="31.4" customHeight="1" x14ac:dyDescent="0.35">
      <c r="O5342" s="9"/>
    </row>
    <row r="5343" spans="15:15" ht="31.4" customHeight="1" x14ac:dyDescent="0.35">
      <c r="O5343" s="9"/>
    </row>
    <row r="5344" spans="15:15" ht="31.4" customHeight="1" x14ac:dyDescent="0.35">
      <c r="O5344" s="9"/>
    </row>
    <row r="5345" spans="15:15" ht="31.4" customHeight="1" x14ac:dyDescent="0.35">
      <c r="O5345" s="9"/>
    </row>
    <row r="5346" spans="15:15" ht="31.4" customHeight="1" x14ac:dyDescent="0.35">
      <c r="O5346" s="9"/>
    </row>
    <row r="5347" spans="15:15" ht="31.4" customHeight="1" x14ac:dyDescent="0.35">
      <c r="O5347" s="9"/>
    </row>
    <row r="5348" spans="15:15" ht="31.4" customHeight="1" x14ac:dyDescent="0.35">
      <c r="O5348" s="9"/>
    </row>
    <row r="5349" spans="15:15" ht="31.4" customHeight="1" x14ac:dyDescent="0.35">
      <c r="O5349" s="9"/>
    </row>
    <row r="5350" spans="15:15" ht="31.4" customHeight="1" x14ac:dyDescent="0.35">
      <c r="O5350" s="9"/>
    </row>
    <row r="5351" spans="15:15" ht="31.4" customHeight="1" x14ac:dyDescent="0.35">
      <c r="O5351" s="9"/>
    </row>
    <row r="5352" spans="15:15" ht="31.4" customHeight="1" x14ac:dyDescent="0.35">
      <c r="O5352" s="9"/>
    </row>
    <row r="5353" spans="15:15" ht="31.4" customHeight="1" x14ac:dyDescent="0.35">
      <c r="O5353" s="9"/>
    </row>
    <row r="5354" spans="15:15" ht="31.4" customHeight="1" x14ac:dyDescent="0.35">
      <c r="O5354" s="9"/>
    </row>
    <row r="5355" spans="15:15" ht="31.4" customHeight="1" x14ac:dyDescent="0.35">
      <c r="O5355" s="9"/>
    </row>
    <row r="5356" spans="15:15" ht="31.4" customHeight="1" x14ac:dyDescent="0.35">
      <c r="O5356" s="9"/>
    </row>
    <row r="5357" spans="15:15" ht="31.4" customHeight="1" x14ac:dyDescent="0.35">
      <c r="O5357" s="9"/>
    </row>
    <row r="5358" spans="15:15" ht="31.4" customHeight="1" x14ac:dyDescent="0.35">
      <c r="O5358" s="9"/>
    </row>
    <row r="5359" spans="15:15" ht="31.4" customHeight="1" x14ac:dyDescent="0.35">
      <c r="O5359" s="9"/>
    </row>
    <row r="5360" spans="15:15" ht="31.4" customHeight="1" x14ac:dyDescent="0.35">
      <c r="O5360" s="9"/>
    </row>
    <row r="5361" spans="15:15" ht="31.4" customHeight="1" x14ac:dyDescent="0.35">
      <c r="O5361" s="9"/>
    </row>
    <row r="5362" spans="15:15" ht="31.4" customHeight="1" x14ac:dyDescent="0.35">
      <c r="O5362" s="9"/>
    </row>
    <row r="5363" spans="15:15" ht="31.4" customHeight="1" x14ac:dyDescent="0.35">
      <c r="O5363" s="9"/>
    </row>
    <row r="5364" spans="15:15" ht="31.4" customHeight="1" x14ac:dyDescent="0.35">
      <c r="O5364" s="9"/>
    </row>
    <row r="5365" spans="15:15" ht="31.4" customHeight="1" x14ac:dyDescent="0.35">
      <c r="O5365" s="9"/>
    </row>
    <row r="5366" spans="15:15" ht="31.4" customHeight="1" x14ac:dyDescent="0.35">
      <c r="O5366" s="9"/>
    </row>
    <row r="5367" spans="15:15" ht="31.4" customHeight="1" x14ac:dyDescent="0.35">
      <c r="O5367" s="9"/>
    </row>
    <row r="5368" spans="15:15" ht="31.4" customHeight="1" x14ac:dyDescent="0.35">
      <c r="O5368" s="9"/>
    </row>
    <row r="5369" spans="15:15" ht="31.4" customHeight="1" x14ac:dyDescent="0.35">
      <c r="O5369" s="9"/>
    </row>
    <row r="5370" spans="15:15" ht="31.4" customHeight="1" x14ac:dyDescent="0.35">
      <c r="O5370" s="9"/>
    </row>
    <row r="5371" spans="15:15" ht="31.4" customHeight="1" x14ac:dyDescent="0.35">
      <c r="O5371" s="9"/>
    </row>
    <row r="5372" spans="15:15" ht="31.4" customHeight="1" x14ac:dyDescent="0.35">
      <c r="O5372" s="9"/>
    </row>
    <row r="5373" spans="15:15" ht="31.4" customHeight="1" x14ac:dyDescent="0.35">
      <c r="O5373" s="9"/>
    </row>
    <row r="5374" spans="15:15" ht="31.4" customHeight="1" x14ac:dyDescent="0.35">
      <c r="O5374" s="9"/>
    </row>
    <row r="5375" spans="15:15" ht="31.4" customHeight="1" x14ac:dyDescent="0.35">
      <c r="O5375" s="9"/>
    </row>
    <row r="5376" spans="15:15" ht="31.4" customHeight="1" x14ac:dyDescent="0.35">
      <c r="O5376" s="9"/>
    </row>
    <row r="5377" spans="15:15" ht="31.4" customHeight="1" x14ac:dyDescent="0.35">
      <c r="O5377" s="9"/>
    </row>
    <row r="5378" spans="15:15" ht="31.4" customHeight="1" x14ac:dyDescent="0.35">
      <c r="O5378" s="9"/>
    </row>
    <row r="5379" spans="15:15" ht="31.4" customHeight="1" x14ac:dyDescent="0.35">
      <c r="O5379" s="9"/>
    </row>
    <row r="5380" spans="15:15" ht="31.4" customHeight="1" x14ac:dyDescent="0.35">
      <c r="O5380" s="9"/>
    </row>
    <row r="5381" spans="15:15" ht="31.4" customHeight="1" x14ac:dyDescent="0.35">
      <c r="O5381" s="9"/>
    </row>
    <row r="5382" spans="15:15" ht="31.4" customHeight="1" x14ac:dyDescent="0.35">
      <c r="O5382" s="9"/>
    </row>
    <row r="5383" spans="15:15" ht="31.4" customHeight="1" x14ac:dyDescent="0.35">
      <c r="O5383" s="9"/>
    </row>
    <row r="5384" spans="15:15" ht="31.4" customHeight="1" x14ac:dyDescent="0.35">
      <c r="O5384" s="9"/>
    </row>
    <row r="5385" spans="15:15" ht="31.4" customHeight="1" x14ac:dyDescent="0.35">
      <c r="O5385" s="9"/>
    </row>
    <row r="5386" spans="15:15" ht="31.4" customHeight="1" x14ac:dyDescent="0.35">
      <c r="O5386" s="9"/>
    </row>
    <row r="5387" spans="15:15" ht="31.4" customHeight="1" x14ac:dyDescent="0.35">
      <c r="O5387" s="9"/>
    </row>
    <row r="5388" spans="15:15" ht="31.4" customHeight="1" x14ac:dyDescent="0.35">
      <c r="O5388" s="9"/>
    </row>
    <row r="5389" spans="15:15" ht="31.4" customHeight="1" x14ac:dyDescent="0.35">
      <c r="O5389" s="9"/>
    </row>
    <row r="5390" spans="15:15" ht="31.4" customHeight="1" x14ac:dyDescent="0.35">
      <c r="O5390" s="9"/>
    </row>
    <row r="5391" spans="15:15" ht="31.4" customHeight="1" x14ac:dyDescent="0.35">
      <c r="O5391" s="9"/>
    </row>
    <row r="5392" spans="15:15" ht="31.4" customHeight="1" x14ac:dyDescent="0.35">
      <c r="O5392" s="9"/>
    </row>
    <row r="5393" spans="15:15" ht="31.4" customHeight="1" x14ac:dyDescent="0.35">
      <c r="O5393" s="9"/>
    </row>
    <row r="5394" spans="15:15" ht="31.4" customHeight="1" x14ac:dyDescent="0.35">
      <c r="O5394" s="9"/>
    </row>
    <row r="5395" spans="15:15" ht="31.4" customHeight="1" x14ac:dyDescent="0.35">
      <c r="O5395" s="9"/>
    </row>
    <row r="5396" spans="15:15" ht="31.4" customHeight="1" x14ac:dyDescent="0.35">
      <c r="O5396" s="9"/>
    </row>
    <row r="5397" spans="15:15" ht="31.4" customHeight="1" x14ac:dyDescent="0.35">
      <c r="O5397" s="9"/>
    </row>
    <row r="5398" spans="15:15" ht="31.4" customHeight="1" x14ac:dyDescent="0.35">
      <c r="O5398" s="9"/>
    </row>
    <row r="5399" spans="15:15" ht="31.4" customHeight="1" x14ac:dyDescent="0.35">
      <c r="O5399" s="9"/>
    </row>
    <row r="5400" spans="15:15" ht="31.4" customHeight="1" x14ac:dyDescent="0.35">
      <c r="O5400" s="9"/>
    </row>
    <row r="5401" spans="15:15" ht="31.4" customHeight="1" x14ac:dyDescent="0.35">
      <c r="O5401" s="9"/>
    </row>
    <row r="5402" spans="15:15" ht="31.4" customHeight="1" x14ac:dyDescent="0.35">
      <c r="O5402" s="9"/>
    </row>
    <row r="5403" spans="15:15" ht="31.4" customHeight="1" x14ac:dyDescent="0.35">
      <c r="O5403" s="9"/>
    </row>
    <row r="5404" spans="15:15" ht="31.4" customHeight="1" x14ac:dyDescent="0.35">
      <c r="O5404" s="9"/>
    </row>
    <row r="5405" spans="15:15" ht="31.4" customHeight="1" x14ac:dyDescent="0.35">
      <c r="O5405" s="9"/>
    </row>
    <row r="5406" spans="15:15" ht="31.4" customHeight="1" x14ac:dyDescent="0.35">
      <c r="O5406" s="9"/>
    </row>
    <row r="5407" spans="15:15" ht="31.4" customHeight="1" x14ac:dyDescent="0.35">
      <c r="O5407" s="9"/>
    </row>
    <row r="5408" spans="15:15" ht="31.4" customHeight="1" x14ac:dyDescent="0.35">
      <c r="O5408" s="9"/>
    </row>
    <row r="5409" spans="15:15" ht="31.4" customHeight="1" x14ac:dyDescent="0.35">
      <c r="O5409" s="9"/>
    </row>
    <row r="5410" spans="15:15" ht="31.4" customHeight="1" x14ac:dyDescent="0.35">
      <c r="O5410" s="9"/>
    </row>
    <row r="5411" spans="15:15" ht="31.4" customHeight="1" x14ac:dyDescent="0.35">
      <c r="O5411" s="9"/>
    </row>
    <row r="5412" spans="15:15" ht="31.4" customHeight="1" x14ac:dyDescent="0.35">
      <c r="O5412" s="9"/>
    </row>
    <row r="5413" spans="15:15" ht="31.4" customHeight="1" x14ac:dyDescent="0.35">
      <c r="O5413" s="9"/>
    </row>
    <row r="5414" spans="15:15" ht="31.4" customHeight="1" x14ac:dyDescent="0.35">
      <c r="O5414" s="9"/>
    </row>
    <row r="5415" spans="15:15" ht="31.4" customHeight="1" x14ac:dyDescent="0.35">
      <c r="O5415" s="9"/>
    </row>
    <row r="5416" spans="15:15" ht="31.4" customHeight="1" x14ac:dyDescent="0.35">
      <c r="O5416" s="9"/>
    </row>
    <row r="5417" spans="15:15" ht="31.4" customHeight="1" x14ac:dyDescent="0.35">
      <c r="O5417" s="9"/>
    </row>
    <row r="5418" spans="15:15" ht="31.4" customHeight="1" x14ac:dyDescent="0.35">
      <c r="O5418" s="9"/>
    </row>
    <row r="5419" spans="15:15" ht="31.4" customHeight="1" x14ac:dyDescent="0.35">
      <c r="O5419" s="9"/>
    </row>
    <row r="5420" spans="15:15" ht="31.4" customHeight="1" x14ac:dyDescent="0.35">
      <c r="O5420" s="9"/>
    </row>
    <row r="5421" spans="15:15" ht="31.4" customHeight="1" x14ac:dyDescent="0.35">
      <c r="O5421" s="9"/>
    </row>
    <row r="5422" spans="15:15" ht="31.4" customHeight="1" x14ac:dyDescent="0.35">
      <c r="O5422" s="9"/>
    </row>
    <row r="5423" spans="15:15" ht="31.4" customHeight="1" x14ac:dyDescent="0.35">
      <c r="O5423" s="9"/>
    </row>
    <row r="5424" spans="15:15" ht="31.4" customHeight="1" x14ac:dyDescent="0.35">
      <c r="O5424" s="9"/>
    </row>
    <row r="5425" spans="15:15" ht="31.4" customHeight="1" x14ac:dyDescent="0.35">
      <c r="O5425" s="9"/>
    </row>
    <row r="5426" spans="15:15" ht="31.4" customHeight="1" x14ac:dyDescent="0.35">
      <c r="O5426" s="9"/>
    </row>
    <row r="5427" spans="15:15" ht="31.4" customHeight="1" x14ac:dyDescent="0.35">
      <c r="O5427" s="9"/>
    </row>
    <row r="5428" spans="15:15" ht="31.4" customHeight="1" x14ac:dyDescent="0.35">
      <c r="O5428" s="9"/>
    </row>
    <row r="5429" spans="15:15" ht="31.4" customHeight="1" x14ac:dyDescent="0.35">
      <c r="O5429" s="9"/>
    </row>
    <row r="5430" spans="15:15" ht="31.4" customHeight="1" x14ac:dyDescent="0.35">
      <c r="O5430" s="9"/>
    </row>
    <row r="5431" spans="15:15" ht="31.4" customHeight="1" x14ac:dyDescent="0.35">
      <c r="O5431" s="9"/>
    </row>
    <row r="5432" spans="15:15" ht="31.4" customHeight="1" x14ac:dyDescent="0.35">
      <c r="O5432" s="9"/>
    </row>
    <row r="5433" spans="15:15" ht="31.4" customHeight="1" x14ac:dyDescent="0.35">
      <c r="O5433" s="9"/>
    </row>
    <row r="5434" spans="15:15" ht="31.4" customHeight="1" x14ac:dyDescent="0.35">
      <c r="O5434" s="9"/>
    </row>
    <row r="5435" spans="15:15" ht="31.4" customHeight="1" x14ac:dyDescent="0.35">
      <c r="O5435" s="9"/>
    </row>
    <row r="5436" spans="15:15" ht="31.4" customHeight="1" x14ac:dyDescent="0.35">
      <c r="O5436" s="9"/>
    </row>
    <row r="5437" spans="15:15" ht="31.4" customHeight="1" x14ac:dyDescent="0.35">
      <c r="O5437" s="9"/>
    </row>
    <row r="5438" spans="15:15" ht="31.4" customHeight="1" x14ac:dyDescent="0.35">
      <c r="O5438" s="9"/>
    </row>
    <row r="5439" spans="15:15" ht="31.4" customHeight="1" x14ac:dyDescent="0.35">
      <c r="O5439" s="9"/>
    </row>
    <row r="5440" spans="15:15" ht="31.4" customHeight="1" x14ac:dyDescent="0.35">
      <c r="O5440" s="9"/>
    </row>
    <row r="5441" spans="15:15" ht="31.4" customHeight="1" x14ac:dyDescent="0.35">
      <c r="O5441" s="9"/>
    </row>
    <row r="5442" spans="15:15" ht="31.4" customHeight="1" x14ac:dyDescent="0.35">
      <c r="O5442" s="9"/>
    </row>
    <row r="5443" spans="15:15" ht="31.4" customHeight="1" x14ac:dyDescent="0.35">
      <c r="O5443" s="9"/>
    </row>
    <row r="5444" spans="15:15" ht="31.4" customHeight="1" x14ac:dyDescent="0.35">
      <c r="O5444" s="9"/>
    </row>
    <row r="5445" spans="15:15" ht="31.4" customHeight="1" x14ac:dyDescent="0.35">
      <c r="O5445" s="9"/>
    </row>
    <row r="5446" spans="15:15" ht="31.4" customHeight="1" x14ac:dyDescent="0.35">
      <c r="O5446" s="9"/>
    </row>
    <row r="5447" spans="15:15" ht="31.4" customHeight="1" x14ac:dyDescent="0.35">
      <c r="O5447" s="9"/>
    </row>
    <row r="5448" spans="15:15" ht="31.4" customHeight="1" x14ac:dyDescent="0.35">
      <c r="O5448" s="9"/>
    </row>
    <row r="5449" spans="15:15" ht="31.4" customHeight="1" x14ac:dyDescent="0.35">
      <c r="O5449" s="9"/>
    </row>
    <row r="5450" spans="15:15" ht="31.4" customHeight="1" x14ac:dyDescent="0.35">
      <c r="O5450" s="9"/>
    </row>
    <row r="5451" spans="15:15" ht="31.4" customHeight="1" x14ac:dyDescent="0.35">
      <c r="O5451" s="9"/>
    </row>
    <row r="5452" spans="15:15" ht="31.4" customHeight="1" x14ac:dyDescent="0.35">
      <c r="O5452" s="9"/>
    </row>
    <row r="5453" spans="15:15" ht="31.4" customHeight="1" x14ac:dyDescent="0.35">
      <c r="O5453" s="9"/>
    </row>
    <row r="5454" spans="15:15" ht="31.4" customHeight="1" x14ac:dyDescent="0.35">
      <c r="O5454" s="9"/>
    </row>
    <row r="5455" spans="15:15" ht="31.4" customHeight="1" x14ac:dyDescent="0.35">
      <c r="O5455" s="9"/>
    </row>
    <row r="5456" spans="15:15" ht="31.4" customHeight="1" x14ac:dyDescent="0.35">
      <c r="O5456" s="9"/>
    </row>
    <row r="5457" spans="15:15" ht="31.4" customHeight="1" x14ac:dyDescent="0.35">
      <c r="O5457" s="9"/>
    </row>
    <row r="5458" spans="15:15" ht="31.4" customHeight="1" x14ac:dyDescent="0.35">
      <c r="O5458" s="9"/>
    </row>
    <row r="5459" spans="15:15" ht="31.4" customHeight="1" x14ac:dyDescent="0.35">
      <c r="O5459" s="9"/>
    </row>
    <row r="5460" spans="15:15" ht="31.4" customHeight="1" x14ac:dyDescent="0.35">
      <c r="O5460" s="9"/>
    </row>
    <row r="5461" spans="15:15" ht="31.4" customHeight="1" x14ac:dyDescent="0.35">
      <c r="O5461" s="9"/>
    </row>
    <row r="5462" spans="15:15" ht="31.4" customHeight="1" x14ac:dyDescent="0.35">
      <c r="O5462" s="9"/>
    </row>
    <row r="5463" spans="15:15" ht="31.4" customHeight="1" x14ac:dyDescent="0.35">
      <c r="O5463" s="9"/>
    </row>
    <row r="5464" spans="15:15" ht="31.4" customHeight="1" x14ac:dyDescent="0.35">
      <c r="O5464" s="9"/>
    </row>
    <row r="5465" spans="15:15" ht="31.4" customHeight="1" x14ac:dyDescent="0.35">
      <c r="O5465" s="9"/>
    </row>
    <row r="5466" spans="15:15" ht="31.4" customHeight="1" x14ac:dyDescent="0.35">
      <c r="O5466" s="9"/>
    </row>
    <row r="5467" spans="15:15" ht="31.4" customHeight="1" x14ac:dyDescent="0.35">
      <c r="O5467" s="9"/>
    </row>
    <row r="5468" spans="15:15" ht="31.4" customHeight="1" x14ac:dyDescent="0.35">
      <c r="O5468" s="9"/>
    </row>
    <row r="5469" spans="15:15" ht="31.4" customHeight="1" x14ac:dyDescent="0.35">
      <c r="O5469" s="9"/>
    </row>
    <row r="5470" spans="15:15" ht="31.4" customHeight="1" x14ac:dyDescent="0.35">
      <c r="O5470" s="9"/>
    </row>
    <row r="5471" spans="15:15" ht="31.4" customHeight="1" x14ac:dyDescent="0.35">
      <c r="O5471" s="9"/>
    </row>
    <row r="5472" spans="15:15" ht="31.4" customHeight="1" x14ac:dyDescent="0.35">
      <c r="O5472" s="9"/>
    </row>
    <row r="5473" spans="15:15" ht="31.4" customHeight="1" x14ac:dyDescent="0.35">
      <c r="O5473" s="9"/>
    </row>
    <row r="5474" spans="15:15" ht="31.4" customHeight="1" x14ac:dyDescent="0.35">
      <c r="O5474" s="9"/>
    </row>
    <row r="5475" spans="15:15" ht="31.4" customHeight="1" x14ac:dyDescent="0.35">
      <c r="O5475" s="9"/>
    </row>
    <row r="5476" spans="15:15" ht="31.4" customHeight="1" x14ac:dyDescent="0.35">
      <c r="O5476" s="9"/>
    </row>
    <row r="5477" spans="15:15" ht="31.4" customHeight="1" x14ac:dyDescent="0.35">
      <c r="O5477" s="9"/>
    </row>
    <row r="5478" spans="15:15" ht="31.4" customHeight="1" x14ac:dyDescent="0.35">
      <c r="O5478" s="9"/>
    </row>
    <row r="5479" spans="15:15" ht="31.4" customHeight="1" x14ac:dyDescent="0.35">
      <c r="O5479" s="9"/>
    </row>
    <row r="5480" spans="15:15" ht="31.4" customHeight="1" x14ac:dyDescent="0.35">
      <c r="O5480" s="9"/>
    </row>
    <row r="5481" spans="15:15" ht="31.4" customHeight="1" x14ac:dyDescent="0.35">
      <c r="O5481" s="9"/>
    </row>
    <row r="5482" spans="15:15" ht="31.4" customHeight="1" x14ac:dyDescent="0.35">
      <c r="O5482" s="9"/>
    </row>
    <row r="5483" spans="15:15" ht="31.4" customHeight="1" x14ac:dyDescent="0.35">
      <c r="O5483" s="9"/>
    </row>
    <row r="5484" spans="15:15" ht="31.4" customHeight="1" x14ac:dyDescent="0.35">
      <c r="O5484" s="9"/>
    </row>
    <row r="5485" spans="15:15" ht="31.4" customHeight="1" x14ac:dyDescent="0.35">
      <c r="O5485" s="9"/>
    </row>
    <row r="5486" spans="15:15" ht="31.4" customHeight="1" x14ac:dyDescent="0.35">
      <c r="O5486" s="9"/>
    </row>
    <row r="5487" spans="15:15" ht="31.4" customHeight="1" x14ac:dyDescent="0.35">
      <c r="O5487" s="9"/>
    </row>
    <row r="5488" spans="15:15" ht="31.4" customHeight="1" x14ac:dyDescent="0.35">
      <c r="O5488" s="9"/>
    </row>
    <row r="5489" spans="15:15" ht="31.4" customHeight="1" x14ac:dyDescent="0.35">
      <c r="O5489" s="9"/>
    </row>
    <row r="5490" spans="15:15" ht="31.4" customHeight="1" x14ac:dyDescent="0.35">
      <c r="O5490" s="9"/>
    </row>
    <row r="5491" spans="15:15" ht="31.4" customHeight="1" x14ac:dyDescent="0.35">
      <c r="O5491" s="9"/>
    </row>
    <row r="5492" spans="15:15" ht="31.4" customHeight="1" x14ac:dyDescent="0.35">
      <c r="O5492" s="9"/>
    </row>
    <row r="5493" spans="15:15" ht="31.4" customHeight="1" x14ac:dyDescent="0.35">
      <c r="O5493" s="9"/>
    </row>
    <row r="5494" spans="15:15" ht="31.4" customHeight="1" x14ac:dyDescent="0.35">
      <c r="O5494" s="9"/>
    </row>
    <row r="5495" spans="15:15" ht="31.4" customHeight="1" x14ac:dyDescent="0.35">
      <c r="O5495" s="9"/>
    </row>
    <row r="5496" spans="15:15" ht="31.4" customHeight="1" x14ac:dyDescent="0.35">
      <c r="O5496" s="9"/>
    </row>
    <row r="5497" spans="15:15" ht="31.4" customHeight="1" x14ac:dyDescent="0.35">
      <c r="O5497" s="9"/>
    </row>
    <row r="5498" spans="15:15" ht="31.4" customHeight="1" x14ac:dyDescent="0.35">
      <c r="O5498" s="9"/>
    </row>
    <row r="5499" spans="15:15" ht="31.4" customHeight="1" x14ac:dyDescent="0.35">
      <c r="O5499" s="9"/>
    </row>
    <row r="5500" spans="15:15" ht="31.4" customHeight="1" x14ac:dyDescent="0.35">
      <c r="O5500" s="9"/>
    </row>
    <row r="5501" spans="15:15" ht="31.4" customHeight="1" x14ac:dyDescent="0.35">
      <c r="O5501" s="9"/>
    </row>
    <row r="5502" spans="15:15" ht="31.4" customHeight="1" x14ac:dyDescent="0.35">
      <c r="O5502" s="9"/>
    </row>
    <row r="5503" spans="15:15" ht="31.4" customHeight="1" x14ac:dyDescent="0.35">
      <c r="O5503" s="9"/>
    </row>
    <row r="5504" spans="15:15" ht="31.4" customHeight="1" x14ac:dyDescent="0.35">
      <c r="O5504" s="9"/>
    </row>
    <row r="5505" spans="15:15" ht="31.4" customHeight="1" x14ac:dyDescent="0.35">
      <c r="O5505" s="9"/>
    </row>
    <row r="5506" spans="15:15" ht="31.4" customHeight="1" x14ac:dyDescent="0.35">
      <c r="O5506" s="9"/>
    </row>
    <row r="5507" spans="15:15" ht="31.4" customHeight="1" x14ac:dyDescent="0.35">
      <c r="O5507" s="9"/>
    </row>
    <row r="5508" spans="15:15" ht="31.4" customHeight="1" x14ac:dyDescent="0.35">
      <c r="O5508" s="9"/>
    </row>
    <row r="5509" spans="15:15" ht="31.4" customHeight="1" x14ac:dyDescent="0.35">
      <c r="O5509" s="9"/>
    </row>
    <row r="5510" spans="15:15" ht="31.4" customHeight="1" x14ac:dyDescent="0.35">
      <c r="O5510" s="9"/>
    </row>
    <row r="5511" spans="15:15" ht="31.4" customHeight="1" x14ac:dyDescent="0.35">
      <c r="O5511" s="9"/>
    </row>
    <row r="5512" spans="15:15" ht="31.4" customHeight="1" x14ac:dyDescent="0.35">
      <c r="O5512" s="9"/>
    </row>
    <row r="5513" spans="15:15" ht="31.4" customHeight="1" x14ac:dyDescent="0.35">
      <c r="O5513" s="9"/>
    </row>
    <row r="5514" spans="15:15" ht="31.4" customHeight="1" x14ac:dyDescent="0.35">
      <c r="O5514" s="9"/>
    </row>
    <row r="5515" spans="15:15" ht="31.4" customHeight="1" x14ac:dyDescent="0.35">
      <c r="O5515" s="9"/>
    </row>
    <row r="5516" spans="15:15" ht="31.4" customHeight="1" x14ac:dyDescent="0.35">
      <c r="O5516" s="9"/>
    </row>
    <row r="5517" spans="15:15" ht="31.4" customHeight="1" x14ac:dyDescent="0.35">
      <c r="O5517" s="9"/>
    </row>
    <row r="5518" spans="15:15" ht="31.4" customHeight="1" x14ac:dyDescent="0.35">
      <c r="O5518" s="9"/>
    </row>
    <row r="5519" spans="15:15" ht="31.4" customHeight="1" x14ac:dyDescent="0.35">
      <c r="O5519" s="9"/>
    </row>
    <row r="5520" spans="15:15" ht="31.4" customHeight="1" x14ac:dyDescent="0.35">
      <c r="O5520" s="9"/>
    </row>
    <row r="5521" spans="15:15" ht="31.4" customHeight="1" x14ac:dyDescent="0.35">
      <c r="O5521" s="9"/>
    </row>
    <row r="5522" spans="15:15" ht="31.4" customHeight="1" x14ac:dyDescent="0.35">
      <c r="O5522" s="9"/>
    </row>
    <row r="5523" spans="15:15" ht="31.4" customHeight="1" x14ac:dyDescent="0.35">
      <c r="O5523" s="9"/>
    </row>
    <row r="5524" spans="15:15" ht="31.4" customHeight="1" x14ac:dyDescent="0.35">
      <c r="O5524" s="9"/>
    </row>
    <row r="5525" spans="15:15" ht="31.4" customHeight="1" x14ac:dyDescent="0.35">
      <c r="O5525" s="9"/>
    </row>
    <row r="5526" spans="15:15" ht="31.4" customHeight="1" x14ac:dyDescent="0.35">
      <c r="O5526" s="9"/>
    </row>
    <row r="5527" spans="15:15" ht="31.4" customHeight="1" x14ac:dyDescent="0.35">
      <c r="O5527" s="9"/>
    </row>
    <row r="5528" spans="15:15" ht="31.4" customHeight="1" x14ac:dyDescent="0.35">
      <c r="O5528" s="9"/>
    </row>
    <row r="5529" spans="15:15" ht="31.4" customHeight="1" x14ac:dyDescent="0.35">
      <c r="O5529" s="9"/>
    </row>
    <row r="5530" spans="15:15" ht="31.4" customHeight="1" x14ac:dyDescent="0.35">
      <c r="O5530" s="9"/>
    </row>
    <row r="5531" spans="15:15" ht="31.4" customHeight="1" x14ac:dyDescent="0.35">
      <c r="O5531" s="9"/>
    </row>
    <row r="5532" spans="15:15" ht="31.4" customHeight="1" x14ac:dyDescent="0.35">
      <c r="O5532" s="9"/>
    </row>
    <row r="5533" spans="15:15" ht="31.4" customHeight="1" x14ac:dyDescent="0.35">
      <c r="O5533" s="9"/>
    </row>
    <row r="5534" spans="15:15" ht="31.4" customHeight="1" x14ac:dyDescent="0.35">
      <c r="O5534" s="9"/>
    </row>
    <row r="5535" spans="15:15" ht="31.4" customHeight="1" x14ac:dyDescent="0.35">
      <c r="O5535" s="9"/>
    </row>
    <row r="5536" spans="15:15" ht="31.4" customHeight="1" x14ac:dyDescent="0.35">
      <c r="O5536" s="9"/>
    </row>
    <row r="5537" spans="15:15" ht="31.4" customHeight="1" x14ac:dyDescent="0.35">
      <c r="O5537" s="9"/>
    </row>
    <row r="5538" spans="15:15" ht="31.4" customHeight="1" x14ac:dyDescent="0.35">
      <c r="O5538" s="9"/>
    </row>
    <row r="5539" spans="15:15" ht="31.4" customHeight="1" x14ac:dyDescent="0.35">
      <c r="O5539" s="9"/>
    </row>
    <row r="5540" spans="15:15" ht="31.4" customHeight="1" x14ac:dyDescent="0.35">
      <c r="O5540" s="9"/>
    </row>
    <row r="5541" spans="15:15" ht="31.4" customHeight="1" x14ac:dyDescent="0.35">
      <c r="O5541" s="9"/>
    </row>
    <row r="5542" spans="15:15" ht="31.4" customHeight="1" x14ac:dyDescent="0.35">
      <c r="O5542" s="9"/>
    </row>
    <row r="5543" spans="15:15" ht="31.4" customHeight="1" x14ac:dyDescent="0.35">
      <c r="O5543" s="9"/>
    </row>
    <row r="5544" spans="15:15" ht="31.4" customHeight="1" x14ac:dyDescent="0.35">
      <c r="O5544" s="9"/>
    </row>
    <row r="5545" spans="15:15" ht="31.4" customHeight="1" x14ac:dyDescent="0.35">
      <c r="O5545" s="9"/>
    </row>
    <row r="5546" spans="15:15" ht="31.4" customHeight="1" x14ac:dyDescent="0.35">
      <c r="O5546" s="9"/>
    </row>
    <row r="5547" spans="15:15" ht="31.4" customHeight="1" x14ac:dyDescent="0.35">
      <c r="O5547" s="9"/>
    </row>
    <row r="5548" spans="15:15" ht="31.4" customHeight="1" x14ac:dyDescent="0.35">
      <c r="O5548" s="9"/>
    </row>
    <row r="5549" spans="15:15" ht="31.4" customHeight="1" x14ac:dyDescent="0.35">
      <c r="O5549" s="9"/>
    </row>
    <row r="5550" spans="15:15" ht="31.4" customHeight="1" x14ac:dyDescent="0.35">
      <c r="O5550" s="9"/>
    </row>
    <row r="5551" spans="15:15" ht="31.4" customHeight="1" x14ac:dyDescent="0.35">
      <c r="O5551" s="9"/>
    </row>
    <row r="5552" spans="15:15" ht="31.4" customHeight="1" x14ac:dyDescent="0.35">
      <c r="O5552" s="9"/>
    </row>
    <row r="5553" spans="15:15" ht="31.4" customHeight="1" x14ac:dyDescent="0.35">
      <c r="O5553" s="9"/>
    </row>
    <row r="5554" spans="15:15" ht="31.4" customHeight="1" x14ac:dyDescent="0.35">
      <c r="O5554" s="9"/>
    </row>
    <row r="5555" spans="15:15" ht="31.4" customHeight="1" x14ac:dyDescent="0.35">
      <c r="O5555" s="9"/>
    </row>
    <row r="5556" spans="15:15" ht="31.4" customHeight="1" x14ac:dyDescent="0.35">
      <c r="O5556" s="9"/>
    </row>
    <row r="5557" spans="15:15" ht="31.4" customHeight="1" x14ac:dyDescent="0.35">
      <c r="O5557" s="9"/>
    </row>
    <row r="5558" spans="15:15" ht="31.4" customHeight="1" x14ac:dyDescent="0.35">
      <c r="O5558" s="9"/>
    </row>
    <row r="5559" spans="15:15" ht="31.4" customHeight="1" x14ac:dyDescent="0.35">
      <c r="O5559" s="9"/>
    </row>
    <row r="5560" spans="15:15" ht="31.4" customHeight="1" x14ac:dyDescent="0.35">
      <c r="O5560" s="9"/>
    </row>
    <row r="5561" spans="15:15" ht="31.4" customHeight="1" x14ac:dyDescent="0.35">
      <c r="O5561" s="9"/>
    </row>
    <row r="5562" spans="15:15" ht="31.4" customHeight="1" x14ac:dyDescent="0.35">
      <c r="O5562" s="9"/>
    </row>
    <row r="5563" spans="15:15" ht="31.4" customHeight="1" x14ac:dyDescent="0.35">
      <c r="O5563" s="9"/>
    </row>
    <row r="5564" spans="15:15" ht="31.4" customHeight="1" x14ac:dyDescent="0.35">
      <c r="O5564" s="9"/>
    </row>
    <row r="5565" spans="15:15" ht="31.4" customHeight="1" x14ac:dyDescent="0.35">
      <c r="O5565" s="9"/>
    </row>
    <row r="5566" spans="15:15" ht="31.4" customHeight="1" x14ac:dyDescent="0.35">
      <c r="O5566" s="9"/>
    </row>
    <row r="5567" spans="15:15" ht="31.4" customHeight="1" x14ac:dyDescent="0.35">
      <c r="O5567" s="9"/>
    </row>
    <row r="5568" spans="15:15" ht="31.4" customHeight="1" x14ac:dyDescent="0.35">
      <c r="O5568" s="9"/>
    </row>
    <row r="5569" spans="15:15" ht="31.4" customHeight="1" x14ac:dyDescent="0.35">
      <c r="O5569" s="9"/>
    </row>
    <row r="5570" spans="15:15" ht="31.4" customHeight="1" x14ac:dyDescent="0.35">
      <c r="O5570" s="9"/>
    </row>
    <row r="5571" spans="15:15" ht="31.4" customHeight="1" x14ac:dyDescent="0.35">
      <c r="O5571" s="9"/>
    </row>
    <row r="5572" spans="15:15" ht="31.4" customHeight="1" x14ac:dyDescent="0.35">
      <c r="O5572" s="9"/>
    </row>
    <row r="5573" spans="15:15" ht="31.4" customHeight="1" x14ac:dyDescent="0.35">
      <c r="O5573" s="9"/>
    </row>
    <row r="5574" spans="15:15" ht="31.4" customHeight="1" x14ac:dyDescent="0.35">
      <c r="O5574" s="9"/>
    </row>
    <row r="5575" spans="15:15" ht="31.4" customHeight="1" x14ac:dyDescent="0.35">
      <c r="O5575" s="9"/>
    </row>
    <row r="5576" spans="15:15" ht="31.4" customHeight="1" x14ac:dyDescent="0.35">
      <c r="O5576" s="9"/>
    </row>
    <row r="5577" spans="15:15" ht="31.4" customHeight="1" x14ac:dyDescent="0.35">
      <c r="O5577" s="9"/>
    </row>
    <row r="5578" spans="15:15" ht="31.4" customHeight="1" x14ac:dyDescent="0.35">
      <c r="O5578" s="9"/>
    </row>
    <row r="5579" spans="15:15" ht="31.4" customHeight="1" x14ac:dyDescent="0.35">
      <c r="O5579" s="9"/>
    </row>
    <row r="5580" spans="15:15" ht="31.4" customHeight="1" x14ac:dyDescent="0.35">
      <c r="O5580" s="9"/>
    </row>
    <row r="5581" spans="15:15" ht="31.4" customHeight="1" x14ac:dyDescent="0.35">
      <c r="O5581" s="9"/>
    </row>
    <row r="5582" spans="15:15" ht="31.4" customHeight="1" x14ac:dyDescent="0.35">
      <c r="O5582" s="9"/>
    </row>
    <row r="5583" spans="15:15" ht="31.4" customHeight="1" x14ac:dyDescent="0.35">
      <c r="O5583" s="9"/>
    </row>
    <row r="5584" spans="15:15" ht="31.4" customHeight="1" x14ac:dyDescent="0.35">
      <c r="O5584" s="9"/>
    </row>
    <row r="5585" spans="15:15" ht="31.4" customHeight="1" x14ac:dyDescent="0.35">
      <c r="O5585" s="9"/>
    </row>
    <row r="5586" spans="15:15" ht="31.4" customHeight="1" x14ac:dyDescent="0.35">
      <c r="O5586" s="9"/>
    </row>
    <row r="5587" spans="15:15" ht="31.4" customHeight="1" x14ac:dyDescent="0.35">
      <c r="O5587" s="9"/>
    </row>
    <row r="5588" spans="15:15" ht="31.4" customHeight="1" x14ac:dyDescent="0.35">
      <c r="O5588" s="9"/>
    </row>
    <row r="5589" spans="15:15" ht="31.4" customHeight="1" x14ac:dyDescent="0.35">
      <c r="O5589" s="9"/>
    </row>
    <row r="5590" spans="15:15" ht="31.4" customHeight="1" x14ac:dyDescent="0.35">
      <c r="O5590" s="9"/>
    </row>
    <row r="5591" spans="15:15" ht="31.4" customHeight="1" x14ac:dyDescent="0.35">
      <c r="O5591" s="9"/>
    </row>
    <row r="5592" spans="15:15" ht="31.4" customHeight="1" x14ac:dyDescent="0.35">
      <c r="O5592" s="9"/>
    </row>
    <row r="5593" spans="15:15" ht="31.4" customHeight="1" x14ac:dyDescent="0.35">
      <c r="O5593" s="9"/>
    </row>
    <row r="5594" spans="15:15" ht="31.4" customHeight="1" x14ac:dyDescent="0.35">
      <c r="O5594" s="9"/>
    </row>
    <row r="5595" spans="15:15" ht="31.4" customHeight="1" x14ac:dyDescent="0.35">
      <c r="O5595" s="9"/>
    </row>
    <row r="5596" spans="15:15" ht="31.4" customHeight="1" x14ac:dyDescent="0.35">
      <c r="O5596" s="9"/>
    </row>
    <row r="5597" spans="15:15" ht="31.4" customHeight="1" x14ac:dyDescent="0.35">
      <c r="O5597" s="9"/>
    </row>
    <row r="5598" spans="15:15" ht="31.4" customHeight="1" x14ac:dyDescent="0.35">
      <c r="O5598" s="9"/>
    </row>
    <row r="5599" spans="15:15" ht="31.4" customHeight="1" x14ac:dyDescent="0.35">
      <c r="O5599" s="9"/>
    </row>
    <row r="5600" spans="15:15" ht="31.4" customHeight="1" x14ac:dyDescent="0.35">
      <c r="O5600" s="9"/>
    </row>
    <row r="5601" spans="15:15" ht="31.4" customHeight="1" x14ac:dyDescent="0.35">
      <c r="O5601" s="9"/>
    </row>
    <row r="5602" spans="15:15" ht="31.4" customHeight="1" x14ac:dyDescent="0.35">
      <c r="O5602" s="9"/>
    </row>
    <row r="5603" spans="15:15" ht="31.4" customHeight="1" x14ac:dyDescent="0.35">
      <c r="O5603" s="9"/>
    </row>
    <row r="5604" spans="15:15" ht="31.4" customHeight="1" x14ac:dyDescent="0.35">
      <c r="O5604" s="9"/>
    </row>
    <row r="5605" spans="15:15" ht="31.4" customHeight="1" x14ac:dyDescent="0.35">
      <c r="O5605" s="9"/>
    </row>
    <row r="5606" spans="15:15" ht="31.4" customHeight="1" x14ac:dyDescent="0.35">
      <c r="O5606" s="9"/>
    </row>
    <row r="5607" spans="15:15" ht="31.4" customHeight="1" x14ac:dyDescent="0.35">
      <c r="O5607" s="9"/>
    </row>
    <row r="5608" spans="15:15" ht="31.4" customHeight="1" x14ac:dyDescent="0.35">
      <c r="O5608" s="9"/>
    </row>
    <row r="5609" spans="15:15" ht="31.4" customHeight="1" x14ac:dyDescent="0.35">
      <c r="O5609" s="9"/>
    </row>
    <row r="5610" spans="15:15" ht="31.4" customHeight="1" x14ac:dyDescent="0.35">
      <c r="O5610" s="9"/>
    </row>
    <row r="5611" spans="15:15" ht="31.4" customHeight="1" x14ac:dyDescent="0.35">
      <c r="O5611" s="9"/>
    </row>
    <row r="5612" spans="15:15" ht="31.4" customHeight="1" x14ac:dyDescent="0.35">
      <c r="O5612" s="9"/>
    </row>
    <row r="5613" spans="15:15" ht="31.4" customHeight="1" x14ac:dyDescent="0.35">
      <c r="O5613" s="9"/>
    </row>
    <row r="5614" spans="15:15" ht="31.4" customHeight="1" x14ac:dyDescent="0.35">
      <c r="O5614" s="9"/>
    </row>
    <row r="5615" spans="15:15" ht="31.4" customHeight="1" x14ac:dyDescent="0.35">
      <c r="O5615" s="9"/>
    </row>
    <row r="5616" spans="15:15" ht="31.4" customHeight="1" x14ac:dyDescent="0.35">
      <c r="O5616" s="9"/>
    </row>
    <row r="5617" spans="15:15" ht="31.4" customHeight="1" x14ac:dyDescent="0.35">
      <c r="O5617" s="9"/>
    </row>
    <row r="5618" spans="15:15" ht="31.4" customHeight="1" x14ac:dyDescent="0.35">
      <c r="O5618" s="9"/>
    </row>
    <row r="5619" spans="15:15" ht="31.4" customHeight="1" x14ac:dyDescent="0.35">
      <c r="O5619" s="9"/>
    </row>
    <row r="5620" spans="15:15" ht="31.4" customHeight="1" x14ac:dyDescent="0.35">
      <c r="O5620" s="9"/>
    </row>
    <row r="5621" spans="15:15" ht="31.4" customHeight="1" x14ac:dyDescent="0.35">
      <c r="O5621" s="9"/>
    </row>
    <row r="5622" spans="15:15" ht="31.4" customHeight="1" x14ac:dyDescent="0.35">
      <c r="O5622" s="9"/>
    </row>
    <row r="5623" spans="15:15" ht="31.4" customHeight="1" x14ac:dyDescent="0.35">
      <c r="O5623" s="9"/>
    </row>
    <row r="5624" spans="15:15" ht="31.4" customHeight="1" x14ac:dyDescent="0.35">
      <c r="O5624" s="9"/>
    </row>
    <row r="5625" spans="15:15" ht="31.4" customHeight="1" x14ac:dyDescent="0.35">
      <c r="O5625" s="9"/>
    </row>
    <row r="5626" spans="15:15" ht="31.4" customHeight="1" x14ac:dyDescent="0.35">
      <c r="O5626" s="9"/>
    </row>
    <row r="5627" spans="15:15" ht="31.4" customHeight="1" x14ac:dyDescent="0.35">
      <c r="O5627" s="9"/>
    </row>
    <row r="5628" spans="15:15" ht="31.4" customHeight="1" x14ac:dyDescent="0.35">
      <c r="O5628" s="9"/>
    </row>
    <row r="5629" spans="15:15" ht="31.4" customHeight="1" x14ac:dyDescent="0.35">
      <c r="O5629" s="9"/>
    </row>
    <row r="5630" spans="15:15" ht="31.4" customHeight="1" x14ac:dyDescent="0.35">
      <c r="O5630" s="9"/>
    </row>
    <row r="5631" spans="15:15" ht="31.4" customHeight="1" x14ac:dyDescent="0.35">
      <c r="O5631" s="9"/>
    </row>
    <row r="5632" spans="15:15" ht="31.4" customHeight="1" x14ac:dyDescent="0.35">
      <c r="O5632" s="9"/>
    </row>
    <row r="5633" spans="15:15" ht="31.4" customHeight="1" x14ac:dyDescent="0.35">
      <c r="O5633" s="9"/>
    </row>
    <row r="5634" spans="15:15" ht="31.4" customHeight="1" x14ac:dyDescent="0.35">
      <c r="O5634" s="9"/>
    </row>
    <row r="5635" spans="15:15" ht="31.4" customHeight="1" x14ac:dyDescent="0.35">
      <c r="O5635" s="9"/>
    </row>
    <row r="5636" spans="15:15" ht="31.4" customHeight="1" x14ac:dyDescent="0.35">
      <c r="O5636" s="9"/>
    </row>
    <row r="5637" spans="15:15" ht="31.4" customHeight="1" x14ac:dyDescent="0.35">
      <c r="O5637" s="9"/>
    </row>
    <row r="5638" spans="15:15" ht="31.4" customHeight="1" x14ac:dyDescent="0.35">
      <c r="O5638" s="9"/>
    </row>
    <row r="5639" spans="15:15" ht="31.4" customHeight="1" x14ac:dyDescent="0.35">
      <c r="O5639" s="9"/>
    </row>
    <row r="5640" spans="15:15" ht="31.4" customHeight="1" x14ac:dyDescent="0.35">
      <c r="O5640" s="9"/>
    </row>
    <row r="5641" spans="15:15" ht="31.4" customHeight="1" x14ac:dyDescent="0.35">
      <c r="O5641" s="9"/>
    </row>
    <row r="5642" spans="15:15" ht="31.4" customHeight="1" x14ac:dyDescent="0.35">
      <c r="O5642" s="9"/>
    </row>
    <row r="5643" spans="15:15" ht="31.4" customHeight="1" x14ac:dyDescent="0.35">
      <c r="O5643" s="9"/>
    </row>
    <row r="5644" spans="15:15" ht="31.4" customHeight="1" x14ac:dyDescent="0.35">
      <c r="O5644" s="9"/>
    </row>
    <row r="5645" spans="15:15" ht="31.4" customHeight="1" x14ac:dyDescent="0.35">
      <c r="O5645" s="9"/>
    </row>
    <row r="5646" spans="15:15" ht="31.4" customHeight="1" x14ac:dyDescent="0.35">
      <c r="O5646" s="9"/>
    </row>
    <row r="5647" spans="15:15" ht="31.4" customHeight="1" x14ac:dyDescent="0.35">
      <c r="O5647" s="9"/>
    </row>
    <row r="5648" spans="15:15" ht="31.4" customHeight="1" x14ac:dyDescent="0.35">
      <c r="O5648" s="9"/>
    </row>
    <row r="5649" spans="15:15" ht="31.4" customHeight="1" x14ac:dyDescent="0.35">
      <c r="O5649" s="9"/>
    </row>
    <row r="5650" spans="15:15" ht="31.4" customHeight="1" x14ac:dyDescent="0.35">
      <c r="O5650" s="9"/>
    </row>
    <row r="5651" spans="15:15" ht="31.4" customHeight="1" x14ac:dyDescent="0.35">
      <c r="O5651" s="9"/>
    </row>
    <row r="5652" spans="15:15" ht="31.4" customHeight="1" x14ac:dyDescent="0.35">
      <c r="O5652" s="9"/>
    </row>
    <row r="5653" spans="15:15" ht="31.4" customHeight="1" x14ac:dyDescent="0.35">
      <c r="O5653" s="9"/>
    </row>
    <row r="5654" spans="15:15" ht="31.4" customHeight="1" x14ac:dyDescent="0.35">
      <c r="O5654" s="9"/>
    </row>
    <row r="5655" spans="15:15" ht="31.4" customHeight="1" x14ac:dyDescent="0.35">
      <c r="O5655" s="9"/>
    </row>
    <row r="5656" spans="15:15" ht="31.4" customHeight="1" x14ac:dyDescent="0.35">
      <c r="O5656" s="9"/>
    </row>
    <row r="5657" spans="15:15" ht="31.4" customHeight="1" x14ac:dyDescent="0.35">
      <c r="O5657" s="9"/>
    </row>
    <row r="5658" spans="15:15" ht="31.4" customHeight="1" x14ac:dyDescent="0.35">
      <c r="O5658" s="9"/>
    </row>
    <row r="5659" spans="15:15" ht="31.4" customHeight="1" x14ac:dyDescent="0.35">
      <c r="O5659" s="9"/>
    </row>
    <row r="5660" spans="15:15" ht="31.4" customHeight="1" x14ac:dyDescent="0.35">
      <c r="O5660" s="9"/>
    </row>
    <row r="5661" spans="15:15" ht="31.4" customHeight="1" x14ac:dyDescent="0.35">
      <c r="O5661" s="9"/>
    </row>
    <row r="5662" spans="15:15" ht="31.4" customHeight="1" x14ac:dyDescent="0.35">
      <c r="O5662" s="9"/>
    </row>
    <row r="5663" spans="15:15" ht="31.4" customHeight="1" x14ac:dyDescent="0.35">
      <c r="O5663" s="9"/>
    </row>
    <row r="5664" spans="15:15" ht="31.4" customHeight="1" x14ac:dyDescent="0.35">
      <c r="O5664" s="9"/>
    </row>
    <row r="5665" spans="15:15" ht="31.4" customHeight="1" x14ac:dyDescent="0.35">
      <c r="O5665" s="9"/>
    </row>
    <row r="5666" spans="15:15" ht="31.4" customHeight="1" x14ac:dyDescent="0.35">
      <c r="O5666" s="9"/>
    </row>
    <row r="5667" spans="15:15" ht="31.4" customHeight="1" x14ac:dyDescent="0.35">
      <c r="O5667" s="9"/>
    </row>
    <row r="5668" spans="15:15" ht="31.4" customHeight="1" x14ac:dyDescent="0.35">
      <c r="O5668" s="9"/>
    </row>
    <row r="5669" spans="15:15" ht="31.4" customHeight="1" x14ac:dyDescent="0.35">
      <c r="O5669" s="9"/>
    </row>
    <row r="5670" spans="15:15" ht="31.4" customHeight="1" x14ac:dyDescent="0.35">
      <c r="O5670" s="9"/>
    </row>
    <row r="5671" spans="15:15" ht="31.4" customHeight="1" x14ac:dyDescent="0.35">
      <c r="O5671" s="9"/>
    </row>
    <row r="5672" spans="15:15" ht="31.4" customHeight="1" x14ac:dyDescent="0.35">
      <c r="O5672" s="9"/>
    </row>
    <row r="5673" spans="15:15" ht="31.4" customHeight="1" x14ac:dyDescent="0.35">
      <c r="O5673" s="9"/>
    </row>
    <row r="5674" spans="15:15" ht="31.4" customHeight="1" x14ac:dyDescent="0.35">
      <c r="O5674" s="9"/>
    </row>
    <row r="5675" spans="15:15" ht="31.4" customHeight="1" x14ac:dyDescent="0.35">
      <c r="O5675" s="9"/>
    </row>
    <row r="5676" spans="15:15" ht="31.4" customHeight="1" x14ac:dyDescent="0.35">
      <c r="O5676" s="9"/>
    </row>
    <row r="5677" spans="15:15" ht="31.4" customHeight="1" x14ac:dyDescent="0.35">
      <c r="O5677" s="9"/>
    </row>
    <row r="5678" spans="15:15" ht="31.4" customHeight="1" x14ac:dyDescent="0.35">
      <c r="O5678" s="9"/>
    </row>
    <row r="5679" spans="15:15" ht="31.4" customHeight="1" x14ac:dyDescent="0.35">
      <c r="O5679" s="9"/>
    </row>
    <row r="5680" spans="15:15" ht="31.4" customHeight="1" x14ac:dyDescent="0.35">
      <c r="O5680" s="9"/>
    </row>
    <row r="5681" spans="15:15" ht="31.4" customHeight="1" x14ac:dyDescent="0.35">
      <c r="O5681" s="9"/>
    </row>
    <row r="5682" spans="15:15" ht="31.4" customHeight="1" x14ac:dyDescent="0.35">
      <c r="O5682" s="9"/>
    </row>
    <row r="5683" spans="15:15" ht="31.4" customHeight="1" x14ac:dyDescent="0.35">
      <c r="O5683" s="9"/>
    </row>
    <row r="5684" spans="15:15" ht="31.4" customHeight="1" x14ac:dyDescent="0.35">
      <c r="O5684" s="9"/>
    </row>
    <row r="5685" spans="15:15" ht="31.4" customHeight="1" x14ac:dyDescent="0.35">
      <c r="O5685" s="9"/>
    </row>
    <row r="5686" spans="15:15" ht="31.4" customHeight="1" x14ac:dyDescent="0.35">
      <c r="O5686" s="9"/>
    </row>
    <row r="5687" spans="15:15" ht="31.4" customHeight="1" x14ac:dyDescent="0.35">
      <c r="O5687" s="9"/>
    </row>
    <row r="5688" spans="15:15" ht="31.4" customHeight="1" x14ac:dyDescent="0.35">
      <c r="O5688" s="9"/>
    </row>
    <row r="5689" spans="15:15" ht="31.4" customHeight="1" x14ac:dyDescent="0.35">
      <c r="O5689" s="9"/>
    </row>
    <row r="5690" spans="15:15" ht="31.4" customHeight="1" x14ac:dyDescent="0.35">
      <c r="O5690" s="9"/>
    </row>
    <row r="5691" spans="15:15" ht="31.4" customHeight="1" x14ac:dyDescent="0.35">
      <c r="O5691" s="9"/>
    </row>
    <row r="5692" spans="15:15" ht="31.4" customHeight="1" x14ac:dyDescent="0.35">
      <c r="O5692" s="9"/>
    </row>
    <row r="5693" spans="15:15" ht="31.4" customHeight="1" x14ac:dyDescent="0.35">
      <c r="O5693" s="9"/>
    </row>
    <row r="5694" spans="15:15" ht="31.4" customHeight="1" x14ac:dyDescent="0.35">
      <c r="O5694" s="9"/>
    </row>
    <row r="5695" spans="15:15" ht="31.4" customHeight="1" x14ac:dyDescent="0.35">
      <c r="O5695" s="9"/>
    </row>
    <row r="5696" spans="15:15" ht="31.4" customHeight="1" x14ac:dyDescent="0.35">
      <c r="O5696" s="9"/>
    </row>
    <row r="5697" spans="15:15" ht="31.4" customHeight="1" x14ac:dyDescent="0.35">
      <c r="O5697" s="9"/>
    </row>
    <row r="5698" spans="15:15" ht="31.4" customHeight="1" x14ac:dyDescent="0.35">
      <c r="O5698" s="9"/>
    </row>
    <row r="5699" spans="15:15" ht="31.4" customHeight="1" x14ac:dyDescent="0.35">
      <c r="O5699" s="9"/>
    </row>
    <row r="5700" spans="15:15" ht="31.4" customHeight="1" x14ac:dyDescent="0.35">
      <c r="O5700" s="9"/>
    </row>
    <row r="5701" spans="15:15" ht="31.4" customHeight="1" x14ac:dyDescent="0.35">
      <c r="O5701" s="9"/>
    </row>
    <row r="5702" spans="15:15" ht="31.4" customHeight="1" x14ac:dyDescent="0.35">
      <c r="O5702" s="9"/>
    </row>
    <row r="5703" spans="15:15" ht="31.4" customHeight="1" x14ac:dyDescent="0.35">
      <c r="O5703" s="9"/>
    </row>
    <row r="5704" spans="15:15" ht="31.4" customHeight="1" x14ac:dyDescent="0.35">
      <c r="O5704" s="9"/>
    </row>
    <row r="5705" spans="15:15" ht="31.4" customHeight="1" x14ac:dyDescent="0.35">
      <c r="O5705" s="9"/>
    </row>
    <row r="5706" spans="15:15" ht="31.4" customHeight="1" x14ac:dyDescent="0.35">
      <c r="O5706" s="9"/>
    </row>
    <row r="5707" spans="15:15" ht="31.4" customHeight="1" x14ac:dyDescent="0.35">
      <c r="O5707" s="9"/>
    </row>
    <row r="5708" spans="15:15" ht="31.4" customHeight="1" x14ac:dyDescent="0.35">
      <c r="O5708" s="9"/>
    </row>
    <row r="5709" spans="15:15" ht="31.4" customHeight="1" x14ac:dyDescent="0.35">
      <c r="O5709" s="9"/>
    </row>
    <row r="5710" spans="15:15" ht="31.4" customHeight="1" x14ac:dyDescent="0.35">
      <c r="O5710" s="9"/>
    </row>
    <row r="5711" spans="15:15" ht="31.4" customHeight="1" x14ac:dyDescent="0.35">
      <c r="O5711" s="9"/>
    </row>
    <row r="5712" spans="15:15" ht="31.4" customHeight="1" x14ac:dyDescent="0.35">
      <c r="O5712" s="9"/>
    </row>
    <row r="5713" spans="15:15" ht="31.4" customHeight="1" x14ac:dyDescent="0.35">
      <c r="O5713" s="9"/>
    </row>
    <row r="5714" spans="15:15" ht="31.4" customHeight="1" x14ac:dyDescent="0.35">
      <c r="O5714" s="9"/>
    </row>
    <row r="5715" spans="15:15" ht="31.4" customHeight="1" x14ac:dyDescent="0.35">
      <c r="O5715" s="9"/>
    </row>
    <row r="5716" spans="15:15" ht="31.4" customHeight="1" x14ac:dyDescent="0.35">
      <c r="O5716" s="9"/>
    </row>
    <row r="5717" spans="15:15" ht="31.4" customHeight="1" x14ac:dyDescent="0.35">
      <c r="O5717" s="9"/>
    </row>
    <row r="5718" spans="15:15" ht="31.4" customHeight="1" x14ac:dyDescent="0.35">
      <c r="O5718" s="9"/>
    </row>
    <row r="5719" spans="15:15" ht="31.4" customHeight="1" x14ac:dyDescent="0.35">
      <c r="O5719" s="9"/>
    </row>
    <row r="5720" spans="15:15" ht="31.4" customHeight="1" x14ac:dyDescent="0.35">
      <c r="O5720" s="9"/>
    </row>
    <row r="5721" spans="15:15" ht="31.4" customHeight="1" x14ac:dyDescent="0.35">
      <c r="O5721" s="9"/>
    </row>
    <row r="5722" spans="15:15" ht="31.4" customHeight="1" x14ac:dyDescent="0.35">
      <c r="O5722" s="9"/>
    </row>
    <row r="5723" spans="15:15" ht="31.4" customHeight="1" x14ac:dyDescent="0.35">
      <c r="O5723" s="9"/>
    </row>
    <row r="5724" spans="15:15" ht="31.4" customHeight="1" x14ac:dyDescent="0.35">
      <c r="O5724" s="9"/>
    </row>
    <row r="5725" spans="15:15" ht="31.4" customHeight="1" x14ac:dyDescent="0.35">
      <c r="O5725" s="9"/>
    </row>
    <row r="5726" spans="15:15" ht="31.4" customHeight="1" x14ac:dyDescent="0.35">
      <c r="O5726" s="9"/>
    </row>
    <row r="5727" spans="15:15" ht="31.4" customHeight="1" x14ac:dyDescent="0.35">
      <c r="O5727" s="9"/>
    </row>
    <row r="5728" spans="15:15" ht="31.4" customHeight="1" x14ac:dyDescent="0.35">
      <c r="O5728" s="9"/>
    </row>
    <row r="5729" spans="15:15" ht="31.4" customHeight="1" x14ac:dyDescent="0.35">
      <c r="O5729" s="9"/>
    </row>
    <row r="5730" spans="15:15" ht="31.4" customHeight="1" x14ac:dyDescent="0.35">
      <c r="O5730" s="9"/>
    </row>
    <row r="5731" spans="15:15" ht="31.4" customHeight="1" x14ac:dyDescent="0.35">
      <c r="O5731" s="9"/>
    </row>
    <row r="5732" spans="15:15" ht="31.4" customHeight="1" x14ac:dyDescent="0.35">
      <c r="O5732" s="9"/>
    </row>
    <row r="5733" spans="15:15" ht="31.4" customHeight="1" x14ac:dyDescent="0.35">
      <c r="O5733" s="9"/>
    </row>
    <row r="5734" spans="15:15" ht="31.4" customHeight="1" x14ac:dyDescent="0.35">
      <c r="O5734" s="9"/>
    </row>
    <row r="5735" spans="15:15" ht="31.4" customHeight="1" x14ac:dyDescent="0.35">
      <c r="O5735" s="9"/>
    </row>
    <row r="5736" spans="15:15" ht="31.4" customHeight="1" x14ac:dyDescent="0.35">
      <c r="O5736" s="9"/>
    </row>
    <row r="5737" spans="15:15" ht="31.4" customHeight="1" x14ac:dyDescent="0.35">
      <c r="O5737" s="9"/>
    </row>
    <row r="5738" spans="15:15" ht="31.4" customHeight="1" x14ac:dyDescent="0.35">
      <c r="O5738" s="9"/>
    </row>
    <row r="5739" spans="15:15" ht="31.4" customHeight="1" x14ac:dyDescent="0.35">
      <c r="O5739" s="9"/>
    </row>
    <row r="5740" spans="15:15" ht="31.4" customHeight="1" x14ac:dyDescent="0.35">
      <c r="O5740" s="9"/>
    </row>
    <row r="5741" spans="15:15" ht="31.4" customHeight="1" x14ac:dyDescent="0.35">
      <c r="O5741" s="9"/>
    </row>
    <row r="5742" spans="15:15" ht="31.4" customHeight="1" x14ac:dyDescent="0.35">
      <c r="O5742" s="9"/>
    </row>
    <row r="5743" spans="15:15" ht="31.4" customHeight="1" x14ac:dyDescent="0.35">
      <c r="O5743" s="9"/>
    </row>
    <row r="5744" spans="15:15" ht="31.4" customHeight="1" x14ac:dyDescent="0.35">
      <c r="O5744" s="9"/>
    </row>
    <row r="5745" spans="15:15" ht="31.4" customHeight="1" x14ac:dyDescent="0.35">
      <c r="O5745" s="9"/>
    </row>
    <row r="5746" spans="15:15" ht="31.4" customHeight="1" x14ac:dyDescent="0.35">
      <c r="O5746" s="9"/>
    </row>
    <row r="5747" spans="15:15" ht="31.4" customHeight="1" x14ac:dyDescent="0.35">
      <c r="O5747" s="9"/>
    </row>
    <row r="5748" spans="15:15" ht="31.4" customHeight="1" x14ac:dyDescent="0.35">
      <c r="O5748" s="9"/>
    </row>
    <row r="5749" spans="15:15" ht="31.4" customHeight="1" x14ac:dyDescent="0.35">
      <c r="O5749" s="9"/>
    </row>
    <row r="5750" spans="15:15" ht="31.4" customHeight="1" x14ac:dyDescent="0.35">
      <c r="O5750" s="9"/>
    </row>
    <row r="5751" spans="15:15" ht="31.4" customHeight="1" x14ac:dyDescent="0.35">
      <c r="O5751" s="9"/>
    </row>
    <row r="5752" spans="15:15" ht="31.4" customHeight="1" x14ac:dyDescent="0.35">
      <c r="O5752" s="9"/>
    </row>
    <row r="5753" spans="15:15" ht="31.4" customHeight="1" x14ac:dyDescent="0.35">
      <c r="O5753" s="9"/>
    </row>
    <row r="5754" spans="15:15" ht="31.4" customHeight="1" x14ac:dyDescent="0.35">
      <c r="O5754" s="9"/>
    </row>
    <row r="5755" spans="15:15" ht="31.4" customHeight="1" x14ac:dyDescent="0.35">
      <c r="O5755" s="9"/>
    </row>
    <row r="5756" spans="15:15" ht="31.4" customHeight="1" x14ac:dyDescent="0.35">
      <c r="O5756" s="9"/>
    </row>
    <row r="5757" spans="15:15" ht="31.4" customHeight="1" x14ac:dyDescent="0.35">
      <c r="O5757" s="9"/>
    </row>
    <row r="5758" spans="15:15" ht="31.4" customHeight="1" x14ac:dyDescent="0.35">
      <c r="O5758" s="9"/>
    </row>
    <row r="5759" spans="15:15" ht="31.4" customHeight="1" x14ac:dyDescent="0.35">
      <c r="O5759" s="9"/>
    </row>
    <row r="5760" spans="15:15" ht="31.4" customHeight="1" x14ac:dyDescent="0.35">
      <c r="O5760" s="9"/>
    </row>
    <row r="5761" spans="15:15" ht="31.4" customHeight="1" x14ac:dyDescent="0.35">
      <c r="O5761" s="9"/>
    </row>
    <row r="5762" spans="15:15" ht="31.4" customHeight="1" x14ac:dyDescent="0.35">
      <c r="O5762" s="9"/>
    </row>
    <row r="5763" spans="15:15" ht="31.4" customHeight="1" x14ac:dyDescent="0.35">
      <c r="O5763" s="9"/>
    </row>
    <row r="5764" spans="15:15" ht="31.4" customHeight="1" x14ac:dyDescent="0.35">
      <c r="O5764" s="9"/>
    </row>
    <row r="5765" spans="15:15" ht="31.4" customHeight="1" x14ac:dyDescent="0.35">
      <c r="O5765" s="9"/>
    </row>
    <row r="5766" spans="15:15" ht="31.4" customHeight="1" x14ac:dyDescent="0.35">
      <c r="O5766" s="9"/>
    </row>
    <row r="5767" spans="15:15" ht="31.4" customHeight="1" x14ac:dyDescent="0.35">
      <c r="O5767" s="9"/>
    </row>
    <row r="5768" spans="15:15" ht="31.4" customHeight="1" x14ac:dyDescent="0.35">
      <c r="O5768" s="9"/>
    </row>
    <row r="5769" spans="15:15" ht="31.4" customHeight="1" x14ac:dyDescent="0.35">
      <c r="O5769" s="9"/>
    </row>
    <row r="5770" spans="15:15" ht="31.4" customHeight="1" x14ac:dyDescent="0.35">
      <c r="O5770" s="9"/>
    </row>
    <row r="5771" spans="15:15" ht="31.4" customHeight="1" x14ac:dyDescent="0.35">
      <c r="O5771" s="9"/>
    </row>
    <row r="5772" spans="15:15" ht="31.4" customHeight="1" x14ac:dyDescent="0.35">
      <c r="O5772" s="9"/>
    </row>
    <row r="5773" spans="15:15" ht="31.4" customHeight="1" x14ac:dyDescent="0.35">
      <c r="O5773" s="9"/>
    </row>
    <row r="5774" spans="15:15" ht="31.4" customHeight="1" x14ac:dyDescent="0.35">
      <c r="O5774" s="9"/>
    </row>
    <row r="5775" spans="15:15" ht="31.4" customHeight="1" x14ac:dyDescent="0.35">
      <c r="O5775" s="9"/>
    </row>
    <row r="5776" spans="15:15" ht="31.4" customHeight="1" x14ac:dyDescent="0.35">
      <c r="O5776" s="9"/>
    </row>
    <row r="5777" spans="15:15" ht="31.4" customHeight="1" x14ac:dyDescent="0.35">
      <c r="O5777" s="9"/>
    </row>
    <row r="5778" spans="15:15" ht="31.4" customHeight="1" x14ac:dyDescent="0.35">
      <c r="O5778" s="9"/>
    </row>
    <row r="5779" spans="15:15" ht="31.4" customHeight="1" x14ac:dyDescent="0.35">
      <c r="O5779" s="9"/>
    </row>
    <row r="5780" spans="15:15" ht="31.4" customHeight="1" x14ac:dyDescent="0.35">
      <c r="O5780" s="9"/>
    </row>
    <row r="5781" spans="15:15" ht="31.4" customHeight="1" x14ac:dyDescent="0.35">
      <c r="O5781" s="9"/>
    </row>
    <row r="5782" spans="15:15" ht="31.4" customHeight="1" x14ac:dyDescent="0.35">
      <c r="O5782" s="9"/>
    </row>
    <row r="5783" spans="15:15" ht="31.4" customHeight="1" x14ac:dyDescent="0.35">
      <c r="O5783" s="9"/>
    </row>
    <row r="5784" spans="15:15" ht="31.4" customHeight="1" x14ac:dyDescent="0.35">
      <c r="O5784" s="9"/>
    </row>
    <row r="5785" spans="15:15" ht="31.4" customHeight="1" x14ac:dyDescent="0.35">
      <c r="O5785" s="9"/>
    </row>
    <row r="5786" spans="15:15" ht="31.4" customHeight="1" x14ac:dyDescent="0.35">
      <c r="O5786" s="9"/>
    </row>
    <row r="5787" spans="15:15" ht="31.4" customHeight="1" x14ac:dyDescent="0.35">
      <c r="O5787" s="9"/>
    </row>
    <row r="5788" spans="15:15" ht="31.4" customHeight="1" x14ac:dyDescent="0.35">
      <c r="O5788" s="9"/>
    </row>
    <row r="5789" spans="15:15" ht="31.4" customHeight="1" x14ac:dyDescent="0.35">
      <c r="O5789" s="9"/>
    </row>
    <row r="5790" spans="15:15" ht="31.4" customHeight="1" x14ac:dyDescent="0.35">
      <c r="O5790" s="9"/>
    </row>
    <row r="5791" spans="15:15" ht="31.4" customHeight="1" x14ac:dyDescent="0.35">
      <c r="O5791" s="9"/>
    </row>
    <row r="5792" spans="15:15" ht="31.4" customHeight="1" x14ac:dyDescent="0.35">
      <c r="O5792" s="9"/>
    </row>
    <row r="5793" spans="15:15" ht="31.4" customHeight="1" x14ac:dyDescent="0.35">
      <c r="O5793" s="9"/>
    </row>
    <row r="5794" spans="15:15" ht="31.4" customHeight="1" x14ac:dyDescent="0.35">
      <c r="O5794" s="9"/>
    </row>
    <row r="5795" spans="15:15" ht="31.4" customHeight="1" x14ac:dyDescent="0.35">
      <c r="O5795" s="9"/>
    </row>
    <row r="5796" spans="15:15" ht="31.4" customHeight="1" x14ac:dyDescent="0.35">
      <c r="O5796" s="9"/>
    </row>
    <row r="5797" spans="15:15" ht="31.4" customHeight="1" x14ac:dyDescent="0.35">
      <c r="O5797" s="9"/>
    </row>
    <row r="5798" spans="15:15" ht="31.4" customHeight="1" x14ac:dyDescent="0.35">
      <c r="O5798" s="9"/>
    </row>
    <row r="5799" spans="15:15" ht="31.4" customHeight="1" x14ac:dyDescent="0.35">
      <c r="O5799" s="9"/>
    </row>
    <row r="5800" spans="15:15" ht="31.4" customHeight="1" x14ac:dyDescent="0.35">
      <c r="O5800" s="9"/>
    </row>
    <row r="5801" spans="15:15" ht="31.4" customHeight="1" x14ac:dyDescent="0.35">
      <c r="O5801" s="9"/>
    </row>
    <row r="5802" spans="15:15" ht="31.4" customHeight="1" x14ac:dyDescent="0.35">
      <c r="O5802" s="9"/>
    </row>
    <row r="5803" spans="15:15" ht="31.4" customHeight="1" x14ac:dyDescent="0.35">
      <c r="O5803" s="9"/>
    </row>
    <row r="5804" spans="15:15" ht="31.4" customHeight="1" x14ac:dyDescent="0.35">
      <c r="O5804" s="9"/>
    </row>
    <row r="5805" spans="15:15" ht="31.4" customHeight="1" x14ac:dyDescent="0.35">
      <c r="O5805" s="9"/>
    </row>
    <row r="5806" spans="15:15" ht="31.4" customHeight="1" x14ac:dyDescent="0.35">
      <c r="O5806" s="9"/>
    </row>
    <row r="5807" spans="15:15" ht="31.4" customHeight="1" x14ac:dyDescent="0.35">
      <c r="O5807" s="9"/>
    </row>
    <row r="5808" spans="15:15" ht="31.4" customHeight="1" x14ac:dyDescent="0.35">
      <c r="O5808" s="9"/>
    </row>
    <row r="5809" spans="15:15" ht="31.4" customHeight="1" x14ac:dyDescent="0.35">
      <c r="O5809" s="9"/>
    </row>
    <row r="5810" spans="15:15" ht="31.4" customHeight="1" x14ac:dyDescent="0.35">
      <c r="O5810" s="9"/>
    </row>
    <row r="5811" spans="15:15" ht="31.4" customHeight="1" x14ac:dyDescent="0.35">
      <c r="O5811" s="9"/>
    </row>
    <row r="5812" spans="15:15" ht="31.4" customHeight="1" x14ac:dyDescent="0.35">
      <c r="O5812" s="9"/>
    </row>
    <row r="5813" spans="15:15" ht="31.4" customHeight="1" x14ac:dyDescent="0.35">
      <c r="O5813" s="9"/>
    </row>
    <row r="5814" spans="15:15" ht="31.4" customHeight="1" x14ac:dyDescent="0.35">
      <c r="O5814" s="9"/>
    </row>
    <row r="5815" spans="15:15" ht="31.4" customHeight="1" x14ac:dyDescent="0.35">
      <c r="O5815" s="9"/>
    </row>
    <row r="5816" spans="15:15" ht="31.4" customHeight="1" x14ac:dyDescent="0.35">
      <c r="O5816" s="9"/>
    </row>
    <row r="5817" spans="15:15" ht="31.4" customHeight="1" x14ac:dyDescent="0.35">
      <c r="O5817" s="9"/>
    </row>
    <row r="5818" spans="15:15" ht="31.4" customHeight="1" x14ac:dyDescent="0.35">
      <c r="O5818" s="9"/>
    </row>
    <row r="5819" spans="15:15" ht="31.4" customHeight="1" x14ac:dyDescent="0.35">
      <c r="O5819" s="9"/>
    </row>
    <row r="5820" spans="15:15" ht="31.4" customHeight="1" x14ac:dyDescent="0.35">
      <c r="O5820" s="9"/>
    </row>
    <row r="5821" spans="15:15" ht="31.4" customHeight="1" x14ac:dyDescent="0.35">
      <c r="O5821" s="9"/>
    </row>
    <row r="5822" spans="15:15" ht="31.4" customHeight="1" x14ac:dyDescent="0.35">
      <c r="O5822" s="9"/>
    </row>
    <row r="5823" spans="15:15" ht="31.4" customHeight="1" x14ac:dyDescent="0.35">
      <c r="O5823" s="9"/>
    </row>
    <row r="5824" spans="15:15" ht="31.4" customHeight="1" x14ac:dyDescent="0.35">
      <c r="O5824" s="9"/>
    </row>
    <row r="5825" spans="15:15" ht="31.4" customHeight="1" x14ac:dyDescent="0.35">
      <c r="O5825" s="9"/>
    </row>
    <row r="5826" spans="15:15" ht="31.4" customHeight="1" x14ac:dyDescent="0.35">
      <c r="O5826" s="9"/>
    </row>
    <row r="5827" spans="15:15" ht="31.4" customHeight="1" x14ac:dyDescent="0.35">
      <c r="O5827" s="9"/>
    </row>
    <row r="5828" spans="15:15" ht="31.4" customHeight="1" x14ac:dyDescent="0.35">
      <c r="O5828" s="9"/>
    </row>
    <row r="5829" spans="15:15" ht="31.4" customHeight="1" x14ac:dyDescent="0.35">
      <c r="O5829" s="9"/>
    </row>
    <row r="5830" spans="15:15" ht="31.4" customHeight="1" x14ac:dyDescent="0.35">
      <c r="O5830" s="9"/>
    </row>
    <row r="5831" spans="15:15" ht="31.4" customHeight="1" x14ac:dyDescent="0.35">
      <c r="O5831" s="9"/>
    </row>
    <row r="5832" spans="15:15" ht="31.4" customHeight="1" x14ac:dyDescent="0.35">
      <c r="O5832" s="9"/>
    </row>
    <row r="5833" spans="15:15" ht="31.4" customHeight="1" x14ac:dyDescent="0.35">
      <c r="O5833" s="9"/>
    </row>
    <row r="5834" spans="15:15" ht="31.4" customHeight="1" x14ac:dyDescent="0.35">
      <c r="O5834" s="9"/>
    </row>
    <row r="5835" spans="15:15" ht="31.4" customHeight="1" x14ac:dyDescent="0.35">
      <c r="O5835" s="9"/>
    </row>
    <row r="5836" spans="15:15" ht="31.4" customHeight="1" x14ac:dyDescent="0.35">
      <c r="O5836" s="9"/>
    </row>
    <row r="5837" spans="15:15" ht="31.4" customHeight="1" x14ac:dyDescent="0.35">
      <c r="O5837" s="9"/>
    </row>
    <row r="5838" spans="15:15" ht="31.4" customHeight="1" x14ac:dyDescent="0.35">
      <c r="O5838" s="9"/>
    </row>
    <row r="5839" spans="15:15" ht="31.4" customHeight="1" x14ac:dyDescent="0.35">
      <c r="O5839" s="9"/>
    </row>
    <row r="5840" spans="15:15" ht="31.4" customHeight="1" x14ac:dyDescent="0.35">
      <c r="O5840" s="9"/>
    </row>
    <row r="5841" spans="15:15" ht="31.4" customHeight="1" x14ac:dyDescent="0.35">
      <c r="O5841" s="9"/>
    </row>
    <row r="5842" spans="15:15" ht="31.4" customHeight="1" x14ac:dyDescent="0.35">
      <c r="O5842" s="9"/>
    </row>
    <row r="5843" spans="15:15" ht="31.4" customHeight="1" x14ac:dyDescent="0.35">
      <c r="O5843" s="9"/>
    </row>
    <row r="5844" spans="15:15" ht="31.4" customHeight="1" x14ac:dyDescent="0.35">
      <c r="O5844" s="9"/>
    </row>
    <row r="5845" spans="15:15" ht="31.4" customHeight="1" x14ac:dyDescent="0.35">
      <c r="O5845" s="9"/>
    </row>
    <row r="5846" spans="15:15" ht="31.4" customHeight="1" x14ac:dyDescent="0.35">
      <c r="O5846" s="9"/>
    </row>
    <row r="5847" spans="15:15" ht="31.4" customHeight="1" x14ac:dyDescent="0.35">
      <c r="O5847" s="9"/>
    </row>
    <row r="5848" spans="15:15" ht="31.4" customHeight="1" x14ac:dyDescent="0.35">
      <c r="O5848" s="9"/>
    </row>
    <row r="5849" spans="15:15" ht="31.4" customHeight="1" x14ac:dyDescent="0.35">
      <c r="O5849" s="9"/>
    </row>
    <row r="5850" spans="15:15" ht="31.4" customHeight="1" x14ac:dyDescent="0.35">
      <c r="O5850" s="9"/>
    </row>
    <row r="5851" spans="15:15" ht="31.4" customHeight="1" x14ac:dyDescent="0.35">
      <c r="O5851" s="9"/>
    </row>
    <row r="5852" spans="15:15" ht="31.4" customHeight="1" x14ac:dyDescent="0.35">
      <c r="O5852" s="9"/>
    </row>
    <row r="5853" spans="15:15" ht="31.4" customHeight="1" x14ac:dyDescent="0.35">
      <c r="O5853" s="9"/>
    </row>
    <row r="5854" spans="15:15" ht="31.4" customHeight="1" x14ac:dyDescent="0.35">
      <c r="O5854" s="9"/>
    </row>
    <row r="5855" spans="15:15" ht="31.4" customHeight="1" x14ac:dyDescent="0.35">
      <c r="O5855" s="9"/>
    </row>
    <row r="5856" spans="15:15" ht="31.4" customHeight="1" x14ac:dyDescent="0.35">
      <c r="O5856" s="9"/>
    </row>
    <row r="5857" spans="15:15" ht="31.4" customHeight="1" x14ac:dyDescent="0.35">
      <c r="O5857" s="9"/>
    </row>
    <row r="5858" spans="15:15" ht="31.4" customHeight="1" x14ac:dyDescent="0.35">
      <c r="O5858" s="9"/>
    </row>
    <row r="5859" spans="15:15" ht="31.4" customHeight="1" x14ac:dyDescent="0.35">
      <c r="O5859" s="9"/>
    </row>
    <row r="5860" spans="15:15" ht="31.4" customHeight="1" x14ac:dyDescent="0.35">
      <c r="O5860" s="9"/>
    </row>
    <row r="5861" spans="15:15" ht="31.4" customHeight="1" x14ac:dyDescent="0.35">
      <c r="O5861" s="9"/>
    </row>
    <row r="5862" spans="15:15" ht="31.4" customHeight="1" x14ac:dyDescent="0.35">
      <c r="O5862" s="9"/>
    </row>
    <row r="5863" spans="15:15" ht="31.4" customHeight="1" x14ac:dyDescent="0.35">
      <c r="O5863" s="9"/>
    </row>
    <row r="5864" spans="15:15" ht="31.4" customHeight="1" x14ac:dyDescent="0.35">
      <c r="O5864" s="9"/>
    </row>
    <row r="5865" spans="15:15" ht="31.4" customHeight="1" x14ac:dyDescent="0.35">
      <c r="O5865" s="9"/>
    </row>
    <row r="5866" spans="15:15" ht="31.4" customHeight="1" x14ac:dyDescent="0.35">
      <c r="O5866" s="9"/>
    </row>
    <row r="5867" spans="15:15" ht="31.4" customHeight="1" x14ac:dyDescent="0.35">
      <c r="O5867" s="9"/>
    </row>
    <row r="5868" spans="15:15" ht="31.4" customHeight="1" x14ac:dyDescent="0.35">
      <c r="O5868" s="9"/>
    </row>
    <row r="5869" spans="15:15" ht="31.4" customHeight="1" x14ac:dyDescent="0.35">
      <c r="O5869" s="9"/>
    </row>
    <row r="5870" spans="15:15" ht="31.4" customHeight="1" x14ac:dyDescent="0.35">
      <c r="O5870" s="9"/>
    </row>
    <row r="5871" spans="15:15" ht="31.4" customHeight="1" x14ac:dyDescent="0.35">
      <c r="O5871" s="9"/>
    </row>
    <row r="5872" spans="15:15" ht="31.4" customHeight="1" x14ac:dyDescent="0.35">
      <c r="O5872" s="9"/>
    </row>
    <row r="5873" spans="15:15" ht="31.4" customHeight="1" x14ac:dyDescent="0.35">
      <c r="O5873" s="9"/>
    </row>
    <row r="5874" spans="15:15" ht="31.4" customHeight="1" x14ac:dyDescent="0.35">
      <c r="O5874" s="9"/>
    </row>
    <row r="5875" spans="15:15" ht="31.4" customHeight="1" x14ac:dyDescent="0.35">
      <c r="O5875" s="9"/>
    </row>
    <row r="5876" spans="15:15" ht="31.4" customHeight="1" x14ac:dyDescent="0.35">
      <c r="O5876" s="9"/>
    </row>
    <row r="5877" spans="15:15" ht="31.4" customHeight="1" x14ac:dyDescent="0.35">
      <c r="O5877" s="9"/>
    </row>
    <row r="5878" spans="15:15" ht="31.4" customHeight="1" x14ac:dyDescent="0.35">
      <c r="O5878" s="9"/>
    </row>
    <row r="5879" spans="15:15" ht="31.4" customHeight="1" x14ac:dyDescent="0.35">
      <c r="O5879" s="9"/>
    </row>
    <row r="5880" spans="15:15" ht="31.4" customHeight="1" x14ac:dyDescent="0.35">
      <c r="O5880" s="9"/>
    </row>
    <row r="5881" spans="15:15" ht="31.4" customHeight="1" x14ac:dyDescent="0.35">
      <c r="O5881" s="9"/>
    </row>
    <row r="5882" spans="15:15" ht="31.4" customHeight="1" x14ac:dyDescent="0.35">
      <c r="O5882" s="9"/>
    </row>
    <row r="5883" spans="15:15" ht="31.4" customHeight="1" x14ac:dyDescent="0.35">
      <c r="O5883" s="9"/>
    </row>
    <row r="5884" spans="15:15" ht="31.4" customHeight="1" x14ac:dyDescent="0.35">
      <c r="O5884" s="9"/>
    </row>
    <row r="5885" spans="15:15" ht="31.4" customHeight="1" x14ac:dyDescent="0.35">
      <c r="O5885" s="9"/>
    </row>
    <row r="5886" spans="15:15" ht="31.4" customHeight="1" x14ac:dyDescent="0.35">
      <c r="O5886" s="9"/>
    </row>
    <row r="5887" spans="15:15" ht="31.4" customHeight="1" x14ac:dyDescent="0.35">
      <c r="O5887" s="9"/>
    </row>
    <row r="5888" spans="15:15" ht="31.4" customHeight="1" x14ac:dyDescent="0.35">
      <c r="O5888" s="9"/>
    </row>
    <row r="5889" spans="15:15" ht="31.4" customHeight="1" x14ac:dyDescent="0.35">
      <c r="O5889" s="9"/>
    </row>
    <row r="5890" spans="15:15" ht="31.4" customHeight="1" x14ac:dyDescent="0.35">
      <c r="O5890" s="9"/>
    </row>
    <row r="5891" spans="15:15" ht="31.4" customHeight="1" x14ac:dyDescent="0.35">
      <c r="O5891" s="9"/>
    </row>
    <row r="5892" spans="15:15" ht="31.4" customHeight="1" x14ac:dyDescent="0.35">
      <c r="O5892" s="9"/>
    </row>
    <row r="5893" spans="15:15" ht="31.4" customHeight="1" x14ac:dyDescent="0.35">
      <c r="O5893" s="9"/>
    </row>
    <row r="5894" spans="15:15" ht="31.4" customHeight="1" x14ac:dyDescent="0.35">
      <c r="O5894" s="9"/>
    </row>
    <row r="5895" spans="15:15" ht="31.4" customHeight="1" x14ac:dyDescent="0.35">
      <c r="O5895" s="9"/>
    </row>
    <row r="5896" spans="15:15" ht="31.4" customHeight="1" x14ac:dyDescent="0.35">
      <c r="O5896" s="9"/>
    </row>
    <row r="5897" spans="15:15" ht="31.4" customHeight="1" x14ac:dyDescent="0.35">
      <c r="O5897" s="9"/>
    </row>
    <row r="5898" spans="15:15" ht="31.4" customHeight="1" x14ac:dyDescent="0.35">
      <c r="O5898" s="9"/>
    </row>
    <row r="5899" spans="15:15" ht="31.4" customHeight="1" x14ac:dyDescent="0.35">
      <c r="O5899" s="9"/>
    </row>
    <row r="5900" spans="15:15" ht="31.4" customHeight="1" x14ac:dyDescent="0.35">
      <c r="O5900" s="9"/>
    </row>
    <row r="5901" spans="15:15" ht="31.4" customHeight="1" x14ac:dyDescent="0.35">
      <c r="O5901" s="9"/>
    </row>
    <row r="5902" spans="15:15" ht="31.4" customHeight="1" x14ac:dyDescent="0.35">
      <c r="O5902" s="9"/>
    </row>
    <row r="5903" spans="15:15" ht="31.4" customHeight="1" x14ac:dyDescent="0.35">
      <c r="O5903" s="9"/>
    </row>
    <row r="5904" spans="15:15" ht="31.4" customHeight="1" x14ac:dyDescent="0.35">
      <c r="O5904" s="9"/>
    </row>
    <row r="5905" spans="15:15" ht="31.4" customHeight="1" x14ac:dyDescent="0.35">
      <c r="O5905" s="9"/>
    </row>
    <row r="5906" spans="15:15" ht="31.4" customHeight="1" x14ac:dyDescent="0.35">
      <c r="O5906" s="9"/>
    </row>
    <row r="5907" spans="15:15" ht="31.4" customHeight="1" x14ac:dyDescent="0.35">
      <c r="O5907" s="9"/>
    </row>
    <row r="5908" spans="15:15" ht="31.4" customHeight="1" x14ac:dyDescent="0.35">
      <c r="O5908" s="9"/>
    </row>
    <row r="5909" spans="15:15" ht="31.4" customHeight="1" x14ac:dyDescent="0.35">
      <c r="O5909" s="9"/>
    </row>
    <row r="5910" spans="15:15" ht="31.4" customHeight="1" x14ac:dyDescent="0.35">
      <c r="O5910" s="9"/>
    </row>
    <row r="5911" spans="15:15" ht="31.4" customHeight="1" x14ac:dyDescent="0.35">
      <c r="O5911" s="9"/>
    </row>
    <row r="5912" spans="15:15" ht="31.4" customHeight="1" x14ac:dyDescent="0.35">
      <c r="O5912" s="9"/>
    </row>
    <row r="5913" spans="15:15" ht="31.4" customHeight="1" x14ac:dyDescent="0.35">
      <c r="O5913" s="9"/>
    </row>
    <row r="5914" spans="15:15" ht="31.4" customHeight="1" x14ac:dyDescent="0.35">
      <c r="O5914" s="9"/>
    </row>
    <row r="5915" spans="15:15" ht="31.4" customHeight="1" x14ac:dyDescent="0.35">
      <c r="O5915" s="9"/>
    </row>
    <row r="5916" spans="15:15" ht="31.4" customHeight="1" x14ac:dyDescent="0.35">
      <c r="O5916" s="9"/>
    </row>
    <row r="5917" spans="15:15" ht="31.4" customHeight="1" x14ac:dyDescent="0.35">
      <c r="O5917" s="9"/>
    </row>
    <row r="5918" spans="15:15" ht="31.4" customHeight="1" x14ac:dyDescent="0.35">
      <c r="O5918" s="9"/>
    </row>
    <row r="5919" spans="15:15" ht="31.4" customHeight="1" x14ac:dyDescent="0.35">
      <c r="O5919" s="9"/>
    </row>
    <row r="5920" spans="15:15" ht="31.4" customHeight="1" x14ac:dyDescent="0.35">
      <c r="O5920" s="9"/>
    </row>
    <row r="5921" spans="15:15" ht="31.4" customHeight="1" x14ac:dyDescent="0.35">
      <c r="O5921" s="9"/>
    </row>
    <row r="5922" spans="15:15" ht="31.4" customHeight="1" x14ac:dyDescent="0.35">
      <c r="O5922" s="9"/>
    </row>
    <row r="5923" spans="15:15" ht="31.4" customHeight="1" x14ac:dyDescent="0.35">
      <c r="O5923" s="9"/>
    </row>
    <row r="5924" spans="15:15" ht="31.4" customHeight="1" x14ac:dyDescent="0.35">
      <c r="O5924" s="9"/>
    </row>
    <row r="5925" spans="15:15" ht="31.4" customHeight="1" x14ac:dyDescent="0.35">
      <c r="O5925" s="9"/>
    </row>
    <row r="5926" spans="15:15" ht="31.4" customHeight="1" x14ac:dyDescent="0.35">
      <c r="O5926" s="9"/>
    </row>
    <row r="5927" spans="15:15" ht="31.4" customHeight="1" x14ac:dyDescent="0.35">
      <c r="O5927" s="9"/>
    </row>
    <row r="5928" spans="15:15" ht="31.4" customHeight="1" x14ac:dyDescent="0.35">
      <c r="O5928" s="9"/>
    </row>
    <row r="5929" spans="15:15" ht="31.4" customHeight="1" x14ac:dyDescent="0.35">
      <c r="O5929" s="9"/>
    </row>
    <row r="5930" spans="15:15" ht="31.4" customHeight="1" x14ac:dyDescent="0.35">
      <c r="O5930" s="9"/>
    </row>
    <row r="5931" spans="15:15" ht="31.4" customHeight="1" x14ac:dyDescent="0.35">
      <c r="O5931" s="9"/>
    </row>
    <row r="5932" spans="15:15" ht="31.4" customHeight="1" x14ac:dyDescent="0.35">
      <c r="O5932" s="9"/>
    </row>
    <row r="5933" spans="15:15" ht="31.4" customHeight="1" x14ac:dyDescent="0.35">
      <c r="O5933" s="9"/>
    </row>
    <row r="5934" spans="15:15" ht="31.4" customHeight="1" x14ac:dyDescent="0.35">
      <c r="O5934" s="9"/>
    </row>
    <row r="5935" spans="15:15" ht="31.4" customHeight="1" x14ac:dyDescent="0.35">
      <c r="O5935" s="9"/>
    </row>
    <row r="5936" spans="15:15" ht="31.4" customHeight="1" x14ac:dyDescent="0.35">
      <c r="O5936" s="9"/>
    </row>
    <row r="5937" spans="15:15" ht="31.4" customHeight="1" x14ac:dyDescent="0.35">
      <c r="O5937" s="9"/>
    </row>
    <row r="5938" spans="15:15" ht="31.4" customHeight="1" x14ac:dyDescent="0.35">
      <c r="O5938" s="9"/>
    </row>
    <row r="5939" spans="15:15" ht="31.4" customHeight="1" x14ac:dyDescent="0.35">
      <c r="O5939" s="9"/>
    </row>
    <row r="5940" spans="15:15" ht="31.4" customHeight="1" x14ac:dyDescent="0.35">
      <c r="O5940" s="9"/>
    </row>
    <row r="5941" spans="15:15" ht="31.4" customHeight="1" x14ac:dyDescent="0.35">
      <c r="O5941" s="9"/>
    </row>
    <row r="5942" spans="15:15" ht="31.4" customHeight="1" x14ac:dyDescent="0.35">
      <c r="O5942" s="9"/>
    </row>
    <row r="5943" spans="15:15" ht="31.4" customHeight="1" x14ac:dyDescent="0.35">
      <c r="O5943" s="9"/>
    </row>
    <row r="5944" spans="15:15" ht="31.4" customHeight="1" x14ac:dyDescent="0.35">
      <c r="O5944" s="9"/>
    </row>
    <row r="5945" spans="15:15" ht="31.4" customHeight="1" x14ac:dyDescent="0.35">
      <c r="O5945" s="9"/>
    </row>
    <row r="5946" spans="15:15" ht="31.4" customHeight="1" x14ac:dyDescent="0.35">
      <c r="O5946" s="9"/>
    </row>
    <row r="5947" spans="15:15" ht="31.4" customHeight="1" x14ac:dyDescent="0.35">
      <c r="O5947" s="9"/>
    </row>
    <row r="5948" spans="15:15" ht="31.4" customHeight="1" x14ac:dyDescent="0.35">
      <c r="O5948" s="9"/>
    </row>
    <row r="5949" spans="15:15" ht="31.4" customHeight="1" x14ac:dyDescent="0.35">
      <c r="O5949" s="9"/>
    </row>
    <row r="5950" spans="15:15" ht="31.4" customHeight="1" x14ac:dyDescent="0.35">
      <c r="O5950" s="9"/>
    </row>
    <row r="5951" spans="15:15" ht="31.4" customHeight="1" x14ac:dyDescent="0.35">
      <c r="O5951" s="9"/>
    </row>
    <row r="5952" spans="15:15" ht="31.4" customHeight="1" x14ac:dyDescent="0.35">
      <c r="O5952" s="9"/>
    </row>
    <row r="5953" spans="15:15" ht="31.4" customHeight="1" x14ac:dyDescent="0.35">
      <c r="O5953" s="9"/>
    </row>
    <row r="5954" spans="15:15" ht="31.4" customHeight="1" x14ac:dyDescent="0.35">
      <c r="O5954" s="9"/>
    </row>
    <row r="5955" spans="15:15" ht="31.4" customHeight="1" x14ac:dyDescent="0.35">
      <c r="O5955" s="9"/>
    </row>
    <row r="5956" spans="15:15" ht="31.4" customHeight="1" x14ac:dyDescent="0.35">
      <c r="O5956" s="9"/>
    </row>
    <row r="5957" spans="15:15" ht="31.4" customHeight="1" x14ac:dyDescent="0.35">
      <c r="O5957" s="9"/>
    </row>
    <row r="5958" spans="15:15" ht="31.4" customHeight="1" x14ac:dyDescent="0.35">
      <c r="O5958" s="9"/>
    </row>
    <row r="5959" spans="15:15" ht="31.4" customHeight="1" x14ac:dyDescent="0.35">
      <c r="O5959" s="9"/>
    </row>
    <row r="5960" spans="15:15" ht="31.4" customHeight="1" x14ac:dyDescent="0.35">
      <c r="O5960" s="9"/>
    </row>
    <row r="5961" spans="15:15" ht="31.4" customHeight="1" x14ac:dyDescent="0.35">
      <c r="O5961" s="9"/>
    </row>
    <row r="5962" spans="15:15" ht="31.4" customHeight="1" x14ac:dyDescent="0.35">
      <c r="O5962" s="9"/>
    </row>
    <row r="5963" spans="15:15" ht="31.4" customHeight="1" x14ac:dyDescent="0.35">
      <c r="O5963" s="9"/>
    </row>
    <row r="5964" spans="15:15" ht="31.4" customHeight="1" x14ac:dyDescent="0.35">
      <c r="O5964" s="9"/>
    </row>
    <row r="5965" spans="15:15" ht="31.4" customHeight="1" x14ac:dyDescent="0.35">
      <c r="O5965" s="9"/>
    </row>
    <row r="5966" spans="15:15" ht="31.4" customHeight="1" x14ac:dyDescent="0.35">
      <c r="O5966" s="9"/>
    </row>
    <row r="5967" spans="15:15" ht="31.4" customHeight="1" x14ac:dyDescent="0.35">
      <c r="O5967" s="9"/>
    </row>
    <row r="5968" spans="15:15" ht="31.4" customHeight="1" x14ac:dyDescent="0.35">
      <c r="O5968" s="9"/>
    </row>
    <row r="5969" spans="15:15" ht="31.4" customHeight="1" x14ac:dyDescent="0.35">
      <c r="O5969" s="9"/>
    </row>
    <row r="5970" spans="15:15" ht="31.4" customHeight="1" x14ac:dyDescent="0.35">
      <c r="O5970" s="9"/>
    </row>
    <row r="5971" spans="15:15" ht="31.4" customHeight="1" x14ac:dyDescent="0.35">
      <c r="O5971" s="9"/>
    </row>
    <row r="5972" spans="15:15" ht="31.4" customHeight="1" x14ac:dyDescent="0.35">
      <c r="O5972" s="9"/>
    </row>
    <row r="5973" spans="15:15" ht="31.4" customHeight="1" x14ac:dyDescent="0.35">
      <c r="O5973" s="9"/>
    </row>
    <row r="5974" spans="15:15" ht="31.4" customHeight="1" x14ac:dyDescent="0.35">
      <c r="O5974" s="9"/>
    </row>
    <row r="5975" spans="15:15" ht="31.4" customHeight="1" x14ac:dyDescent="0.35">
      <c r="O5975" s="9"/>
    </row>
    <row r="5976" spans="15:15" ht="31.4" customHeight="1" x14ac:dyDescent="0.35">
      <c r="O5976" s="9"/>
    </row>
    <row r="5977" spans="15:15" ht="31.4" customHeight="1" x14ac:dyDescent="0.35">
      <c r="O5977" s="9"/>
    </row>
    <row r="5978" spans="15:15" ht="31.4" customHeight="1" x14ac:dyDescent="0.35">
      <c r="O5978" s="9"/>
    </row>
    <row r="5979" spans="15:15" ht="31.4" customHeight="1" x14ac:dyDescent="0.35">
      <c r="O5979" s="9"/>
    </row>
    <row r="5980" spans="15:15" ht="31.4" customHeight="1" x14ac:dyDescent="0.35">
      <c r="O5980" s="9"/>
    </row>
    <row r="5981" spans="15:15" ht="31.4" customHeight="1" x14ac:dyDescent="0.35">
      <c r="O5981" s="9"/>
    </row>
    <row r="5982" spans="15:15" ht="31.4" customHeight="1" x14ac:dyDescent="0.35">
      <c r="O5982" s="9"/>
    </row>
    <row r="5983" spans="15:15" ht="31.4" customHeight="1" x14ac:dyDescent="0.35">
      <c r="O5983" s="9"/>
    </row>
    <row r="5984" spans="15:15" ht="31.4" customHeight="1" x14ac:dyDescent="0.35">
      <c r="O5984" s="9"/>
    </row>
    <row r="5985" spans="15:15" ht="31.4" customHeight="1" x14ac:dyDescent="0.35">
      <c r="O5985" s="9"/>
    </row>
    <row r="5986" spans="15:15" ht="31.4" customHeight="1" x14ac:dyDescent="0.35">
      <c r="O5986" s="9"/>
    </row>
    <row r="5987" spans="15:15" ht="31.4" customHeight="1" x14ac:dyDescent="0.35">
      <c r="O5987" s="9"/>
    </row>
    <row r="5988" spans="15:15" ht="31.4" customHeight="1" x14ac:dyDescent="0.35">
      <c r="O5988" s="9"/>
    </row>
    <row r="5989" spans="15:15" ht="31.4" customHeight="1" x14ac:dyDescent="0.35">
      <c r="O5989" s="9"/>
    </row>
    <row r="5990" spans="15:15" ht="31.4" customHeight="1" x14ac:dyDescent="0.35">
      <c r="O5990" s="9"/>
    </row>
    <row r="5991" spans="15:15" ht="31.4" customHeight="1" x14ac:dyDescent="0.35">
      <c r="O5991" s="9"/>
    </row>
    <row r="5992" spans="15:15" ht="31.4" customHeight="1" x14ac:dyDescent="0.35">
      <c r="O5992" s="9"/>
    </row>
    <row r="5993" spans="15:15" ht="31.4" customHeight="1" x14ac:dyDescent="0.35">
      <c r="O5993" s="9"/>
    </row>
    <row r="5994" spans="15:15" ht="31.4" customHeight="1" x14ac:dyDescent="0.35">
      <c r="O5994" s="9"/>
    </row>
    <row r="5995" spans="15:15" ht="31.4" customHeight="1" x14ac:dyDescent="0.35">
      <c r="O5995" s="9"/>
    </row>
    <row r="5996" spans="15:15" ht="31.4" customHeight="1" x14ac:dyDescent="0.35">
      <c r="O5996" s="9"/>
    </row>
    <row r="5997" spans="15:15" ht="31.4" customHeight="1" x14ac:dyDescent="0.35">
      <c r="O5997" s="9"/>
    </row>
    <row r="5998" spans="15:15" ht="31.4" customHeight="1" x14ac:dyDescent="0.35">
      <c r="O5998" s="9"/>
    </row>
    <row r="5999" spans="15:15" ht="31.4" customHeight="1" x14ac:dyDescent="0.35">
      <c r="O5999" s="9"/>
    </row>
    <row r="6000" spans="15:15" ht="31.4" customHeight="1" x14ac:dyDescent="0.35">
      <c r="O6000" s="9"/>
    </row>
    <row r="6001" spans="15:15" ht="31.4" customHeight="1" x14ac:dyDescent="0.35">
      <c r="O6001" s="9"/>
    </row>
    <row r="6002" spans="15:15" ht="31.4" customHeight="1" x14ac:dyDescent="0.35">
      <c r="O6002" s="9"/>
    </row>
    <row r="6003" spans="15:15" ht="31.4" customHeight="1" x14ac:dyDescent="0.35">
      <c r="O6003" s="9"/>
    </row>
    <row r="6004" spans="15:15" ht="31.4" customHeight="1" x14ac:dyDescent="0.35">
      <c r="O6004" s="9"/>
    </row>
    <row r="6005" spans="15:15" ht="31.4" customHeight="1" x14ac:dyDescent="0.35">
      <c r="O6005" s="9"/>
    </row>
    <row r="6006" spans="15:15" ht="31.4" customHeight="1" x14ac:dyDescent="0.35">
      <c r="O6006" s="9"/>
    </row>
    <row r="6007" spans="15:15" ht="31.4" customHeight="1" x14ac:dyDescent="0.35">
      <c r="O6007" s="9"/>
    </row>
    <row r="6008" spans="15:15" ht="31.4" customHeight="1" x14ac:dyDescent="0.35">
      <c r="O6008" s="9"/>
    </row>
    <row r="6009" spans="15:15" ht="31.4" customHeight="1" x14ac:dyDescent="0.35">
      <c r="O6009" s="9"/>
    </row>
    <row r="6010" spans="15:15" ht="31.4" customHeight="1" x14ac:dyDescent="0.35">
      <c r="O6010" s="9"/>
    </row>
    <row r="6011" spans="15:15" ht="31.4" customHeight="1" x14ac:dyDescent="0.35">
      <c r="O6011" s="9"/>
    </row>
    <row r="6012" spans="15:15" ht="31.4" customHeight="1" x14ac:dyDescent="0.35">
      <c r="O6012" s="9"/>
    </row>
    <row r="6013" spans="15:15" ht="31.4" customHeight="1" x14ac:dyDescent="0.35">
      <c r="O6013" s="9"/>
    </row>
    <row r="6014" spans="15:15" ht="31.4" customHeight="1" x14ac:dyDescent="0.35">
      <c r="O6014" s="9"/>
    </row>
    <row r="6015" spans="15:15" ht="31.4" customHeight="1" x14ac:dyDescent="0.35">
      <c r="O6015" s="9"/>
    </row>
    <row r="6016" spans="15:15" ht="31.4" customHeight="1" x14ac:dyDescent="0.35">
      <c r="O6016" s="9"/>
    </row>
    <row r="6017" spans="15:15" ht="31.4" customHeight="1" x14ac:dyDescent="0.35">
      <c r="O6017" s="9"/>
    </row>
    <row r="6018" spans="15:15" ht="31.4" customHeight="1" x14ac:dyDescent="0.35">
      <c r="O6018" s="9"/>
    </row>
    <row r="6019" spans="15:15" ht="31.4" customHeight="1" x14ac:dyDescent="0.35">
      <c r="O6019" s="9"/>
    </row>
    <row r="6020" spans="15:15" ht="31.4" customHeight="1" x14ac:dyDescent="0.35">
      <c r="O6020" s="9"/>
    </row>
    <row r="6021" spans="15:15" ht="31.4" customHeight="1" x14ac:dyDescent="0.35">
      <c r="O6021" s="9"/>
    </row>
    <row r="6022" spans="15:15" ht="31.4" customHeight="1" x14ac:dyDescent="0.35">
      <c r="O6022" s="9"/>
    </row>
    <row r="6023" spans="15:15" ht="31.4" customHeight="1" x14ac:dyDescent="0.35">
      <c r="O6023" s="9"/>
    </row>
    <row r="6024" spans="15:15" ht="31.4" customHeight="1" x14ac:dyDescent="0.35">
      <c r="O6024" s="9"/>
    </row>
    <row r="6025" spans="15:15" ht="31.4" customHeight="1" x14ac:dyDescent="0.35">
      <c r="O6025" s="9"/>
    </row>
    <row r="6026" spans="15:15" ht="31.4" customHeight="1" x14ac:dyDescent="0.35">
      <c r="O6026" s="9"/>
    </row>
    <row r="6027" spans="15:15" ht="31.4" customHeight="1" x14ac:dyDescent="0.35">
      <c r="O6027" s="9"/>
    </row>
    <row r="6028" spans="15:15" ht="31.4" customHeight="1" x14ac:dyDescent="0.35">
      <c r="O6028" s="9"/>
    </row>
    <row r="6029" spans="15:15" ht="31.4" customHeight="1" x14ac:dyDescent="0.35">
      <c r="O6029" s="9"/>
    </row>
    <row r="6030" spans="15:15" ht="31.4" customHeight="1" x14ac:dyDescent="0.35">
      <c r="O6030" s="9"/>
    </row>
    <row r="6031" spans="15:15" ht="31.4" customHeight="1" x14ac:dyDescent="0.35">
      <c r="O6031" s="9"/>
    </row>
    <row r="6032" spans="15:15" ht="31.4" customHeight="1" x14ac:dyDescent="0.35">
      <c r="O6032" s="9"/>
    </row>
    <row r="6033" spans="15:15" ht="31.4" customHeight="1" x14ac:dyDescent="0.35">
      <c r="O6033" s="9"/>
    </row>
    <row r="6034" spans="15:15" ht="31.4" customHeight="1" x14ac:dyDescent="0.35">
      <c r="O6034" s="9"/>
    </row>
    <row r="6035" spans="15:15" ht="31.4" customHeight="1" x14ac:dyDescent="0.35">
      <c r="O6035" s="9"/>
    </row>
    <row r="6036" spans="15:15" ht="31.4" customHeight="1" x14ac:dyDescent="0.35">
      <c r="O6036" s="9"/>
    </row>
    <row r="6037" spans="15:15" ht="31.4" customHeight="1" x14ac:dyDescent="0.35">
      <c r="O6037" s="9"/>
    </row>
    <row r="6038" spans="15:15" ht="31.4" customHeight="1" x14ac:dyDescent="0.35">
      <c r="O6038" s="9"/>
    </row>
    <row r="6039" spans="15:15" ht="31.4" customHeight="1" x14ac:dyDescent="0.35">
      <c r="O6039" s="9"/>
    </row>
    <row r="6040" spans="15:15" ht="31.4" customHeight="1" x14ac:dyDescent="0.35">
      <c r="O6040" s="9"/>
    </row>
    <row r="6041" spans="15:15" ht="31.4" customHeight="1" x14ac:dyDescent="0.35">
      <c r="O6041" s="9"/>
    </row>
    <row r="6042" spans="15:15" ht="31.4" customHeight="1" x14ac:dyDescent="0.35">
      <c r="O6042" s="9"/>
    </row>
    <row r="6043" spans="15:15" ht="31.4" customHeight="1" x14ac:dyDescent="0.35">
      <c r="O6043" s="9"/>
    </row>
    <row r="6044" spans="15:15" ht="31.4" customHeight="1" x14ac:dyDescent="0.35">
      <c r="O6044" s="9"/>
    </row>
    <row r="6045" spans="15:15" ht="31.4" customHeight="1" x14ac:dyDescent="0.35">
      <c r="O6045" s="9"/>
    </row>
    <row r="6046" spans="15:15" ht="31.4" customHeight="1" x14ac:dyDescent="0.35">
      <c r="O6046" s="9"/>
    </row>
    <row r="6047" spans="15:15" ht="31.4" customHeight="1" x14ac:dyDescent="0.35">
      <c r="O6047" s="9"/>
    </row>
    <row r="6048" spans="15:15" ht="31.4" customHeight="1" x14ac:dyDescent="0.35">
      <c r="O6048" s="9"/>
    </row>
    <row r="6049" spans="15:15" ht="31.4" customHeight="1" x14ac:dyDescent="0.35">
      <c r="O6049" s="9"/>
    </row>
    <row r="6050" spans="15:15" ht="31.4" customHeight="1" x14ac:dyDescent="0.35">
      <c r="O6050" s="9"/>
    </row>
    <row r="6051" spans="15:15" ht="31.4" customHeight="1" x14ac:dyDescent="0.35">
      <c r="O6051" s="9"/>
    </row>
    <row r="6052" spans="15:15" ht="31.4" customHeight="1" x14ac:dyDescent="0.35">
      <c r="O6052" s="9"/>
    </row>
    <row r="6053" spans="15:15" ht="31.4" customHeight="1" x14ac:dyDescent="0.35">
      <c r="O6053" s="9"/>
    </row>
    <row r="6054" spans="15:15" ht="31.4" customHeight="1" x14ac:dyDescent="0.35">
      <c r="O6054" s="9"/>
    </row>
    <row r="6055" spans="15:15" ht="31.4" customHeight="1" x14ac:dyDescent="0.35">
      <c r="O6055" s="9"/>
    </row>
    <row r="6056" spans="15:15" ht="31.4" customHeight="1" x14ac:dyDescent="0.35">
      <c r="O6056" s="9"/>
    </row>
    <row r="6057" spans="15:15" ht="31.4" customHeight="1" x14ac:dyDescent="0.35">
      <c r="O6057" s="9"/>
    </row>
    <row r="6058" spans="15:15" ht="31.4" customHeight="1" x14ac:dyDescent="0.35">
      <c r="O6058" s="9"/>
    </row>
    <row r="6059" spans="15:15" ht="31.4" customHeight="1" x14ac:dyDescent="0.35">
      <c r="O6059" s="9"/>
    </row>
    <row r="6060" spans="15:15" ht="31.4" customHeight="1" x14ac:dyDescent="0.35">
      <c r="O6060" s="9"/>
    </row>
    <row r="6061" spans="15:15" ht="31.4" customHeight="1" x14ac:dyDescent="0.35">
      <c r="O6061" s="9"/>
    </row>
    <row r="6062" spans="15:15" ht="31.4" customHeight="1" x14ac:dyDescent="0.35">
      <c r="O6062" s="9"/>
    </row>
    <row r="6063" spans="15:15" ht="31.4" customHeight="1" x14ac:dyDescent="0.35">
      <c r="O6063" s="9"/>
    </row>
    <row r="6064" spans="15:15" ht="31.4" customHeight="1" x14ac:dyDescent="0.35">
      <c r="O6064" s="9"/>
    </row>
    <row r="6065" spans="15:15" ht="31.4" customHeight="1" x14ac:dyDescent="0.35">
      <c r="O6065" s="9"/>
    </row>
    <row r="6066" spans="15:15" ht="31.4" customHeight="1" x14ac:dyDescent="0.35">
      <c r="O6066" s="9"/>
    </row>
    <row r="6067" spans="15:15" ht="31.4" customHeight="1" x14ac:dyDescent="0.35">
      <c r="O6067" s="9"/>
    </row>
    <row r="6068" spans="15:15" ht="31.4" customHeight="1" x14ac:dyDescent="0.35">
      <c r="O6068" s="9"/>
    </row>
    <row r="6069" spans="15:15" ht="31.4" customHeight="1" x14ac:dyDescent="0.35">
      <c r="O6069" s="9"/>
    </row>
    <row r="6070" spans="15:15" ht="31.4" customHeight="1" x14ac:dyDescent="0.35">
      <c r="O6070" s="9"/>
    </row>
    <row r="6071" spans="15:15" ht="31.4" customHeight="1" x14ac:dyDescent="0.35">
      <c r="O6071" s="9"/>
    </row>
    <row r="6072" spans="15:15" ht="31.4" customHeight="1" x14ac:dyDescent="0.35">
      <c r="O6072" s="9"/>
    </row>
    <row r="6073" spans="15:15" ht="31.4" customHeight="1" x14ac:dyDescent="0.35">
      <c r="O6073" s="9"/>
    </row>
    <row r="6074" spans="15:15" ht="31.4" customHeight="1" x14ac:dyDescent="0.35">
      <c r="O6074" s="9"/>
    </row>
    <row r="6075" spans="15:15" ht="31.4" customHeight="1" x14ac:dyDescent="0.35">
      <c r="O6075" s="9"/>
    </row>
    <row r="6076" spans="15:15" ht="31.4" customHeight="1" x14ac:dyDescent="0.35">
      <c r="O6076" s="9"/>
    </row>
    <row r="6077" spans="15:15" ht="31.4" customHeight="1" x14ac:dyDescent="0.35">
      <c r="O6077" s="9"/>
    </row>
    <row r="6078" spans="15:15" ht="31.4" customHeight="1" x14ac:dyDescent="0.35">
      <c r="O6078" s="9"/>
    </row>
    <row r="6079" spans="15:15" ht="31.4" customHeight="1" x14ac:dyDescent="0.35">
      <c r="O6079" s="9"/>
    </row>
    <row r="6080" spans="15:15" ht="31.4" customHeight="1" x14ac:dyDescent="0.35">
      <c r="O6080" s="9"/>
    </row>
    <row r="6081" spans="15:15" ht="31.4" customHeight="1" x14ac:dyDescent="0.35">
      <c r="O6081" s="9"/>
    </row>
    <row r="6082" spans="15:15" ht="31.4" customHeight="1" x14ac:dyDescent="0.35">
      <c r="O6082" s="9"/>
    </row>
    <row r="6083" spans="15:15" ht="31.4" customHeight="1" x14ac:dyDescent="0.35">
      <c r="O6083" s="9"/>
    </row>
    <row r="6084" spans="15:15" ht="31.4" customHeight="1" x14ac:dyDescent="0.35">
      <c r="O6084" s="9"/>
    </row>
    <row r="6085" spans="15:15" ht="31.4" customHeight="1" x14ac:dyDescent="0.35">
      <c r="O6085" s="9"/>
    </row>
    <row r="6086" spans="15:15" ht="31.4" customHeight="1" x14ac:dyDescent="0.35">
      <c r="O6086" s="9"/>
    </row>
    <row r="6087" spans="15:15" ht="31.4" customHeight="1" x14ac:dyDescent="0.35">
      <c r="O6087" s="9"/>
    </row>
    <row r="6088" spans="15:15" ht="31.4" customHeight="1" x14ac:dyDescent="0.35">
      <c r="O6088" s="9"/>
    </row>
    <row r="6089" spans="15:15" ht="31.4" customHeight="1" x14ac:dyDescent="0.35">
      <c r="O6089" s="9"/>
    </row>
    <row r="6090" spans="15:15" ht="31.4" customHeight="1" x14ac:dyDescent="0.35">
      <c r="O6090" s="9"/>
    </row>
    <row r="6091" spans="15:15" ht="31.4" customHeight="1" x14ac:dyDescent="0.35">
      <c r="O6091" s="9"/>
    </row>
    <row r="6092" spans="15:15" ht="31.4" customHeight="1" x14ac:dyDescent="0.35">
      <c r="O6092" s="9"/>
    </row>
    <row r="6093" spans="15:15" ht="31.4" customHeight="1" x14ac:dyDescent="0.35">
      <c r="O6093" s="9"/>
    </row>
    <row r="6094" spans="15:15" ht="31.4" customHeight="1" x14ac:dyDescent="0.35">
      <c r="O6094" s="9"/>
    </row>
    <row r="6095" spans="15:15" ht="31.4" customHeight="1" x14ac:dyDescent="0.35">
      <c r="O6095" s="9"/>
    </row>
    <row r="6096" spans="15:15" ht="31.4" customHeight="1" x14ac:dyDescent="0.35">
      <c r="O6096" s="9"/>
    </row>
    <row r="6097" spans="15:15" ht="31.4" customHeight="1" x14ac:dyDescent="0.35">
      <c r="O6097" s="9"/>
    </row>
    <row r="6098" spans="15:15" ht="31.4" customHeight="1" x14ac:dyDescent="0.35">
      <c r="O6098" s="9"/>
    </row>
    <row r="6099" spans="15:15" ht="31.4" customHeight="1" x14ac:dyDescent="0.35">
      <c r="O6099" s="9"/>
    </row>
    <row r="6100" spans="15:15" ht="31.4" customHeight="1" x14ac:dyDescent="0.35">
      <c r="O6100" s="9"/>
    </row>
    <row r="6101" spans="15:15" ht="31.4" customHeight="1" x14ac:dyDescent="0.35">
      <c r="O6101" s="9"/>
    </row>
    <row r="6102" spans="15:15" ht="31.4" customHeight="1" x14ac:dyDescent="0.35">
      <c r="O6102" s="9"/>
    </row>
    <row r="6103" spans="15:15" ht="31.4" customHeight="1" x14ac:dyDescent="0.35">
      <c r="O6103" s="9"/>
    </row>
    <row r="6104" spans="15:15" ht="31.4" customHeight="1" x14ac:dyDescent="0.35">
      <c r="O6104" s="9"/>
    </row>
    <row r="6105" spans="15:15" ht="31.4" customHeight="1" x14ac:dyDescent="0.35">
      <c r="O6105" s="9"/>
    </row>
    <row r="6106" spans="15:15" ht="31.4" customHeight="1" x14ac:dyDescent="0.35">
      <c r="O6106" s="9"/>
    </row>
    <row r="6107" spans="15:15" ht="31.4" customHeight="1" x14ac:dyDescent="0.35">
      <c r="O6107" s="9"/>
    </row>
    <row r="6108" spans="15:15" ht="31.4" customHeight="1" x14ac:dyDescent="0.35">
      <c r="O6108" s="9"/>
    </row>
    <row r="6109" spans="15:15" ht="31.4" customHeight="1" x14ac:dyDescent="0.35">
      <c r="O6109" s="9"/>
    </row>
    <row r="6110" spans="15:15" ht="31.4" customHeight="1" x14ac:dyDescent="0.35">
      <c r="O6110" s="9"/>
    </row>
    <row r="6111" spans="15:15" ht="31.4" customHeight="1" x14ac:dyDescent="0.35">
      <c r="O6111" s="9"/>
    </row>
    <row r="6112" spans="15:15" ht="31.4" customHeight="1" x14ac:dyDescent="0.35">
      <c r="O6112" s="9"/>
    </row>
    <row r="6113" spans="15:15" ht="31.4" customHeight="1" x14ac:dyDescent="0.35">
      <c r="O6113" s="9"/>
    </row>
    <row r="6114" spans="15:15" ht="31.4" customHeight="1" x14ac:dyDescent="0.35">
      <c r="O6114" s="9"/>
    </row>
    <row r="6115" spans="15:15" ht="31.4" customHeight="1" x14ac:dyDescent="0.35">
      <c r="O6115" s="9"/>
    </row>
    <row r="6116" spans="15:15" ht="31.4" customHeight="1" x14ac:dyDescent="0.35">
      <c r="O6116" s="9"/>
    </row>
    <row r="6117" spans="15:15" ht="31.4" customHeight="1" x14ac:dyDescent="0.35">
      <c r="O6117" s="9"/>
    </row>
    <row r="6118" spans="15:15" ht="31.4" customHeight="1" x14ac:dyDescent="0.35">
      <c r="O6118" s="9"/>
    </row>
    <row r="6119" spans="15:15" ht="31.4" customHeight="1" x14ac:dyDescent="0.35">
      <c r="O6119" s="9"/>
    </row>
    <row r="6120" spans="15:15" ht="31.4" customHeight="1" x14ac:dyDescent="0.35">
      <c r="O6120" s="9"/>
    </row>
    <row r="6121" spans="15:15" ht="31.4" customHeight="1" x14ac:dyDescent="0.35">
      <c r="O6121" s="9"/>
    </row>
    <row r="6122" spans="15:15" ht="31.4" customHeight="1" x14ac:dyDescent="0.35">
      <c r="O6122" s="9"/>
    </row>
    <row r="6123" spans="15:15" ht="31.4" customHeight="1" x14ac:dyDescent="0.35">
      <c r="O6123" s="9"/>
    </row>
    <row r="6124" spans="15:15" ht="31.4" customHeight="1" x14ac:dyDescent="0.35">
      <c r="O6124" s="9"/>
    </row>
    <row r="6125" spans="15:15" ht="31.4" customHeight="1" x14ac:dyDescent="0.35">
      <c r="O6125" s="9"/>
    </row>
    <row r="6126" spans="15:15" ht="31.4" customHeight="1" x14ac:dyDescent="0.35">
      <c r="O6126" s="9"/>
    </row>
    <row r="6127" spans="15:15" ht="31.4" customHeight="1" x14ac:dyDescent="0.35">
      <c r="O6127" s="9"/>
    </row>
    <row r="6128" spans="15:15" ht="31.4" customHeight="1" x14ac:dyDescent="0.35">
      <c r="O6128" s="9"/>
    </row>
    <row r="6129" spans="15:15" ht="31.4" customHeight="1" x14ac:dyDescent="0.35">
      <c r="O6129" s="9"/>
    </row>
    <row r="6130" spans="15:15" ht="31.4" customHeight="1" x14ac:dyDescent="0.35">
      <c r="O6130" s="9"/>
    </row>
    <row r="6131" spans="15:15" ht="31.4" customHeight="1" x14ac:dyDescent="0.35">
      <c r="O6131" s="9"/>
    </row>
    <row r="6132" spans="15:15" ht="31.4" customHeight="1" x14ac:dyDescent="0.35">
      <c r="O6132" s="9"/>
    </row>
    <row r="6133" spans="15:15" ht="31.4" customHeight="1" x14ac:dyDescent="0.35">
      <c r="O6133" s="9"/>
    </row>
    <row r="6134" spans="15:15" ht="31.4" customHeight="1" x14ac:dyDescent="0.35">
      <c r="O6134" s="9"/>
    </row>
    <row r="6135" spans="15:15" ht="31.4" customHeight="1" x14ac:dyDescent="0.35">
      <c r="O6135" s="9"/>
    </row>
    <row r="6136" spans="15:15" ht="31.4" customHeight="1" x14ac:dyDescent="0.35">
      <c r="O6136" s="9"/>
    </row>
    <row r="6137" spans="15:15" ht="31.4" customHeight="1" x14ac:dyDescent="0.35">
      <c r="O6137" s="9"/>
    </row>
    <row r="6138" spans="15:15" ht="31.4" customHeight="1" x14ac:dyDescent="0.35">
      <c r="O6138" s="9"/>
    </row>
    <row r="6139" spans="15:15" ht="31.4" customHeight="1" x14ac:dyDescent="0.35">
      <c r="O6139" s="9"/>
    </row>
    <row r="6140" spans="15:15" ht="31.4" customHeight="1" x14ac:dyDescent="0.35">
      <c r="O6140" s="9"/>
    </row>
    <row r="6141" spans="15:15" ht="31.4" customHeight="1" x14ac:dyDescent="0.35">
      <c r="O6141" s="9"/>
    </row>
    <row r="6142" spans="15:15" ht="31.4" customHeight="1" x14ac:dyDescent="0.35">
      <c r="O6142" s="9"/>
    </row>
    <row r="6143" spans="15:15" ht="31.4" customHeight="1" x14ac:dyDescent="0.35">
      <c r="O6143" s="9"/>
    </row>
    <row r="6144" spans="15:15" ht="31.4" customHeight="1" x14ac:dyDescent="0.35">
      <c r="O6144" s="9"/>
    </row>
    <row r="6145" spans="15:15" ht="31.4" customHeight="1" x14ac:dyDescent="0.35">
      <c r="O6145" s="9"/>
    </row>
    <row r="6146" spans="15:15" ht="31.4" customHeight="1" x14ac:dyDescent="0.35">
      <c r="O6146" s="9"/>
    </row>
    <row r="6147" spans="15:15" ht="31.4" customHeight="1" x14ac:dyDescent="0.35">
      <c r="O6147" s="9"/>
    </row>
    <row r="6148" spans="15:15" ht="31.4" customHeight="1" x14ac:dyDescent="0.35">
      <c r="O6148" s="9"/>
    </row>
    <row r="6149" spans="15:15" ht="31.4" customHeight="1" x14ac:dyDescent="0.35">
      <c r="O6149" s="9"/>
    </row>
    <row r="6150" spans="15:15" ht="31.4" customHeight="1" x14ac:dyDescent="0.35">
      <c r="O6150" s="9"/>
    </row>
    <row r="6151" spans="15:15" ht="31.4" customHeight="1" x14ac:dyDescent="0.35">
      <c r="O6151" s="9"/>
    </row>
    <row r="6152" spans="15:15" ht="31.4" customHeight="1" x14ac:dyDescent="0.35">
      <c r="O6152" s="9"/>
    </row>
    <row r="6153" spans="15:15" ht="31.4" customHeight="1" x14ac:dyDescent="0.35">
      <c r="O6153" s="9"/>
    </row>
    <row r="6154" spans="15:15" ht="31.4" customHeight="1" x14ac:dyDescent="0.35">
      <c r="O6154" s="9"/>
    </row>
    <row r="6155" spans="15:15" ht="31.4" customHeight="1" x14ac:dyDescent="0.35">
      <c r="O6155" s="9"/>
    </row>
    <row r="6156" spans="15:15" ht="31.4" customHeight="1" x14ac:dyDescent="0.35">
      <c r="O6156" s="9"/>
    </row>
    <row r="6157" spans="15:15" ht="31.4" customHeight="1" x14ac:dyDescent="0.35">
      <c r="O6157" s="9"/>
    </row>
    <row r="6158" spans="15:15" ht="31.4" customHeight="1" x14ac:dyDescent="0.35">
      <c r="O6158" s="9"/>
    </row>
    <row r="6159" spans="15:15" ht="31.4" customHeight="1" x14ac:dyDescent="0.35">
      <c r="O6159" s="9"/>
    </row>
    <row r="6160" spans="15:15" ht="31.4" customHeight="1" x14ac:dyDescent="0.35">
      <c r="O6160" s="9"/>
    </row>
    <row r="6161" spans="15:15" ht="31.4" customHeight="1" x14ac:dyDescent="0.35">
      <c r="O6161" s="9"/>
    </row>
    <row r="6162" spans="15:15" ht="31.4" customHeight="1" x14ac:dyDescent="0.35">
      <c r="O6162" s="9"/>
    </row>
    <row r="6163" spans="15:15" ht="31.4" customHeight="1" x14ac:dyDescent="0.35">
      <c r="O6163" s="9"/>
    </row>
    <row r="6164" spans="15:15" ht="31.4" customHeight="1" x14ac:dyDescent="0.35">
      <c r="O6164" s="9"/>
    </row>
    <row r="6165" spans="15:15" ht="31.4" customHeight="1" x14ac:dyDescent="0.35">
      <c r="O6165" s="9"/>
    </row>
    <row r="6166" spans="15:15" ht="31.4" customHeight="1" x14ac:dyDescent="0.35">
      <c r="O6166" s="9"/>
    </row>
    <row r="6167" spans="15:15" ht="31.4" customHeight="1" x14ac:dyDescent="0.35">
      <c r="O6167" s="9"/>
    </row>
    <row r="6168" spans="15:15" ht="31.4" customHeight="1" x14ac:dyDescent="0.35">
      <c r="O6168" s="9"/>
    </row>
    <row r="6169" spans="15:15" ht="31.4" customHeight="1" x14ac:dyDescent="0.35">
      <c r="O6169" s="9"/>
    </row>
    <row r="6170" spans="15:15" ht="31.4" customHeight="1" x14ac:dyDescent="0.35">
      <c r="O6170" s="9"/>
    </row>
    <row r="6171" spans="15:15" ht="31.4" customHeight="1" x14ac:dyDescent="0.35">
      <c r="O6171" s="9"/>
    </row>
    <row r="6172" spans="15:15" ht="31.4" customHeight="1" x14ac:dyDescent="0.35">
      <c r="O6172" s="9"/>
    </row>
    <row r="6173" spans="15:15" ht="31.4" customHeight="1" x14ac:dyDescent="0.35">
      <c r="O6173" s="9"/>
    </row>
    <row r="6174" spans="15:15" ht="31.4" customHeight="1" x14ac:dyDescent="0.35">
      <c r="O6174" s="9"/>
    </row>
    <row r="6175" spans="15:15" ht="31.4" customHeight="1" x14ac:dyDescent="0.35">
      <c r="O6175" s="9"/>
    </row>
    <row r="6176" spans="15:15" ht="31.4" customHeight="1" x14ac:dyDescent="0.35">
      <c r="O6176" s="9"/>
    </row>
    <row r="6177" spans="15:15" ht="31.4" customHeight="1" x14ac:dyDescent="0.35">
      <c r="O6177" s="9"/>
    </row>
    <row r="6178" spans="15:15" ht="31.4" customHeight="1" x14ac:dyDescent="0.35">
      <c r="O6178" s="9"/>
    </row>
    <row r="6179" spans="15:15" ht="31.4" customHeight="1" x14ac:dyDescent="0.35">
      <c r="O6179" s="9"/>
    </row>
    <row r="6180" spans="15:15" ht="31.4" customHeight="1" x14ac:dyDescent="0.35">
      <c r="O6180" s="9"/>
    </row>
    <row r="6181" spans="15:15" ht="31.4" customHeight="1" x14ac:dyDescent="0.35">
      <c r="O6181" s="9"/>
    </row>
    <row r="6182" spans="15:15" ht="31.4" customHeight="1" x14ac:dyDescent="0.35">
      <c r="O6182" s="9"/>
    </row>
    <row r="6183" spans="15:15" ht="31.4" customHeight="1" x14ac:dyDescent="0.35">
      <c r="O6183" s="9"/>
    </row>
    <row r="6184" spans="15:15" ht="31.4" customHeight="1" x14ac:dyDescent="0.35">
      <c r="O6184" s="9"/>
    </row>
    <row r="6185" spans="15:15" ht="31.4" customHeight="1" x14ac:dyDescent="0.35">
      <c r="O6185" s="9"/>
    </row>
    <row r="6186" spans="15:15" ht="31.4" customHeight="1" x14ac:dyDescent="0.35">
      <c r="O6186" s="9"/>
    </row>
    <row r="6187" spans="15:15" ht="31.4" customHeight="1" x14ac:dyDescent="0.35">
      <c r="O6187" s="9"/>
    </row>
    <row r="6188" spans="15:15" ht="31.4" customHeight="1" x14ac:dyDescent="0.35">
      <c r="O6188" s="9"/>
    </row>
    <row r="6189" spans="15:15" ht="31.4" customHeight="1" x14ac:dyDescent="0.35">
      <c r="O6189" s="9"/>
    </row>
    <row r="6190" spans="15:15" ht="31.4" customHeight="1" x14ac:dyDescent="0.35">
      <c r="O6190" s="9"/>
    </row>
    <row r="6191" spans="15:15" ht="31.4" customHeight="1" x14ac:dyDescent="0.35">
      <c r="O6191" s="9"/>
    </row>
    <row r="6192" spans="15:15" ht="31.4" customHeight="1" x14ac:dyDescent="0.35">
      <c r="O6192" s="9"/>
    </row>
    <row r="6193" spans="15:15" ht="31.4" customHeight="1" x14ac:dyDescent="0.35">
      <c r="O6193" s="9"/>
    </row>
    <row r="6194" spans="15:15" ht="31.4" customHeight="1" x14ac:dyDescent="0.35">
      <c r="O6194" s="9"/>
    </row>
    <row r="6195" spans="15:15" ht="31.4" customHeight="1" x14ac:dyDescent="0.35">
      <c r="O6195" s="9"/>
    </row>
    <row r="6196" spans="15:15" ht="31.4" customHeight="1" x14ac:dyDescent="0.35">
      <c r="O6196" s="9"/>
    </row>
    <row r="6197" spans="15:15" ht="31.4" customHeight="1" x14ac:dyDescent="0.35">
      <c r="O6197" s="9"/>
    </row>
    <row r="6198" spans="15:15" ht="31.4" customHeight="1" x14ac:dyDescent="0.35">
      <c r="O6198" s="9"/>
    </row>
    <row r="6199" spans="15:15" ht="31.4" customHeight="1" x14ac:dyDescent="0.35">
      <c r="O6199" s="9"/>
    </row>
    <row r="6200" spans="15:15" ht="31.4" customHeight="1" x14ac:dyDescent="0.35">
      <c r="O6200" s="9"/>
    </row>
    <row r="6201" spans="15:15" ht="31.4" customHeight="1" x14ac:dyDescent="0.35">
      <c r="O6201" s="9"/>
    </row>
    <row r="6202" spans="15:15" ht="31.4" customHeight="1" x14ac:dyDescent="0.35">
      <c r="O6202" s="9"/>
    </row>
    <row r="6203" spans="15:15" ht="31.4" customHeight="1" x14ac:dyDescent="0.35">
      <c r="O6203" s="9"/>
    </row>
    <row r="6204" spans="15:15" ht="31.4" customHeight="1" x14ac:dyDescent="0.35">
      <c r="O6204" s="9"/>
    </row>
    <row r="6205" spans="15:15" ht="31.4" customHeight="1" x14ac:dyDescent="0.35">
      <c r="O6205" s="9"/>
    </row>
    <row r="6206" spans="15:15" ht="31.4" customHeight="1" x14ac:dyDescent="0.35">
      <c r="O6206" s="9"/>
    </row>
    <row r="6207" spans="15:15" ht="31.4" customHeight="1" x14ac:dyDescent="0.35">
      <c r="O6207" s="9"/>
    </row>
    <row r="6208" spans="15:15" ht="31.4" customHeight="1" x14ac:dyDescent="0.35">
      <c r="O6208" s="9"/>
    </row>
    <row r="6209" spans="15:15" ht="31.4" customHeight="1" x14ac:dyDescent="0.35">
      <c r="O6209" s="9"/>
    </row>
    <row r="6210" spans="15:15" ht="31.4" customHeight="1" x14ac:dyDescent="0.35">
      <c r="O6210" s="9"/>
    </row>
    <row r="6211" spans="15:15" ht="31.4" customHeight="1" x14ac:dyDescent="0.35">
      <c r="O6211" s="9"/>
    </row>
    <row r="6212" spans="15:15" ht="31.4" customHeight="1" x14ac:dyDescent="0.35">
      <c r="O6212" s="9"/>
    </row>
    <row r="6213" spans="15:15" ht="31.4" customHeight="1" x14ac:dyDescent="0.35">
      <c r="O6213" s="9"/>
    </row>
    <row r="6214" spans="15:15" ht="31.4" customHeight="1" x14ac:dyDescent="0.35">
      <c r="O6214" s="9"/>
    </row>
    <row r="6215" spans="15:15" ht="31.4" customHeight="1" x14ac:dyDescent="0.35">
      <c r="O6215" s="9"/>
    </row>
    <row r="6216" spans="15:15" ht="31.4" customHeight="1" x14ac:dyDescent="0.35">
      <c r="O6216" s="9"/>
    </row>
    <row r="6217" spans="15:15" ht="31.4" customHeight="1" x14ac:dyDescent="0.35">
      <c r="O6217" s="9"/>
    </row>
    <row r="6218" spans="15:15" ht="31.4" customHeight="1" x14ac:dyDescent="0.35">
      <c r="O6218" s="9"/>
    </row>
    <row r="6219" spans="15:15" ht="31.4" customHeight="1" x14ac:dyDescent="0.35">
      <c r="O6219" s="9"/>
    </row>
    <row r="6220" spans="15:15" ht="31.4" customHeight="1" x14ac:dyDescent="0.35">
      <c r="O6220" s="9"/>
    </row>
    <row r="6221" spans="15:15" ht="31.4" customHeight="1" x14ac:dyDescent="0.35">
      <c r="O6221" s="9"/>
    </row>
    <row r="6222" spans="15:15" ht="31.4" customHeight="1" x14ac:dyDescent="0.35">
      <c r="O6222" s="9"/>
    </row>
    <row r="6223" spans="15:15" ht="31.4" customHeight="1" x14ac:dyDescent="0.35">
      <c r="O6223" s="9"/>
    </row>
    <row r="6224" spans="15:15" ht="31.4" customHeight="1" x14ac:dyDescent="0.35">
      <c r="O6224" s="9"/>
    </row>
    <row r="6225" spans="15:15" ht="31.4" customHeight="1" x14ac:dyDescent="0.35">
      <c r="O6225" s="9"/>
    </row>
    <row r="6226" spans="15:15" ht="31.4" customHeight="1" x14ac:dyDescent="0.35">
      <c r="O6226" s="9"/>
    </row>
    <row r="6227" spans="15:15" ht="31.4" customHeight="1" x14ac:dyDescent="0.35">
      <c r="O6227" s="9"/>
    </row>
    <row r="6228" spans="15:15" ht="31.4" customHeight="1" x14ac:dyDescent="0.35">
      <c r="O6228" s="9"/>
    </row>
    <row r="6229" spans="15:15" ht="31.4" customHeight="1" x14ac:dyDescent="0.35">
      <c r="O6229" s="9"/>
    </row>
    <row r="6230" spans="15:15" ht="31.4" customHeight="1" x14ac:dyDescent="0.35">
      <c r="O6230" s="9"/>
    </row>
    <row r="6231" spans="15:15" ht="31.4" customHeight="1" x14ac:dyDescent="0.35">
      <c r="O6231" s="9"/>
    </row>
    <row r="6232" spans="15:15" ht="31.4" customHeight="1" x14ac:dyDescent="0.35">
      <c r="O6232" s="9"/>
    </row>
    <row r="6233" spans="15:15" ht="31.4" customHeight="1" x14ac:dyDescent="0.35">
      <c r="O6233" s="9"/>
    </row>
    <row r="6234" spans="15:15" ht="31.4" customHeight="1" x14ac:dyDescent="0.35">
      <c r="O6234" s="9"/>
    </row>
    <row r="6235" spans="15:15" ht="31.4" customHeight="1" x14ac:dyDescent="0.35">
      <c r="O6235" s="9"/>
    </row>
    <row r="6236" spans="15:15" ht="31.4" customHeight="1" x14ac:dyDescent="0.35">
      <c r="O6236" s="9"/>
    </row>
    <row r="6237" spans="15:15" ht="31.4" customHeight="1" x14ac:dyDescent="0.35">
      <c r="O6237" s="9"/>
    </row>
    <row r="6238" spans="15:15" ht="31.4" customHeight="1" x14ac:dyDescent="0.35">
      <c r="O6238" s="9"/>
    </row>
    <row r="6239" spans="15:15" ht="31.4" customHeight="1" x14ac:dyDescent="0.35">
      <c r="O6239" s="9"/>
    </row>
    <row r="6240" spans="15:15" ht="31.4" customHeight="1" x14ac:dyDescent="0.35">
      <c r="O6240" s="9"/>
    </row>
    <row r="6241" spans="15:15" ht="31.4" customHeight="1" x14ac:dyDescent="0.35">
      <c r="O6241" s="9"/>
    </row>
    <row r="6242" spans="15:15" ht="31.4" customHeight="1" x14ac:dyDescent="0.35">
      <c r="O6242" s="9"/>
    </row>
    <row r="6243" spans="15:15" ht="31.4" customHeight="1" x14ac:dyDescent="0.35">
      <c r="O6243" s="9"/>
    </row>
    <row r="6244" spans="15:15" ht="31.4" customHeight="1" x14ac:dyDescent="0.35">
      <c r="O6244" s="9"/>
    </row>
    <row r="6245" spans="15:15" ht="31.4" customHeight="1" x14ac:dyDescent="0.35">
      <c r="O6245" s="9"/>
    </row>
    <row r="6246" spans="15:15" ht="31.4" customHeight="1" x14ac:dyDescent="0.35">
      <c r="O6246" s="9"/>
    </row>
    <row r="6247" spans="15:15" ht="31.4" customHeight="1" x14ac:dyDescent="0.35">
      <c r="O6247" s="9"/>
    </row>
    <row r="6248" spans="15:15" ht="31.4" customHeight="1" x14ac:dyDescent="0.35">
      <c r="O6248" s="9"/>
    </row>
    <row r="6249" spans="15:15" ht="31.4" customHeight="1" x14ac:dyDescent="0.35">
      <c r="O6249" s="9"/>
    </row>
    <row r="6250" spans="15:15" ht="31.4" customHeight="1" x14ac:dyDescent="0.35">
      <c r="O6250" s="9"/>
    </row>
    <row r="6251" spans="15:15" ht="31.4" customHeight="1" x14ac:dyDescent="0.35">
      <c r="O6251" s="9"/>
    </row>
    <row r="6252" spans="15:15" ht="31.4" customHeight="1" x14ac:dyDescent="0.35">
      <c r="O6252" s="9"/>
    </row>
    <row r="6253" spans="15:15" ht="31.4" customHeight="1" x14ac:dyDescent="0.35">
      <c r="O6253" s="9"/>
    </row>
    <row r="6254" spans="15:15" ht="31.4" customHeight="1" x14ac:dyDescent="0.35">
      <c r="O6254" s="9"/>
    </row>
    <row r="6255" spans="15:15" ht="31.4" customHeight="1" x14ac:dyDescent="0.35">
      <c r="O6255" s="9"/>
    </row>
    <row r="6256" spans="15:15" ht="31.4" customHeight="1" x14ac:dyDescent="0.35">
      <c r="O6256" s="9"/>
    </row>
    <row r="6257" spans="15:15" ht="31.4" customHeight="1" x14ac:dyDescent="0.35">
      <c r="O6257" s="9"/>
    </row>
    <row r="6258" spans="15:15" ht="31.4" customHeight="1" x14ac:dyDescent="0.35">
      <c r="O6258" s="9"/>
    </row>
    <row r="6259" spans="15:15" ht="31.4" customHeight="1" x14ac:dyDescent="0.35">
      <c r="O6259" s="9"/>
    </row>
    <row r="6260" spans="15:15" ht="31.4" customHeight="1" x14ac:dyDescent="0.35">
      <c r="O6260" s="9"/>
    </row>
    <row r="6261" spans="15:15" ht="31.4" customHeight="1" x14ac:dyDescent="0.35">
      <c r="O6261" s="9"/>
    </row>
    <row r="6262" spans="15:15" ht="31.4" customHeight="1" x14ac:dyDescent="0.35">
      <c r="O6262" s="9"/>
    </row>
    <row r="6263" spans="15:15" ht="31.4" customHeight="1" x14ac:dyDescent="0.35">
      <c r="O6263" s="9"/>
    </row>
    <row r="6264" spans="15:15" ht="31.4" customHeight="1" x14ac:dyDescent="0.35">
      <c r="O6264" s="9"/>
    </row>
    <row r="6265" spans="15:15" ht="31.4" customHeight="1" x14ac:dyDescent="0.35">
      <c r="O6265" s="9"/>
    </row>
    <row r="6266" spans="15:15" ht="31.4" customHeight="1" x14ac:dyDescent="0.35">
      <c r="O6266" s="9"/>
    </row>
    <row r="6267" spans="15:15" ht="31.4" customHeight="1" x14ac:dyDescent="0.35">
      <c r="O6267" s="9"/>
    </row>
    <row r="6268" spans="15:15" ht="31.4" customHeight="1" x14ac:dyDescent="0.35">
      <c r="O6268" s="9"/>
    </row>
    <row r="6269" spans="15:15" ht="31.4" customHeight="1" x14ac:dyDescent="0.35">
      <c r="O6269" s="9"/>
    </row>
    <row r="6270" spans="15:15" ht="31.4" customHeight="1" x14ac:dyDescent="0.35">
      <c r="O6270" s="9"/>
    </row>
    <row r="6271" spans="15:15" ht="31.4" customHeight="1" x14ac:dyDescent="0.35">
      <c r="O6271" s="9"/>
    </row>
    <row r="6272" spans="15:15" ht="31.4" customHeight="1" x14ac:dyDescent="0.35">
      <c r="O6272" s="9"/>
    </row>
    <row r="6273" spans="15:15" ht="31.4" customHeight="1" x14ac:dyDescent="0.35">
      <c r="O6273" s="9"/>
    </row>
    <row r="6274" spans="15:15" ht="31.4" customHeight="1" x14ac:dyDescent="0.35">
      <c r="O6274" s="9"/>
    </row>
    <row r="6275" spans="15:15" ht="31.4" customHeight="1" x14ac:dyDescent="0.35">
      <c r="O6275" s="9"/>
    </row>
    <row r="6276" spans="15:15" ht="31.4" customHeight="1" x14ac:dyDescent="0.35">
      <c r="O6276" s="9"/>
    </row>
    <row r="6277" spans="15:15" ht="31.4" customHeight="1" x14ac:dyDescent="0.35">
      <c r="O6277" s="9"/>
    </row>
    <row r="6278" spans="15:15" ht="31.4" customHeight="1" x14ac:dyDescent="0.35">
      <c r="O6278" s="9"/>
    </row>
    <row r="6279" spans="15:15" ht="31.4" customHeight="1" x14ac:dyDescent="0.35">
      <c r="O6279" s="9"/>
    </row>
    <row r="6280" spans="15:15" ht="31.4" customHeight="1" x14ac:dyDescent="0.35">
      <c r="O6280" s="9"/>
    </row>
    <row r="6281" spans="15:15" ht="31.4" customHeight="1" x14ac:dyDescent="0.35">
      <c r="O6281" s="9"/>
    </row>
    <row r="6282" spans="15:15" ht="31.4" customHeight="1" x14ac:dyDescent="0.35">
      <c r="O6282" s="9"/>
    </row>
    <row r="6283" spans="15:15" ht="31.4" customHeight="1" x14ac:dyDescent="0.35">
      <c r="O6283" s="9"/>
    </row>
    <row r="6284" spans="15:15" ht="31.4" customHeight="1" x14ac:dyDescent="0.35">
      <c r="O6284" s="9"/>
    </row>
    <row r="6285" spans="15:15" ht="31.4" customHeight="1" x14ac:dyDescent="0.35">
      <c r="O6285" s="9"/>
    </row>
    <row r="6286" spans="15:15" ht="31.4" customHeight="1" x14ac:dyDescent="0.35">
      <c r="O6286" s="9"/>
    </row>
    <row r="6287" spans="15:15" ht="31.4" customHeight="1" x14ac:dyDescent="0.35">
      <c r="O6287" s="9"/>
    </row>
    <row r="6288" spans="15:15" ht="31.4" customHeight="1" x14ac:dyDescent="0.35">
      <c r="O6288" s="9"/>
    </row>
    <row r="6289" spans="15:15" ht="31.4" customHeight="1" x14ac:dyDescent="0.35">
      <c r="O6289" s="9"/>
    </row>
    <row r="6290" spans="15:15" ht="31.4" customHeight="1" x14ac:dyDescent="0.35">
      <c r="O6290" s="9"/>
    </row>
    <row r="6291" spans="15:15" ht="31.4" customHeight="1" x14ac:dyDescent="0.35">
      <c r="O6291" s="9"/>
    </row>
    <row r="6292" spans="15:15" ht="31.4" customHeight="1" x14ac:dyDescent="0.35">
      <c r="O6292" s="9"/>
    </row>
    <row r="6293" spans="15:15" ht="31.4" customHeight="1" x14ac:dyDescent="0.35">
      <c r="O6293" s="9"/>
    </row>
    <row r="6294" spans="15:15" ht="31.4" customHeight="1" x14ac:dyDescent="0.35">
      <c r="O6294" s="9"/>
    </row>
    <row r="6295" spans="15:15" ht="31.4" customHeight="1" x14ac:dyDescent="0.35">
      <c r="O6295" s="9"/>
    </row>
    <row r="6296" spans="15:15" ht="31.4" customHeight="1" x14ac:dyDescent="0.35">
      <c r="O6296" s="9"/>
    </row>
    <row r="6297" spans="15:15" ht="31.4" customHeight="1" x14ac:dyDescent="0.35">
      <c r="O6297" s="9"/>
    </row>
    <row r="6298" spans="15:15" ht="31.4" customHeight="1" x14ac:dyDescent="0.35">
      <c r="O6298" s="9"/>
    </row>
    <row r="6299" spans="15:15" ht="31.4" customHeight="1" x14ac:dyDescent="0.35">
      <c r="O6299" s="9"/>
    </row>
    <row r="6300" spans="15:15" ht="31.4" customHeight="1" x14ac:dyDescent="0.35">
      <c r="O6300" s="9"/>
    </row>
    <row r="6301" spans="15:15" ht="31.4" customHeight="1" x14ac:dyDescent="0.35">
      <c r="O6301" s="9"/>
    </row>
    <row r="6302" spans="15:15" ht="31.4" customHeight="1" x14ac:dyDescent="0.35">
      <c r="O6302" s="9"/>
    </row>
    <row r="6303" spans="15:15" ht="31.4" customHeight="1" x14ac:dyDescent="0.35">
      <c r="O6303" s="9"/>
    </row>
    <row r="6304" spans="15:15" ht="31.4" customHeight="1" x14ac:dyDescent="0.35">
      <c r="O6304" s="9"/>
    </row>
    <row r="6305" spans="15:15" ht="31.4" customHeight="1" x14ac:dyDescent="0.35">
      <c r="O6305" s="9"/>
    </row>
    <row r="6306" spans="15:15" ht="31.4" customHeight="1" x14ac:dyDescent="0.35">
      <c r="O6306" s="9"/>
    </row>
    <row r="6307" spans="15:15" ht="31.4" customHeight="1" x14ac:dyDescent="0.35">
      <c r="O6307" s="9"/>
    </row>
    <row r="6308" spans="15:15" ht="31.4" customHeight="1" x14ac:dyDescent="0.35">
      <c r="O6308" s="9"/>
    </row>
    <row r="6309" spans="15:15" ht="31.4" customHeight="1" x14ac:dyDescent="0.35">
      <c r="O6309" s="9"/>
    </row>
    <row r="6310" spans="15:15" ht="31.4" customHeight="1" x14ac:dyDescent="0.35">
      <c r="O6310" s="9"/>
    </row>
    <row r="6311" spans="15:15" ht="31.4" customHeight="1" x14ac:dyDescent="0.35">
      <c r="O6311" s="9"/>
    </row>
    <row r="6312" spans="15:15" ht="31.4" customHeight="1" x14ac:dyDescent="0.35">
      <c r="O6312" s="9"/>
    </row>
    <row r="6313" spans="15:15" ht="31.4" customHeight="1" x14ac:dyDescent="0.35">
      <c r="O6313" s="9"/>
    </row>
    <row r="6314" spans="15:15" ht="31.4" customHeight="1" x14ac:dyDescent="0.35">
      <c r="O6314" s="9"/>
    </row>
    <row r="6315" spans="15:15" ht="31.4" customHeight="1" x14ac:dyDescent="0.35">
      <c r="O6315" s="9"/>
    </row>
    <row r="6316" spans="15:15" ht="31.4" customHeight="1" x14ac:dyDescent="0.35">
      <c r="O6316" s="9"/>
    </row>
    <row r="6317" spans="15:15" ht="31.4" customHeight="1" x14ac:dyDescent="0.35">
      <c r="O6317" s="9"/>
    </row>
    <row r="6318" spans="15:15" ht="31.4" customHeight="1" x14ac:dyDescent="0.35">
      <c r="O6318" s="9"/>
    </row>
    <row r="6319" spans="15:15" ht="31.4" customHeight="1" x14ac:dyDescent="0.35">
      <c r="O6319" s="9"/>
    </row>
    <row r="6320" spans="15:15" ht="31.4" customHeight="1" x14ac:dyDescent="0.35">
      <c r="O6320" s="9"/>
    </row>
    <row r="6321" spans="15:15" ht="31.4" customHeight="1" x14ac:dyDescent="0.35">
      <c r="O6321" s="9"/>
    </row>
    <row r="6322" spans="15:15" ht="31.4" customHeight="1" x14ac:dyDescent="0.35">
      <c r="O6322" s="9"/>
    </row>
    <row r="6323" spans="15:15" ht="31.4" customHeight="1" x14ac:dyDescent="0.35">
      <c r="O6323" s="9"/>
    </row>
    <row r="6324" spans="15:15" ht="31.4" customHeight="1" x14ac:dyDescent="0.35">
      <c r="O6324" s="9"/>
    </row>
    <row r="6325" spans="15:15" ht="31.4" customHeight="1" x14ac:dyDescent="0.35">
      <c r="O6325" s="9"/>
    </row>
    <row r="6326" spans="15:15" ht="31.4" customHeight="1" x14ac:dyDescent="0.35">
      <c r="O6326" s="9"/>
    </row>
    <row r="6327" spans="15:15" ht="31.4" customHeight="1" x14ac:dyDescent="0.35">
      <c r="O6327" s="9"/>
    </row>
    <row r="6328" spans="15:15" ht="31.4" customHeight="1" x14ac:dyDescent="0.35">
      <c r="O6328" s="9"/>
    </row>
    <row r="6329" spans="15:15" ht="31.4" customHeight="1" x14ac:dyDescent="0.35">
      <c r="O6329" s="9"/>
    </row>
    <row r="6330" spans="15:15" ht="31.4" customHeight="1" x14ac:dyDescent="0.35">
      <c r="O6330" s="9"/>
    </row>
    <row r="6331" spans="15:15" ht="31.4" customHeight="1" x14ac:dyDescent="0.35">
      <c r="O6331" s="9"/>
    </row>
    <row r="6332" spans="15:15" ht="31.4" customHeight="1" x14ac:dyDescent="0.35">
      <c r="O6332" s="9"/>
    </row>
    <row r="6333" spans="15:15" ht="31.4" customHeight="1" x14ac:dyDescent="0.35">
      <c r="O6333" s="9"/>
    </row>
    <row r="6334" spans="15:15" ht="31.4" customHeight="1" x14ac:dyDescent="0.35">
      <c r="O6334" s="9"/>
    </row>
    <row r="6335" spans="15:15" ht="31.4" customHeight="1" x14ac:dyDescent="0.35">
      <c r="O6335" s="9"/>
    </row>
    <row r="6336" spans="15:15" ht="31.4" customHeight="1" x14ac:dyDescent="0.35">
      <c r="O6336" s="9"/>
    </row>
    <row r="6337" spans="15:15" ht="31.4" customHeight="1" x14ac:dyDescent="0.35">
      <c r="O6337" s="9"/>
    </row>
    <row r="6338" spans="15:15" ht="31.4" customHeight="1" x14ac:dyDescent="0.35">
      <c r="O6338" s="9"/>
    </row>
    <row r="6339" spans="15:15" ht="31.4" customHeight="1" x14ac:dyDescent="0.35">
      <c r="O6339" s="9"/>
    </row>
    <row r="6340" spans="15:15" ht="31.4" customHeight="1" x14ac:dyDescent="0.35">
      <c r="O6340" s="9"/>
    </row>
    <row r="6341" spans="15:15" ht="31.4" customHeight="1" x14ac:dyDescent="0.35">
      <c r="O6341" s="9"/>
    </row>
    <row r="6342" spans="15:15" ht="31.4" customHeight="1" x14ac:dyDescent="0.35">
      <c r="O6342" s="9"/>
    </row>
    <row r="6343" spans="15:15" ht="31.4" customHeight="1" x14ac:dyDescent="0.35">
      <c r="O6343" s="9"/>
    </row>
    <row r="6344" spans="15:15" ht="31.4" customHeight="1" x14ac:dyDescent="0.35">
      <c r="O6344" s="9"/>
    </row>
    <row r="6345" spans="15:15" ht="31.4" customHeight="1" x14ac:dyDescent="0.35">
      <c r="O6345" s="9"/>
    </row>
    <row r="6346" spans="15:15" ht="31.4" customHeight="1" x14ac:dyDescent="0.35">
      <c r="O6346" s="9"/>
    </row>
    <row r="6347" spans="15:15" ht="31.4" customHeight="1" x14ac:dyDescent="0.35">
      <c r="O6347" s="9"/>
    </row>
    <row r="6348" spans="15:15" ht="31.4" customHeight="1" x14ac:dyDescent="0.35">
      <c r="O6348" s="9"/>
    </row>
    <row r="6349" spans="15:15" ht="31.4" customHeight="1" x14ac:dyDescent="0.35">
      <c r="O6349" s="9"/>
    </row>
    <row r="6350" spans="15:15" ht="31.4" customHeight="1" x14ac:dyDescent="0.35">
      <c r="O6350" s="9"/>
    </row>
    <row r="6351" spans="15:15" ht="31.4" customHeight="1" x14ac:dyDescent="0.35">
      <c r="O6351" s="9"/>
    </row>
    <row r="6352" spans="15:15" ht="31.4" customHeight="1" x14ac:dyDescent="0.35">
      <c r="O6352" s="9"/>
    </row>
    <row r="6353" spans="15:15" ht="31.4" customHeight="1" x14ac:dyDescent="0.35">
      <c r="O6353" s="9"/>
    </row>
    <row r="6354" spans="15:15" ht="31.4" customHeight="1" x14ac:dyDescent="0.35">
      <c r="O6354" s="9"/>
    </row>
    <row r="6355" spans="15:15" ht="31.4" customHeight="1" x14ac:dyDescent="0.35">
      <c r="O6355" s="9"/>
    </row>
    <row r="6356" spans="15:15" ht="31.4" customHeight="1" x14ac:dyDescent="0.35">
      <c r="O6356" s="9"/>
    </row>
    <row r="6357" spans="15:15" ht="31.4" customHeight="1" x14ac:dyDescent="0.35">
      <c r="O6357" s="9"/>
    </row>
    <row r="6358" spans="15:15" ht="31.4" customHeight="1" x14ac:dyDescent="0.35">
      <c r="O6358" s="9"/>
    </row>
    <row r="6359" spans="15:15" ht="31.4" customHeight="1" x14ac:dyDescent="0.35">
      <c r="O6359" s="9"/>
    </row>
    <row r="6360" spans="15:15" ht="31.4" customHeight="1" x14ac:dyDescent="0.35">
      <c r="O6360" s="9"/>
    </row>
    <row r="6361" spans="15:15" ht="31.4" customHeight="1" x14ac:dyDescent="0.35">
      <c r="O6361" s="9"/>
    </row>
    <row r="6362" spans="15:15" ht="31.4" customHeight="1" x14ac:dyDescent="0.35">
      <c r="O6362" s="9"/>
    </row>
    <row r="6363" spans="15:15" ht="31.4" customHeight="1" x14ac:dyDescent="0.35">
      <c r="O6363" s="9"/>
    </row>
    <row r="6364" spans="15:15" ht="31.4" customHeight="1" x14ac:dyDescent="0.35">
      <c r="O6364" s="9"/>
    </row>
    <row r="6365" spans="15:15" ht="31.4" customHeight="1" x14ac:dyDescent="0.35">
      <c r="O6365" s="9"/>
    </row>
    <row r="6366" spans="15:15" ht="31.4" customHeight="1" x14ac:dyDescent="0.35">
      <c r="O6366" s="9"/>
    </row>
    <row r="6367" spans="15:15" ht="31.4" customHeight="1" x14ac:dyDescent="0.35">
      <c r="O6367" s="9"/>
    </row>
    <row r="6368" spans="15:15" ht="31.4" customHeight="1" x14ac:dyDescent="0.35">
      <c r="O6368" s="9"/>
    </row>
    <row r="6369" spans="15:15" ht="31.4" customHeight="1" x14ac:dyDescent="0.35">
      <c r="O6369" s="9"/>
    </row>
    <row r="6370" spans="15:15" ht="31.4" customHeight="1" x14ac:dyDescent="0.35">
      <c r="O6370" s="9"/>
    </row>
    <row r="6371" spans="15:15" ht="31.4" customHeight="1" x14ac:dyDescent="0.35">
      <c r="O6371" s="9"/>
    </row>
    <row r="6372" spans="15:15" ht="31.4" customHeight="1" x14ac:dyDescent="0.35">
      <c r="O6372" s="9"/>
    </row>
    <row r="6373" spans="15:15" ht="31.4" customHeight="1" x14ac:dyDescent="0.35">
      <c r="O6373" s="9"/>
    </row>
    <row r="6374" spans="15:15" ht="31.4" customHeight="1" x14ac:dyDescent="0.35">
      <c r="O6374" s="9"/>
    </row>
    <row r="6375" spans="15:15" ht="31.4" customHeight="1" x14ac:dyDescent="0.35">
      <c r="O6375" s="9"/>
    </row>
    <row r="6376" spans="15:15" ht="31.4" customHeight="1" x14ac:dyDescent="0.35">
      <c r="O6376" s="9"/>
    </row>
    <row r="6377" spans="15:15" ht="31.4" customHeight="1" x14ac:dyDescent="0.35">
      <c r="O6377" s="9"/>
    </row>
    <row r="6378" spans="15:15" ht="31.4" customHeight="1" x14ac:dyDescent="0.35">
      <c r="O6378" s="9"/>
    </row>
    <row r="6379" spans="15:15" ht="31.4" customHeight="1" x14ac:dyDescent="0.35">
      <c r="O6379" s="9"/>
    </row>
    <row r="6380" spans="15:15" ht="31.4" customHeight="1" x14ac:dyDescent="0.35">
      <c r="O6380" s="9"/>
    </row>
    <row r="6381" spans="15:15" ht="31.4" customHeight="1" x14ac:dyDescent="0.35">
      <c r="O6381" s="9"/>
    </row>
    <row r="6382" spans="15:15" ht="31.4" customHeight="1" x14ac:dyDescent="0.35">
      <c r="O6382" s="9"/>
    </row>
    <row r="6383" spans="15:15" ht="31.4" customHeight="1" x14ac:dyDescent="0.35">
      <c r="O6383" s="9"/>
    </row>
    <row r="6384" spans="15:15" ht="31.4" customHeight="1" x14ac:dyDescent="0.35">
      <c r="O6384" s="9"/>
    </row>
    <row r="6385" spans="15:15" ht="31.4" customHeight="1" x14ac:dyDescent="0.35">
      <c r="O6385" s="9"/>
    </row>
    <row r="6386" spans="15:15" ht="31.4" customHeight="1" x14ac:dyDescent="0.35">
      <c r="O6386" s="9"/>
    </row>
    <row r="6387" spans="15:15" ht="31.4" customHeight="1" x14ac:dyDescent="0.35">
      <c r="O6387" s="9"/>
    </row>
    <row r="6388" spans="15:15" ht="31.4" customHeight="1" x14ac:dyDescent="0.35">
      <c r="O6388" s="9"/>
    </row>
    <row r="6389" spans="15:15" ht="31.4" customHeight="1" x14ac:dyDescent="0.35">
      <c r="O6389" s="9"/>
    </row>
    <row r="6390" spans="15:15" ht="31.4" customHeight="1" x14ac:dyDescent="0.35">
      <c r="O6390" s="9"/>
    </row>
    <row r="6391" spans="15:15" ht="31.4" customHeight="1" x14ac:dyDescent="0.35">
      <c r="O6391" s="9"/>
    </row>
    <row r="6392" spans="15:15" ht="31.4" customHeight="1" x14ac:dyDescent="0.35">
      <c r="O6392" s="9"/>
    </row>
    <row r="6393" spans="15:15" ht="31.4" customHeight="1" x14ac:dyDescent="0.35">
      <c r="O6393" s="9"/>
    </row>
    <row r="6394" spans="15:15" ht="31.4" customHeight="1" x14ac:dyDescent="0.35">
      <c r="O6394" s="9"/>
    </row>
    <row r="6395" spans="15:15" ht="31.4" customHeight="1" x14ac:dyDescent="0.35">
      <c r="O6395" s="9"/>
    </row>
    <row r="6396" spans="15:15" ht="31.4" customHeight="1" x14ac:dyDescent="0.35">
      <c r="O6396" s="9"/>
    </row>
    <row r="6397" spans="15:15" ht="31.4" customHeight="1" x14ac:dyDescent="0.35">
      <c r="O6397" s="9"/>
    </row>
    <row r="6398" spans="15:15" ht="31.4" customHeight="1" x14ac:dyDescent="0.35">
      <c r="O6398" s="9"/>
    </row>
    <row r="6399" spans="15:15" ht="31.4" customHeight="1" x14ac:dyDescent="0.35">
      <c r="O6399" s="9"/>
    </row>
    <row r="6400" spans="15:15" ht="31.4" customHeight="1" x14ac:dyDescent="0.35">
      <c r="O6400" s="9"/>
    </row>
    <row r="6401" spans="15:15" ht="31.4" customHeight="1" x14ac:dyDescent="0.35">
      <c r="O6401" s="9"/>
    </row>
    <row r="6402" spans="15:15" ht="31.4" customHeight="1" x14ac:dyDescent="0.35">
      <c r="O6402" s="9"/>
    </row>
    <row r="6403" spans="15:15" ht="31.4" customHeight="1" x14ac:dyDescent="0.35">
      <c r="O6403" s="9"/>
    </row>
    <row r="6404" spans="15:15" ht="31.4" customHeight="1" x14ac:dyDescent="0.35">
      <c r="O6404" s="9"/>
    </row>
    <row r="6405" spans="15:15" ht="31.4" customHeight="1" x14ac:dyDescent="0.35">
      <c r="O6405" s="9"/>
    </row>
    <row r="6406" spans="15:15" ht="31.4" customHeight="1" x14ac:dyDescent="0.35">
      <c r="O6406" s="9"/>
    </row>
    <row r="6407" spans="15:15" ht="31.4" customHeight="1" x14ac:dyDescent="0.35">
      <c r="O6407" s="9"/>
    </row>
    <row r="6408" spans="15:15" ht="31.4" customHeight="1" x14ac:dyDescent="0.35">
      <c r="O6408" s="9"/>
    </row>
    <row r="6409" spans="15:15" ht="31.4" customHeight="1" x14ac:dyDescent="0.35">
      <c r="O6409" s="9"/>
    </row>
    <row r="6410" spans="15:15" ht="31.4" customHeight="1" x14ac:dyDescent="0.35">
      <c r="O6410" s="9"/>
    </row>
    <row r="6411" spans="15:15" ht="31.4" customHeight="1" x14ac:dyDescent="0.35">
      <c r="O6411" s="9"/>
    </row>
    <row r="6412" spans="15:15" ht="31.4" customHeight="1" x14ac:dyDescent="0.35">
      <c r="O6412" s="9"/>
    </row>
    <row r="6413" spans="15:15" ht="31.4" customHeight="1" x14ac:dyDescent="0.35">
      <c r="O6413" s="9"/>
    </row>
    <row r="6414" spans="15:15" ht="31.4" customHeight="1" x14ac:dyDescent="0.35">
      <c r="O6414" s="9"/>
    </row>
    <row r="6415" spans="15:15" ht="31.4" customHeight="1" x14ac:dyDescent="0.35">
      <c r="O6415" s="9"/>
    </row>
    <row r="6416" spans="15:15" ht="31.4" customHeight="1" x14ac:dyDescent="0.35">
      <c r="O6416" s="9"/>
    </row>
    <row r="6417" spans="15:15" ht="31.4" customHeight="1" x14ac:dyDescent="0.35">
      <c r="O6417" s="9"/>
    </row>
    <row r="6418" spans="15:15" ht="31.4" customHeight="1" x14ac:dyDescent="0.35">
      <c r="O6418" s="9"/>
    </row>
    <row r="6419" spans="15:15" ht="31.4" customHeight="1" x14ac:dyDescent="0.35">
      <c r="O6419" s="9"/>
    </row>
    <row r="6420" spans="15:15" ht="31.4" customHeight="1" x14ac:dyDescent="0.35">
      <c r="O6420" s="9"/>
    </row>
    <row r="6421" spans="15:15" ht="31.4" customHeight="1" x14ac:dyDescent="0.35">
      <c r="O6421" s="9"/>
    </row>
    <row r="6422" spans="15:15" ht="31.4" customHeight="1" x14ac:dyDescent="0.35">
      <c r="O6422" s="9"/>
    </row>
    <row r="6423" spans="15:15" ht="31.4" customHeight="1" x14ac:dyDescent="0.35">
      <c r="O6423" s="9"/>
    </row>
    <row r="6424" spans="15:15" ht="31.4" customHeight="1" x14ac:dyDescent="0.35">
      <c r="O6424" s="9"/>
    </row>
    <row r="6425" spans="15:15" ht="31.4" customHeight="1" x14ac:dyDescent="0.35">
      <c r="O6425" s="9"/>
    </row>
    <row r="6426" spans="15:15" ht="31.4" customHeight="1" x14ac:dyDescent="0.35">
      <c r="O6426" s="9"/>
    </row>
    <row r="6427" spans="15:15" ht="31.4" customHeight="1" x14ac:dyDescent="0.35">
      <c r="O6427" s="9"/>
    </row>
    <row r="6428" spans="15:15" ht="31.4" customHeight="1" x14ac:dyDescent="0.35">
      <c r="O6428" s="9"/>
    </row>
    <row r="6429" spans="15:15" ht="31.4" customHeight="1" x14ac:dyDescent="0.35">
      <c r="O6429" s="9"/>
    </row>
    <row r="6430" spans="15:15" ht="31.4" customHeight="1" x14ac:dyDescent="0.35">
      <c r="O6430" s="9"/>
    </row>
    <row r="6431" spans="15:15" ht="31.4" customHeight="1" x14ac:dyDescent="0.35">
      <c r="O6431" s="9"/>
    </row>
    <row r="6432" spans="15:15" ht="31.4" customHeight="1" x14ac:dyDescent="0.35">
      <c r="O6432" s="9"/>
    </row>
    <row r="6433" spans="15:15" ht="31.4" customHeight="1" x14ac:dyDescent="0.35">
      <c r="O6433" s="9"/>
    </row>
    <row r="6434" spans="15:15" ht="31.4" customHeight="1" x14ac:dyDescent="0.35">
      <c r="O6434" s="9"/>
    </row>
    <row r="6435" spans="15:15" ht="31.4" customHeight="1" x14ac:dyDescent="0.35">
      <c r="O6435" s="9"/>
    </row>
    <row r="6436" spans="15:15" ht="31.4" customHeight="1" x14ac:dyDescent="0.35">
      <c r="O6436" s="9"/>
    </row>
    <row r="6437" spans="15:15" ht="31.4" customHeight="1" x14ac:dyDescent="0.35">
      <c r="O6437" s="9"/>
    </row>
    <row r="6438" spans="15:15" ht="31.4" customHeight="1" x14ac:dyDescent="0.35">
      <c r="O6438" s="9"/>
    </row>
    <row r="6439" spans="15:15" ht="31.4" customHeight="1" x14ac:dyDescent="0.35">
      <c r="O6439" s="9"/>
    </row>
    <row r="6440" spans="15:15" ht="31.4" customHeight="1" x14ac:dyDescent="0.35">
      <c r="O6440" s="9"/>
    </row>
    <row r="6441" spans="15:15" ht="31.4" customHeight="1" x14ac:dyDescent="0.35">
      <c r="O6441" s="9"/>
    </row>
    <row r="6442" spans="15:15" ht="31.4" customHeight="1" x14ac:dyDescent="0.35">
      <c r="O6442" s="9"/>
    </row>
    <row r="6443" spans="15:15" ht="31.4" customHeight="1" x14ac:dyDescent="0.35">
      <c r="O6443" s="9"/>
    </row>
    <row r="6444" spans="15:15" ht="31.4" customHeight="1" x14ac:dyDescent="0.35">
      <c r="O6444" s="9"/>
    </row>
    <row r="6445" spans="15:15" ht="31.4" customHeight="1" x14ac:dyDescent="0.35">
      <c r="O6445" s="9"/>
    </row>
    <row r="6446" spans="15:15" ht="31.4" customHeight="1" x14ac:dyDescent="0.35">
      <c r="O6446" s="9"/>
    </row>
    <row r="6447" spans="15:15" ht="31.4" customHeight="1" x14ac:dyDescent="0.35">
      <c r="O6447" s="9"/>
    </row>
    <row r="6448" spans="15:15" ht="31.4" customHeight="1" x14ac:dyDescent="0.35">
      <c r="O6448" s="9"/>
    </row>
    <row r="6449" spans="15:15" ht="31.4" customHeight="1" x14ac:dyDescent="0.35">
      <c r="O6449" s="9"/>
    </row>
    <row r="6450" spans="15:15" ht="31.4" customHeight="1" x14ac:dyDescent="0.35">
      <c r="O6450" s="9"/>
    </row>
    <row r="6451" spans="15:15" ht="31.4" customHeight="1" x14ac:dyDescent="0.35">
      <c r="O6451" s="9"/>
    </row>
    <row r="6452" spans="15:15" ht="31.4" customHeight="1" x14ac:dyDescent="0.35">
      <c r="O6452" s="9"/>
    </row>
    <row r="6453" spans="15:15" ht="31.4" customHeight="1" x14ac:dyDescent="0.35">
      <c r="O6453" s="9"/>
    </row>
    <row r="6454" spans="15:15" ht="31.4" customHeight="1" x14ac:dyDescent="0.35">
      <c r="O6454" s="9"/>
    </row>
    <row r="6455" spans="15:15" ht="31.4" customHeight="1" x14ac:dyDescent="0.35">
      <c r="O6455" s="9"/>
    </row>
    <row r="6456" spans="15:15" ht="31.4" customHeight="1" x14ac:dyDescent="0.35">
      <c r="O6456" s="9"/>
    </row>
    <row r="6457" spans="15:15" ht="31.4" customHeight="1" x14ac:dyDescent="0.35">
      <c r="O6457" s="9"/>
    </row>
    <row r="6458" spans="15:15" ht="31.4" customHeight="1" x14ac:dyDescent="0.35">
      <c r="O6458" s="9"/>
    </row>
    <row r="6459" spans="15:15" ht="31.4" customHeight="1" x14ac:dyDescent="0.35">
      <c r="O6459" s="9"/>
    </row>
    <row r="6460" spans="15:15" ht="31.4" customHeight="1" x14ac:dyDescent="0.35">
      <c r="O6460" s="9"/>
    </row>
    <row r="6461" spans="15:15" ht="31.4" customHeight="1" x14ac:dyDescent="0.35">
      <c r="O6461" s="9"/>
    </row>
    <row r="6462" spans="15:15" ht="31.4" customHeight="1" x14ac:dyDescent="0.35">
      <c r="O6462" s="9"/>
    </row>
    <row r="6463" spans="15:15" ht="31.4" customHeight="1" x14ac:dyDescent="0.35">
      <c r="O6463" s="9"/>
    </row>
    <row r="6464" spans="15:15" ht="31.4" customHeight="1" x14ac:dyDescent="0.35">
      <c r="O6464" s="9"/>
    </row>
    <row r="6465" spans="15:15" ht="31.4" customHeight="1" x14ac:dyDescent="0.35">
      <c r="O6465" s="9"/>
    </row>
    <row r="6466" spans="15:15" ht="31.4" customHeight="1" x14ac:dyDescent="0.35">
      <c r="O6466" s="9"/>
    </row>
    <row r="6467" spans="15:15" ht="31.4" customHeight="1" x14ac:dyDescent="0.35">
      <c r="O6467" s="9"/>
    </row>
    <row r="6468" spans="15:15" ht="31.4" customHeight="1" x14ac:dyDescent="0.35">
      <c r="O6468" s="9"/>
    </row>
    <row r="6469" spans="15:15" ht="31.4" customHeight="1" x14ac:dyDescent="0.35">
      <c r="O6469" s="9"/>
    </row>
    <row r="6470" spans="15:15" ht="31.4" customHeight="1" x14ac:dyDescent="0.35">
      <c r="O6470" s="9"/>
    </row>
    <row r="6471" spans="15:15" ht="31.4" customHeight="1" x14ac:dyDescent="0.35">
      <c r="O6471" s="9"/>
    </row>
    <row r="6472" spans="15:15" ht="31.4" customHeight="1" x14ac:dyDescent="0.35">
      <c r="O6472" s="9"/>
    </row>
    <row r="6473" spans="15:15" ht="31.4" customHeight="1" x14ac:dyDescent="0.35">
      <c r="O6473" s="9"/>
    </row>
    <row r="6474" spans="15:15" ht="31.4" customHeight="1" x14ac:dyDescent="0.35">
      <c r="O6474" s="9"/>
    </row>
    <row r="6475" spans="15:15" ht="31.4" customHeight="1" x14ac:dyDescent="0.35">
      <c r="O6475" s="9"/>
    </row>
    <row r="6476" spans="15:15" ht="31.4" customHeight="1" x14ac:dyDescent="0.35">
      <c r="O6476" s="9"/>
    </row>
    <row r="6477" spans="15:15" ht="31.4" customHeight="1" x14ac:dyDescent="0.35">
      <c r="O6477" s="9"/>
    </row>
    <row r="6478" spans="15:15" ht="31.4" customHeight="1" x14ac:dyDescent="0.35">
      <c r="O6478" s="9"/>
    </row>
    <row r="6479" spans="15:15" ht="31.4" customHeight="1" x14ac:dyDescent="0.35">
      <c r="O6479" s="9"/>
    </row>
    <row r="6480" spans="15:15" ht="31.4" customHeight="1" x14ac:dyDescent="0.35">
      <c r="O6480" s="9"/>
    </row>
    <row r="6481" spans="15:15" ht="31.4" customHeight="1" x14ac:dyDescent="0.35">
      <c r="O6481" s="9"/>
    </row>
    <row r="6482" spans="15:15" ht="31.4" customHeight="1" x14ac:dyDescent="0.35">
      <c r="O6482" s="9"/>
    </row>
    <row r="6483" spans="15:15" ht="31.4" customHeight="1" x14ac:dyDescent="0.35">
      <c r="O6483" s="9"/>
    </row>
    <row r="6484" spans="15:15" ht="31.4" customHeight="1" x14ac:dyDescent="0.35">
      <c r="O6484" s="9"/>
    </row>
    <row r="6485" spans="15:15" ht="31.4" customHeight="1" x14ac:dyDescent="0.35">
      <c r="O6485" s="9"/>
    </row>
    <row r="6486" spans="15:15" ht="31.4" customHeight="1" x14ac:dyDescent="0.35">
      <c r="O6486" s="9"/>
    </row>
    <row r="6487" spans="15:15" ht="31.4" customHeight="1" x14ac:dyDescent="0.35">
      <c r="O6487" s="9"/>
    </row>
    <row r="6488" spans="15:15" ht="31.4" customHeight="1" x14ac:dyDescent="0.35">
      <c r="O6488" s="9"/>
    </row>
    <row r="6489" spans="15:15" ht="31.4" customHeight="1" x14ac:dyDescent="0.35">
      <c r="O6489" s="9"/>
    </row>
    <row r="6490" spans="15:15" ht="31.4" customHeight="1" x14ac:dyDescent="0.35">
      <c r="O6490" s="9"/>
    </row>
    <row r="6491" spans="15:15" ht="31.4" customHeight="1" x14ac:dyDescent="0.35">
      <c r="O6491" s="9"/>
    </row>
    <row r="6492" spans="15:15" ht="31.4" customHeight="1" x14ac:dyDescent="0.35">
      <c r="O6492" s="9"/>
    </row>
    <row r="6493" spans="15:15" ht="31.4" customHeight="1" x14ac:dyDescent="0.35">
      <c r="O6493" s="9"/>
    </row>
    <row r="6494" spans="15:15" ht="31.4" customHeight="1" x14ac:dyDescent="0.35">
      <c r="O6494" s="9"/>
    </row>
    <row r="6495" spans="15:15" ht="31.4" customHeight="1" x14ac:dyDescent="0.35">
      <c r="O6495" s="9"/>
    </row>
    <row r="6496" spans="15:15" ht="31.4" customHeight="1" x14ac:dyDescent="0.35">
      <c r="O6496" s="9"/>
    </row>
    <row r="6497" spans="15:15" ht="31.4" customHeight="1" x14ac:dyDescent="0.35">
      <c r="O6497" s="9"/>
    </row>
    <row r="6498" spans="15:15" ht="31.4" customHeight="1" x14ac:dyDescent="0.35">
      <c r="O6498" s="9"/>
    </row>
    <row r="6499" spans="15:15" ht="31.4" customHeight="1" x14ac:dyDescent="0.35">
      <c r="O6499" s="9"/>
    </row>
    <row r="6500" spans="15:15" ht="31.4" customHeight="1" x14ac:dyDescent="0.35">
      <c r="O6500" s="9"/>
    </row>
    <row r="6501" spans="15:15" ht="31.4" customHeight="1" x14ac:dyDescent="0.35">
      <c r="O6501" s="9"/>
    </row>
    <row r="6502" spans="15:15" ht="31.4" customHeight="1" x14ac:dyDescent="0.35">
      <c r="O6502" s="9"/>
    </row>
    <row r="6503" spans="15:15" ht="31.4" customHeight="1" x14ac:dyDescent="0.35">
      <c r="O6503" s="9"/>
    </row>
    <row r="6504" spans="15:15" ht="31.4" customHeight="1" x14ac:dyDescent="0.35">
      <c r="O6504" s="9"/>
    </row>
    <row r="6505" spans="15:15" ht="31.4" customHeight="1" x14ac:dyDescent="0.35">
      <c r="O6505" s="9"/>
    </row>
    <row r="6506" spans="15:15" ht="31.4" customHeight="1" x14ac:dyDescent="0.35">
      <c r="O6506" s="9"/>
    </row>
    <row r="6507" spans="15:15" ht="31.4" customHeight="1" x14ac:dyDescent="0.35">
      <c r="O6507" s="9"/>
    </row>
    <row r="6508" spans="15:15" ht="31.4" customHeight="1" x14ac:dyDescent="0.35">
      <c r="O6508" s="9"/>
    </row>
    <row r="6509" spans="15:15" ht="31.4" customHeight="1" x14ac:dyDescent="0.35">
      <c r="O6509" s="9"/>
    </row>
    <row r="6510" spans="15:15" ht="31.4" customHeight="1" x14ac:dyDescent="0.35">
      <c r="O6510" s="9"/>
    </row>
    <row r="6511" spans="15:15" ht="31.4" customHeight="1" x14ac:dyDescent="0.35">
      <c r="O6511" s="9"/>
    </row>
    <row r="6512" spans="15:15" ht="31.4" customHeight="1" x14ac:dyDescent="0.35">
      <c r="O6512" s="9"/>
    </row>
    <row r="6513" spans="15:15" ht="31.4" customHeight="1" x14ac:dyDescent="0.35">
      <c r="O6513" s="9"/>
    </row>
    <row r="6514" spans="15:15" ht="31.4" customHeight="1" x14ac:dyDescent="0.35">
      <c r="O6514" s="9"/>
    </row>
    <row r="6515" spans="15:15" ht="31.4" customHeight="1" x14ac:dyDescent="0.35">
      <c r="O6515" s="9"/>
    </row>
    <row r="6516" spans="15:15" ht="31.4" customHeight="1" x14ac:dyDescent="0.35">
      <c r="O6516" s="9"/>
    </row>
    <row r="6517" spans="15:15" ht="31.4" customHeight="1" x14ac:dyDescent="0.35">
      <c r="O6517" s="9"/>
    </row>
    <row r="6518" spans="15:15" ht="31.4" customHeight="1" x14ac:dyDescent="0.35">
      <c r="O6518" s="9"/>
    </row>
    <row r="6519" spans="15:15" ht="31.4" customHeight="1" x14ac:dyDescent="0.35">
      <c r="O6519" s="9"/>
    </row>
    <row r="6520" spans="15:15" ht="31.4" customHeight="1" x14ac:dyDescent="0.35">
      <c r="O6520" s="9"/>
    </row>
    <row r="6521" spans="15:15" ht="31.4" customHeight="1" x14ac:dyDescent="0.35">
      <c r="O6521" s="9"/>
    </row>
    <row r="6522" spans="15:15" ht="31.4" customHeight="1" x14ac:dyDescent="0.35">
      <c r="O6522" s="9"/>
    </row>
    <row r="6523" spans="15:15" ht="31.4" customHeight="1" x14ac:dyDescent="0.35">
      <c r="O6523" s="9"/>
    </row>
    <row r="6524" spans="15:15" ht="31.4" customHeight="1" x14ac:dyDescent="0.35">
      <c r="O6524" s="9"/>
    </row>
    <row r="6525" spans="15:15" ht="31.4" customHeight="1" x14ac:dyDescent="0.35">
      <c r="O6525" s="9"/>
    </row>
    <row r="6526" spans="15:15" ht="31.4" customHeight="1" x14ac:dyDescent="0.35">
      <c r="O6526" s="9"/>
    </row>
    <row r="6527" spans="15:15" ht="31.4" customHeight="1" x14ac:dyDescent="0.35">
      <c r="O6527" s="9"/>
    </row>
    <row r="6528" spans="15:15" ht="31.4" customHeight="1" x14ac:dyDescent="0.35">
      <c r="O6528" s="9"/>
    </row>
    <row r="6529" spans="15:15" ht="31.4" customHeight="1" x14ac:dyDescent="0.35">
      <c r="O6529" s="9"/>
    </row>
    <row r="6530" spans="15:15" ht="31.4" customHeight="1" x14ac:dyDescent="0.35">
      <c r="O6530" s="9"/>
    </row>
    <row r="6531" spans="15:15" ht="31.4" customHeight="1" x14ac:dyDescent="0.35">
      <c r="O6531" s="9"/>
    </row>
    <row r="6532" spans="15:15" ht="31.4" customHeight="1" x14ac:dyDescent="0.35">
      <c r="O6532" s="9"/>
    </row>
    <row r="6533" spans="15:15" ht="31.4" customHeight="1" x14ac:dyDescent="0.35">
      <c r="O6533" s="9"/>
    </row>
    <row r="6534" spans="15:15" ht="31.4" customHeight="1" x14ac:dyDescent="0.35">
      <c r="O6534" s="9"/>
    </row>
    <row r="6535" spans="15:15" ht="31.4" customHeight="1" x14ac:dyDescent="0.35">
      <c r="O6535" s="9"/>
    </row>
    <row r="6536" spans="15:15" ht="31.4" customHeight="1" x14ac:dyDescent="0.35">
      <c r="O6536" s="9"/>
    </row>
    <row r="6537" spans="15:15" ht="31.4" customHeight="1" x14ac:dyDescent="0.35">
      <c r="O6537" s="9"/>
    </row>
    <row r="6538" spans="15:15" ht="31.4" customHeight="1" x14ac:dyDescent="0.35">
      <c r="O6538" s="9"/>
    </row>
    <row r="6539" spans="15:15" ht="31.4" customHeight="1" x14ac:dyDescent="0.35">
      <c r="O6539" s="9"/>
    </row>
    <row r="6540" spans="15:15" ht="31.4" customHeight="1" x14ac:dyDescent="0.35">
      <c r="O6540" s="9"/>
    </row>
    <row r="6541" spans="15:15" ht="31.4" customHeight="1" x14ac:dyDescent="0.35">
      <c r="O6541" s="9"/>
    </row>
    <row r="6542" spans="15:15" ht="31.4" customHeight="1" x14ac:dyDescent="0.35">
      <c r="O6542" s="9"/>
    </row>
    <row r="6543" spans="15:15" ht="31.4" customHeight="1" x14ac:dyDescent="0.35">
      <c r="O6543" s="9"/>
    </row>
    <row r="6544" spans="15:15" ht="31.4" customHeight="1" x14ac:dyDescent="0.35">
      <c r="O6544" s="9"/>
    </row>
    <row r="6545" spans="15:15" ht="31.4" customHeight="1" x14ac:dyDescent="0.35">
      <c r="O6545" s="9"/>
    </row>
    <row r="6546" spans="15:15" ht="31.4" customHeight="1" x14ac:dyDescent="0.35">
      <c r="O6546" s="9"/>
    </row>
    <row r="6547" spans="15:15" ht="31.4" customHeight="1" x14ac:dyDescent="0.35">
      <c r="O6547" s="9"/>
    </row>
    <row r="6548" spans="15:15" ht="31.4" customHeight="1" x14ac:dyDescent="0.35">
      <c r="O6548" s="9"/>
    </row>
    <row r="6549" spans="15:15" ht="31.4" customHeight="1" x14ac:dyDescent="0.35">
      <c r="O6549" s="9"/>
    </row>
    <row r="6550" spans="15:15" ht="31.4" customHeight="1" x14ac:dyDescent="0.35">
      <c r="O6550" s="9"/>
    </row>
    <row r="6551" spans="15:15" ht="31.4" customHeight="1" x14ac:dyDescent="0.35">
      <c r="O6551" s="9"/>
    </row>
    <row r="6552" spans="15:15" ht="31.4" customHeight="1" x14ac:dyDescent="0.35">
      <c r="O6552" s="9"/>
    </row>
    <row r="6553" spans="15:15" ht="31.4" customHeight="1" x14ac:dyDescent="0.35">
      <c r="O6553" s="9"/>
    </row>
    <row r="6554" spans="15:15" ht="31.4" customHeight="1" x14ac:dyDescent="0.35">
      <c r="O6554" s="9"/>
    </row>
    <row r="6555" spans="15:15" ht="31.4" customHeight="1" x14ac:dyDescent="0.35">
      <c r="O6555" s="9"/>
    </row>
    <row r="6556" spans="15:15" ht="31.4" customHeight="1" x14ac:dyDescent="0.35">
      <c r="O6556" s="9"/>
    </row>
    <row r="6557" spans="15:15" ht="31.4" customHeight="1" x14ac:dyDescent="0.35">
      <c r="O6557" s="9"/>
    </row>
    <row r="6558" spans="15:15" ht="31.4" customHeight="1" x14ac:dyDescent="0.35">
      <c r="O6558" s="9"/>
    </row>
    <row r="6559" spans="15:15" ht="31.4" customHeight="1" x14ac:dyDescent="0.35">
      <c r="O6559" s="9"/>
    </row>
    <row r="6560" spans="15:15" ht="31.4" customHeight="1" x14ac:dyDescent="0.35">
      <c r="O6560" s="9"/>
    </row>
    <row r="6561" spans="15:15" ht="31.4" customHeight="1" x14ac:dyDescent="0.35">
      <c r="O6561" s="9"/>
    </row>
    <row r="6562" spans="15:15" ht="31.4" customHeight="1" x14ac:dyDescent="0.35">
      <c r="O6562" s="9"/>
    </row>
    <row r="6563" spans="15:15" ht="31.4" customHeight="1" x14ac:dyDescent="0.35">
      <c r="O6563" s="9"/>
    </row>
    <row r="6564" spans="15:15" ht="31.4" customHeight="1" x14ac:dyDescent="0.35">
      <c r="O6564" s="9"/>
    </row>
    <row r="6565" spans="15:15" ht="31.4" customHeight="1" x14ac:dyDescent="0.35">
      <c r="O6565" s="9"/>
    </row>
    <row r="6566" spans="15:15" ht="31.4" customHeight="1" x14ac:dyDescent="0.35">
      <c r="O6566" s="9"/>
    </row>
    <row r="6567" spans="15:15" ht="31.4" customHeight="1" x14ac:dyDescent="0.35">
      <c r="O6567" s="9"/>
    </row>
    <row r="6568" spans="15:15" ht="31.4" customHeight="1" x14ac:dyDescent="0.35">
      <c r="O6568" s="9"/>
    </row>
    <row r="6569" spans="15:15" ht="31.4" customHeight="1" x14ac:dyDescent="0.35">
      <c r="O6569" s="9"/>
    </row>
    <row r="6570" spans="15:15" ht="31.4" customHeight="1" x14ac:dyDescent="0.35">
      <c r="O6570" s="9"/>
    </row>
    <row r="6571" spans="15:15" ht="31.4" customHeight="1" x14ac:dyDescent="0.35">
      <c r="O6571" s="9"/>
    </row>
    <row r="6572" spans="15:15" ht="31.4" customHeight="1" x14ac:dyDescent="0.35">
      <c r="O6572" s="9"/>
    </row>
    <row r="6573" spans="15:15" ht="31.4" customHeight="1" x14ac:dyDescent="0.35">
      <c r="O6573" s="9"/>
    </row>
    <row r="6574" spans="15:15" ht="31.4" customHeight="1" x14ac:dyDescent="0.35">
      <c r="O6574" s="9"/>
    </row>
    <row r="6575" spans="15:15" ht="31.4" customHeight="1" x14ac:dyDescent="0.35">
      <c r="O6575" s="9"/>
    </row>
    <row r="6576" spans="15:15" ht="31.4" customHeight="1" x14ac:dyDescent="0.35">
      <c r="O6576" s="9"/>
    </row>
    <row r="6577" spans="15:15" ht="31.4" customHeight="1" x14ac:dyDescent="0.35">
      <c r="O6577" s="9"/>
    </row>
    <row r="6578" spans="15:15" ht="31.4" customHeight="1" x14ac:dyDescent="0.35">
      <c r="O6578" s="9"/>
    </row>
    <row r="6579" spans="15:15" ht="31.4" customHeight="1" x14ac:dyDescent="0.35">
      <c r="O6579" s="9"/>
    </row>
    <row r="6580" spans="15:15" ht="31.4" customHeight="1" x14ac:dyDescent="0.35">
      <c r="O6580" s="9"/>
    </row>
    <row r="6581" spans="15:15" ht="31.4" customHeight="1" x14ac:dyDescent="0.35">
      <c r="O6581" s="9"/>
    </row>
    <row r="6582" spans="15:15" ht="31.4" customHeight="1" x14ac:dyDescent="0.35">
      <c r="O6582" s="9"/>
    </row>
    <row r="6583" spans="15:15" ht="31.4" customHeight="1" x14ac:dyDescent="0.35">
      <c r="O6583" s="9"/>
    </row>
    <row r="6584" spans="15:15" ht="31.4" customHeight="1" x14ac:dyDescent="0.35">
      <c r="O6584" s="9"/>
    </row>
    <row r="6585" spans="15:15" ht="31.4" customHeight="1" x14ac:dyDescent="0.35">
      <c r="O6585" s="9"/>
    </row>
    <row r="6586" spans="15:15" ht="31.4" customHeight="1" x14ac:dyDescent="0.35">
      <c r="O6586" s="9"/>
    </row>
    <row r="6587" spans="15:15" ht="31.4" customHeight="1" x14ac:dyDescent="0.35">
      <c r="O6587" s="9"/>
    </row>
    <row r="6588" spans="15:15" ht="31.4" customHeight="1" x14ac:dyDescent="0.35">
      <c r="O6588" s="9"/>
    </row>
    <row r="6589" spans="15:15" ht="31.4" customHeight="1" x14ac:dyDescent="0.35">
      <c r="O6589" s="9"/>
    </row>
    <row r="6590" spans="15:15" ht="31.4" customHeight="1" x14ac:dyDescent="0.35">
      <c r="O6590" s="9"/>
    </row>
    <row r="6591" spans="15:15" ht="31.4" customHeight="1" x14ac:dyDescent="0.35">
      <c r="O6591" s="9"/>
    </row>
    <row r="6592" spans="15:15" ht="31.4" customHeight="1" x14ac:dyDescent="0.35">
      <c r="O6592" s="9"/>
    </row>
    <row r="6593" spans="15:15" ht="31.4" customHeight="1" x14ac:dyDescent="0.35">
      <c r="O6593" s="9"/>
    </row>
    <row r="6594" spans="15:15" ht="31.4" customHeight="1" x14ac:dyDescent="0.35">
      <c r="O6594" s="9"/>
    </row>
    <row r="6595" spans="15:15" ht="31.4" customHeight="1" x14ac:dyDescent="0.35">
      <c r="O6595" s="9"/>
    </row>
    <row r="6596" spans="15:15" ht="31.4" customHeight="1" x14ac:dyDescent="0.35">
      <c r="O6596" s="9"/>
    </row>
    <row r="6597" spans="15:15" ht="31.4" customHeight="1" x14ac:dyDescent="0.35">
      <c r="O6597" s="9"/>
    </row>
    <row r="6598" spans="15:15" ht="31.4" customHeight="1" x14ac:dyDescent="0.35">
      <c r="O6598" s="9"/>
    </row>
    <row r="6599" spans="15:15" ht="31.4" customHeight="1" x14ac:dyDescent="0.35">
      <c r="O6599" s="9"/>
    </row>
    <row r="6600" spans="15:15" ht="31.4" customHeight="1" x14ac:dyDescent="0.35">
      <c r="O6600" s="9"/>
    </row>
    <row r="6601" spans="15:15" ht="31.4" customHeight="1" x14ac:dyDescent="0.35">
      <c r="O6601" s="9"/>
    </row>
    <row r="6602" spans="15:15" ht="31.4" customHeight="1" x14ac:dyDescent="0.35">
      <c r="O6602" s="9"/>
    </row>
    <row r="6603" spans="15:15" ht="31.4" customHeight="1" x14ac:dyDescent="0.35">
      <c r="O6603" s="9"/>
    </row>
    <row r="6604" spans="15:15" ht="31.4" customHeight="1" x14ac:dyDescent="0.35">
      <c r="O6604" s="9"/>
    </row>
    <row r="6605" spans="15:15" ht="31.4" customHeight="1" x14ac:dyDescent="0.35">
      <c r="O6605" s="9"/>
    </row>
    <row r="6606" spans="15:15" ht="31.4" customHeight="1" x14ac:dyDescent="0.35">
      <c r="O6606" s="9"/>
    </row>
    <row r="6607" spans="15:15" ht="31.4" customHeight="1" x14ac:dyDescent="0.35">
      <c r="O6607" s="9"/>
    </row>
    <row r="6608" spans="15:15" ht="31.4" customHeight="1" x14ac:dyDescent="0.35">
      <c r="O6608" s="9"/>
    </row>
    <row r="6609" spans="15:15" ht="31.4" customHeight="1" x14ac:dyDescent="0.35">
      <c r="O6609" s="9"/>
    </row>
    <row r="6610" spans="15:15" ht="31.4" customHeight="1" x14ac:dyDescent="0.35">
      <c r="O6610" s="9"/>
    </row>
    <row r="6611" spans="15:15" ht="31.4" customHeight="1" x14ac:dyDescent="0.35">
      <c r="O6611" s="9"/>
    </row>
    <row r="6612" spans="15:15" ht="31.4" customHeight="1" x14ac:dyDescent="0.35">
      <c r="O6612" s="9"/>
    </row>
    <row r="6613" spans="15:15" ht="31.4" customHeight="1" x14ac:dyDescent="0.35">
      <c r="O6613" s="9"/>
    </row>
    <row r="6614" spans="15:15" ht="31.4" customHeight="1" x14ac:dyDescent="0.35">
      <c r="O6614" s="9"/>
    </row>
    <row r="6615" spans="15:15" ht="31.4" customHeight="1" x14ac:dyDescent="0.35">
      <c r="O6615" s="9"/>
    </row>
    <row r="6616" spans="15:15" ht="31.4" customHeight="1" x14ac:dyDescent="0.35">
      <c r="O6616" s="9"/>
    </row>
    <row r="6617" spans="15:15" ht="31.4" customHeight="1" x14ac:dyDescent="0.35">
      <c r="O6617" s="9"/>
    </row>
    <row r="6618" spans="15:15" ht="31.4" customHeight="1" x14ac:dyDescent="0.35">
      <c r="O6618" s="9"/>
    </row>
    <row r="6619" spans="15:15" ht="31.4" customHeight="1" x14ac:dyDescent="0.35">
      <c r="O6619" s="9"/>
    </row>
    <row r="6620" spans="15:15" ht="31.4" customHeight="1" x14ac:dyDescent="0.35">
      <c r="O6620" s="9"/>
    </row>
    <row r="6621" spans="15:15" ht="31.4" customHeight="1" x14ac:dyDescent="0.35">
      <c r="O6621" s="9"/>
    </row>
    <row r="6622" spans="15:15" ht="31.4" customHeight="1" x14ac:dyDescent="0.35">
      <c r="O6622" s="9"/>
    </row>
    <row r="6623" spans="15:15" ht="31.4" customHeight="1" x14ac:dyDescent="0.35">
      <c r="O6623" s="9"/>
    </row>
    <row r="6624" spans="15:15" ht="31.4" customHeight="1" x14ac:dyDescent="0.35">
      <c r="O6624" s="9"/>
    </row>
    <row r="6625" spans="15:15" ht="31.4" customHeight="1" x14ac:dyDescent="0.35">
      <c r="O6625" s="9"/>
    </row>
    <row r="6626" spans="15:15" ht="31.4" customHeight="1" x14ac:dyDescent="0.35">
      <c r="O6626" s="9"/>
    </row>
    <row r="6627" spans="15:15" ht="31.4" customHeight="1" x14ac:dyDescent="0.35">
      <c r="O6627" s="9"/>
    </row>
    <row r="6628" spans="15:15" ht="31.4" customHeight="1" x14ac:dyDescent="0.35">
      <c r="O6628" s="9"/>
    </row>
    <row r="6629" spans="15:15" ht="31.4" customHeight="1" x14ac:dyDescent="0.35">
      <c r="O6629" s="9"/>
    </row>
    <row r="6630" spans="15:15" ht="31.4" customHeight="1" x14ac:dyDescent="0.35">
      <c r="O6630" s="9"/>
    </row>
    <row r="6631" spans="15:15" ht="31.4" customHeight="1" x14ac:dyDescent="0.35">
      <c r="O6631" s="9"/>
    </row>
    <row r="6632" spans="15:15" ht="31.4" customHeight="1" x14ac:dyDescent="0.35">
      <c r="O6632" s="9"/>
    </row>
    <row r="6633" spans="15:15" ht="31.4" customHeight="1" x14ac:dyDescent="0.35">
      <c r="O6633" s="9"/>
    </row>
    <row r="6634" spans="15:15" ht="31.4" customHeight="1" x14ac:dyDescent="0.35">
      <c r="O6634" s="9"/>
    </row>
    <row r="6635" spans="15:15" ht="31.4" customHeight="1" x14ac:dyDescent="0.35">
      <c r="O6635" s="9"/>
    </row>
    <row r="6636" spans="15:15" ht="31.4" customHeight="1" x14ac:dyDescent="0.35">
      <c r="O6636" s="9"/>
    </row>
    <row r="6637" spans="15:15" ht="31.4" customHeight="1" x14ac:dyDescent="0.35">
      <c r="O6637" s="9"/>
    </row>
    <row r="6638" spans="15:15" ht="31.4" customHeight="1" x14ac:dyDescent="0.35">
      <c r="O6638" s="9"/>
    </row>
    <row r="6639" spans="15:15" ht="31.4" customHeight="1" x14ac:dyDescent="0.35">
      <c r="O6639" s="9"/>
    </row>
    <row r="6640" spans="15:15" ht="31.4" customHeight="1" x14ac:dyDescent="0.35">
      <c r="O6640" s="9"/>
    </row>
    <row r="6641" spans="15:15" ht="31.4" customHeight="1" x14ac:dyDescent="0.35">
      <c r="O6641" s="9"/>
    </row>
    <row r="6642" spans="15:15" ht="31.4" customHeight="1" x14ac:dyDescent="0.35">
      <c r="O6642" s="9"/>
    </row>
    <row r="6643" spans="15:15" ht="31.4" customHeight="1" x14ac:dyDescent="0.35">
      <c r="O6643" s="9"/>
    </row>
    <row r="6644" spans="15:15" ht="31.4" customHeight="1" x14ac:dyDescent="0.35">
      <c r="O6644" s="9"/>
    </row>
    <row r="6645" spans="15:15" ht="31.4" customHeight="1" x14ac:dyDescent="0.35">
      <c r="O6645" s="9"/>
    </row>
    <row r="6646" spans="15:15" ht="31.4" customHeight="1" x14ac:dyDescent="0.35">
      <c r="O6646" s="9"/>
    </row>
    <row r="6647" spans="15:15" ht="31.4" customHeight="1" x14ac:dyDescent="0.35">
      <c r="O6647" s="9"/>
    </row>
    <row r="6648" spans="15:15" ht="31.4" customHeight="1" x14ac:dyDescent="0.35">
      <c r="O6648" s="9"/>
    </row>
    <row r="6649" spans="15:15" ht="31.4" customHeight="1" x14ac:dyDescent="0.35">
      <c r="O6649" s="9"/>
    </row>
    <row r="6650" spans="15:15" ht="31.4" customHeight="1" x14ac:dyDescent="0.35">
      <c r="O6650" s="9"/>
    </row>
    <row r="6651" spans="15:15" ht="31.4" customHeight="1" x14ac:dyDescent="0.35">
      <c r="O6651" s="9"/>
    </row>
    <row r="6652" spans="15:15" ht="31.4" customHeight="1" x14ac:dyDescent="0.35">
      <c r="O6652" s="9"/>
    </row>
    <row r="6653" spans="15:15" ht="31.4" customHeight="1" x14ac:dyDescent="0.35">
      <c r="O6653" s="9"/>
    </row>
    <row r="6654" spans="15:15" ht="31.4" customHeight="1" x14ac:dyDescent="0.35">
      <c r="O6654" s="9"/>
    </row>
    <row r="6655" spans="15:15" ht="31.4" customHeight="1" x14ac:dyDescent="0.35">
      <c r="O6655" s="9"/>
    </row>
    <row r="6656" spans="15:15" ht="31.4" customHeight="1" x14ac:dyDescent="0.35">
      <c r="O6656" s="9"/>
    </row>
    <row r="6657" spans="15:15" ht="31.4" customHeight="1" x14ac:dyDescent="0.35">
      <c r="O6657" s="9"/>
    </row>
    <row r="6658" spans="15:15" ht="31.4" customHeight="1" x14ac:dyDescent="0.35">
      <c r="O6658" s="9"/>
    </row>
    <row r="6659" spans="15:15" ht="31.4" customHeight="1" x14ac:dyDescent="0.35">
      <c r="O6659" s="9"/>
    </row>
    <row r="6660" spans="15:15" ht="31.4" customHeight="1" x14ac:dyDescent="0.35">
      <c r="O6660" s="9"/>
    </row>
    <row r="6661" spans="15:15" ht="31.4" customHeight="1" x14ac:dyDescent="0.35">
      <c r="O6661" s="9"/>
    </row>
    <row r="6662" spans="15:15" ht="31.4" customHeight="1" x14ac:dyDescent="0.35">
      <c r="O6662" s="9"/>
    </row>
    <row r="6663" spans="15:15" ht="31.4" customHeight="1" x14ac:dyDescent="0.35">
      <c r="O6663" s="9"/>
    </row>
    <row r="6664" spans="15:15" ht="31.4" customHeight="1" x14ac:dyDescent="0.35">
      <c r="O6664" s="9"/>
    </row>
    <row r="6665" spans="15:15" ht="31.4" customHeight="1" x14ac:dyDescent="0.35">
      <c r="O6665" s="9"/>
    </row>
    <row r="6666" spans="15:15" ht="31.4" customHeight="1" x14ac:dyDescent="0.35">
      <c r="O6666" s="9"/>
    </row>
    <row r="6667" spans="15:15" ht="31.4" customHeight="1" x14ac:dyDescent="0.35">
      <c r="O6667" s="9"/>
    </row>
    <row r="6668" spans="15:15" ht="31.4" customHeight="1" x14ac:dyDescent="0.35">
      <c r="O6668" s="9"/>
    </row>
    <row r="6669" spans="15:15" ht="31.4" customHeight="1" x14ac:dyDescent="0.35">
      <c r="O6669" s="9"/>
    </row>
    <row r="6670" spans="15:15" ht="31.4" customHeight="1" x14ac:dyDescent="0.35">
      <c r="O6670" s="9"/>
    </row>
    <row r="6671" spans="15:15" ht="31.4" customHeight="1" x14ac:dyDescent="0.35">
      <c r="O6671" s="9"/>
    </row>
    <row r="6672" spans="15:15" ht="31.4" customHeight="1" x14ac:dyDescent="0.35">
      <c r="O6672" s="9"/>
    </row>
    <row r="6673" spans="15:15" ht="31.4" customHeight="1" x14ac:dyDescent="0.35">
      <c r="O6673" s="9"/>
    </row>
    <row r="6674" spans="15:15" ht="31.4" customHeight="1" x14ac:dyDescent="0.35">
      <c r="O6674" s="9"/>
    </row>
    <row r="6675" spans="15:15" ht="31.4" customHeight="1" x14ac:dyDescent="0.35">
      <c r="O6675" s="9"/>
    </row>
    <row r="6676" spans="15:15" ht="31.4" customHeight="1" x14ac:dyDescent="0.35">
      <c r="O6676" s="9"/>
    </row>
    <row r="6677" spans="15:15" ht="31.4" customHeight="1" x14ac:dyDescent="0.35">
      <c r="O6677" s="9"/>
    </row>
    <row r="6678" spans="15:15" ht="31.4" customHeight="1" x14ac:dyDescent="0.35">
      <c r="O6678" s="9"/>
    </row>
    <row r="6679" spans="15:15" ht="31.4" customHeight="1" x14ac:dyDescent="0.35">
      <c r="O6679" s="9"/>
    </row>
    <row r="6680" spans="15:15" ht="31.4" customHeight="1" x14ac:dyDescent="0.35">
      <c r="O6680" s="9"/>
    </row>
    <row r="6681" spans="15:15" ht="31.4" customHeight="1" x14ac:dyDescent="0.35">
      <c r="O6681" s="9"/>
    </row>
    <row r="6682" spans="15:15" ht="31.4" customHeight="1" x14ac:dyDescent="0.35">
      <c r="O6682" s="9"/>
    </row>
    <row r="6683" spans="15:15" ht="31.4" customHeight="1" x14ac:dyDescent="0.35">
      <c r="O6683" s="9"/>
    </row>
  </sheetData>
  <sheetProtection sort="0" autoFilter="0"/>
  <autoFilter ref="A1:AI1070" xr:uid="{00000000-0009-0000-0000-000001000000}"/>
  <dataConsolidate/>
  <customSheetViews>
    <customSheetView guid="{13318ACA-4079-4744-89BF-3726E999225A}" scale="85" showPageBreaks="1" showAutoFilter="1">
      <pane ySplit="1" topLeftCell="A26" activePane="bottomLeft" state="frozen"/>
      <selection pane="bottomLeft" activeCell="X41" sqref="X41"/>
      <rowBreaks count="171" manualBreakCount="171">
        <brk id="29" max="16383" man="1"/>
        <brk id="30" max="16383" man="1"/>
        <brk id="35" max="16" man="1"/>
        <brk id="64" max="16383" man="1"/>
        <brk id="93" max="16383" man="1"/>
        <brk id="122" max="16383" man="1"/>
        <brk id="151" max="16383" man="1"/>
        <brk id="180" max="16383" man="1"/>
        <brk id="209" max="16383" man="1"/>
        <brk id="238" max="16383" man="1"/>
        <brk id="267" max="16383" man="1"/>
        <brk id="296" max="16383" man="1"/>
        <brk id="325" max="16383" man="1"/>
        <brk id="354" max="16383" man="1"/>
        <brk id="383" max="16383" man="1"/>
        <brk id="412" max="16383" man="1"/>
        <brk id="442" max="16383" man="1"/>
        <brk id="443" max="16383" man="1"/>
        <brk id="473" max="16383" man="1"/>
        <brk id="474" max="16383" man="1"/>
        <brk id="504" max="16383" man="1"/>
        <brk id="505" max="16383" man="1"/>
        <brk id="535" max="16383" man="1"/>
        <brk id="536" max="16383" man="1"/>
        <brk id="566" max="16383" man="1"/>
        <brk id="567" max="16383" man="1"/>
        <brk id="596" max="16383" man="1"/>
        <brk id="626" max="16383" man="1"/>
        <brk id="627" max="16383" man="1"/>
        <brk id="657" max="16383" man="1"/>
        <brk id="658" max="16383" man="1"/>
        <brk id="688" max="16383" man="1"/>
        <brk id="689" max="16383" man="1"/>
        <brk id="719" max="16383" man="1"/>
        <brk id="720" max="16383" man="1"/>
        <brk id="750" max="16383" man="1"/>
        <brk id="751" max="16383" man="1"/>
        <brk id="781" max="16383" man="1"/>
        <brk id="782" max="16383" man="1"/>
        <brk id="812" max="16383" man="1"/>
        <brk id="813" max="16383" man="1"/>
        <brk id="843" max="16383" man="1"/>
        <brk id="844" max="16383" man="1"/>
        <brk id="874" max="16383" man="1"/>
        <brk id="875" max="16383" man="1"/>
        <brk id="913" max="16383" man="1"/>
        <brk id="985" max="16383" man="1"/>
        <brk id="1057" max="16383" man="1"/>
        <brk id="1129" max="16383" man="1"/>
        <brk id="1201" max="16383" man="1"/>
        <brk id="1273" max="16383" man="1"/>
        <brk id="1345" max="16383" man="1"/>
        <brk id="1417" max="16383" man="1"/>
        <brk id="1489" max="16383" man="1"/>
        <brk id="1561" max="16383" man="1"/>
        <brk id="1633" max="16383" man="1"/>
        <brk id="1705" max="16383" man="1"/>
        <brk id="1777" max="16383" man="1"/>
        <brk id="1849" max="16383" man="1"/>
        <brk id="1921" max="16383" man="1"/>
        <brk id="1993" max="16383" man="1"/>
        <brk id="2065" max="16383" man="1"/>
        <brk id="2137" max="16383" man="1"/>
        <brk id="2209" max="16383" man="1"/>
        <brk id="2281" max="16383" man="1"/>
        <brk id="2353" max="16383" man="1"/>
        <brk id="2425" max="16383" man="1"/>
        <brk id="2497" max="16383" man="1"/>
        <brk id="2569" max="16383" man="1"/>
        <brk id="2641" max="16383" man="1"/>
        <brk id="2713" max="16383" man="1"/>
        <brk id="2785" max="16383" man="1"/>
        <brk id="2857" max="16383" man="1"/>
        <brk id="2929" max="16383" man="1"/>
        <brk id="3001" max="16383" man="1"/>
        <brk id="3073" max="16383" man="1"/>
        <brk id="3145" max="16383" man="1"/>
        <brk id="3217" max="16383" man="1"/>
        <brk id="3289" max="16383" man="1"/>
        <brk id="3361" max="16383" man="1"/>
        <brk id="3433" max="16383" man="1"/>
        <brk id="3505" max="16383" man="1"/>
        <brk id="3577" max="16383" man="1"/>
        <brk id="3649" max="16383" man="1"/>
        <brk id="3721" max="16383" man="1"/>
        <brk id="3793" max="16383" man="1"/>
        <brk id="3865" max="16383" man="1"/>
        <brk id="3937" max="16383" man="1"/>
        <brk id="4009" max="16383" man="1"/>
        <brk id="4081" max="16383" man="1"/>
        <brk id="4153" max="16383" man="1"/>
        <brk id="4225" max="16383" man="1"/>
        <brk id="4297" max="16383" man="1"/>
        <brk id="4369" max="16383" man="1"/>
        <brk id="4441" max="16383" man="1"/>
        <brk id="4513" max="16383" man="1"/>
        <brk id="4585" max="16383" man="1"/>
        <brk id="4657" max="16383" man="1"/>
        <brk id="5332" max="16383" man="1"/>
        <brk id="5404" max="16383" man="1"/>
        <brk id="5476" max="16383" man="1"/>
        <brk id="5548" max="16383" man="1"/>
        <brk id="5620" max="16383" man="1"/>
        <brk id="5692" max="16383" man="1"/>
        <brk id="5764" max="16383" man="1"/>
        <brk id="5836" max="16383" man="1"/>
        <brk id="5908" max="16383" man="1"/>
        <brk id="5980" max="16383" man="1"/>
        <brk id="6052" max="16383" man="1"/>
        <brk id="6124" max="16383" man="1"/>
        <brk id="6196" max="16383" man="1"/>
        <brk id="6268" max="16383" man="1"/>
        <brk id="6340" max="16383" man="1"/>
        <brk id="6412" max="16383" man="1"/>
        <brk id="6484" max="16383" man="1"/>
        <brk id="6556" max="16383" man="1"/>
        <brk id="6628" max="16383" man="1"/>
        <brk id="6700" max="16383" man="1"/>
        <brk id="6772" max="16383" man="1"/>
        <brk id="6844" max="16383" man="1"/>
        <brk id="6916" max="16383" man="1"/>
        <brk id="6988" max="16383" man="1"/>
        <brk id="7060" max="16383" man="1"/>
        <brk id="7132" max="16383" man="1"/>
        <brk id="7204" max="16383" man="1"/>
        <brk id="7276" max="16383" man="1"/>
        <brk id="7348" max="16383" man="1"/>
        <brk id="7420" max="16383" man="1"/>
        <brk id="7492" max="16383" man="1"/>
        <brk id="7564" max="16383" man="1"/>
        <brk id="7636" max="16383" man="1"/>
        <brk id="7708" max="16383" man="1"/>
        <brk id="7780" max="16383" man="1"/>
        <brk id="7852" max="16383" man="1"/>
        <brk id="7924" max="16383" man="1"/>
        <brk id="7996" max="16383" man="1"/>
        <brk id="8068" max="16383" man="1"/>
        <brk id="8140" max="16383" man="1"/>
        <brk id="8212" max="16383" man="1"/>
        <brk id="8284" max="16383" man="1"/>
        <brk id="8356" max="16383" man="1"/>
        <brk id="8428" max="16383" man="1"/>
        <brk id="8500" max="16383" man="1"/>
        <brk id="8572" max="16383" man="1"/>
        <brk id="8644" max="16383" man="1"/>
        <brk id="8716" max="16383" man="1"/>
        <brk id="8788" max="16383" man="1"/>
        <brk id="8860" max="16383" man="1"/>
        <brk id="8932" max="16383" man="1"/>
        <brk id="9004" max="16383" man="1"/>
        <brk id="9076" max="16383" man="1"/>
        <brk id="9148" max="16383" man="1"/>
        <brk id="9220" max="16383" man="1"/>
        <brk id="9292" max="16383" man="1"/>
        <brk id="9364" max="16383" man="1"/>
        <brk id="9436" max="16383" man="1"/>
        <brk id="9508" max="16383" man="1"/>
        <brk id="9580" max="16383" man="1"/>
        <brk id="9652" max="16383" man="1"/>
        <brk id="9724" max="16383" man="1"/>
        <brk id="9796" max="16383" man="1"/>
        <brk id="9868" max="16383" man="1"/>
        <brk id="9940" max="16383" man="1"/>
        <brk id="10012" max="16383" man="1"/>
        <brk id="10084" max="16383" man="1"/>
        <brk id="10156" max="16383" man="1"/>
        <brk id="10228" max="16383" man="1"/>
        <brk id="10300" max="16383" man="1"/>
        <brk id="10372" max="16383" man="1"/>
        <brk id="10444" max="16383" man="1"/>
        <brk id="10516" max="16383" man="1"/>
      </rowBreaks>
      <pageMargins left="0" right="0" top="0" bottom="0" header="0" footer="0"/>
      <pageSetup paperSize="9" scale="50" fitToWidth="0" fitToHeight="0" orientation="landscape" r:id="rId1"/>
      <headerFooter alignWithMargins="0">
        <oddHeader>&amp;C&amp;"Arial,Bold"&amp;16FREEDOM OF INFORMATION
Requests 2011</oddHeader>
        <oddFooter>&amp;LRCBC Legal and Governance&amp;CPage &amp;P of &amp;N&amp;R&amp;D</oddFooter>
      </headerFooter>
      <autoFilter ref="B1:AH1" xr:uid="{8E379AA1-D8DF-4411-885F-69946988D71D}"/>
    </customSheetView>
    <customSheetView guid="{EDEA0188-918A-4C73-A2B8-679F5F53E347}" scale="120" showAutoFilter="1" hiddenColumns="1" topLeftCell="A873">
      <selection activeCell="A874" sqref="A874"/>
      <rowBreaks count="176" manualBreakCount="176">
        <brk id="22" max="16383" man="1"/>
        <brk id="30" max="16383" man="1"/>
        <brk id="35" max="16" man="1"/>
        <brk id="58" max="16383" man="1"/>
        <brk id="64" max="16383" man="1"/>
        <brk id="87" max="16383" man="1"/>
        <brk id="93" max="16383" man="1"/>
        <brk id="116" max="16383" man="1"/>
        <brk id="122" max="16383" man="1"/>
        <brk id="145" max="16383" man="1"/>
        <brk id="151" max="16383" man="1"/>
        <brk id="174" max="16383" man="1"/>
        <brk id="180" max="16383" man="1"/>
        <brk id="203" max="16383" man="1"/>
        <brk id="209" max="16383" man="1"/>
        <brk id="232" max="16383" man="1"/>
        <brk id="238" max="16383" man="1"/>
        <brk id="261" max="16383" man="1"/>
        <brk id="267" max="16383" man="1"/>
        <brk id="290" max="16383" man="1"/>
        <brk id="296" max="16383" man="1"/>
        <brk id="319" max="16383" man="1"/>
        <brk id="325" max="16383" man="1"/>
        <brk id="348" max="16383" man="1"/>
        <brk id="354" max="16383" man="1"/>
        <brk id="377" max="16383" man="1"/>
        <brk id="383" max="16383" man="1"/>
        <brk id="406" max="16383" man="1"/>
        <brk id="412" max="16383" man="1"/>
        <brk id="435" max="16383" man="1"/>
        <brk id="443" max="16383" man="1"/>
        <brk id="466" max="16383" man="1"/>
        <brk id="474" max="16383" man="1"/>
        <brk id="497" max="16383" man="1"/>
        <brk id="505" max="16383" man="1"/>
        <brk id="528" max="16383" man="1"/>
        <brk id="536" max="16383" man="1"/>
        <brk id="559" max="16383" man="1"/>
        <brk id="567" max="16383" man="1"/>
        <brk id="590" max="16383" man="1"/>
        <brk id="596" max="16383" man="1"/>
        <brk id="618" max="16383" man="1"/>
        <brk id="627" max="16383" man="1"/>
        <brk id="658" max="16383" man="1"/>
        <brk id="689" max="16383" man="1"/>
        <brk id="720" max="16383" man="1"/>
        <brk id="751" max="16383" man="1"/>
        <brk id="782" max="16383" man="1"/>
        <brk id="813" max="16383" man="1"/>
        <brk id="844" max="16383" man="1"/>
        <brk id="875" max="16383" man="1"/>
        <brk id="913" max="16383" man="1"/>
        <brk id="985" max="16383" man="1"/>
        <brk id="1057" max="16383" man="1"/>
        <brk id="1129" max="16383" man="1"/>
        <brk id="1201" max="16383" man="1"/>
        <brk id="1273" max="16383" man="1"/>
        <brk id="1345" max="16383" man="1"/>
        <brk id="1417" max="16383" man="1"/>
        <brk id="1489" max="16383" man="1"/>
        <brk id="1561" max="16383" man="1"/>
        <brk id="1633" max="16383" man="1"/>
        <brk id="1705" max="16383" man="1"/>
        <brk id="1777" max="16383" man="1"/>
        <brk id="1849" max="16383" man="1"/>
        <brk id="1921" max="16383" man="1"/>
        <brk id="1993" max="16383" man="1"/>
        <brk id="2065" max="16383" man="1"/>
        <brk id="2137" max="16383" man="1"/>
        <brk id="2209" max="16383" man="1"/>
        <brk id="2281" max="16383" man="1"/>
        <brk id="2353" max="16383" man="1"/>
        <brk id="2425" max="16383" man="1"/>
        <brk id="2497" max="16383" man="1"/>
        <brk id="2569" max="16383" man="1"/>
        <brk id="2641" max="16383" man="1"/>
        <brk id="2713" max="16383" man="1"/>
        <brk id="2785" max="16383" man="1"/>
        <brk id="2857" max="16383" man="1"/>
        <brk id="2929" max="16383" man="1"/>
        <brk id="3001" max="16383" man="1"/>
        <brk id="3073" max="16383" man="1"/>
        <brk id="3145" max="16383" man="1"/>
        <brk id="3217" max="16383" man="1"/>
        <brk id="3289" max="16383" man="1"/>
        <brk id="3361" max="16383" man="1"/>
        <brk id="3433" max="16383" man="1"/>
        <brk id="3505" max="16383" man="1"/>
        <brk id="3577" max="16383" man="1"/>
        <brk id="3649" max="16383" man="1"/>
        <brk id="3721" max="16383" man="1"/>
        <brk id="3793" max="16383" man="1"/>
        <brk id="3865" max="16383" man="1"/>
        <brk id="3937" max="16383" man="1"/>
        <brk id="4009" max="16383" man="1"/>
        <brk id="4081" max="16383" man="1"/>
        <brk id="4153" max="16383" man="1"/>
        <brk id="4225" max="16383" man="1"/>
        <brk id="4297" max="16383" man="1"/>
        <brk id="4369" max="16383" man="1"/>
        <brk id="4441" max="16383" man="1"/>
        <brk id="4513" max="16383" man="1"/>
        <brk id="4585" max="16383" man="1"/>
        <brk id="4657" max="16383" man="1"/>
        <brk id="5332" max="16383" man="1"/>
        <brk id="5404" max="16383" man="1"/>
        <brk id="5476" max="16383" man="1"/>
        <brk id="5548" max="16383" man="1"/>
        <brk id="5620" max="16383" man="1"/>
        <brk id="5692" max="16383" man="1"/>
        <brk id="5764" max="16383" man="1"/>
        <brk id="5836" max="16383" man="1"/>
        <brk id="5908" max="16383" man="1"/>
        <brk id="5980" max="16383" man="1"/>
        <brk id="6052" max="16383" man="1"/>
        <brk id="6124" max="16383" man="1"/>
        <brk id="6196" max="16383" man="1"/>
        <brk id="6268" max="16383" man="1"/>
        <brk id="6340" max="16383" man="1"/>
        <brk id="6412" max="16383" man="1"/>
        <brk id="6484" max="16383" man="1"/>
        <brk id="6556" max="16383" man="1"/>
        <brk id="6628" max="16383" man="1"/>
        <brk id="6700" max="16383" man="1"/>
        <brk id="6772" max="16383" man="1"/>
        <brk id="6844" max="16383" man="1"/>
        <brk id="6916" max="16383" man="1"/>
        <brk id="6988" max="16383" man="1"/>
        <brk id="7060" max="16383" man="1"/>
        <brk id="7132" max="16383" man="1"/>
        <brk id="7204" max="16383" man="1"/>
        <brk id="7276" max="16383" man="1"/>
        <brk id="7348" max="16383" man="1"/>
        <brk id="7420" max="16383" man="1"/>
        <brk id="7492" max="16383" man="1"/>
        <brk id="7564" max="16383" man="1"/>
        <brk id="7636" max="16383" man="1"/>
        <brk id="7708" max="16383" man="1"/>
        <brk id="7780" max="16383" man="1"/>
        <brk id="7852" max="16383" man="1"/>
        <brk id="7924" max="16383" man="1"/>
        <brk id="7996" max="16383" man="1"/>
        <brk id="8068" max="16383" man="1"/>
        <brk id="8140" max="16383" man="1"/>
        <brk id="8212" max="16383" man="1"/>
        <brk id="8284" max="16383" man="1"/>
        <brk id="8356" max="16383" man="1"/>
        <brk id="8428" max="16383" man="1"/>
        <brk id="8500" max="16383" man="1"/>
        <brk id="8572" max="16383" man="1"/>
        <brk id="8644" max="16383" man="1"/>
        <brk id="8716" max="16383" man="1"/>
        <brk id="8788" max="16383" man="1"/>
        <brk id="8860" max="16383" man="1"/>
        <brk id="8932" max="16383" man="1"/>
        <brk id="9004" max="16383" man="1"/>
        <brk id="9076" max="16383" man="1"/>
        <brk id="9148" max="16383" man="1"/>
        <brk id="9220" max="16383" man="1"/>
        <brk id="9292" max="16383" man="1"/>
        <brk id="9364" max="16383" man="1"/>
        <brk id="9436" max="16383" man="1"/>
        <brk id="9508" max="16383" man="1"/>
        <brk id="9580" max="16383" man="1"/>
        <brk id="9652" max="16383" man="1"/>
        <brk id="9724" max="16383" man="1"/>
        <brk id="9796" max="16383" man="1"/>
        <brk id="9868" max="16383" man="1"/>
        <brk id="9940" max="16383" man="1"/>
        <brk id="10012" max="16383" man="1"/>
        <brk id="10084" max="16383" man="1"/>
        <brk id="10156" max="16383" man="1"/>
        <brk id="10228" max="16383" man="1"/>
        <brk id="10300" max="16383" man="1"/>
        <brk id="10372" max="16383" man="1"/>
        <brk id="10444" max="16383" man="1"/>
      </rowBreaks>
      <pageMargins left="0" right="0" top="0" bottom="0" header="0" footer="0"/>
      <pageSetup paperSize="9" scale="50" fitToWidth="0" fitToHeight="0" orientation="landscape" r:id="rId2"/>
      <headerFooter alignWithMargins="0">
        <oddHeader>&amp;C&amp;"Arial,Bold"&amp;16FREEDOM OF INFORMATION
Requests 2011</oddHeader>
        <oddFooter>&amp;LRCBC Legal and Governance&amp;CPage &amp;P of &amp;N&amp;R&amp;D</oddFooter>
      </headerFooter>
      <autoFilter ref="B1:AH1" xr:uid="{AAFD1FE4-5DB6-4B69-B288-017F270BD748}"/>
    </customSheetView>
  </customSheetViews>
  <mergeCells count="9">
    <mergeCell ref="AH14:AH15"/>
    <mergeCell ref="AB13:AF13"/>
    <mergeCell ref="AE14:AE15"/>
    <mergeCell ref="AG14:AG15"/>
    <mergeCell ref="AF14:AF15"/>
    <mergeCell ref="AA14:AA15"/>
    <mergeCell ref="AB14:AB15"/>
    <mergeCell ref="AC14:AC15"/>
    <mergeCell ref="AD14:AD15"/>
  </mergeCells>
  <phoneticPr fontId="1" type="noConversion"/>
  <conditionalFormatting sqref="O1 O1070:O5046 O5050:O65323">
    <cfRule type="containsText" dxfId="13" priority="15" stopIfTrue="1" operator="containsText" text="N/A">
      <formula>NOT(ISERROR(SEARCH("N/A",O1)))</formula>
    </cfRule>
    <cfRule type="containsText" dxfId="12" priority="16" stopIfTrue="1" operator="containsText" text="No">
      <formula>NOT(ISERROR(SEARCH("No",O1)))</formula>
    </cfRule>
    <cfRule type="containsText" dxfId="11" priority="20" stopIfTrue="1" operator="containsText" text="Yes">
      <formula>NOT(ISERROR(SEARCH("Yes",O1)))</formula>
    </cfRule>
  </conditionalFormatting>
  <conditionalFormatting sqref="O2:O1069">
    <cfRule type="containsText" dxfId="10" priority="1" stopIfTrue="1" operator="containsText" text="No">
      <formula>NOT(ISERROR(SEARCH("No",O2)))</formula>
    </cfRule>
    <cfRule type="containsText" dxfId="9" priority="2" stopIfTrue="1" operator="containsText" text="Yes">
      <formula>NOT(ISERROR(SEARCH("Yes",O2)))</formula>
    </cfRule>
  </conditionalFormatting>
  <conditionalFormatting sqref="O5049">
    <cfRule type="containsText" dxfId="8" priority="10" stopIfTrue="1" operator="containsText" text="No">
      <formula>NOT(ISERROR(SEARCH("No",O5049)))</formula>
    </cfRule>
    <cfRule type="containsText" dxfId="7" priority="11" stopIfTrue="1" operator="containsText" text="Yes">
      <formula>NOT(ISERROR(SEARCH("Yes",O5049)))</formula>
    </cfRule>
  </conditionalFormatting>
  <dataValidations count="7">
    <dataValidation type="list" allowBlank="1" showInputMessage="1" showErrorMessage="1" sqref="O1 O1070:O5046 O5050:O65323" xr:uid="{00000000-0002-0000-0100-000000000000}">
      <formula1>$P$2:$P$4</formula1>
    </dataValidation>
    <dataValidation type="list" allowBlank="1" showInputMessage="1" showErrorMessage="1" sqref="S753 T5049:T65323 T1:T5046" xr:uid="{00000000-0002-0000-0100-000001000000}">
      <formula1>$U$2:$U$7</formula1>
    </dataValidation>
    <dataValidation type="list" allowBlank="1" showInputMessage="1" showErrorMessage="1" sqref="L5049:L65323 L1 L486:L673 L675 L677:L683 L686 L688:L691 L707:L710 L713:L714 L109:L484 L693:L704 L717:L5046 C218:C820 C2:C216 C822:C1048576" xr:uid="{00000000-0002-0000-0100-000002000000}">
      <formula1>#REF!</formula1>
    </dataValidation>
    <dataValidation type="list" allowBlank="1" showInputMessage="1" showErrorMessage="1" sqref="L9:L108 L485 L715 L711 L705 L692 L687 L684:L685 L676 L674" xr:uid="{00000000-0002-0000-0100-000003000000}">
      <formula1>$O$2:$O$8</formula1>
    </dataValidation>
    <dataValidation type="list" allowBlank="1" showInputMessage="1" showErrorMessage="1" sqref="R1:R1048576" xr:uid="{00000000-0002-0000-0100-000004000000}">
      <formula1>$S$2:$S$6</formula1>
    </dataValidation>
    <dataValidation type="list" allowBlank="1" showInputMessage="1" showErrorMessage="1" sqref="V1:V1048576" xr:uid="{88627FE8-240C-4037-84B4-E1FA025E0331}">
      <formula1>$X$2:$X$27</formula1>
    </dataValidation>
    <dataValidation type="list" allowBlank="1" showInputMessage="1" showErrorMessage="1" sqref="K1:K1048576" xr:uid="{90DAE9CE-EF98-4CCE-A699-07DA02068B96}">
      <formula1>$L$2:$L$5</formula1>
    </dataValidation>
  </dataValidations>
  <pageMargins left="0.74803149606299213" right="0.74803149606299213" top="0.98425196850393704" bottom="0.98425196850393704" header="0.51181102362204722" footer="0.51181102362204722"/>
  <pageSetup paperSize="9" scale="50" fitToWidth="0" fitToHeight="0" orientation="landscape" r:id="rId3"/>
  <headerFooter alignWithMargins="0">
    <oddHeader>&amp;C&amp;"Arial,Bold"&amp;16FREEDOM OF INFORMATION
Requests 2011</oddHeader>
    <oddFooter>&amp;LRCBC Legal and Governance&amp;CPage &amp;P of &amp;N&amp;R&amp;D</oddFooter>
  </headerFooter>
  <rowBreaks count="168" manualBreakCount="168">
    <brk id="29" max="16383" man="1"/>
    <brk id="30" max="16383" man="1"/>
    <brk id="35" max="16" man="1"/>
    <brk id="64" max="16383" man="1"/>
    <brk id="93" max="16383" man="1"/>
    <brk id="122" max="16383" man="1"/>
    <brk id="151" max="16383" man="1"/>
    <brk id="180" max="16383" man="1"/>
    <brk id="209" max="16383" man="1"/>
    <brk id="238" max="16383" man="1"/>
    <brk id="267" max="16383" man="1"/>
    <brk id="296" max="16383" man="1"/>
    <brk id="325" max="16383" man="1"/>
    <brk id="354" max="16383" man="1"/>
    <brk id="383" max="16383" man="1"/>
    <brk id="412" max="16383" man="1"/>
    <brk id="442" max="16383" man="1"/>
    <brk id="443" max="16383" man="1"/>
    <brk id="473" max="16383" man="1"/>
    <brk id="474" max="16383" man="1"/>
    <brk id="504" max="16383" man="1"/>
    <brk id="505" max="16383" man="1"/>
    <brk id="535" max="16383" man="1"/>
    <brk id="536" max="16383" man="1"/>
    <brk id="566" max="16383" man="1"/>
    <brk id="567" max="16383" man="1"/>
    <brk id="596" max="16383" man="1"/>
    <brk id="626" max="16383" man="1"/>
    <brk id="627" max="16383" man="1"/>
    <brk id="657" max="16383" man="1"/>
    <brk id="658" max="16383" man="1"/>
    <brk id="688" max="16383" man="1"/>
    <brk id="689" max="16383" man="1"/>
    <brk id="719" max="16383" man="1"/>
    <brk id="720" max="16383" man="1"/>
    <brk id="750" max="16383" man="1"/>
    <brk id="751" max="16383" man="1"/>
    <brk id="781" max="16383" man="1"/>
    <brk id="782" max="16383" man="1"/>
    <brk id="812" max="16383" man="1"/>
    <brk id="813" max="16383" man="1"/>
    <brk id="843" max="16383" man="1"/>
    <brk id="844" max="16383" man="1"/>
    <brk id="874" max="16383" man="1"/>
    <brk id="875" max="16383" man="1"/>
    <brk id="913" max="16383" man="1"/>
    <brk id="984" max="16383" man="1"/>
    <brk id="1055" max="16383" man="1"/>
    <brk id="1131" max="16383" man="1"/>
    <brk id="1203" max="16383" man="1"/>
    <brk id="1275" max="16383" man="1"/>
    <brk id="1347" max="16383" man="1"/>
    <brk id="1419" max="16383" man="1"/>
    <brk id="1491" max="16383" man="1"/>
    <brk id="1563" max="16383" man="1"/>
    <brk id="1635" max="16383" man="1"/>
    <brk id="1707" max="16383" man="1"/>
    <brk id="1779" max="16383" man="1"/>
    <brk id="1851" max="16383" man="1"/>
    <brk id="1923" max="16383" man="1"/>
    <brk id="1995" max="16383" man="1"/>
    <brk id="2067" max="16383" man="1"/>
    <brk id="2139" max="16383" man="1"/>
    <brk id="2211" max="16383" man="1"/>
    <brk id="2283" max="16383" man="1"/>
    <brk id="2355" max="16383" man="1"/>
    <brk id="2427" max="16383" man="1"/>
    <brk id="2499" max="16383" man="1"/>
    <brk id="2571" max="16383" man="1"/>
    <brk id="2643" max="16383" man="1"/>
    <brk id="2715" max="16383" man="1"/>
    <brk id="2787" max="16383" man="1"/>
    <brk id="2859" max="16383" man="1"/>
    <brk id="2931" max="16383" man="1"/>
    <brk id="3003" max="16383" man="1"/>
    <brk id="3075" max="16383" man="1"/>
    <brk id="3147" max="16383" man="1"/>
    <brk id="3219" max="16383" man="1"/>
    <brk id="3291" max="16383" man="1"/>
    <brk id="3363" max="16383" man="1"/>
    <brk id="3435" max="16383" man="1"/>
    <brk id="3507" max="16383" man="1"/>
    <brk id="3579" max="16383" man="1"/>
    <brk id="3651" max="16383" man="1"/>
    <brk id="3723" max="16383" man="1"/>
    <brk id="3795" max="16383" man="1"/>
    <brk id="3867" max="16383" man="1"/>
    <brk id="3939" max="16383" man="1"/>
    <brk id="4011" max="16383" man="1"/>
    <brk id="4083" max="16383" man="1"/>
    <brk id="4155" max="16383" man="1"/>
    <brk id="4227" max="16383" man="1"/>
    <brk id="4299" max="16383" man="1"/>
    <brk id="4371" max="16383" man="1"/>
    <brk id="4443" max="16383" man="1"/>
    <brk id="5118" max="16383" man="1"/>
    <brk id="5190" max="16383" man="1"/>
    <brk id="5262" max="16383" man="1"/>
    <brk id="5334" max="16383" man="1"/>
    <brk id="5406" max="16383" man="1"/>
    <brk id="5478" max="16383" man="1"/>
    <brk id="5550" max="16383" man="1"/>
    <brk id="5622" max="16383" man="1"/>
    <brk id="5694" max="16383" man="1"/>
    <brk id="5766" max="16383" man="1"/>
    <brk id="5838" max="16383" man="1"/>
    <brk id="5910" max="16383" man="1"/>
    <brk id="5982" max="16383" man="1"/>
    <brk id="6054" max="16383" man="1"/>
    <brk id="6126" max="16383" man="1"/>
    <brk id="6198" max="16383" man="1"/>
    <brk id="6270" max="16383" man="1"/>
    <brk id="6342" max="16383" man="1"/>
    <brk id="6414" max="16383" man="1"/>
    <brk id="6486" max="16383" man="1"/>
    <brk id="6558" max="16383" man="1"/>
    <brk id="6630" max="16383" man="1"/>
    <brk id="6702" max="16383" man="1"/>
    <brk id="6774" max="16383" man="1"/>
    <brk id="6846" max="16383" man="1"/>
    <brk id="6918" max="16383" man="1"/>
    <brk id="6990" max="16383" man="1"/>
    <brk id="7062" max="16383" man="1"/>
    <brk id="7134" max="16383" man="1"/>
    <brk id="7206" max="16383" man="1"/>
    <brk id="7278" max="16383" man="1"/>
    <brk id="7350" max="16383" man="1"/>
    <brk id="7422" max="16383" man="1"/>
    <brk id="7494" max="16383" man="1"/>
    <brk id="7566" max="16383" man="1"/>
    <brk id="7638" max="16383" man="1"/>
    <brk id="7710" max="16383" man="1"/>
    <brk id="7782" max="16383" man="1"/>
    <brk id="7854" max="16383" man="1"/>
    <brk id="7926" max="16383" man="1"/>
    <brk id="7998" max="16383" man="1"/>
    <brk id="8070" max="16383" man="1"/>
    <brk id="8142" max="16383" man="1"/>
    <brk id="8214" max="16383" man="1"/>
    <brk id="8286" max="16383" man="1"/>
    <brk id="8358" max="16383" man="1"/>
    <brk id="8430" max="16383" man="1"/>
    <brk id="8502" max="16383" man="1"/>
    <brk id="8574" max="16383" man="1"/>
    <brk id="8646" max="16383" man="1"/>
    <brk id="8718" max="16383" man="1"/>
    <brk id="8790" max="16383" man="1"/>
    <brk id="8862" max="16383" man="1"/>
    <brk id="8934" max="16383" man="1"/>
    <brk id="9006" max="16383" man="1"/>
    <brk id="9078" max="16383" man="1"/>
    <brk id="9150" max="16383" man="1"/>
    <brk id="9222" max="16383" man="1"/>
    <brk id="9294" max="16383" man="1"/>
    <brk id="9366" max="16383" man="1"/>
    <brk id="9438" max="16383" man="1"/>
    <brk id="9510" max="16383" man="1"/>
    <brk id="9582" max="16383" man="1"/>
    <brk id="9654" max="16383" man="1"/>
    <brk id="9726" max="16383" man="1"/>
    <brk id="9798" max="16383" man="1"/>
    <brk id="9870" max="16383" man="1"/>
    <brk id="9942" max="16383" man="1"/>
    <brk id="10014" max="16383" man="1"/>
    <brk id="10086" max="16383" man="1"/>
    <brk id="10158" max="16383" man="1"/>
    <brk id="10230" max="16383" man="1"/>
    <brk id="10302" max="16383"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V997"/>
  <sheetViews>
    <sheetView zoomScale="75" zoomScaleNormal="74" workbookViewId="0">
      <pane ySplit="1" topLeftCell="A2" activePane="bottomLeft" state="frozen"/>
      <selection pane="bottomLeft" activeCell="H340" sqref="H340"/>
    </sheetView>
  </sheetViews>
  <sheetFormatPr defaultColWidth="9.453125" defaultRowHeight="15" customHeight="1" x14ac:dyDescent="0.35"/>
  <cols>
    <col min="1" max="1" width="16.54296875" style="215" customWidth="1"/>
    <col min="2" max="3" width="29.453125" style="139" customWidth="1"/>
    <col min="4" max="4" width="69" style="139" customWidth="1"/>
    <col min="5" max="5" width="13.453125" style="139" customWidth="1"/>
    <col min="6" max="9" width="13.54296875" style="139" customWidth="1"/>
    <col min="10" max="11" width="12.453125" style="139" customWidth="1"/>
    <col min="12" max="12" width="37.1796875" style="139" customWidth="1"/>
    <col min="13" max="13" width="47.81640625" style="139" hidden="1" customWidth="1"/>
    <col min="14" max="14" width="15" style="139" bestFit="1" customWidth="1"/>
    <col min="15" max="15" width="22.453125" style="139" customWidth="1"/>
    <col min="16" max="16" width="14.453125" style="139" customWidth="1"/>
    <col min="17" max="17" width="20.54296875" style="139" hidden="1" customWidth="1"/>
    <col min="18" max="18" width="19" style="148" bestFit="1" customWidth="1"/>
    <col min="19" max="19" width="25" style="139" bestFit="1" customWidth="1"/>
    <col min="20" max="20" width="21.453125" style="139" hidden="1" customWidth="1"/>
    <col min="21" max="21" width="47.81640625" style="139" customWidth="1"/>
    <col min="22" max="22" width="61.54296875" style="139" customWidth="1"/>
    <col min="23" max="23" width="41.453125" style="139" hidden="1" customWidth="1"/>
    <col min="24" max="24" width="45.54296875" style="139" customWidth="1"/>
    <col min="25" max="25" width="26" style="139" customWidth="1"/>
    <col min="26" max="26" width="17.453125" style="139" customWidth="1"/>
    <col min="27" max="27" width="11.453125" style="139" customWidth="1"/>
    <col min="28" max="32" width="9.453125" style="139"/>
    <col min="33" max="33" width="11" style="139" customWidth="1"/>
    <col min="34" max="47" width="9.453125" style="139"/>
    <col min="48" max="48" width="13" style="139" customWidth="1"/>
    <col min="49" max="16384" width="9.453125" style="139"/>
  </cols>
  <sheetData>
    <row r="1" spans="1:48" ht="56.25" customHeight="1" x14ac:dyDescent="0.35">
      <c r="A1" s="213" t="s">
        <v>17</v>
      </c>
      <c r="B1" s="63" t="s">
        <v>18</v>
      </c>
      <c r="C1" s="63" t="s">
        <v>2</v>
      </c>
      <c r="D1" s="63" t="s">
        <v>19</v>
      </c>
      <c r="E1" s="63" t="s">
        <v>1137</v>
      </c>
      <c r="F1" s="63" t="s">
        <v>21</v>
      </c>
      <c r="G1" s="63" t="s">
        <v>22</v>
      </c>
      <c r="H1" s="63" t="s">
        <v>23</v>
      </c>
      <c r="I1" s="63" t="s">
        <v>1138</v>
      </c>
      <c r="J1" s="63" t="s">
        <v>1139</v>
      </c>
      <c r="K1" s="15" t="s">
        <v>25</v>
      </c>
      <c r="L1" s="63" t="s">
        <v>1140</v>
      </c>
      <c r="M1" s="63" t="s">
        <v>1141</v>
      </c>
      <c r="N1" s="63" t="s">
        <v>26</v>
      </c>
      <c r="O1" s="63" t="s">
        <v>1142</v>
      </c>
      <c r="P1" s="63" t="s">
        <v>28</v>
      </c>
      <c r="Q1" s="64" t="s">
        <v>29</v>
      </c>
      <c r="R1" s="63" t="s">
        <v>30</v>
      </c>
      <c r="S1" s="63" t="s">
        <v>32</v>
      </c>
      <c r="T1" s="63" t="s">
        <v>33</v>
      </c>
      <c r="U1" s="63" t="s">
        <v>1143</v>
      </c>
      <c r="V1" s="63" t="s">
        <v>35</v>
      </c>
      <c r="W1" s="138" t="s">
        <v>1144</v>
      </c>
      <c r="AV1" s="139" t="s">
        <v>37</v>
      </c>
    </row>
    <row r="2" spans="1:48" ht="30" customHeight="1" x14ac:dyDescent="0.35">
      <c r="A2" s="214">
        <v>1</v>
      </c>
      <c r="B2" s="66" t="s">
        <v>55</v>
      </c>
      <c r="C2" s="66" t="s">
        <v>13</v>
      </c>
      <c r="D2" s="65" t="s">
        <v>1145</v>
      </c>
      <c r="E2" s="69">
        <v>45748</v>
      </c>
      <c r="F2" s="69">
        <f>IF($E2="","",WORKDAY($E2,1,$Z$33:$Z$47))</f>
        <v>45749</v>
      </c>
      <c r="G2" s="69">
        <f>IF($E2="","",WORKDAY($E2,10,$Z$33:$Z$47))</f>
        <v>45762</v>
      </c>
      <c r="H2" s="69">
        <f>IF($E2="","",WORKDAY($E2,20,$Z$33:$Z$47))</f>
        <v>45778</v>
      </c>
      <c r="I2" s="69">
        <f>IF($E2="","",WORKDAY($E2,40,$Z$33:$Z$47))</f>
        <v>45810</v>
      </c>
      <c r="J2" s="69" t="str">
        <f>IF(ISBLANK($E2),"",TEXT($E2,"mmm"))</f>
        <v>Apr</v>
      </c>
      <c r="K2" s="216" t="str">
        <f t="shared" ref="K2:K65" ca="1" si="0">IF($E2="","",IF($N2="",$H2-TODAY(),""))</f>
        <v/>
      </c>
      <c r="L2" s="67" t="s">
        <v>10</v>
      </c>
      <c r="M2" t="s">
        <v>3</v>
      </c>
      <c r="N2" s="68">
        <v>45748</v>
      </c>
      <c r="O2" s="152">
        <f t="shared" ref="O2:O65" si="1">IF($N2="","",NETWORKDAYS($E2,$N2,$Z$33:$Z$47)-1)</f>
        <v>0</v>
      </c>
      <c r="P2" s="12" t="str">
        <f>IF(ISBLANK($N2),"",IF($O2&lt;21,"Yes","No"))</f>
        <v>Yes</v>
      </c>
      <c r="Q2" s="12" t="s">
        <v>1146</v>
      </c>
      <c r="R2" s="68" t="s">
        <v>39</v>
      </c>
      <c r="S2" s="66" t="s">
        <v>62</v>
      </c>
      <c r="T2" s="155" t="s">
        <v>40</v>
      </c>
      <c r="U2" s="66"/>
      <c r="V2" s="66"/>
      <c r="W2" s="72" t="s">
        <v>1147</v>
      </c>
      <c r="Y2" s="74"/>
      <c r="Z2" s="74"/>
      <c r="AA2" s="140"/>
      <c r="AV2" s="139" t="str" cm="1">
        <f t="array" ref="AV2:AV997">_xlfn.IFS($J$2:$J$997="Apr","Quarter 1", $J$2:$J$997="May","Quarter 1", $J$2:$J$997="Jun","Quarter 1", $J$2:$J$997="Jul","Quarter 2", $J$2:$J$997="Aug","Quarter 2", $J$2:$J$997="Sep","Quarter 2",$J$2:$J$997="Oct","Quarter 3", $J$2:$J$997="Nov","Quarter 3", $J$2:$J$997="Dec","Quarter 3", $J$2:$J$997="Jan","Quarter 4", $J$2:$J$997="Feb","Quarter 4", $J$2:$J$997="Mar","Quarter 4")</f>
        <v>Quarter 1</v>
      </c>
    </row>
    <row r="3" spans="1:48" ht="30" customHeight="1" x14ac:dyDescent="0.35">
      <c r="A3" s="214">
        <v>2</v>
      </c>
      <c r="B3" s="65" t="s">
        <v>1148</v>
      </c>
      <c r="C3" s="65" t="s">
        <v>9</v>
      </c>
      <c r="D3" s="65" t="s">
        <v>1149</v>
      </c>
      <c r="E3" s="69">
        <v>45751</v>
      </c>
      <c r="F3" s="69">
        <f>IF($E3="","",WORKDAY($E3,1,$Z$33:$Z$47))</f>
        <v>45754</v>
      </c>
      <c r="G3" s="69">
        <f>IF($E3="","",WORKDAY($E3,10,$Z$33:$Z$47))</f>
        <v>45769</v>
      </c>
      <c r="H3" s="69">
        <f>IF($E3="","",WORKDAY($E3,20,$Z$33:$Z$47))</f>
        <v>45784</v>
      </c>
      <c r="I3" s="69">
        <f>IF($E3="","",WORKDAY($E3,40,$Z$33:$Z$47))</f>
        <v>45813</v>
      </c>
      <c r="J3" s="69" t="str">
        <f t="shared" ref="J3:J11" si="2">IF(ISBLANK($E3),"",TEXT($E3,"mmm"))</f>
        <v>Apr</v>
      </c>
      <c r="K3" s="216" t="str">
        <f t="shared" ca="1" si="0"/>
        <v/>
      </c>
      <c r="L3" s="67" t="s">
        <v>10</v>
      </c>
      <c r="M3" t="s">
        <v>7</v>
      </c>
      <c r="N3" s="67">
        <v>45764</v>
      </c>
      <c r="O3" s="152">
        <f t="shared" si="1"/>
        <v>9</v>
      </c>
      <c r="P3" s="12" t="str">
        <f t="shared" ref="P3:P66" si="3">IF(ISBLANK($N3),"",IF($O3&lt;21,"Yes","No"))</f>
        <v>Yes</v>
      </c>
      <c r="Q3" s="217" t="s">
        <v>1150</v>
      </c>
      <c r="R3" s="68" t="s">
        <v>39</v>
      </c>
      <c r="S3" s="66" t="s">
        <v>40</v>
      </c>
      <c r="T3" s="155" t="s">
        <v>45</v>
      </c>
      <c r="U3" s="66"/>
      <c r="V3" s="66" t="s">
        <v>46</v>
      </c>
      <c r="W3" s="72" t="s">
        <v>1151</v>
      </c>
      <c r="Y3" s="74"/>
      <c r="Z3" s="74"/>
      <c r="AV3" s="139" t="str">
        <v>Quarter 1</v>
      </c>
    </row>
    <row r="4" spans="1:48" ht="30" customHeight="1" x14ac:dyDescent="0.35">
      <c r="A4" s="214">
        <v>3</v>
      </c>
      <c r="B4" s="65" t="s">
        <v>6</v>
      </c>
      <c r="C4" s="65" t="s">
        <v>6</v>
      </c>
      <c r="D4" s="65" t="s">
        <v>160</v>
      </c>
      <c r="E4" s="69"/>
      <c r="F4" s="69"/>
      <c r="G4" s="69"/>
      <c r="H4" s="69"/>
      <c r="I4" s="69"/>
      <c r="J4" s="69" t="s">
        <v>158</v>
      </c>
      <c r="K4" s="216" t="str">
        <f t="shared" ca="1" si="0"/>
        <v/>
      </c>
      <c r="L4" s="67" t="s">
        <v>10</v>
      </c>
      <c r="M4" s="76" t="s">
        <v>10</v>
      </c>
      <c r="N4" s="67"/>
      <c r="O4" s="152" t="str">
        <f t="shared" si="1"/>
        <v/>
      </c>
      <c r="P4" s="12" t="str">
        <f t="shared" si="3"/>
        <v/>
      </c>
      <c r="Q4" s="71"/>
      <c r="R4" s="68" t="s">
        <v>57</v>
      </c>
      <c r="S4" s="66" t="s">
        <v>57</v>
      </c>
      <c r="T4" s="155" t="s">
        <v>52</v>
      </c>
      <c r="U4" s="66"/>
      <c r="V4" s="66" t="s">
        <v>1152</v>
      </c>
      <c r="W4" s="72" t="s">
        <v>1153</v>
      </c>
      <c r="Y4" s="74"/>
      <c r="Z4" s="74"/>
      <c r="AA4" s="74"/>
      <c r="AV4" s="139" t="str">
        <v>Quarter 1</v>
      </c>
    </row>
    <row r="5" spans="1:48" ht="30" customHeight="1" x14ac:dyDescent="0.35">
      <c r="A5" s="214">
        <v>4</v>
      </c>
      <c r="B5" s="66" t="s">
        <v>6</v>
      </c>
      <c r="C5" s="66" t="s">
        <v>6</v>
      </c>
      <c r="D5" s="66" t="s">
        <v>1154</v>
      </c>
      <c r="E5" s="69">
        <v>45754</v>
      </c>
      <c r="F5" s="69">
        <f t="shared" ref="F5:F36" si="4">IF($E5="","",WORKDAY($E5,1,$Z$33:$Z$47))</f>
        <v>45755</v>
      </c>
      <c r="G5" s="69">
        <f t="shared" ref="G5:G36" si="5">IF($E5="","",WORKDAY($E5,10,$Z$33:$Z$47))</f>
        <v>45770</v>
      </c>
      <c r="H5" s="69">
        <f t="shared" ref="H5:H36" si="6">IF($E5="","",WORKDAY($E5,20,$Z$33:$Z$47))</f>
        <v>45785</v>
      </c>
      <c r="I5" s="69">
        <f t="shared" ref="I5:I36" si="7">IF($E5="","",WORKDAY($E5,40,$Z$33:$Z$47))</f>
        <v>45814</v>
      </c>
      <c r="J5" s="69" t="str">
        <f t="shared" si="2"/>
        <v>Apr</v>
      </c>
      <c r="K5" s="216" t="str">
        <f t="shared" ca="1" si="0"/>
        <v/>
      </c>
      <c r="L5" s="67" t="s">
        <v>4</v>
      </c>
      <c r="M5" t="s">
        <v>4</v>
      </c>
      <c r="N5" s="67">
        <v>45764</v>
      </c>
      <c r="O5" s="152">
        <f t="shared" si="1"/>
        <v>8</v>
      </c>
      <c r="P5" s="12" t="str">
        <f t="shared" si="3"/>
        <v>Yes</v>
      </c>
      <c r="Q5" s="71"/>
      <c r="R5" s="68" t="s">
        <v>39</v>
      </c>
      <c r="S5" s="66" t="s">
        <v>51</v>
      </c>
      <c r="T5" s="155" t="s">
        <v>51</v>
      </c>
      <c r="U5" s="66" t="s">
        <v>1153</v>
      </c>
      <c r="V5" s="66"/>
      <c r="W5" s="141" t="s">
        <v>1155</v>
      </c>
      <c r="Y5" s="142"/>
      <c r="AV5" s="139" t="str">
        <v>Quarter 1</v>
      </c>
    </row>
    <row r="6" spans="1:48" ht="30" customHeight="1" x14ac:dyDescent="0.35">
      <c r="A6" s="214">
        <v>5</v>
      </c>
      <c r="B6" s="66" t="s">
        <v>55</v>
      </c>
      <c r="C6" s="66" t="s">
        <v>13</v>
      </c>
      <c r="D6" s="66" t="s">
        <v>1156</v>
      </c>
      <c r="E6" s="69">
        <v>45754</v>
      </c>
      <c r="F6" s="69">
        <f t="shared" si="4"/>
        <v>45755</v>
      </c>
      <c r="G6" s="69">
        <f t="shared" si="5"/>
        <v>45770</v>
      </c>
      <c r="H6" s="69">
        <f t="shared" si="6"/>
        <v>45785</v>
      </c>
      <c r="I6" s="69">
        <f t="shared" si="7"/>
        <v>45814</v>
      </c>
      <c r="J6" s="69" t="str">
        <f t="shared" si="2"/>
        <v>Apr</v>
      </c>
      <c r="K6" s="216" t="str">
        <f t="shared" ca="1" si="0"/>
        <v/>
      </c>
      <c r="L6" s="67" t="s">
        <v>10</v>
      </c>
      <c r="M6"/>
      <c r="N6" s="67">
        <v>45773</v>
      </c>
      <c r="O6" s="152">
        <f t="shared" si="1"/>
        <v>12</v>
      </c>
      <c r="P6" s="12" t="str">
        <f t="shared" si="3"/>
        <v>Yes</v>
      </c>
      <c r="Q6" s="73"/>
      <c r="R6" s="68" t="s">
        <v>39</v>
      </c>
      <c r="S6" s="66" t="s">
        <v>45</v>
      </c>
      <c r="T6" s="155" t="s">
        <v>57</v>
      </c>
      <c r="U6" s="66" t="s">
        <v>1147</v>
      </c>
      <c r="V6" s="66"/>
      <c r="W6" s="141" t="s">
        <v>1157</v>
      </c>
      <c r="Y6" s="142"/>
      <c r="AV6" s="139" t="str">
        <v>Quarter 1</v>
      </c>
    </row>
    <row r="7" spans="1:48" ht="30" customHeight="1" x14ac:dyDescent="0.35">
      <c r="A7" s="214">
        <v>6</v>
      </c>
      <c r="B7" s="66" t="s">
        <v>1158</v>
      </c>
      <c r="C7" s="66" t="s">
        <v>9</v>
      </c>
      <c r="D7" s="66" t="s">
        <v>1159</v>
      </c>
      <c r="E7" s="69">
        <v>45754</v>
      </c>
      <c r="F7" s="69">
        <f t="shared" si="4"/>
        <v>45755</v>
      </c>
      <c r="G7" s="69">
        <f t="shared" si="5"/>
        <v>45770</v>
      </c>
      <c r="H7" s="69">
        <f t="shared" si="6"/>
        <v>45785</v>
      </c>
      <c r="I7" s="69">
        <f t="shared" si="7"/>
        <v>45814</v>
      </c>
      <c r="J7" s="69" t="str">
        <f t="shared" si="2"/>
        <v>Apr</v>
      </c>
      <c r="K7" s="216" t="str">
        <f t="shared" ca="1" si="0"/>
        <v/>
      </c>
      <c r="L7" s="67" t="s">
        <v>10</v>
      </c>
      <c r="M7"/>
      <c r="N7" s="67">
        <v>45754</v>
      </c>
      <c r="O7" s="152">
        <f t="shared" si="1"/>
        <v>0</v>
      </c>
      <c r="P7" s="12" t="str">
        <f t="shared" si="3"/>
        <v>Yes</v>
      </c>
      <c r="Q7" s="73"/>
      <c r="R7" s="68" t="s">
        <v>39</v>
      </c>
      <c r="S7" s="66" t="s">
        <v>40</v>
      </c>
      <c r="T7" s="10" t="s">
        <v>62</v>
      </c>
      <c r="U7" s="66"/>
      <c r="V7" s="66" t="s">
        <v>46</v>
      </c>
      <c r="W7" s="141" t="s">
        <v>1160</v>
      </c>
      <c r="Y7" s="74"/>
      <c r="Z7" s="74"/>
      <c r="AV7" s="139" t="str">
        <v>Quarter 1</v>
      </c>
    </row>
    <row r="8" spans="1:48" ht="30" customHeight="1" x14ac:dyDescent="0.35">
      <c r="A8" s="214">
        <v>7</v>
      </c>
      <c r="B8" s="65" t="s">
        <v>6</v>
      </c>
      <c r="C8" s="65" t="s">
        <v>6</v>
      </c>
      <c r="D8" s="65" t="s">
        <v>1161</v>
      </c>
      <c r="E8" s="69">
        <v>45754</v>
      </c>
      <c r="F8" s="69">
        <f t="shared" si="4"/>
        <v>45755</v>
      </c>
      <c r="G8" s="69">
        <f t="shared" si="5"/>
        <v>45770</v>
      </c>
      <c r="H8" s="69">
        <f t="shared" si="6"/>
        <v>45785</v>
      </c>
      <c r="I8" s="69">
        <f t="shared" si="7"/>
        <v>45814</v>
      </c>
      <c r="J8" s="69" t="str">
        <f t="shared" si="2"/>
        <v>Apr</v>
      </c>
      <c r="K8" s="216" t="str">
        <f t="shared" ca="1" si="0"/>
        <v/>
      </c>
      <c r="L8" s="67" t="s">
        <v>10</v>
      </c>
      <c r="M8" s="67"/>
      <c r="N8" s="67">
        <v>45755</v>
      </c>
      <c r="O8" s="152">
        <f t="shared" si="1"/>
        <v>1</v>
      </c>
      <c r="P8" s="12" t="str">
        <f t="shared" si="3"/>
        <v>Yes</v>
      </c>
      <c r="Q8" s="73"/>
      <c r="R8" s="68" t="s">
        <v>39</v>
      </c>
      <c r="S8" s="66" t="s">
        <v>40</v>
      </c>
      <c r="T8" s="72"/>
      <c r="U8" s="66"/>
      <c r="V8" s="66"/>
      <c r="W8" s="72" t="s">
        <v>1162</v>
      </c>
      <c r="Y8" s="74"/>
      <c r="Z8" s="74"/>
      <c r="AA8" s="74"/>
      <c r="AV8" s="139" t="str">
        <v>Quarter 1</v>
      </c>
    </row>
    <row r="9" spans="1:48" ht="30" customHeight="1" x14ac:dyDescent="0.35">
      <c r="A9" s="214">
        <v>8</v>
      </c>
      <c r="B9" s="66" t="s">
        <v>6</v>
      </c>
      <c r="C9" s="66" t="s">
        <v>6</v>
      </c>
      <c r="D9" s="66" t="s">
        <v>1145</v>
      </c>
      <c r="E9" s="69">
        <v>45754</v>
      </c>
      <c r="F9" s="69">
        <f t="shared" si="4"/>
        <v>45755</v>
      </c>
      <c r="G9" s="69">
        <f t="shared" si="5"/>
        <v>45770</v>
      </c>
      <c r="H9" s="69">
        <f t="shared" si="6"/>
        <v>45785</v>
      </c>
      <c r="I9" s="69">
        <f t="shared" si="7"/>
        <v>45814</v>
      </c>
      <c r="J9" s="69" t="str">
        <f t="shared" si="2"/>
        <v>Apr</v>
      </c>
      <c r="K9" s="216" t="str">
        <f t="shared" ca="1" si="0"/>
        <v/>
      </c>
      <c r="L9" s="67" t="s">
        <v>10</v>
      </c>
      <c r="M9" s="67"/>
      <c r="N9" s="67">
        <v>45776</v>
      </c>
      <c r="O9" s="152">
        <f t="shared" si="1"/>
        <v>14</v>
      </c>
      <c r="P9" s="12" t="str">
        <f t="shared" si="3"/>
        <v>Yes</v>
      </c>
      <c r="Q9" s="73"/>
      <c r="R9" s="68" t="s">
        <v>39</v>
      </c>
      <c r="S9" s="66" t="s">
        <v>40</v>
      </c>
      <c r="T9" s="72"/>
      <c r="U9" s="66"/>
      <c r="V9" s="66" t="s">
        <v>46</v>
      </c>
      <c r="W9" s="72" t="s">
        <v>1163</v>
      </c>
      <c r="Y9" s="74"/>
      <c r="Z9" s="74"/>
      <c r="AA9" s="74"/>
      <c r="AB9" s="74"/>
      <c r="AV9" s="139" t="str">
        <v>Quarter 1</v>
      </c>
    </row>
    <row r="10" spans="1:48" ht="30" customHeight="1" x14ac:dyDescent="0.35">
      <c r="A10" s="214">
        <v>9</v>
      </c>
      <c r="B10" s="65" t="s">
        <v>188</v>
      </c>
      <c r="C10" s="65" t="s">
        <v>9</v>
      </c>
      <c r="D10" s="65" t="s">
        <v>1164</v>
      </c>
      <c r="E10" s="69">
        <v>45755</v>
      </c>
      <c r="F10" s="69">
        <f t="shared" si="4"/>
        <v>45756</v>
      </c>
      <c r="G10" s="69">
        <f t="shared" si="5"/>
        <v>45771</v>
      </c>
      <c r="H10" s="69">
        <f t="shared" si="6"/>
        <v>45786</v>
      </c>
      <c r="I10" s="69">
        <f t="shared" si="7"/>
        <v>45817</v>
      </c>
      <c r="J10" s="69" t="str">
        <f t="shared" si="2"/>
        <v>Apr</v>
      </c>
      <c r="K10" s="216" t="str">
        <f t="shared" ca="1" si="0"/>
        <v/>
      </c>
      <c r="L10" s="67" t="s">
        <v>10</v>
      </c>
      <c r="M10" s="67"/>
      <c r="N10" s="67">
        <v>45778</v>
      </c>
      <c r="O10" s="152">
        <f t="shared" si="1"/>
        <v>15</v>
      </c>
      <c r="P10" s="12" t="str">
        <f t="shared" si="3"/>
        <v>Yes</v>
      </c>
      <c r="Q10" s="71"/>
      <c r="R10" s="68" t="s">
        <v>39</v>
      </c>
      <c r="S10" s="66" t="s">
        <v>40</v>
      </c>
      <c r="T10" s="66"/>
      <c r="U10" s="66"/>
      <c r="V10" s="66"/>
      <c r="W10" s="72" t="s">
        <v>1165</v>
      </c>
      <c r="X10" s="74"/>
      <c r="Y10" s="74"/>
      <c r="Z10" s="74"/>
      <c r="AV10" s="139" t="str">
        <v>Quarter 1</v>
      </c>
    </row>
    <row r="11" spans="1:48" ht="30" customHeight="1" x14ac:dyDescent="0.35">
      <c r="A11" s="214">
        <v>10</v>
      </c>
      <c r="B11" s="65" t="s">
        <v>55</v>
      </c>
      <c r="C11" s="65" t="s">
        <v>13</v>
      </c>
      <c r="D11" s="65" t="s">
        <v>1166</v>
      </c>
      <c r="E11" s="69">
        <v>45755</v>
      </c>
      <c r="F11" s="69">
        <f t="shared" si="4"/>
        <v>45756</v>
      </c>
      <c r="G11" s="69">
        <f t="shared" si="5"/>
        <v>45771</v>
      </c>
      <c r="H11" s="69">
        <f t="shared" si="6"/>
        <v>45786</v>
      </c>
      <c r="I11" s="69">
        <f t="shared" si="7"/>
        <v>45817</v>
      </c>
      <c r="J11" s="69" t="str">
        <f t="shared" si="2"/>
        <v>Apr</v>
      </c>
      <c r="K11" s="216" t="str">
        <f t="shared" ca="1" si="0"/>
        <v/>
      </c>
      <c r="L11" s="67" t="s">
        <v>10</v>
      </c>
      <c r="M11" s="67"/>
      <c r="N11" s="67">
        <v>45756</v>
      </c>
      <c r="O11" s="152">
        <f t="shared" si="1"/>
        <v>1</v>
      </c>
      <c r="P11" s="12" t="str">
        <f t="shared" si="3"/>
        <v>Yes</v>
      </c>
      <c r="Q11" s="71"/>
      <c r="R11" s="68" t="s">
        <v>39</v>
      </c>
      <c r="S11" s="66" t="s">
        <v>40</v>
      </c>
      <c r="T11" s="66"/>
      <c r="U11" s="66"/>
      <c r="V11" s="66" t="s">
        <v>46</v>
      </c>
      <c r="W11" s="72" t="s">
        <v>1167</v>
      </c>
      <c r="X11" s="74"/>
      <c r="Y11" s="74"/>
      <c r="Z11" s="74"/>
      <c r="AB11" s="74"/>
      <c r="AV11" s="139" t="str">
        <v>Quarter 1</v>
      </c>
    </row>
    <row r="12" spans="1:48" ht="30" customHeight="1" x14ac:dyDescent="0.35">
      <c r="A12" s="214">
        <v>11</v>
      </c>
      <c r="B12" s="66" t="s">
        <v>1168</v>
      </c>
      <c r="C12" s="66" t="s">
        <v>11</v>
      </c>
      <c r="D12" s="66" t="s">
        <v>1169</v>
      </c>
      <c r="E12" s="69">
        <v>45755</v>
      </c>
      <c r="F12" s="69">
        <f t="shared" si="4"/>
        <v>45756</v>
      </c>
      <c r="G12" s="69">
        <f t="shared" si="5"/>
        <v>45771</v>
      </c>
      <c r="H12" s="69">
        <f t="shared" si="6"/>
        <v>45786</v>
      </c>
      <c r="I12" s="69">
        <f t="shared" si="7"/>
        <v>45817</v>
      </c>
      <c r="J12" s="69" t="str">
        <f t="shared" ref="J12:J75" si="8">IF(ISBLANK($E12),"",TEXT($E12,"mmm"))</f>
        <v>Apr</v>
      </c>
      <c r="K12" s="216" t="str">
        <f t="shared" ca="1" si="0"/>
        <v/>
      </c>
      <c r="L12" s="67" t="s">
        <v>10</v>
      </c>
      <c r="M12" s="67"/>
      <c r="N12" s="67">
        <v>45756</v>
      </c>
      <c r="O12" s="152">
        <f t="shared" si="1"/>
        <v>1</v>
      </c>
      <c r="P12" s="12" t="str">
        <f t="shared" si="3"/>
        <v>Yes</v>
      </c>
      <c r="Q12" s="71"/>
      <c r="R12" s="68" t="s">
        <v>39</v>
      </c>
      <c r="S12" s="66" t="s">
        <v>40</v>
      </c>
      <c r="T12" s="66"/>
      <c r="U12" s="66"/>
      <c r="V12" s="66" t="s">
        <v>46</v>
      </c>
      <c r="W12" s="72"/>
      <c r="X12" s="74"/>
      <c r="AV12" s="139" t="str">
        <v>Quarter 1</v>
      </c>
    </row>
    <row r="13" spans="1:48" ht="30" customHeight="1" x14ac:dyDescent="0.35">
      <c r="A13" s="214">
        <v>12</v>
      </c>
      <c r="B13" s="66" t="s">
        <v>493</v>
      </c>
      <c r="C13" s="66" t="s">
        <v>5</v>
      </c>
      <c r="D13" s="66" t="s">
        <v>1170</v>
      </c>
      <c r="E13" s="69">
        <v>45756</v>
      </c>
      <c r="F13" s="69">
        <f t="shared" si="4"/>
        <v>45757</v>
      </c>
      <c r="G13" s="69">
        <f t="shared" si="5"/>
        <v>45772</v>
      </c>
      <c r="H13" s="69">
        <f t="shared" si="6"/>
        <v>45789</v>
      </c>
      <c r="I13" s="69">
        <f t="shared" si="7"/>
        <v>45818</v>
      </c>
      <c r="J13" s="69" t="str">
        <f t="shared" si="8"/>
        <v>Apr</v>
      </c>
      <c r="K13" s="216" t="str">
        <f t="shared" ca="1" si="0"/>
        <v/>
      </c>
      <c r="L13" s="67" t="s">
        <v>10</v>
      </c>
      <c r="M13" s="67"/>
      <c r="N13" s="67">
        <v>45756</v>
      </c>
      <c r="O13" s="152">
        <f t="shared" si="1"/>
        <v>0</v>
      </c>
      <c r="P13" s="12" t="str">
        <f t="shared" si="3"/>
        <v>Yes</v>
      </c>
      <c r="Q13" s="71"/>
      <c r="R13" s="68" t="s">
        <v>39</v>
      </c>
      <c r="S13" s="66" t="s">
        <v>40</v>
      </c>
      <c r="T13" s="66"/>
      <c r="U13" s="66"/>
      <c r="V13" s="66"/>
      <c r="W13" s="72"/>
      <c r="X13" s="74"/>
      <c r="AV13" s="139" t="str">
        <v>Quarter 1</v>
      </c>
    </row>
    <row r="14" spans="1:48" ht="30" customHeight="1" x14ac:dyDescent="0.35">
      <c r="A14" s="214">
        <v>13</v>
      </c>
      <c r="B14" s="65" t="s">
        <v>493</v>
      </c>
      <c r="C14" s="65" t="s">
        <v>5</v>
      </c>
      <c r="D14" s="65" t="s">
        <v>1170</v>
      </c>
      <c r="E14" s="69">
        <v>45756</v>
      </c>
      <c r="F14" s="69">
        <f t="shared" si="4"/>
        <v>45757</v>
      </c>
      <c r="G14" s="69">
        <f t="shared" si="5"/>
        <v>45772</v>
      </c>
      <c r="H14" s="69">
        <f t="shared" si="6"/>
        <v>45789</v>
      </c>
      <c r="I14" s="69">
        <f t="shared" si="7"/>
        <v>45818</v>
      </c>
      <c r="J14" s="69" t="str">
        <f t="shared" si="8"/>
        <v>Apr</v>
      </c>
      <c r="K14" s="216" t="str">
        <f t="shared" ca="1" si="0"/>
        <v/>
      </c>
      <c r="L14" s="69" t="s">
        <v>10</v>
      </c>
      <c r="M14" s="67"/>
      <c r="N14" s="67">
        <v>45756</v>
      </c>
      <c r="O14" s="152">
        <f t="shared" si="1"/>
        <v>0</v>
      </c>
      <c r="P14" s="12" t="str">
        <f t="shared" si="3"/>
        <v>Yes</v>
      </c>
      <c r="Q14" s="71"/>
      <c r="R14" s="68" t="s">
        <v>39</v>
      </c>
      <c r="S14" s="66" t="s">
        <v>40</v>
      </c>
      <c r="T14" s="66"/>
      <c r="U14" s="66"/>
      <c r="V14" s="66"/>
      <c r="W14" s="66"/>
      <c r="X14" s="74"/>
      <c r="Y14" s="74"/>
      <c r="AA14" s="250"/>
      <c r="AB14" s="251"/>
      <c r="AC14" s="251"/>
      <c r="AD14" s="251"/>
      <c r="AE14" s="251"/>
      <c r="AF14" s="142"/>
      <c r="AV14" s="139" t="str">
        <v>Quarter 1</v>
      </c>
    </row>
    <row r="15" spans="1:48" ht="30" customHeight="1" x14ac:dyDescent="0.35">
      <c r="A15" s="214">
        <v>14</v>
      </c>
      <c r="B15" s="66" t="s">
        <v>6</v>
      </c>
      <c r="C15" s="66" t="s">
        <v>6</v>
      </c>
      <c r="D15" s="66" t="s">
        <v>1170</v>
      </c>
      <c r="E15" s="69">
        <v>45756</v>
      </c>
      <c r="F15" s="69">
        <f t="shared" si="4"/>
        <v>45757</v>
      </c>
      <c r="G15" s="69">
        <f t="shared" si="5"/>
        <v>45772</v>
      </c>
      <c r="H15" s="69">
        <f t="shared" si="6"/>
        <v>45789</v>
      </c>
      <c r="I15" s="69">
        <f t="shared" si="7"/>
        <v>45818</v>
      </c>
      <c r="J15" s="69" t="str">
        <f t="shared" si="8"/>
        <v>Apr</v>
      </c>
      <c r="K15" s="216" t="str">
        <f t="shared" ca="1" si="0"/>
        <v/>
      </c>
      <c r="L15" s="67" t="s">
        <v>10</v>
      </c>
      <c r="M15" s="67"/>
      <c r="N15" s="67">
        <v>45756</v>
      </c>
      <c r="O15" s="152">
        <f t="shared" si="1"/>
        <v>0</v>
      </c>
      <c r="P15" s="12" t="str">
        <f t="shared" si="3"/>
        <v>Yes</v>
      </c>
      <c r="Q15" s="70"/>
      <c r="R15" s="68" t="s">
        <v>39</v>
      </c>
      <c r="S15" s="66" t="s">
        <v>40</v>
      </c>
      <c r="T15" s="66"/>
      <c r="U15" s="66"/>
      <c r="V15" s="66"/>
      <c r="W15" s="66"/>
      <c r="X15" s="74"/>
      <c r="Y15" s="74"/>
      <c r="Z15" s="143"/>
      <c r="AA15" s="138"/>
      <c r="AB15" s="138"/>
      <c r="AC15" s="138"/>
      <c r="AD15" s="138"/>
      <c r="AE15" s="138"/>
      <c r="AF15" s="144"/>
      <c r="AG15" s="145"/>
      <c r="AV15" s="139" t="str">
        <v>Quarter 1</v>
      </c>
    </row>
    <row r="16" spans="1:48" ht="30" customHeight="1" x14ac:dyDescent="0.35">
      <c r="A16" s="214">
        <v>15</v>
      </c>
      <c r="B16" s="66" t="s">
        <v>6</v>
      </c>
      <c r="C16" s="66" t="s">
        <v>6</v>
      </c>
      <c r="D16" s="66" t="s">
        <v>1171</v>
      </c>
      <c r="E16" s="69">
        <v>45762</v>
      </c>
      <c r="F16" s="69">
        <f t="shared" si="4"/>
        <v>45763</v>
      </c>
      <c r="G16" s="69">
        <f t="shared" si="5"/>
        <v>45778</v>
      </c>
      <c r="H16" s="69">
        <f t="shared" si="6"/>
        <v>45793</v>
      </c>
      <c r="I16" s="69">
        <f t="shared" si="7"/>
        <v>45824</v>
      </c>
      <c r="J16" s="69" t="str">
        <f t="shared" si="8"/>
        <v>Apr</v>
      </c>
      <c r="K16" s="216" t="str">
        <f t="shared" ca="1" si="0"/>
        <v/>
      </c>
      <c r="L16" s="66" t="s">
        <v>10</v>
      </c>
      <c r="M16" s="67"/>
      <c r="N16" s="68">
        <v>45763</v>
      </c>
      <c r="O16" s="152">
        <f t="shared" si="1"/>
        <v>1</v>
      </c>
      <c r="P16" s="12" t="str">
        <f t="shared" si="3"/>
        <v>Yes</v>
      </c>
      <c r="Q16" s="66"/>
      <c r="R16" s="68" t="s">
        <v>39</v>
      </c>
      <c r="S16" s="66" t="s">
        <v>40</v>
      </c>
      <c r="T16" s="66"/>
      <c r="U16" s="66"/>
      <c r="V16" s="66" t="s">
        <v>46</v>
      </c>
      <c r="W16" s="66"/>
      <c r="X16" s="142"/>
      <c r="Y16" s="74"/>
      <c r="Z16" s="74"/>
      <c r="AA16" s="74"/>
      <c r="AB16" s="74"/>
      <c r="AC16" s="74"/>
      <c r="AD16" s="74"/>
      <c r="AE16" s="74"/>
      <c r="AF16" s="74"/>
      <c r="AG16" s="74"/>
      <c r="AV16" s="139" t="str">
        <v>Quarter 1</v>
      </c>
    </row>
    <row r="17" spans="1:48" ht="30" customHeight="1" x14ac:dyDescent="0.35">
      <c r="A17" s="214">
        <v>16</v>
      </c>
      <c r="B17" s="65" t="s">
        <v>1172</v>
      </c>
      <c r="C17" s="65" t="s">
        <v>9</v>
      </c>
      <c r="D17" s="65" t="s">
        <v>1145</v>
      </c>
      <c r="E17" s="69">
        <v>45762</v>
      </c>
      <c r="F17" s="69">
        <f t="shared" si="4"/>
        <v>45763</v>
      </c>
      <c r="G17" s="69">
        <f t="shared" si="5"/>
        <v>45778</v>
      </c>
      <c r="H17" s="69">
        <f t="shared" si="6"/>
        <v>45793</v>
      </c>
      <c r="I17" s="69">
        <f t="shared" si="7"/>
        <v>45824</v>
      </c>
      <c r="J17" s="69" t="str">
        <f t="shared" si="8"/>
        <v>Apr</v>
      </c>
      <c r="K17" s="216" t="str">
        <f t="shared" ca="1" si="0"/>
        <v/>
      </c>
      <c r="L17" s="66" t="s">
        <v>10</v>
      </c>
      <c r="M17" s="66"/>
      <c r="N17" s="67">
        <v>45769</v>
      </c>
      <c r="O17" s="152">
        <f t="shared" si="1"/>
        <v>3</v>
      </c>
      <c r="P17" s="12" t="str">
        <f t="shared" si="3"/>
        <v>Yes</v>
      </c>
      <c r="Q17" s="68"/>
      <c r="R17" s="68" t="s">
        <v>39</v>
      </c>
      <c r="S17" s="66" t="s">
        <v>40</v>
      </c>
      <c r="T17" s="75"/>
      <c r="U17" s="66"/>
      <c r="V17" s="66" t="s">
        <v>46</v>
      </c>
      <c r="W17" s="66"/>
      <c r="X17" s="142"/>
      <c r="Y17" s="74"/>
      <c r="Z17" s="74"/>
      <c r="AA17" s="74"/>
      <c r="AB17" s="74"/>
      <c r="AC17" s="74"/>
      <c r="AD17" s="74"/>
      <c r="AE17" s="74"/>
      <c r="AF17" s="74"/>
      <c r="AG17" s="74"/>
      <c r="AV17" s="139" t="str">
        <v>Quarter 1</v>
      </c>
    </row>
    <row r="18" spans="1:48" ht="30" customHeight="1" x14ac:dyDescent="0.35">
      <c r="A18" s="214">
        <v>17</v>
      </c>
      <c r="B18" s="66" t="s">
        <v>1173</v>
      </c>
      <c r="C18" s="66" t="s">
        <v>11</v>
      </c>
      <c r="D18" s="66" t="s">
        <v>1174</v>
      </c>
      <c r="E18" s="69">
        <v>45764</v>
      </c>
      <c r="F18" s="69">
        <f t="shared" si="4"/>
        <v>45769</v>
      </c>
      <c r="G18" s="69">
        <f t="shared" si="5"/>
        <v>45783</v>
      </c>
      <c r="H18" s="69">
        <f t="shared" si="6"/>
        <v>45797</v>
      </c>
      <c r="I18" s="69">
        <f t="shared" si="7"/>
        <v>45826</v>
      </c>
      <c r="J18" s="69" t="str">
        <f t="shared" si="8"/>
        <v>Apr</v>
      </c>
      <c r="K18" s="216" t="str">
        <f t="shared" ca="1" si="0"/>
        <v/>
      </c>
      <c r="L18" s="67" t="s">
        <v>10</v>
      </c>
      <c r="M18" s="67"/>
      <c r="N18" s="67">
        <v>45784</v>
      </c>
      <c r="O18" s="152">
        <f t="shared" si="1"/>
        <v>11</v>
      </c>
      <c r="P18" s="12" t="str">
        <f t="shared" si="3"/>
        <v>Yes</v>
      </c>
      <c r="Q18" s="68"/>
      <c r="R18" s="68" t="s">
        <v>39</v>
      </c>
      <c r="S18" s="66" t="s">
        <v>40</v>
      </c>
      <c r="T18" s="75"/>
      <c r="U18" s="66"/>
      <c r="V18" s="66"/>
      <c r="W18" s="66"/>
      <c r="X18" s="142"/>
      <c r="Y18" s="74"/>
      <c r="Z18" s="74"/>
      <c r="AA18" s="74"/>
      <c r="AB18" s="74"/>
      <c r="AC18" s="74"/>
      <c r="AD18" s="74"/>
      <c r="AE18" s="74"/>
      <c r="AF18" s="74"/>
      <c r="AG18" s="74"/>
      <c r="AV18" s="139" t="str">
        <v>Quarter 1</v>
      </c>
    </row>
    <row r="19" spans="1:48" ht="30" customHeight="1" x14ac:dyDescent="0.35">
      <c r="A19" s="214">
        <v>18</v>
      </c>
      <c r="B19" s="66" t="s">
        <v>55</v>
      </c>
      <c r="C19" s="66" t="s">
        <v>13</v>
      </c>
      <c r="D19" s="66" t="s">
        <v>1175</v>
      </c>
      <c r="E19" s="69">
        <v>45769</v>
      </c>
      <c r="F19" s="69">
        <f t="shared" si="4"/>
        <v>45770</v>
      </c>
      <c r="G19" s="69">
        <f t="shared" si="5"/>
        <v>45784</v>
      </c>
      <c r="H19" s="69">
        <f t="shared" si="6"/>
        <v>45798</v>
      </c>
      <c r="I19" s="69">
        <f t="shared" si="7"/>
        <v>45827</v>
      </c>
      <c r="J19" s="69" t="str">
        <f t="shared" si="8"/>
        <v>Apr</v>
      </c>
      <c r="K19" s="216" t="str">
        <f t="shared" ca="1" si="0"/>
        <v/>
      </c>
      <c r="L19" s="67" t="s">
        <v>10</v>
      </c>
      <c r="M19" s="67"/>
      <c r="N19" s="67">
        <v>45769</v>
      </c>
      <c r="O19" s="152">
        <f t="shared" si="1"/>
        <v>0</v>
      </c>
      <c r="P19" s="12" t="str">
        <f t="shared" si="3"/>
        <v>Yes</v>
      </c>
      <c r="Q19" s="68"/>
      <c r="R19" s="68" t="s">
        <v>39</v>
      </c>
      <c r="S19" s="66" t="s">
        <v>40</v>
      </c>
      <c r="T19" s="75"/>
      <c r="U19" s="66"/>
      <c r="V19" s="66" t="s">
        <v>46</v>
      </c>
      <c r="W19" s="66"/>
      <c r="X19" s="142"/>
      <c r="Y19" s="74"/>
      <c r="Z19" s="74"/>
      <c r="AA19" s="74"/>
      <c r="AB19" s="74"/>
      <c r="AC19" s="74"/>
      <c r="AD19" s="74"/>
      <c r="AE19" s="74"/>
      <c r="AF19" s="74"/>
      <c r="AG19" s="74"/>
      <c r="AV19" s="139" t="str">
        <v>Quarter 1</v>
      </c>
    </row>
    <row r="20" spans="1:48" ht="30" customHeight="1" x14ac:dyDescent="0.35">
      <c r="A20" s="214">
        <v>19</v>
      </c>
      <c r="B20" s="66" t="s">
        <v>6</v>
      </c>
      <c r="C20" s="66" t="s">
        <v>6</v>
      </c>
      <c r="D20" s="219" t="s">
        <v>1176</v>
      </c>
      <c r="E20" s="69">
        <v>45769</v>
      </c>
      <c r="F20" s="69">
        <f t="shared" si="4"/>
        <v>45770</v>
      </c>
      <c r="G20" s="69">
        <f t="shared" si="5"/>
        <v>45784</v>
      </c>
      <c r="H20" s="69">
        <f t="shared" si="6"/>
        <v>45798</v>
      </c>
      <c r="I20" s="69">
        <f t="shared" si="7"/>
        <v>45827</v>
      </c>
      <c r="J20" s="69" t="str">
        <f t="shared" si="8"/>
        <v>Apr</v>
      </c>
      <c r="K20" s="216" t="str">
        <f t="shared" ca="1" si="0"/>
        <v/>
      </c>
      <c r="L20" s="67" t="s">
        <v>10</v>
      </c>
      <c r="M20" s="67"/>
      <c r="N20" s="67">
        <v>45769</v>
      </c>
      <c r="O20" s="152">
        <f t="shared" si="1"/>
        <v>0</v>
      </c>
      <c r="P20" s="12" t="str">
        <f t="shared" si="3"/>
        <v>Yes</v>
      </c>
      <c r="Q20" s="75"/>
      <c r="R20" s="70" t="s">
        <v>39</v>
      </c>
      <c r="S20" s="68" t="s">
        <v>62</v>
      </c>
      <c r="T20" s="66"/>
      <c r="U20" s="66"/>
      <c r="V20" s="66"/>
      <c r="W20" s="66"/>
      <c r="X20" s="142"/>
      <c r="Y20" s="74"/>
      <c r="Z20" s="74"/>
      <c r="AA20" s="74"/>
      <c r="AB20" s="74"/>
      <c r="AC20" s="74"/>
      <c r="AD20" s="74"/>
      <c r="AE20" s="74"/>
      <c r="AF20" s="74"/>
      <c r="AG20" s="74"/>
      <c r="AV20" s="139" t="str">
        <v>Quarter 1</v>
      </c>
    </row>
    <row r="21" spans="1:48" ht="30" customHeight="1" x14ac:dyDescent="0.35">
      <c r="A21" s="214">
        <v>20</v>
      </c>
      <c r="B21" s="66" t="s">
        <v>6</v>
      </c>
      <c r="C21" s="66" t="s">
        <v>6</v>
      </c>
      <c r="D21" s="66" t="s">
        <v>1177</v>
      </c>
      <c r="E21" s="69">
        <v>45769</v>
      </c>
      <c r="F21" s="69">
        <f t="shared" si="4"/>
        <v>45770</v>
      </c>
      <c r="G21" s="69">
        <f t="shared" si="5"/>
        <v>45784</v>
      </c>
      <c r="H21" s="69">
        <f t="shared" si="6"/>
        <v>45798</v>
      </c>
      <c r="I21" s="69">
        <f t="shared" si="7"/>
        <v>45827</v>
      </c>
      <c r="J21" s="69" t="str">
        <f t="shared" si="8"/>
        <v>Apr</v>
      </c>
      <c r="K21" s="216" t="str">
        <f t="shared" ca="1" si="0"/>
        <v/>
      </c>
      <c r="L21" s="67" t="s">
        <v>10</v>
      </c>
      <c r="M21" s="67"/>
      <c r="N21" s="67">
        <v>45819</v>
      </c>
      <c r="O21" s="152">
        <f t="shared" si="1"/>
        <v>34</v>
      </c>
      <c r="P21" s="12" t="str">
        <f t="shared" si="3"/>
        <v>No</v>
      </c>
      <c r="Q21" s="75"/>
      <c r="R21" s="70" t="s">
        <v>39</v>
      </c>
      <c r="S21" s="68" t="s">
        <v>40</v>
      </c>
      <c r="T21" s="66"/>
      <c r="U21" s="66"/>
      <c r="V21" s="66" t="s">
        <v>46</v>
      </c>
      <c r="W21" s="66"/>
      <c r="X21" s="142"/>
      <c r="Y21" s="74"/>
      <c r="Z21" s="74"/>
      <c r="AA21" s="74"/>
      <c r="AB21" s="74"/>
      <c r="AC21" s="74"/>
      <c r="AD21" s="74"/>
      <c r="AE21" s="74"/>
      <c r="AF21" s="74"/>
      <c r="AG21" s="74"/>
      <c r="AV21" s="139" t="str">
        <v>Quarter 1</v>
      </c>
    </row>
    <row r="22" spans="1:48" ht="30" customHeight="1" x14ac:dyDescent="0.35">
      <c r="A22" s="214">
        <v>21</v>
      </c>
      <c r="B22" s="66" t="s">
        <v>55</v>
      </c>
      <c r="C22" s="66" t="s">
        <v>13</v>
      </c>
      <c r="D22" s="66" t="s">
        <v>1178</v>
      </c>
      <c r="E22" s="69">
        <v>45769</v>
      </c>
      <c r="F22" s="69">
        <f t="shared" si="4"/>
        <v>45770</v>
      </c>
      <c r="G22" s="69">
        <f t="shared" si="5"/>
        <v>45784</v>
      </c>
      <c r="H22" s="69">
        <f t="shared" si="6"/>
        <v>45798</v>
      </c>
      <c r="I22" s="69">
        <f t="shared" si="7"/>
        <v>45827</v>
      </c>
      <c r="J22" s="69" t="str">
        <f t="shared" si="8"/>
        <v>Apr</v>
      </c>
      <c r="K22" s="216" t="str">
        <f t="shared" ca="1" si="0"/>
        <v/>
      </c>
      <c r="L22" s="67" t="s">
        <v>10</v>
      </c>
      <c r="M22" s="67"/>
      <c r="N22" s="67">
        <v>45769</v>
      </c>
      <c r="O22" s="152">
        <f t="shared" si="1"/>
        <v>0</v>
      </c>
      <c r="P22" s="12" t="str">
        <f t="shared" si="3"/>
        <v>Yes</v>
      </c>
      <c r="Q22" s="75"/>
      <c r="R22" s="70" t="s">
        <v>39</v>
      </c>
      <c r="S22" s="68" t="s">
        <v>45</v>
      </c>
      <c r="T22" s="66"/>
      <c r="U22" s="75" t="s">
        <v>1147</v>
      </c>
      <c r="V22" s="66"/>
      <c r="W22" s="66"/>
      <c r="Y22" s="74"/>
      <c r="Z22" s="74"/>
      <c r="AA22" s="74"/>
      <c r="AB22" s="74"/>
      <c r="AC22" s="74"/>
      <c r="AD22" s="74"/>
      <c r="AE22" s="74"/>
      <c r="AF22" s="74"/>
      <c r="AG22" s="74"/>
      <c r="AV22" s="139" t="str">
        <v>Quarter 1</v>
      </c>
    </row>
    <row r="23" spans="1:48" ht="30" customHeight="1" x14ac:dyDescent="0.35">
      <c r="A23" s="214">
        <v>22</v>
      </c>
      <c r="B23" s="66" t="s">
        <v>6</v>
      </c>
      <c r="C23" s="66" t="s">
        <v>6</v>
      </c>
      <c r="D23" s="66" t="s">
        <v>1159</v>
      </c>
      <c r="E23" s="69">
        <v>45769</v>
      </c>
      <c r="F23" s="69">
        <f t="shared" si="4"/>
        <v>45770</v>
      </c>
      <c r="G23" s="69">
        <f t="shared" si="5"/>
        <v>45784</v>
      </c>
      <c r="H23" s="69">
        <f t="shared" si="6"/>
        <v>45798</v>
      </c>
      <c r="I23" s="69">
        <f t="shared" si="7"/>
        <v>45827</v>
      </c>
      <c r="J23" s="69" t="str">
        <f t="shared" si="8"/>
        <v>Apr</v>
      </c>
      <c r="K23" s="216" t="str">
        <f t="shared" ca="1" si="0"/>
        <v/>
      </c>
      <c r="L23" s="67" t="s">
        <v>10</v>
      </c>
      <c r="M23" s="67"/>
      <c r="N23" s="67">
        <v>45791</v>
      </c>
      <c r="O23" s="152">
        <f t="shared" si="1"/>
        <v>15</v>
      </c>
      <c r="P23" s="12" t="str">
        <f t="shared" si="3"/>
        <v>Yes</v>
      </c>
      <c r="Q23" s="75"/>
      <c r="R23" s="70" t="s">
        <v>39</v>
      </c>
      <c r="S23" s="68" t="s">
        <v>40</v>
      </c>
      <c r="T23" s="66"/>
      <c r="U23" s="75"/>
      <c r="V23" s="66"/>
      <c r="W23" s="66"/>
      <c r="Y23" s="74"/>
      <c r="Z23" s="74"/>
      <c r="AA23" s="74"/>
      <c r="AB23" s="74"/>
      <c r="AC23" s="74"/>
      <c r="AD23" s="74"/>
      <c r="AE23" s="74"/>
      <c r="AF23" s="74"/>
      <c r="AG23" s="74"/>
      <c r="AV23" s="139" t="str">
        <v>Quarter 1</v>
      </c>
    </row>
    <row r="24" spans="1:48" ht="30" customHeight="1" x14ac:dyDescent="0.35">
      <c r="A24" s="214">
        <v>23</v>
      </c>
      <c r="B24" s="66" t="s">
        <v>6</v>
      </c>
      <c r="C24" s="66" t="s">
        <v>6</v>
      </c>
      <c r="D24" s="66" t="s">
        <v>1179</v>
      </c>
      <c r="E24" s="69">
        <v>45769</v>
      </c>
      <c r="F24" s="69">
        <f t="shared" si="4"/>
        <v>45770</v>
      </c>
      <c r="G24" s="69">
        <f t="shared" si="5"/>
        <v>45784</v>
      </c>
      <c r="H24" s="69">
        <f t="shared" si="6"/>
        <v>45798</v>
      </c>
      <c r="I24" s="69">
        <f t="shared" si="7"/>
        <v>45827</v>
      </c>
      <c r="J24" s="69" t="str">
        <f t="shared" si="8"/>
        <v>Apr</v>
      </c>
      <c r="K24" s="216" t="str">
        <f t="shared" ca="1" si="0"/>
        <v/>
      </c>
      <c r="L24" s="67" t="s">
        <v>10</v>
      </c>
      <c r="M24" s="67"/>
      <c r="N24" s="67">
        <v>45791</v>
      </c>
      <c r="O24" s="152">
        <f t="shared" si="1"/>
        <v>15</v>
      </c>
      <c r="P24" s="12" t="str">
        <f t="shared" si="3"/>
        <v>Yes</v>
      </c>
      <c r="Q24" s="75"/>
      <c r="R24" s="70" t="s">
        <v>39</v>
      </c>
      <c r="S24" s="68" t="s">
        <v>45</v>
      </c>
      <c r="T24" s="66"/>
      <c r="U24" s="12" t="s">
        <v>1147</v>
      </c>
      <c r="V24" s="66" t="s">
        <v>46</v>
      </c>
      <c r="W24" s="66"/>
      <c r="Y24" s="74"/>
      <c r="Z24" s="74"/>
      <c r="AA24" s="74"/>
      <c r="AB24" s="74"/>
      <c r="AC24" s="74"/>
      <c r="AD24" s="74"/>
      <c r="AE24" s="74"/>
      <c r="AF24" s="74"/>
      <c r="AG24" s="74"/>
      <c r="AV24" s="139" t="str">
        <v>Quarter 1</v>
      </c>
    </row>
    <row r="25" spans="1:48" ht="30" customHeight="1" x14ac:dyDescent="0.35">
      <c r="A25" s="214">
        <v>24</v>
      </c>
      <c r="B25" s="66" t="s">
        <v>1180</v>
      </c>
      <c r="C25" s="66" t="s">
        <v>5</v>
      </c>
      <c r="D25" s="66" t="s">
        <v>957</v>
      </c>
      <c r="E25" s="69">
        <v>45769</v>
      </c>
      <c r="F25" s="69">
        <f t="shared" si="4"/>
        <v>45770</v>
      </c>
      <c r="G25" s="69">
        <f t="shared" si="5"/>
        <v>45784</v>
      </c>
      <c r="H25" s="69">
        <f t="shared" si="6"/>
        <v>45798</v>
      </c>
      <c r="I25" s="69">
        <f t="shared" si="7"/>
        <v>45827</v>
      </c>
      <c r="J25" s="69" t="str">
        <f t="shared" si="8"/>
        <v>Apr</v>
      </c>
      <c r="K25" s="216" t="str">
        <f t="shared" ca="1" si="0"/>
        <v/>
      </c>
      <c r="L25" s="67" t="s">
        <v>10</v>
      </c>
      <c r="M25" s="67"/>
      <c r="N25" s="67">
        <v>45770</v>
      </c>
      <c r="O25" s="152">
        <f t="shared" si="1"/>
        <v>1</v>
      </c>
      <c r="P25" s="12" t="str">
        <f t="shared" si="3"/>
        <v>Yes</v>
      </c>
      <c r="Q25" s="75"/>
      <c r="R25" s="70" t="s">
        <v>39</v>
      </c>
      <c r="S25" s="68" t="s">
        <v>45</v>
      </c>
      <c r="T25" s="66"/>
      <c r="U25" s="75" t="s">
        <v>1151</v>
      </c>
      <c r="V25" s="66"/>
      <c r="W25" s="66"/>
      <c r="Y25" s="74"/>
      <c r="Z25" s="74"/>
      <c r="AA25" s="74"/>
      <c r="AB25" s="74"/>
      <c r="AC25" s="74"/>
      <c r="AD25" s="74"/>
      <c r="AE25" s="74"/>
      <c r="AF25" s="74"/>
      <c r="AG25" s="74"/>
      <c r="AV25" s="139" t="str">
        <v>Quarter 1</v>
      </c>
    </row>
    <row r="26" spans="1:48" ht="30" customHeight="1" x14ac:dyDescent="0.35">
      <c r="A26" s="214">
        <v>25</v>
      </c>
      <c r="B26" s="66" t="s">
        <v>55</v>
      </c>
      <c r="C26" s="66" t="s">
        <v>13</v>
      </c>
      <c r="D26" s="66" t="s">
        <v>1181</v>
      </c>
      <c r="E26" s="69">
        <v>45769</v>
      </c>
      <c r="F26" s="69">
        <f t="shared" si="4"/>
        <v>45770</v>
      </c>
      <c r="G26" s="69">
        <f t="shared" si="5"/>
        <v>45784</v>
      </c>
      <c r="H26" s="69">
        <f t="shared" si="6"/>
        <v>45798</v>
      </c>
      <c r="I26" s="69">
        <f t="shared" si="7"/>
        <v>45827</v>
      </c>
      <c r="J26" s="69" t="str">
        <f t="shared" si="8"/>
        <v>Apr</v>
      </c>
      <c r="K26" s="216" t="str">
        <f t="shared" ca="1" si="0"/>
        <v/>
      </c>
      <c r="L26" s="67" t="s">
        <v>10</v>
      </c>
      <c r="M26" s="67"/>
      <c r="N26" s="67">
        <v>45785</v>
      </c>
      <c r="O26" s="152">
        <f t="shared" si="1"/>
        <v>11</v>
      </c>
      <c r="P26" s="12" t="str">
        <f t="shared" si="3"/>
        <v>Yes</v>
      </c>
      <c r="Q26" s="75"/>
      <c r="R26" s="70" t="s">
        <v>39</v>
      </c>
      <c r="S26" s="68" t="s">
        <v>40</v>
      </c>
      <c r="T26" s="66"/>
      <c r="U26" s="75"/>
      <c r="V26" s="66" t="s">
        <v>46</v>
      </c>
      <c r="W26" s="66"/>
      <c r="Y26" s="74"/>
      <c r="Z26" s="74"/>
      <c r="AA26" s="74"/>
      <c r="AB26" s="74"/>
      <c r="AC26" s="74"/>
      <c r="AD26" s="74"/>
      <c r="AE26" s="74"/>
      <c r="AF26" s="74"/>
      <c r="AG26" s="74"/>
      <c r="AV26" s="139" t="str">
        <v>Quarter 1</v>
      </c>
    </row>
    <row r="27" spans="1:48" ht="30" customHeight="1" x14ac:dyDescent="0.35">
      <c r="A27" s="214">
        <v>26</v>
      </c>
      <c r="B27" s="66" t="s">
        <v>493</v>
      </c>
      <c r="C27" s="66" t="s">
        <v>5</v>
      </c>
      <c r="D27" s="66" t="s">
        <v>1170</v>
      </c>
      <c r="E27" s="69">
        <v>45770</v>
      </c>
      <c r="F27" s="69">
        <f t="shared" si="4"/>
        <v>45771</v>
      </c>
      <c r="G27" s="69">
        <f t="shared" si="5"/>
        <v>45785</v>
      </c>
      <c r="H27" s="69">
        <f t="shared" si="6"/>
        <v>45799</v>
      </c>
      <c r="I27" s="69">
        <f t="shared" si="7"/>
        <v>45828</v>
      </c>
      <c r="J27" s="69" t="str">
        <f t="shared" si="8"/>
        <v>Apr</v>
      </c>
      <c r="K27" s="216" t="str">
        <f t="shared" ca="1" si="0"/>
        <v/>
      </c>
      <c r="L27" s="67" t="s">
        <v>10</v>
      </c>
      <c r="M27" s="67"/>
      <c r="N27" s="67">
        <v>45771</v>
      </c>
      <c r="O27" s="152">
        <f t="shared" si="1"/>
        <v>1</v>
      </c>
      <c r="P27" s="12" t="str">
        <f t="shared" si="3"/>
        <v>Yes</v>
      </c>
      <c r="Q27" s="75"/>
      <c r="R27" s="70" t="s">
        <v>39</v>
      </c>
      <c r="S27" s="68" t="s">
        <v>40</v>
      </c>
      <c r="T27" s="66"/>
      <c r="U27" s="75"/>
      <c r="V27" s="66"/>
      <c r="W27" s="66"/>
      <c r="Y27" s="74"/>
      <c r="Z27" s="74"/>
      <c r="AA27" s="74"/>
      <c r="AB27" s="74"/>
      <c r="AC27" s="74"/>
      <c r="AD27" s="74"/>
      <c r="AE27" s="74"/>
      <c r="AF27" s="74"/>
      <c r="AG27" s="74"/>
      <c r="AV27" s="139" t="str">
        <v>Quarter 1</v>
      </c>
    </row>
    <row r="28" spans="1:48" ht="30" customHeight="1" x14ac:dyDescent="0.35">
      <c r="A28" s="214">
        <v>27</v>
      </c>
      <c r="B28" s="66" t="s">
        <v>6</v>
      </c>
      <c r="C28" s="66" t="s">
        <v>6</v>
      </c>
      <c r="D28" s="66" t="s">
        <v>1182</v>
      </c>
      <c r="E28" s="69">
        <v>45771</v>
      </c>
      <c r="F28" s="69">
        <f t="shared" si="4"/>
        <v>45772</v>
      </c>
      <c r="G28" s="69">
        <f t="shared" si="5"/>
        <v>45786</v>
      </c>
      <c r="H28" s="69">
        <f t="shared" si="6"/>
        <v>45800</v>
      </c>
      <c r="I28" s="69">
        <f t="shared" si="7"/>
        <v>45831</v>
      </c>
      <c r="J28" s="69" t="str">
        <f t="shared" si="8"/>
        <v>Apr</v>
      </c>
      <c r="K28" s="216" t="str">
        <f t="shared" ca="1" si="0"/>
        <v/>
      </c>
      <c r="L28" s="67" t="s">
        <v>10</v>
      </c>
      <c r="M28" s="67"/>
      <c r="N28" s="67">
        <v>45784</v>
      </c>
      <c r="O28" s="152">
        <f t="shared" si="1"/>
        <v>8</v>
      </c>
      <c r="P28" s="12" t="str">
        <f t="shared" si="3"/>
        <v>Yes</v>
      </c>
      <c r="Q28" s="75"/>
      <c r="R28" s="70" t="s">
        <v>39</v>
      </c>
      <c r="S28" s="68" t="s">
        <v>51</v>
      </c>
      <c r="T28" s="66"/>
      <c r="U28" s="75" t="s">
        <v>1153</v>
      </c>
      <c r="V28" s="66"/>
      <c r="W28" s="66"/>
      <c r="Y28" s="74"/>
      <c r="Z28" s="74"/>
      <c r="AA28" s="74"/>
      <c r="AB28" s="74"/>
      <c r="AC28" s="74"/>
      <c r="AD28" s="74"/>
      <c r="AE28" s="74"/>
      <c r="AF28" s="74"/>
      <c r="AG28" s="74"/>
      <c r="AV28" s="139" t="str">
        <v>Quarter 1</v>
      </c>
    </row>
    <row r="29" spans="1:48" ht="30" customHeight="1" x14ac:dyDescent="0.35">
      <c r="A29" s="214">
        <v>28</v>
      </c>
      <c r="B29" s="66" t="s">
        <v>6</v>
      </c>
      <c r="C29" s="66" t="s">
        <v>6</v>
      </c>
      <c r="D29" s="66" t="s">
        <v>1145</v>
      </c>
      <c r="E29" s="69">
        <v>45772</v>
      </c>
      <c r="F29" s="69">
        <f t="shared" si="4"/>
        <v>45775</v>
      </c>
      <c r="G29" s="69">
        <f t="shared" si="5"/>
        <v>45789</v>
      </c>
      <c r="H29" s="69">
        <f t="shared" si="6"/>
        <v>45804</v>
      </c>
      <c r="I29" s="69">
        <f t="shared" si="7"/>
        <v>45832</v>
      </c>
      <c r="J29" s="69" t="str">
        <f t="shared" si="8"/>
        <v>Apr</v>
      </c>
      <c r="K29" s="216" t="str">
        <f t="shared" ca="1" si="0"/>
        <v/>
      </c>
      <c r="L29" s="67" t="s">
        <v>10</v>
      </c>
      <c r="M29" s="67"/>
      <c r="N29" s="67">
        <v>45772</v>
      </c>
      <c r="O29" s="152">
        <f t="shared" si="1"/>
        <v>0</v>
      </c>
      <c r="P29" s="12" t="str">
        <f t="shared" si="3"/>
        <v>Yes</v>
      </c>
      <c r="Q29" s="75"/>
      <c r="R29" s="70" t="s">
        <v>39</v>
      </c>
      <c r="S29" s="68" t="s">
        <v>62</v>
      </c>
      <c r="T29" s="66"/>
      <c r="U29" s="75"/>
      <c r="V29" s="66"/>
      <c r="W29" s="66"/>
      <c r="Y29" s="74"/>
      <c r="Z29" s="74"/>
      <c r="AA29" s="74"/>
      <c r="AB29" s="74"/>
      <c r="AC29" s="74"/>
      <c r="AD29" s="74"/>
      <c r="AE29" s="74"/>
      <c r="AF29" s="74"/>
      <c r="AG29" s="74"/>
      <c r="AV29" s="139" t="str">
        <v>Quarter 1</v>
      </c>
    </row>
    <row r="30" spans="1:48" ht="30" customHeight="1" x14ac:dyDescent="0.35">
      <c r="A30" s="214">
        <v>29</v>
      </c>
      <c r="B30" s="66" t="s">
        <v>6</v>
      </c>
      <c r="C30" s="66" t="s">
        <v>6</v>
      </c>
      <c r="D30" s="66" t="s">
        <v>1183</v>
      </c>
      <c r="E30" s="69">
        <v>45772</v>
      </c>
      <c r="F30" s="69">
        <f t="shared" si="4"/>
        <v>45775</v>
      </c>
      <c r="G30" s="69">
        <f t="shared" si="5"/>
        <v>45789</v>
      </c>
      <c r="H30" s="69">
        <f t="shared" si="6"/>
        <v>45804</v>
      </c>
      <c r="I30" s="69">
        <f t="shared" si="7"/>
        <v>45832</v>
      </c>
      <c r="J30" s="69" t="str">
        <f t="shared" si="8"/>
        <v>Apr</v>
      </c>
      <c r="K30" s="216" t="str">
        <f t="shared" ca="1" si="0"/>
        <v/>
      </c>
      <c r="L30" s="67" t="s">
        <v>10</v>
      </c>
      <c r="M30" s="67"/>
      <c r="N30" s="67">
        <v>45806</v>
      </c>
      <c r="O30" s="152">
        <f t="shared" si="1"/>
        <v>22</v>
      </c>
      <c r="P30" s="12" t="str">
        <f t="shared" si="3"/>
        <v>No</v>
      </c>
      <c r="Q30" s="75"/>
      <c r="R30" s="70" t="s">
        <v>39</v>
      </c>
      <c r="S30" s="68" t="s">
        <v>40</v>
      </c>
      <c r="T30" s="66"/>
      <c r="U30" s="75"/>
      <c r="V30" s="66"/>
      <c r="W30" s="66"/>
      <c r="AV30" s="139" t="str">
        <v>Quarter 1</v>
      </c>
    </row>
    <row r="31" spans="1:48" ht="30" customHeight="1" x14ac:dyDescent="0.35">
      <c r="A31" s="214">
        <v>30</v>
      </c>
      <c r="B31" s="66" t="s">
        <v>6</v>
      </c>
      <c r="C31" s="66" t="s">
        <v>6</v>
      </c>
      <c r="D31" s="66" t="s">
        <v>1184</v>
      </c>
      <c r="E31" s="69">
        <v>45776</v>
      </c>
      <c r="F31" s="69">
        <f t="shared" si="4"/>
        <v>45777</v>
      </c>
      <c r="G31" s="69">
        <f t="shared" si="5"/>
        <v>45791</v>
      </c>
      <c r="H31" s="69">
        <f t="shared" si="6"/>
        <v>45806</v>
      </c>
      <c r="I31" s="69">
        <f t="shared" si="7"/>
        <v>45834</v>
      </c>
      <c r="J31" s="69" t="str">
        <f t="shared" si="8"/>
        <v>Apr</v>
      </c>
      <c r="K31" s="216" t="str">
        <f t="shared" ca="1" si="0"/>
        <v/>
      </c>
      <c r="L31" s="67" t="s">
        <v>4</v>
      </c>
      <c r="M31" s="67"/>
      <c r="N31" s="67">
        <v>45804</v>
      </c>
      <c r="O31" s="152">
        <f t="shared" si="1"/>
        <v>18</v>
      </c>
      <c r="P31" s="12" t="str">
        <f t="shared" si="3"/>
        <v>Yes</v>
      </c>
      <c r="Q31" s="75"/>
      <c r="R31" s="70" t="s">
        <v>39</v>
      </c>
      <c r="S31" s="68" t="s">
        <v>51</v>
      </c>
      <c r="T31" s="66"/>
      <c r="U31" s="75" t="s">
        <v>1153</v>
      </c>
      <c r="V31" s="66"/>
      <c r="W31" s="66"/>
      <c r="AV31" s="139" t="str">
        <v>Quarter 1</v>
      </c>
    </row>
    <row r="32" spans="1:48" ht="30" customHeight="1" x14ac:dyDescent="0.35">
      <c r="A32" s="214">
        <v>31</v>
      </c>
      <c r="B32" s="66" t="s">
        <v>6</v>
      </c>
      <c r="C32" s="66" t="s">
        <v>6</v>
      </c>
      <c r="D32" s="66" t="s">
        <v>1184</v>
      </c>
      <c r="E32" s="69">
        <v>45777</v>
      </c>
      <c r="F32" s="69">
        <f t="shared" si="4"/>
        <v>45778</v>
      </c>
      <c r="G32" s="69">
        <f t="shared" si="5"/>
        <v>45792</v>
      </c>
      <c r="H32" s="69">
        <f t="shared" si="6"/>
        <v>45807</v>
      </c>
      <c r="I32" s="69">
        <f t="shared" si="7"/>
        <v>45835</v>
      </c>
      <c r="J32" s="69" t="str">
        <f t="shared" si="8"/>
        <v>Apr</v>
      </c>
      <c r="K32" s="216" t="str">
        <f t="shared" ca="1" si="0"/>
        <v/>
      </c>
      <c r="L32" s="67" t="s">
        <v>4</v>
      </c>
      <c r="M32" s="67"/>
      <c r="N32" s="67">
        <v>45805</v>
      </c>
      <c r="O32" s="152">
        <f t="shared" si="1"/>
        <v>18</v>
      </c>
      <c r="P32" s="12" t="str">
        <f t="shared" si="3"/>
        <v>Yes</v>
      </c>
      <c r="Q32" s="75"/>
      <c r="R32" s="70" t="s">
        <v>39</v>
      </c>
      <c r="S32" s="68" t="s">
        <v>45</v>
      </c>
      <c r="T32" s="66"/>
      <c r="U32" s="75" t="s">
        <v>1160</v>
      </c>
      <c r="V32" s="66"/>
      <c r="W32" s="66"/>
      <c r="Y32" s="74"/>
      <c r="Z32" s="74"/>
      <c r="AA32" s="74"/>
      <c r="AB32" s="74"/>
      <c r="AC32" s="74"/>
      <c r="AD32" s="74"/>
      <c r="AE32" s="74"/>
      <c r="AF32" s="74"/>
      <c r="AG32" s="74"/>
      <c r="AV32" s="139" t="str">
        <v>Quarter 1</v>
      </c>
    </row>
    <row r="33" spans="1:48" ht="30" customHeight="1" x14ac:dyDescent="0.35">
      <c r="A33" s="214">
        <v>32</v>
      </c>
      <c r="B33" s="66" t="s">
        <v>55</v>
      </c>
      <c r="C33" s="66" t="s">
        <v>13</v>
      </c>
      <c r="D33" s="66" t="s">
        <v>1185</v>
      </c>
      <c r="E33" s="69">
        <v>45777</v>
      </c>
      <c r="F33" s="69">
        <f t="shared" si="4"/>
        <v>45778</v>
      </c>
      <c r="G33" s="69">
        <f t="shared" si="5"/>
        <v>45792</v>
      </c>
      <c r="H33" s="69">
        <f t="shared" si="6"/>
        <v>45807</v>
      </c>
      <c r="I33" s="69">
        <f t="shared" si="7"/>
        <v>45835</v>
      </c>
      <c r="J33" s="69" t="str">
        <f t="shared" si="8"/>
        <v>Apr</v>
      </c>
      <c r="K33" s="216" t="str">
        <f t="shared" ca="1" si="0"/>
        <v/>
      </c>
      <c r="L33" s="67" t="s">
        <v>4</v>
      </c>
      <c r="M33" s="67"/>
      <c r="N33" s="67">
        <v>45804</v>
      </c>
      <c r="O33" s="152">
        <f t="shared" si="1"/>
        <v>17</v>
      </c>
      <c r="P33" s="12" t="str">
        <f t="shared" si="3"/>
        <v>Yes</v>
      </c>
      <c r="Q33" s="75"/>
      <c r="R33" s="70" t="s">
        <v>39</v>
      </c>
      <c r="S33" s="68" t="s">
        <v>45</v>
      </c>
      <c r="T33" s="66"/>
      <c r="U33" s="75" t="s">
        <v>1160</v>
      </c>
      <c r="V33" s="66"/>
      <c r="W33" s="66"/>
      <c r="Z33" s="146">
        <v>45765</v>
      </c>
      <c r="AV33" s="139" t="str">
        <v>Quarter 1</v>
      </c>
    </row>
    <row r="34" spans="1:48" ht="30" customHeight="1" x14ac:dyDescent="0.35">
      <c r="A34" s="214">
        <v>33</v>
      </c>
      <c r="B34" s="66" t="s">
        <v>6</v>
      </c>
      <c r="C34" s="66" t="s">
        <v>6</v>
      </c>
      <c r="D34" s="66" t="s">
        <v>1186</v>
      </c>
      <c r="E34" s="69">
        <v>45776</v>
      </c>
      <c r="F34" s="69">
        <f t="shared" si="4"/>
        <v>45777</v>
      </c>
      <c r="G34" s="69">
        <f t="shared" si="5"/>
        <v>45791</v>
      </c>
      <c r="H34" s="69">
        <f t="shared" si="6"/>
        <v>45806</v>
      </c>
      <c r="I34" s="69">
        <f t="shared" si="7"/>
        <v>45834</v>
      </c>
      <c r="J34" s="69" t="str">
        <f t="shared" si="8"/>
        <v>Apr</v>
      </c>
      <c r="K34" s="216" t="str">
        <f t="shared" ca="1" si="0"/>
        <v/>
      </c>
      <c r="L34" s="67" t="s">
        <v>10</v>
      </c>
      <c r="M34" s="67"/>
      <c r="N34" s="67">
        <v>45777</v>
      </c>
      <c r="O34" s="152">
        <f t="shared" si="1"/>
        <v>1</v>
      </c>
      <c r="P34" s="12" t="str">
        <f t="shared" si="3"/>
        <v>Yes</v>
      </c>
      <c r="Q34" s="75"/>
      <c r="R34" s="70" t="s">
        <v>39</v>
      </c>
      <c r="S34" s="68" t="s">
        <v>62</v>
      </c>
      <c r="T34" s="66"/>
      <c r="U34" s="75"/>
      <c r="V34" s="66"/>
      <c r="W34" s="66"/>
      <c r="Z34" s="146">
        <v>45768</v>
      </c>
      <c r="AV34" s="139" t="str">
        <v>Quarter 1</v>
      </c>
    </row>
    <row r="35" spans="1:48" ht="30" customHeight="1" x14ac:dyDescent="0.35">
      <c r="A35" s="214">
        <v>34</v>
      </c>
      <c r="B35" s="66" t="s">
        <v>55</v>
      </c>
      <c r="C35" s="66" t="s">
        <v>13</v>
      </c>
      <c r="D35" s="66" t="s">
        <v>1187</v>
      </c>
      <c r="E35" s="69">
        <v>45777</v>
      </c>
      <c r="F35" s="69">
        <f t="shared" si="4"/>
        <v>45778</v>
      </c>
      <c r="G35" s="69">
        <f t="shared" si="5"/>
        <v>45792</v>
      </c>
      <c r="H35" s="69">
        <f t="shared" si="6"/>
        <v>45807</v>
      </c>
      <c r="I35" s="69">
        <f t="shared" si="7"/>
        <v>45835</v>
      </c>
      <c r="J35" s="69" t="str">
        <f t="shared" si="8"/>
        <v>Apr</v>
      </c>
      <c r="K35" s="216" t="str">
        <f t="shared" ca="1" si="0"/>
        <v/>
      </c>
      <c r="L35" s="67" t="s">
        <v>10</v>
      </c>
      <c r="M35" s="67"/>
      <c r="N35" s="67">
        <v>45793</v>
      </c>
      <c r="O35" s="152">
        <f t="shared" si="1"/>
        <v>11</v>
      </c>
      <c r="P35" s="12" t="str">
        <f t="shared" si="3"/>
        <v>Yes</v>
      </c>
      <c r="Q35" s="75"/>
      <c r="R35" s="70" t="s">
        <v>39</v>
      </c>
      <c r="S35" s="68" t="s">
        <v>40</v>
      </c>
      <c r="T35" s="66"/>
      <c r="U35" s="75"/>
      <c r="V35" s="66"/>
      <c r="W35" s="66"/>
      <c r="Y35" s="74"/>
      <c r="Z35" s="146">
        <v>45782</v>
      </c>
      <c r="AA35" s="74"/>
      <c r="AB35" s="74"/>
      <c r="AC35" s="74"/>
      <c r="AD35" s="74"/>
      <c r="AE35" s="74"/>
      <c r="AF35" s="74"/>
      <c r="AG35" s="74"/>
      <c r="AV35" s="139" t="str">
        <v>Quarter 1</v>
      </c>
    </row>
    <row r="36" spans="1:48" ht="30" customHeight="1" x14ac:dyDescent="0.35">
      <c r="A36" s="214">
        <v>35</v>
      </c>
      <c r="B36" s="66" t="s">
        <v>1188</v>
      </c>
      <c r="C36" s="66" t="s">
        <v>9</v>
      </c>
      <c r="D36" s="66" t="s">
        <v>1189</v>
      </c>
      <c r="E36" s="69">
        <v>45778</v>
      </c>
      <c r="F36" s="69">
        <f t="shared" si="4"/>
        <v>45779</v>
      </c>
      <c r="G36" s="69">
        <f t="shared" si="5"/>
        <v>45793</v>
      </c>
      <c r="H36" s="69">
        <f t="shared" si="6"/>
        <v>45810</v>
      </c>
      <c r="I36" s="69">
        <f t="shared" si="7"/>
        <v>45838</v>
      </c>
      <c r="J36" s="69" t="str">
        <f t="shared" si="8"/>
        <v>May</v>
      </c>
      <c r="K36" s="216" t="str">
        <f t="shared" ca="1" si="0"/>
        <v/>
      </c>
      <c r="L36" s="67" t="s">
        <v>10</v>
      </c>
      <c r="M36" s="67"/>
      <c r="N36" s="67">
        <v>45778</v>
      </c>
      <c r="O36" s="152">
        <f t="shared" si="1"/>
        <v>0</v>
      </c>
      <c r="P36" s="12" t="str">
        <f t="shared" si="3"/>
        <v>Yes</v>
      </c>
      <c r="Q36" s="75"/>
      <c r="R36" s="70" t="s">
        <v>39</v>
      </c>
      <c r="S36" s="68" t="s">
        <v>45</v>
      </c>
      <c r="T36" s="66"/>
      <c r="U36" s="75" t="s">
        <v>1147</v>
      </c>
      <c r="V36" s="66"/>
      <c r="W36" s="66"/>
      <c r="Z36" s="146">
        <v>45803</v>
      </c>
      <c r="AV36" s="139" t="str">
        <v>Quarter 1</v>
      </c>
    </row>
    <row r="37" spans="1:48" ht="30" customHeight="1" x14ac:dyDescent="0.35">
      <c r="A37" s="214">
        <v>36</v>
      </c>
      <c r="B37" s="66" t="s">
        <v>6</v>
      </c>
      <c r="C37" s="66" t="s">
        <v>6</v>
      </c>
      <c r="D37" s="66" t="s">
        <v>1190</v>
      </c>
      <c r="E37" s="69">
        <v>45779</v>
      </c>
      <c r="F37" s="69">
        <f t="shared" ref="F37:F68" si="9">IF($E37="","",WORKDAY($E37,1,$Z$33:$Z$47))</f>
        <v>45783</v>
      </c>
      <c r="G37" s="69">
        <f t="shared" ref="G37:G68" si="10">IF($E37="","",WORKDAY($E37,10,$Z$33:$Z$47))</f>
        <v>45796</v>
      </c>
      <c r="H37" s="69">
        <f t="shared" ref="H37:H68" si="11">IF($E37="","",WORKDAY($E37,20,$Z$33:$Z$47))</f>
        <v>45811</v>
      </c>
      <c r="I37" s="69">
        <f t="shared" ref="I37:I68" si="12">IF($E37="","",WORKDAY($E37,40,$Z$33:$Z$47))</f>
        <v>45839</v>
      </c>
      <c r="J37" s="69" t="str">
        <f t="shared" si="8"/>
        <v>May</v>
      </c>
      <c r="K37" s="216" t="str">
        <f t="shared" ca="1" si="0"/>
        <v/>
      </c>
      <c r="L37" s="67" t="s">
        <v>10</v>
      </c>
      <c r="M37" s="67"/>
      <c r="N37" s="67">
        <v>45811</v>
      </c>
      <c r="O37" s="152">
        <f t="shared" si="1"/>
        <v>20</v>
      </c>
      <c r="P37" s="12" t="str">
        <f t="shared" si="3"/>
        <v>Yes</v>
      </c>
      <c r="Q37" s="75"/>
      <c r="R37" s="70" t="s">
        <v>39</v>
      </c>
      <c r="S37" s="68" t="s">
        <v>40</v>
      </c>
      <c r="T37" s="66"/>
      <c r="U37" s="75" t="s">
        <v>1151</v>
      </c>
      <c r="V37" s="66"/>
      <c r="W37" s="66"/>
      <c r="Z37" s="146">
        <v>45894</v>
      </c>
      <c r="AV37" s="139" t="str">
        <v>Quarter 1</v>
      </c>
    </row>
    <row r="38" spans="1:48" ht="30" customHeight="1" x14ac:dyDescent="0.35">
      <c r="A38" s="214">
        <v>37</v>
      </c>
      <c r="B38" s="66" t="s">
        <v>6</v>
      </c>
      <c r="C38" s="66" t="s">
        <v>6</v>
      </c>
      <c r="D38" s="66" t="s">
        <v>1191</v>
      </c>
      <c r="E38" s="69">
        <v>45783</v>
      </c>
      <c r="F38" s="69">
        <f t="shared" si="9"/>
        <v>45784</v>
      </c>
      <c r="G38" s="69">
        <f t="shared" si="10"/>
        <v>45797</v>
      </c>
      <c r="H38" s="69">
        <f t="shared" si="11"/>
        <v>45812</v>
      </c>
      <c r="I38" s="69">
        <f t="shared" si="12"/>
        <v>45840</v>
      </c>
      <c r="J38" s="69" t="str">
        <f t="shared" si="8"/>
        <v>May</v>
      </c>
      <c r="K38" s="216" t="str">
        <f t="shared" ca="1" si="0"/>
        <v/>
      </c>
      <c r="L38" s="67" t="s">
        <v>10</v>
      </c>
      <c r="M38" s="67"/>
      <c r="N38" s="67">
        <v>45783</v>
      </c>
      <c r="O38" s="152">
        <f t="shared" si="1"/>
        <v>0</v>
      </c>
      <c r="P38" s="12" t="str">
        <f t="shared" si="3"/>
        <v>Yes</v>
      </c>
      <c r="Q38" s="75"/>
      <c r="R38" s="70" t="s">
        <v>39</v>
      </c>
      <c r="S38" s="68" t="s">
        <v>45</v>
      </c>
      <c r="T38" s="66"/>
      <c r="U38" s="75" t="s">
        <v>1147</v>
      </c>
      <c r="V38" s="66"/>
      <c r="W38" s="66"/>
      <c r="Y38" s="74"/>
      <c r="Z38" s="146">
        <v>46016</v>
      </c>
      <c r="AA38" s="74"/>
      <c r="AB38" s="74"/>
      <c r="AC38" s="74"/>
      <c r="AD38" s="74"/>
      <c r="AE38" s="74"/>
      <c r="AF38" s="74"/>
      <c r="AG38" s="74"/>
      <c r="AV38" s="139" t="str">
        <v>Quarter 1</v>
      </c>
    </row>
    <row r="39" spans="1:48" ht="30" customHeight="1" x14ac:dyDescent="0.35">
      <c r="A39" s="214">
        <v>38</v>
      </c>
      <c r="B39" s="66" t="s">
        <v>6</v>
      </c>
      <c r="C39" s="66" t="s">
        <v>6</v>
      </c>
      <c r="D39" s="147" t="s">
        <v>1192</v>
      </c>
      <c r="E39" s="69">
        <v>45783</v>
      </c>
      <c r="F39" s="69">
        <f t="shared" si="9"/>
        <v>45784</v>
      </c>
      <c r="G39" s="69">
        <f t="shared" si="10"/>
        <v>45797</v>
      </c>
      <c r="H39" s="69">
        <f t="shared" si="11"/>
        <v>45812</v>
      </c>
      <c r="I39" s="69">
        <f t="shared" si="12"/>
        <v>45840</v>
      </c>
      <c r="J39" s="69" t="str">
        <f t="shared" si="8"/>
        <v>May</v>
      </c>
      <c r="K39" s="216" t="str">
        <f t="shared" ca="1" si="0"/>
        <v/>
      </c>
      <c r="L39" s="67" t="s">
        <v>4</v>
      </c>
      <c r="M39" s="67"/>
      <c r="N39" s="67">
        <v>45804</v>
      </c>
      <c r="O39" s="152">
        <f t="shared" si="1"/>
        <v>14</v>
      </c>
      <c r="P39" s="12" t="str">
        <f t="shared" si="3"/>
        <v>Yes</v>
      </c>
      <c r="Q39" s="75"/>
      <c r="R39" s="70" t="s">
        <v>39</v>
      </c>
      <c r="S39" s="68" t="s">
        <v>45</v>
      </c>
      <c r="T39" s="66"/>
      <c r="U39" s="75" t="s">
        <v>1160</v>
      </c>
      <c r="V39" s="66"/>
      <c r="W39" s="66"/>
      <c r="Z39" s="146">
        <v>46017</v>
      </c>
      <c r="AV39" s="139" t="str">
        <v>Quarter 1</v>
      </c>
    </row>
    <row r="40" spans="1:48" ht="30" customHeight="1" x14ac:dyDescent="0.35">
      <c r="A40" s="214">
        <v>39</v>
      </c>
      <c r="B40" s="66" t="s">
        <v>6</v>
      </c>
      <c r="C40" s="66" t="s">
        <v>6</v>
      </c>
      <c r="D40" s="66" t="s">
        <v>1193</v>
      </c>
      <c r="E40" s="69">
        <v>45783</v>
      </c>
      <c r="F40" s="69">
        <f t="shared" si="9"/>
        <v>45784</v>
      </c>
      <c r="G40" s="69">
        <f t="shared" si="10"/>
        <v>45797</v>
      </c>
      <c r="H40" s="69">
        <f t="shared" si="11"/>
        <v>45812</v>
      </c>
      <c r="I40" s="69">
        <f t="shared" si="12"/>
        <v>45840</v>
      </c>
      <c r="J40" s="69" t="str">
        <f t="shared" si="8"/>
        <v>May</v>
      </c>
      <c r="K40" s="216" t="str">
        <f t="shared" ca="1" si="0"/>
        <v/>
      </c>
      <c r="L40" s="67" t="s">
        <v>4</v>
      </c>
      <c r="M40" s="67"/>
      <c r="N40" s="67">
        <v>45796</v>
      </c>
      <c r="O40" s="152">
        <f t="shared" si="1"/>
        <v>9</v>
      </c>
      <c r="P40" s="12" t="str">
        <f t="shared" si="3"/>
        <v>Yes</v>
      </c>
      <c r="Q40" s="75"/>
      <c r="R40" s="70" t="s">
        <v>39</v>
      </c>
      <c r="S40" s="68" t="s">
        <v>40</v>
      </c>
      <c r="T40" s="66"/>
      <c r="U40" s="75"/>
      <c r="V40" s="66"/>
      <c r="W40" s="66"/>
      <c r="Z40" s="146">
        <v>46023</v>
      </c>
      <c r="AV40" s="139" t="str">
        <v>Quarter 1</v>
      </c>
    </row>
    <row r="41" spans="1:48" ht="30" customHeight="1" x14ac:dyDescent="0.35">
      <c r="A41" s="214">
        <v>40</v>
      </c>
      <c r="B41" s="66" t="s">
        <v>6</v>
      </c>
      <c r="C41" s="66" t="s">
        <v>6</v>
      </c>
      <c r="D41" s="66" t="s">
        <v>1194</v>
      </c>
      <c r="E41" s="69">
        <v>45783</v>
      </c>
      <c r="F41" s="69">
        <f t="shared" si="9"/>
        <v>45784</v>
      </c>
      <c r="G41" s="69">
        <f t="shared" si="10"/>
        <v>45797</v>
      </c>
      <c r="H41" s="69">
        <f t="shared" si="11"/>
        <v>45812</v>
      </c>
      <c r="I41" s="69">
        <f t="shared" si="12"/>
        <v>45840</v>
      </c>
      <c r="J41" s="69" t="str">
        <f t="shared" si="8"/>
        <v>May</v>
      </c>
      <c r="K41" s="216" t="str">
        <f t="shared" ca="1" si="0"/>
        <v/>
      </c>
      <c r="L41" s="67" t="s">
        <v>10</v>
      </c>
      <c r="M41" s="67"/>
      <c r="N41" s="67">
        <v>45783</v>
      </c>
      <c r="O41" s="152">
        <f t="shared" si="1"/>
        <v>0</v>
      </c>
      <c r="P41" s="12" t="str">
        <f t="shared" si="3"/>
        <v>Yes</v>
      </c>
      <c r="Q41" s="75"/>
      <c r="R41" s="70" t="s">
        <v>39</v>
      </c>
      <c r="S41" s="68" t="s">
        <v>62</v>
      </c>
      <c r="T41" s="66"/>
      <c r="U41" s="75"/>
      <c r="V41" s="66"/>
      <c r="W41" s="66"/>
      <c r="Y41" s="74"/>
      <c r="Z41" s="146">
        <v>46115</v>
      </c>
      <c r="AA41" s="74"/>
      <c r="AB41" s="74"/>
      <c r="AC41" s="74"/>
      <c r="AD41" s="74"/>
      <c r="AE41" s="74"/>
      <c r="AF41" s="74"/>
      <c r="AG41" s="74"/>
      <c r="AV41" s="139" t="str">
        <v>Quarter 1</v>
      </c>
    </row>
    <row r="42" spans="1:48" ht="30" customHeight="1" x14ac:dyDescent="0.35">
      <c r="A42" s="214">
        <v>41</v>
      </c>
      <c r="B42" s="66" t="s">
        <v>1195</v>
      </c>
      <c r="C42" s="66" t="s">
        <v>12</v>
      </c>
      <c r="D42" s="66" t="s">
        <v>1196</v>
      </c>
      <c r="E42" s="69">
        <v>45783</v>
      </c>
      <c r="F42" s="69">
        <f t="shared" si="9"/>
        <v>45784</v>
      </c>
      <c r="G42" s="69">
        <f t="shared" si="10"/>
        <v>45797</v>
      </c>
      <c r="H42" s="69">
        <f t="shared" si="11"/>
        <v>45812</v>
      </c>
      <c r="I42" s="69">
        <f t="shared" si="12"/>
        <v>45840</v>
      </c>
      <c r="J42" s="69" t="str">
        <f t="shared" si="8"/>
        <v>May</v>
      </c>
      <c r="K42" s="216" t="str">
        <f t="shared" ca="1" si="0"/>
        <v/>
      </c>
      <c r="L42" s="67" t="s">
        <v>10</v>
      </c>
      <c r="M42" s="67"/>
      <c r="N42" s="67">
        <v>45790</v>
      </c>
      <c r="O42" s="152">
        <f t="shared" si="1"/>
        <v>5</v>
      </c>
      <c r="P42" s="12" t="str">
        <f t="shared" si="3"/>
        <v>Yes</v>
      </c>
      <c r="Q42" s="75"/>
      <c r="R42" s="70" t="s">
        <v>39</v>
      </c>
      <c r="S42" s="68" t="s">
        <v>40</v>
      </c>
      <c r="T42" s="66"/>
      <c r="U42" s="75"/>
      <c r="V42" s="66"/>
      <c r="W42" s="66"/>
      <c r="Z42" s="146">
        <v>46118</v>
      </c>
      <c r="AV42" s="139" t="str">
        <v>Quarter 1</v>
      </c>
    </row>
    <row r="43" spans="1:48" ht="30" customHeight="1" x14ac:dyDescent="0.35">
      <c r="A43" s="214">
        <v>42</v>
      </c>
      <c r="B43" s="66" t="s">
        <v>6</v>
      </c>
      <c r="C43" s="66" t="s">
        <v>6</v>
      </c>
      <c r="D43" s="66" t="s">
        <v>1197</v>
      </c>
      <c r="E43" s="69">
        <v>45784</v>
      </c>
      <c r="F43" s="69">
        <f t="shared" si="9"/>
        <v>45785</v>
      </c>
      <c r="G43" s="69">
        <f t="shared" si="10"/>
        <v>45798</v>
      </c>
      <c r="H43" s="69">
        <f t="shared" si="11"/>
        <v>45813</v>
      </c>
      <c r="I43" s="69">
        <f t="shared" si="12"/>
        <v>45841</v>
      </c>
      <c r="J43" s="69" t="str">
        <f t="shared" si="8"/>
        <v>May</v>
      </c>
      <c r="K43" s="216" t="str">
        <f t="shared" ca="1" si="0"/>
        <v/>
      </c>
      <c r="L43" s="67" t="s">
        <v>10</v>
      </c>
      <c r="M43" s="67"/>
      <c r="N43" s="67">
        <v>45789</v>
      </c>
      <c r="O43" s="152">
        <f t="shared" si="1"/>
        <v>3</v>
      </c>
      <c r="P43" s="12" t="str">
        <f t="shared" si="3"/>
        <v>Yes</v>
      </c>
      <c r="Q43" s="75"/>
      <c r="R43" s="70" t="s">
        <v>39</v>
      </c>
      <c r="S43" s="68" t="s">
        <v>62</v>
      </c>
      <c r="T43" s="66"/>
      <c r="U43" s="75"/>
      <c r="V43" s="66"/>
      <c r="W43" s="66"/>
      <c r="Z43" s="146">
        <v>46146</v>
      </c>
      <c r="AV43" s="139" t="str">
        <v>Quarter 1</v>
      </c>
    </row>
    <row r="44" spans="1:48" ht="30" customHeight="1" x14ac:dyDescent="0.35">
      <c r="A44" s="214">
        <v>43</v>
      </c>
      <c r="B44" s="66" t="s">
        <v>1198</v>
      </c>
      <c r="C44" s="66" t="s">
        <v>12</v>
      </c>
      <c r="D44" s="66" t="s">
        <v>1199</v>
      </c>
      <c r="E44" s="69">
        <v>45785</v>
      </c>
      <c r="F44" s="69">
        <f t="shared" si="9"/>
        <v>45786</v>
      </c>
      <c r="G44" s="69">
        <f t="shared" si="10"/>
        <v>45799</v>
      </c>
      <c r="H44" s="69">
        <f t="shared" si="11"/>
        <v>45814</v>
      </c>
      <c r="I44" s="69">
        <f t="shared" si="12"/>
        <v>45842</v>
      </c>
      <c r="J44" s="69" t="str">
        <f t="shared" si="8"/>
        <v>May</v>
      </c>
      <c r="K44" s="216" t="str">
        <f t="shared" ca="1" si="0"/>
        <v/>
      </c>
      <c r="L44" s="67" t="s">
        <v>10</v>
      </c>
      <c r="M44" s="67"/>
      <c r="N44" s="67">
        <v>45790</v>
      </c>
      <c r="O44" s="152">
        <f t="shared" si="1"/>
        <v>3</v>
      </c>
      <c r="P44" s="12" t="str">
        <f t="shared" si="3"/>
        <v>Yes</v>
      </c>
      <c r="Q44" s="75"/>
      <c r="R44" s="70" t="s">
        <v>39</v>
      </c>
      <c r="S44" s="68" t="s">
        <v>40</v>
      </c>
      <c r="T44" s="66"/>
      <c r="U44" s="75"/>
      <c r="V44" s="66"/>
      <c r="W44" s="66"/>
      <c r="Y44" s="74"/>
      <c r="Z44" s="146">
        <v>46167</v>
      </c>
      <c r="AA44" s="74"/>
      <c r="AB44" s="74"/>
      <c r="AC44" s="74"/>
      <c r="AD44" s="74"/>
      <c r="AE44" s="74"/>
      <c r="AF44" s="74"/>
      <c r="AG44" s="74"/>
      <c r="AV44" s="139" t="str">
        <v>Quarter 1</v>
      </c>
    </row>
    <row r="45" spans="1:48" ht="30" customHeight="1" x14ac:dyDescent="0.35">
      <c r="A45" s="214">
        <v>44</v>
      </c>
      <c r="B45" s="66" t="s">
        <v>1200</v>
      </c>
      <c r="C45" s="66" t="s">
        <v>11</v>
      </c>
      <c r="D45" s="66" t="s">
        <v>1201</v>
      </c>
      <c r="E45" s="69">
        <v>45785</v>
      </c>
      <c r="F45" s="69">
        <f t="shared" si="9"/>
        <v>45786</v>
      </c>
      <c r="G45" s="69">
        <f t="shared" si="10"/>
        <v>45799</v>
      </c>
      <c r="H45" s="69">
        <f t="shared" si="11"/>
        <v>45814</v>
      </c>
      <c r="I45" s="69">
        <f t="shared" si="12"/>
        <v>45842</v>
      </c>
      <c r="J45" s="69" t="str">
        <f t="shared" si="8"/>
        <v>May</v>
      </c>
      <c r="K45" s="216" t="str">
        <f t="shared" ca="1" si="0"/>
        <v/>
      </c>
      <c r="L45" s="67" t="s">
        <v>10</v>
      </c>
      <c r="M45" s="67"/>
      <c r="N45" s="67">
        <v>45793</v>
      </c>
      <c r="O45" s="152">
        <f t="shared" si="1"/>
        <v>6</v>
      </c>
      <c r="P45" s="12" t="str">
        <f t="shared" si="3"/>
        <v>Yes</v>
      </c>
      <c r="Q45" s="75"/>
      <c r="R45" s="70" t="s">
        <v>39</v>
      </c>
      <c r="S45" s="68" t="s">
        <v>40</v>
      </c>
      <c r="T45" s="66"/>
      <c r="U45" s="75"/>
      <c r="V45" s="66"/>
      <c r="W45" s="66"/>
      <c r="Z45" s="146">
        <v>46265</v>
      </c>
      <c r="AV45" s="139" t="str">
        <v>Quarter 1</v>
      </c>
    </row>
    <row r="46" spans="1:48" ht="30" customHeight="1" x14ac:dyDescent="0.35">
      <c r="A46" s="214">
        <v>45</v>
      </c>
      <c r="B46" s="66" t="s">
        <v>6</v>
      </c>
      <c r="C46" s="66" t="s">
        <v>6</v>
      </c>
      <c r="D46" s="66" t="s">
        <v>1202</v>
      </c>
      <c r="E46" s="69">
        <v>45786</v>
      </c>
      <c r="F46" s="69">
        <f t="shared" si="9"/>
        <v>45789</v>
      </c>
      <c r="G46" s="69">
        <f t="shared" si="10"/>
        <v>45800</v>
      </c>
      <c r="H46" s="69">
        <f t="shared" si="11"/>
        <v>45817</v>
      </c>
      <c r="I46" s="69">
        <f t="shared" si="12"/>
        <v>45845</v>
      </c>
      <c r="J46" s="69" t="str">
        <f t="shared" si="8"/>
        <v>May</v>
      </c>
      <c r="K46" s="216" t="str">
        <f t="shared" ca="1" si="0"/>
        <v/>
      </c>
      <c r="L46" s="67" t="s">
        <v>10</v>
      </c>
      <c r="M46" s="67"/>
      <c r="N46" s="67">
        <v>45790</v>
      </c>
      <c r="O46" s="152">
        <f t="shared" si="1"/>
        <v>2</v>
      </c>
      <c r="P46" s="12" t="str">
        <f t="shared" si="3"/>
        <v>Yes</v>
      </c>
      <c r="Q46" s="75"/>
      <c r="R46" s="70" t="s">
        <v>39</v>
      </c>
      <c r="S46" s="68" t="s">
        <v>40</v>
      </c>
      <c r="T46" s="66"/>
      <c r="U46" s="75"/>
      <c r="V46" s="66"/>
      <c r="W46" s="66"/>
      <c r="Z46" s="146">
        <v>46381</v>
      </c>
      <c r="AV46" s="139" t="str">
        <v>Quarter 1</v>
      </c>
    </row>
    <row r="47" spans="1:48" ht="30" customHeight="1" x14ac:dyDescent="0.35">
      <c r="A47" s="214">
        <v>46</v>
      </c>
      <c r="B47" s="66" t="s">
        <v>1203</v>
      </c>
      <c r="C47" s="66" t="s">
        <v>9</v>
      </c>
      <c r="D47" s="66" t="s">
        <v>1204</v>
      </c>
      <c r="E47" s="69">
        <v>45786</v>
      </c>
      <c r="F47" s="69">
        <f t="shared" si="9"/>
        <v>45789</v>
      </c>
      <c r="G47" s="69">
        <f t="shared" si="10"/>
        <v>45800</v>
      </c>
      <c r="H47" s="69">
        <f t="shared" si="11"/>
        <v>45817</v>
      </c>
      <c r="I47" s="69">
        <f t="shared" si="12"/>
        <v>45845</v>
      </c>
      <c r="J47" s="69" t="str">
        <f t="shared" si="8"/>
        <v>May</v>
      </c>
      <c r="K47" s="216" t="str">
        <f t="shared" ca="1" si="0"/>
        <v/>
      </c>
      <c r="L47" s="67" t="s">
        <v>10</v>
      </c>
      <c r="M47" s="67"/>
      <c r="N47" s="67">
        <v>45817</v>
      </c>
      <c r="O47" s="152">
        <f t="shared" si="1"/>
        <v>20</v>
      </c>
      <c r="P47" s="12" t="str">
        <f t="shared" si="3"/>
        <v>Yes</v>
      </c>
      <c r="Q47" s="75"/>
      <c r="R47" s="70" t="s">
        <v>39</v>
      </c>
      <c r="S47" s="68" t="s">
        <v>40</v>
      </c>
      <c r="T47" s="66"/>
      <c r="U47" s="75" t="s">
        <v>1147</v>
      </c>
      <c r="V47" s="66"/>
      <c r="W47" s="66"/>
      <c r="Y47" s="74"/>
      <c r="Z47" s="146">
        <v>46384</v>
      </c>
      <c r="AA47" s="74"/>
      <c r="AB47" s="74"/>
      <c r="AC47" s="74"/>
      <c r="AD47" s="74"/>
      <c r="AE47" s="74"/>
      <c r="AF47" s="74"/>
      <c r="AG47" s="74"/>
      <c r="AV47" s="139" t="str">
        <v>Quarter 1</v>
      </c>
    </row>
    <row r="48" spans="1:48" ht="30" customHeight="1" x14ac:dyDescent="0.35">
      <c r="A48" s="214">
        <v>47</v>
      </c>
      <c r="B48" s="66" t="s">
        <v>1205</v>
      </c>
      <c r="C48" s="66" t="s">
        <v>11</v>
      </c>
      <c r="D48" s="66" t="s">
        <v>1206</v>
      </c>
      <c r="E48" s="69">
        <v>45789</v>
      </c>
      <c r="F48" s="69">
        <f t="shared" si="9"/>
        <v>45790</v>
      </c>
      <c r="G48" s="69">
        <f t="shared" si="10"/>
        <v>45804</v>
      </c>
      <c r="H48" s="69">
        <f t="shared" si="11"/>
        <v>45818</v>
      </c>
      <c r="I48" s="69">
        <f t="shared" si="12"/>
        <v>45846</v>
      </c>
      <c r="J48" s="69" t="str">
        <f t="shared" si="8"/>
        <v>May</v>
      </c>
      <c r="K48" s="216" t="str">
        <f t="shared" ca="1" si="0"/>
        <v/>
      </c>
      <c r="L48" s="67" t="s">
        <v>10</v>
      </c>
      <c r="M48" s="67"/>
      <c r="N48" s="67">
        <v>45804</v>
      </c>
      <c r="O48" s="152">
        <f t="shared" si="1"/>
        <v>10</v>
      </c>
      <c r="P48" s="12" t="str">
        <f t="shared" si="3"/>
        <v>Yes</v>
      </c>
      <c r="Q48" s="75"/>
      <c r="R48" s="70" t="s">
        <v>39</v>
      </c>
      <c r="S48" s="68" t="s">
        <v>40</v>
      </c>
      <c r="T48" s="66"/>
      <c r="U48" s="75"/>
      <c r="V48" s="66"/>
      <c r="W48" s="66"/>
      <c r="AV48" s="139" t="str">
        <v>Quarter 1</v>
      </c>
    </row>
    <row r="49" spans="1:48" ht="30" customHeight="1" x14ac:dyDescent="0.35">
      <c r="A49" s="214">
        <v>48</v>
      </c>
      <c r="B49" s="66" t="s">
        <v>493</v>
      </c>
      <c r="C49" s="66" t="s">
        <v>5</v>
      </c>
      <c r="D49" s="66" t="s">
        <v>1170</v>
      </c>
      <c r="E49" s="69">
        <v>45790</v>
      </c>
      <c r="F49" s="69">
        <f t="shared" si="9"/>
        <v>45791</v>
      </c>
      <c r="G49" s="69">
        <f t="shared" si="10"/>
        <v>45805</v>
      </c>
      <c r="H49" s="69">
        <f t="shared" si="11"/>
        <v>45819</v>
      </c>
      <c r="I49" s="69">
        <f t="shared" si="12"/>
        <v>45847</v>
      </c>
      <c r="J49" s="69" t="str">
        <f t="shared" si="8"/>
        <v>May</v>
      </c>
      <c r="K49" s="216" t="str">
        <f t="shared" ca="1" si="0"/>
        <v/>
      </c>
      <c r="L49" s="67" t="s">
        <v>10</v>
      </c>
      <c r="M49" s="67"/>
      <c r="N49" s="67">
        <v>45790</v>
      </c>
      <c r="O49" s="152">
        <f t="shared" si="1"/>
        <v>0</v>
      </c>
      <c r="P49" s="12" t="str">
        <f t="shared" si="3"/>
        <v>Yes</v>
      </c>
      <c r="Q49" s="75"/>
      <c r="R49" s="70" t="s">
        <v>39</v>
      </c>
      <c r="S49" s="68" t="s">
        <v>40</v>
      </c>
      <c r="T49" s="66"/>
      <c r="U49" s="75"/>
      <c r="V49" s="66"/>
      <c r="W49" s="66"/>
      <c r="AV49" s="139" t="str">
        <v>Quarter 1</v>
      </c>
    </row>
    <row r="50" spans="1:48" ht="30" customHeight="1" x14ac:dyDescent="0.35">
      <c r="A50" s="214">
        <v>49</v>
      </c>
      <c r="B50" s="5" t="s">
        <v>6</v>
      </c>
      <c r="C50" s="5" t="s">
        <v>6</v>
      </c>
      <c r="D50" s="5" t="s">
        <v>1207</v>
      </c>
      <c r="E50" s="69">
        <v>45791</v>
      </c>
      <c r="F50" s="69">
        <f t="shared" si="9"/>
        <v>45792</v>
      </c>
      <c r="G50" s="69">
        <f t="shared" si="10"/>
        <v>45806</v>
      </c>
      <c r="H50" s="69">
        <f t="shared" si="11"/>
        <v>45820</v>
      </c>
      <c r="I50" s="69">
        <f t="shared" si="12"/>
        <v>45848</v>
      </c>
      <c r="J50" s="69" t="str">
        <f t="shared" si="8"/>
        <v>May</v>
      </c>
      <c r="K50" s="216" t="str">
        <f t="shared" ca="1" si="0"/>
        <v/>
      </c>
      <c r="L50" s="67" t="s">
        <v>10</v>
      </c>
      <c r="M50" s="67"/>
      <c r="N50" s="67">
        <v>45792</v>
      </c>
      <c r="O50" s="152">
        <f t="shared" si="1"/>
        <v>1</v>
      </c>
      <c r="P50" s="12" t="str">
        <f t="shared" si="3"/>
        <v>Yes</v>
      </c>
      <c r="Q50" s="75"/>
      <c r="R50" s="70" t="s">
        <v>39</v>
      </c>
      <c r="S50" s="68" t="s">
        <v>40</v>
      </c>
      <c r="T50" s="66"/>
      <c r="U50" s="75"/>
      <c r="V50" s="66"/>
      <c r="W50" s="66"/>
      <c r="Y50" s="74"/>
      <c r="Z50" s="74"/>
      <c r="AA50" s="74"/>
      <c r="AB50" s="74"/>
      <c r="AC50" s="74"/>
      <c r="AD50" s="74"/>
      <c r="AE50" s="74"/>
      <c r="AF50" s="74"/>
      <c r="AG50" s="74"/>
      <c r="AV50" s="139" t="str">
        <v>Quarter 1</v>
      </c>
    </row>
    <row r="51" spans="1:48" ht="30" customHeight="1" x14ac:dyDescent="0.35">
      <c r="A51" s="214">
        <v>50</v>
      </c>
      <c r="B51" s="66" t="s">
        <v>1208</v>
      </c>
      <c r="C51" s="66" t="s">
        <v>12</v>
      </c>
      <c r="D51" s="66" t="s">
        <v>1209</v>
      </c>
      <c r="E51" s="69">
        <v>45791</v>
      </c>
      <c r="F51" s="69">
        <f t="shared" si="9"/>
        <v>45792</v>
      </c>
      <c r="G51" s="69">
        <f t="shared" si="10"/>
        <v>45806</v>
      </c>
      <c r="H51" s="69">
        <f t="shared" si="11"/>
        <v>45820</v>
      </c>
      <c r="I51" s="69">
        <f t="shared" si="12"/>
        <v>45848</v>
      </c>
      <c r="J51" s="69" t="str">
        <f t="shared" si="8"/>
        <v>May</v>
      </c>
      <c r="K51" s="216" t="str">
        <f t="shared" ca="1" si="0"/>
        <v/>
      </c>
      <c r="L51" s="67" t="s">
        <v>10</v>
      </c>
      <c r="M51" s="67"/>
      <c r="N51" s="67">
        <v>45820</v>
      </c>
      <c r="O51" s="152">
        <f t="shared" si="1"/>
        <v>20</v>
      </c>
      <c r="P51" s="12" t="str">
        <f t="shared" si="3"/>
        <v>Yes</v>
      </c>
      <c r="Q51" s="75"/>
      <c r="R51" s="70" t="s">
        <v>39</v>
      </c>
      <c r="S51" s="68" t="s">
        <v>40</v>
      </c>
      <c r="T51" s="66"/>
      <c r="U51" s="75"/>
      <c r="V51" s="66"/>
      <c r="W51" s="66"/>
      <c r="AV51" s="139" t="str">
        <v>Quarter 1</v>
      </c>
    </row>
    <row r="52" spans="1:48" ht="30" customHeight="1" x14ac:dyDescent="0.35">
      <c r="A52" s="214">
        <v>51</v>
      </c>
      <c r="B52" s="66" t="s">
        <v>1200</v>
      </c>
      <c r="C52" s="66" t="s">
        <v>11</v>
      </c>
      <c r="D52" s="66" t="s">
        <v>1210</v>
      </c>
      <c r="E52" s="69">
        <v>45792</v>
      </c>
      <c r="F52" s="69">
        <f t="shared" si="9"/>
        <v>45793</v>
      </c>
      <c r="G52" s="69">
        <f t="shared" si="10"/>
        <v>45807</v>
      </c>
      <c r="H52" s="69">
        <f t="shared" si="11"/>
        <v>45821</v>
      </c>
      <c r="I52" s="69">
        <f t="shared" si="12"/>
        <v>45849</v>
      </c>
      <c r="J52" s="69" t="str">
        <f t="shared" si="8"/>
        <v>May</v>
      </c>
      <c r="K52" s="216" t="str">
        <f t="shared" ca="1" si="0"/>
        <v/>
      </c>
      <c r="L52" s="67" t="s">
        <v>10</v>
      </c>
      <c r="M52" s="67"/>
      <c r="N52" s="67">
        <v>45799</v>
      </c>
      <c r="O52" s="152">
        <f t="shared" si="1"/>
        <v>5</v>
      </c>
      <c r="P52" s="12" t="str">
        <f t="shared" si="3"/>
        <v>Yes</v>
      </c>
      <c r="Q52" s="75"/>
      <c r="R52" s="70" t="s">
        <v>39</v>
      </c>
      <c r="S52" s="68" t="s">
        <v>40</v>
      </c>
      <c r="T52" s="66"/>
      <c r="U52" s="75"/>
      <c r="V52" s="66" t="s">
        <v>46</v>
      </c>
      <c r="W52" s="66"/>
      <c r="AV52" s="139" t="str">
        <v>Quarter 1</v>
      </c>
    </row>
    <row r="53" spans="1:48" ht="30" customHeight="1" x14ac:dyDescent="0.35">
      <c r="A53" s="214">
        <v>52</v>
      </c>
      <c r="B53" s="66" t="s">
        <v>1211</v>
      </c>
      <c r="C53" s="66" t="s">
        <v>12</v>
      </c>
      <c r="D53" s="66" t="s">
        <v>1212</v>
      </c>
      <c r="E53" s="69">
        <v>45792</v>
      </c>
      <c r="F53" s="69">
        <f t="shared" si="9"/>
        <v>45793</v>
      </c>
      <c r="G53" s="69">
        <f t="shared" si="10"/>
        <v>45807</v>
      </c>
      <c r="H53" s="69">
        <f t="shared" si="11"/>
        <v>45821</v>
      </c>
      <c r="I53" s="69">
        <f t="shared" si="12"/>
        <v>45849</v>
      </c>
      <c r="J53" s="69" t="str">
        <f t="shared" si="8"/>
        <v>May</v>
      </c>
      <c r="K53" s="216" t="str">
        <f t="shared" ca="1" si="0"/>
        <v/>
      </c>
      <c r="L53" s="67" t="s">
        <v>10</v>
      </c>
      <c r="M53" s="67"/>
      <c r="N53" s="67">
        <v>45793</v>
      </c>
      <c r="O53" s="152">
        <f t="shared" si="1"/>
        <v>1</v>
      </c>
      <c r="P53" s="12" t="str">
        <f t="shared" si="3"/>
        <v>Yes</v>
      </c>
      <c r="Q53" s="75"/>
      <c r="R53" s="70" t="s">
        <v>39</v>
      </c>
      <c r="S53" s="68" t="s">
        <v>40</v>
      </c>
      <c r="T53" s="66"/>
      <c r="U53" s="75"/>
      <c r="V53" s="66"/>
      <c r="W53" s="66"/>
      <c r="AV53" s="139" t="str">
        <v>Quarter 1</v>
      </c>
    </row>
    <row r="54" spans="1:48" ht="30" customHeight="1" x14ac:dyDescent="0.35">
      <c r="A54" s="214">
        <v>53</v>
      </c>
      <c r="B54" s="66" t="s">
        <v>1213</v>
      </c>
      <c r="C54" s="66" t="s">
        <v>9</v>
      </c>
      <c r="D54" s="66" t="s">
        <v>1214</v>
      </c>
      <c r="E54" s="69">
        <v>45793</v>
      </c>
      <c r="F54" s="69">
        <f t="shared" si="9"/>
        <v>45796</v>
      </c>
      <c r="G54" s="69">
        <f t="shared" si="10"/>
        <v>45810</v>
      </c>
      <c r="H54" s="69">
        <f t="shared" si="11"/>
        <v>45824</v>
      </c>
      <c r="I54" s="69">
        <f t="shared" si="12"/>
        <v>45852</v>
      </c>
      <c r="J54" s="69" t="str">
        <f t="shared" si="8"/>
        <v>May</v>
      </c>
      <c r="K54" s="216" t="str">
        <f t="shared" ca="1" si="0"/>
        <v/>
      </c>
      <c r="L54" s="67" t="s">
        <v>4</v>
      </c>
      <c r="M54" s="67"/>
      <c r="N54" s="67">
        <v>45793</v>
      </c>
      <c r="O54" s="152">
        <f t="shared" si="1"/>
        <v>0</v>
      </c>
      <c r="P54" s="12" t="str">
        <f t="shared" si="3"/>
        <v>Yes</v>
      </c>
      <c r="Q54" s="75"/>
      <c r="R54" s="70" t="s">
        <v>39</v>
      </c>
      <c r="S54" s="68" t="s">
        <v>62</v>
      </c>
      <c r="T54" s="66"/>
      <c r="U54" s="75"/>
      <c r="V54" s="66"/>
      <c r="W54" s="66"/>
      <c r="AV54" s="139" t="str">
        <v>Quarter 1</v>
      </c>
    </row>
    <row r="55" spans="1:48" ht="30" customHeight="1" x14ac:dyDescent="0.35">
      <c r="A55" s="214">
        <v>54</v>
      </c>
      <c r="B55" s="66" t="s">
        <v>1215</v>
      </c>
      <c r="C55" s="66" t="s">
        <v>11</v>
      </c>
      <c r="D55" s="66" t="s">
        <v>1216</v>
      </c>
      <c r="E55" s="69">
        <v>45793</v>
      </c>
      <c r="F55" s="69">
        <f t="shared" si="9"/>
        <v>45796</v>
      </c>
      <c r="G55" s="69">
        <f t="shared" si="10"/>
        <v>45810</v>
      </c>
      <c r="H55" s="69">
        <f t="shared" si="11"/>
        <v>45824</v>
      </c>
      <c r="I55" s="69">
        <f t="shared" si="12"/>
        <v>45852</v>
      </c>
      <c r="J55" s="69" t="str">
        <f t="shared" si="8"/>
        <v>May</v>
      </c>
      <c r="K55" s="216" t="str">
        <f t="shared" ca="1" si="0"/>
        <v/>
      </c>
      <c r="L55" s="67" t="s">
        <v>10</v>
      </c>
      <c r="M55" s="67"/>
      <c r="N55" s="67">
        <v>45804</v>
      </c>
      <c r="O55" s="152">
        <f t="shared" si="1"/>
        <v>6</v>
      </c>
      <c r="P55" s="12" t="str">
        <f t="shared" si="3"/>
        <v>Yes</v>
      </c>
      <c r="Q55" s="75"/>
      <c r="R55" s="70" t="s">
        <v>39</v>
      </c>
      <c r="S55" s="68" t="s">
        <v>40</v>
      </c>
      <c r="T55" s="66"/>
      <c r="U55" s="75"/>
      <c r="V55" s="66"/>
      <c r="W55" s="66"/>
      <c r="AV55" s="139" t="str">
        <v>Quarter 1</v>
      </c>
    </row>
    <row r="56" spans="1:48" ht="30" customHeight="1" x14ac:dyDescent="0.35">
      <c r="A56" s="214">
        <v>55</v>
      </c>
      <c r="B56" s="66" t="s">
        <v>6</v>
      </c>
      <c r="C56" s="66" t="s">
        <v>6</v>
      </c>
      <c r="D56" s="66" t="s">
        <v>1217</v>
      </c>
      <c r="E56" s="69">
        <v>45796</v>
      </c>
      <c r="F56" s="69">
        <f t="shared" si="9"/>
        <v>45797</v>
      </c>
      <c r="G56" s="69">
        <f t="shared" si="10"/>
        <v>45811</v>
      </c>
      <c r="H56" s="69">
        <f t="shared" si="11"/>
        <v>45825</v>
      </c>
      <c r="I56" s="69">
        <f t="shared" si="12"/>
        <v>45853</v>
      </c>
      <c r="J56" s="69" t="str">
        <f t="shared" si="8"/>
        <v>May</v>
      </c>
      <c r="K56" s="216" t="str">
        <f t="shared" ca="1" si="0"/>
        <v/>
      </c>
      <c r="L56" s="67" t="s">
        <v>10</v>
      </c>
      <c r="M56" s="67"/>
      <c r="N56" s="67">
        <v>45804</v>
      </c>
      <c r="O56" s="152">
        <f t="shared" si="1"/>
        <v>5</v>
      </c>
      <c r="P56" s="12" t="str">
        <f t="shared" si="3"/>
        <v>Yes</v>
      </c>
      <c r="Q56" s="75"/>
      <c r="R56" s="70" t="s">
        <v>39</v>
      </c>
      <c r="S56" s="68" t="s">
        <v>40</v>
      </c>
      <c r="T56" s="66"/>
      <c r="U56" s="75"/>
      <c r="V56" s="66"/>
      <c r="W56" s="66"/>
      <c r="AV56" s="139" t="str">
        <v>Quarter 1</v>
      </c>
    </row>
    <row r="57" spans="1:48" ht="30" customHeight="1" x14ac:dyDescent="0.35">
      <c r="A57" s="214">
        <v>56</v>
      </c>
      <c r="B57" s="66" t="s">
        <v>6</v>
      </c>
      <c r="C57" s="66" t="s">
        <v>6</v>
      </c>
      <c r="D57" s="66" t="s">
        <v>1184</v>
      </c>
      <c r="E57" s="69">
        <v>45796</v>
      </c>
      <c r="F57" s="69">
        <f t="shared" si="9"/>
        <v>45797</v>
      </c>
      <c r="G57" s="69">
        <f t="shared" si="10"/>
        <v>45811</v>
      </c>
      <c r="H57" s="69">
        <f t="shared" si="11"/>
        <v>45825</v>
      </c>
      <c r="I57" s="69">
        <f t="shared" si="12"/>
        <v>45853</v>
      </c>
      <c r="J57" s="69" t="str">
        <f t="shared" si="8"/>
        <v>May</v>
      </c>
      <c r="K57" s="216" t="str">
        <f t="shared" ca="1" si="0"/>
        <v/>
      </c>
      <c r="L57" s="67" t="s">
        <v>4</v>
      </c>
      <c r="M57" s="67"/>
      <c r="N57" s="67">
        <v>45807</v>
      </c>
      <c r="O57" s="152">
        <f t="shared" si="1"/>
        <v>8</v>
      </c>
      <c r="P57" s="12" t="str">
        <f t="shared" si="3"/>
        <v>Yes</v>
      </c>
      <c r="Q57" s="75"/>
      <c r="R57" s="70" t="s">
        <v>39</v>
      </c>
      <c r="S57" s="68" t="s">
        <v>40</v>
      </c>
      <c r="T57" s="66"/>
      <c r="U57" s="75"/>
      <c r="V57" s="66"/>
      <c r="W57" s="66"/>
      <c r="AV57" s="139" t="str">
        <v>Quarter 1</v>
      </c>
    </row>
    <row r="58" spans="1:48" ht="30" customHeight="1" x14ac:dyDescent="0.35">
      <c r="A58" s="214">
        <v>57</v>
      </c>
      <c r="B58" s="66" t="s">
        <v>6</v>
      </c>
      <c r="C58" s="66" t="s">
        <v>6</v>
      </c>
      <c r="D58" s="66" t="s">
        <v>1184</v>
      </c>
      <c r="E58" s="69">
        <v>45796</v>
      </c>
      <c r="F58" s="69">
        <f t="shared" si="9"/>
        <v>45797</v>
      </c>
      <c r="G58" s="69">
        <f t="shared" si="10"/>
        <v>45811</v>
      </c>
      <c r="H58" s="69">
        <f t="shared" si="11"/>
        <v>45825</v>
      </c>
      <c r="I58" s="69">
        <f t="shared" si="12"/>
        <v>45853</v>
      </c>
      <c r="J58" s="69" t="str">
        <f t="shared" si="8"/>
        <v>May</v>
      </c>
      <c r="K58" s="216" t="str">
        <f t="shared" ca="1" si="0"/>
        <v/>
      </c>
      <c r="L58" s="67" t="s">
        <v>4</v>
      </c>
      <c r="M58" s="67"/>
      <c r="N58" s="67">
        <v>45817</v>
      </c>
      <c r="O58" s="152">
        <f t="shared" si="1"/>
        <v>14</v>
      </c>
      <c r="P58" s="12" t="str">
        <f t="shared" si="3"/>
        <v>Yes</v>
      </c>
      <c r="Q58" s="75"/>
      <c r="R58" s="70" t="s">
        <v>39</v>
      </c>
      <c r="S58" s="68" t="s">
        <v>62</v>
      </c>
      <c r="T58" s="66"/>
      <c r="U58" s="75"/>
      <c r="V58" s="66"/>
      <c r="W58" s="66"/>
      <c r="AV58" s="139" t="str">
        <v>Quarter 1</v>
      </c>
    </row>
    <row r="59" spans="1:48" ht="30" customHeight="1" x14ac:dyDescent="0.35">
      <c r="A59" s="214">
        <v>58</v>
      </c>
      <c r="B59" s="66" t="s">
        <v>6</v>
      </c>
      <c r="C59" s="66" t="s">
        <v>6</v>
      </c>
      <c r="D59" s="66" t="s">
        <v>1218</v>
      </c>
      <c r="E59" s="69">
        <v>45796</v>
      </c>
      <c r="F59" s="69">
        <f t="shared" si="9"/>
        <v>45797</v>
      </c>
      <c r="G59" s="69">
        <f t="shared" si="10"/>
        <v>45811</v>
      </c>
      <c r="H59" s="69">
        <f t="shared" si="11"/>
        <v>45825</v>
      </c>
      <c r="I59" s="69">
        <f t="shared" si="12"/>
        <v>45853</v>
      </c>
      <c r="J59" s="69" t="str">
        <f t="shared" si="8"/>
        <v>May</v>
      </c>
      <c r="K59" s="216" t="str">
        <f t="shared" ca="1" si="0"/>
        <v/>
      </c>
      <c r="L59" s="67" t="s">
        <v>10</v>
      </c>
      <c r="M59" s="67"/>
      <c r="N59" s="67">
        <v>45796</v>
      </c>
      <c r="O59" s="152">
        <f t="shared" si="1"/>
        <v>0</v>
      </c>
      <c r="P59" s="12" t="str">
        <f t="shared" si="3"/>
        <v>Yes</v>
      </c>
      <c r="Q59" s="75"/>
      <c r="R59" s="70" t="s">
        <v>39</v>
      </c>
      <c r="S59" s="68" t="s">
        <v>45</v>
      </c>
      <c r="T59" s="66"/>
      <c r="U59" s="75" t="s">
        <v>1147</v>
      </c>
      <c r="V59" s="66"/>
      <c r="W59" s="66"/>
      <c r="AV59" s="139" t="str">
        <v>Quarter 1</v>
      </c>
    </row>
    <row r="60" spans="1:48" ht="30" customHeight="1" x14ac:dyDescent="0.35">
      <c r="A60" s="214">
        <v>59</v>
      </c>
      <c r="B60" s="66" t="s">
        <v>1219</v>
      </c>
      <c r="C60" s="66" t="s">
        <v>9</v>
      </c>
      <c r="D60" s="66" t="s">
        <v>1220</v>
      </c>
      <c r="E60" s="69">
        <v>45796</v>
      </c>
      <c r="F60" s="69">
        <f t="shared" si="9"/>
        <v>45797</v>
      </c>
      <c r="G60" s="69">
        <f t="shared" si="10"/>
        <v>45811</v>
      </c>
      <c r="H60" s="69">
        <f t="shared" si="11"/>
        <v>45825</v>
      </c>
      <c r="I60" s="69">
        <f t="shared" si="12"/>
        <v>45853</v>
      </c>
      <c r="J60" s="69" t="str">
        <f t="shared" si="8"/>
        <v>May</v>
      </c>
      <c r="K60" s="216" t="str">
        <f t="shared" ca="1" si="0"/>
        <v/>
      </c>
      <c r="L60" s="67" t="s">
        <v>10</v>
      </c>
      <c r="M60" s="67"/>
      <c r="N60" s="67">
        <v>45812</v>
      </c>
      <c r="O60" s="152">
        <f t="shared" si="1"/>
        <v>11</v>
      </c>
      <c r="P60" s="12" t="str">
        <f t="shared" si="3"/>
        <v>Yes</v>
      </c>
      <c r="Q60" s="75"/>
      <c r="R60" s="70" t="s">
        <v>39</v>
      </c>
      <c r="S60" s="68" t="s">
        <v>40</v>
      </c>
      <c r="T60" s="66"/>
      <c r="U60" s="75"/>
      <c r="V60" s="66"/>
      <c r="W60" s="66"/>
      <c r="AV60" s="139" t="str">
        <v>Quarter 1</v>
      </c>
    </row>
    <row r="61" spans="1:48" ht="30" customHeight="1" x14ac:dyDescent="0.35">
      <c r="A61" s="214">
        <v>60</v>
      </c>
      <c r="B61" s="66" t="s">
        <v>1063</v>
      </c>
      <c r="C61" s="66" t="s">
        <v>12</v>
      </c>
      <c r="D61" s="66" t="s">
        <v>1221</v>
      </c>
      <c r="E61" s="69">
        <v>45796</v>
      </c>
      <c r="F61" s="69">
        <f t="shared" si="9"/>
        <v>45797</v>
      </c>
      <c r="G61" s="69">
        <f t="shared" si="10"/>
        <v>45811</v>
      </c>
      <c r="H61" s="69">
        <f t="shared" si="11"/>
        <v>45825</v>
      </c>
      <c r="I61" s="69">
        <f t="shared" si="12"/>
        <v>45853</v>
      </c>
      <c r="J61" s="69" t="str">
        <f t="shared" si="8"/>
        <v>May</v>
      </c>
      <c r="K61" s="216" t="str">
        <f t="shared" ca="1" si="0"/>
        <v/>
      </c>
      <c r="L61" s="67" t="s">
        <v>10</v>
      </c>
      <c r="M61" s="67"/>
      <c r="N61" s="67">
        <v>45796</v>
      </c>
      <c r="O61" s="152">
        <f t="shared" si="1"/>
        <v>0</v>
      </c>
      <c r="P61" s="12" t="str">
        <f t="shared" si="3"/>
        <v>Yes</v>
      </c>
      <c r="Q61" s="75"/>
      <c r="R61" s="70" t="s">
        <v>39</v>
      </c>
      <c r="S61" s="68" t="s">
        <v>40</v>
      </c>
      <c r="T61" s="66"/>
      <c r="U61" s="75"/>
      <c r="V61" s="66"/>
      <c r="W61" s="66"/>
      <c r="AV61" s="139" t="str">
        <v>Quarter 1</v>
      </c>
    </row>
    <row r="62" spans="1:48" ht="30" customHeight="1" x14ac:dyDescent="0.35">
      <c r="A62" s="214">
        <v>61</v>
      </c>
      <c r="B62" s="66" t="s">
        <v>6</v>
      </c>
      <c r="C62" s="66" t="s">
        <v>6</v>
      </c>
      <c r="D62" s="66" t="s">
        <v>1222</v>
      </c>
      <c r="E62" s="69">
        <v>45796</v>
      </c>
      <c r="F62" s="69">
        <f t="shared" si="9"/>
        <v>45797</v>
      </c>
      <c r="G62" s="69">
        <f t="shared" si="10"/>
        <v>45811</v>
      </c>
      <c r="H62" s="69">
        <f t="shared" si="11"/>
        <v>45825</v>
      </c>
      <c r="I62" s="69">
        <f t="shared" si="12"/>
        <v>45853</v>
      </c>
      <c r="J62" s="69" t="str">
        <f t="shared" si="8"/>
        <v>May</v>
      </c>
      <c r="K62" s="216" t="str">
        <f t="shared" ca="1" si="0"/>
        <v/>
      </c>
      <c r="L62" s="67" t="s">
        <v>10</v>
      </c>
      <c r="M62" s="67"/>
      <c r="N62" s="67">
        <v>45825</v>
      </c>
      <c r="O62" s="152">
        <f t="shared" si="1"/>
        <v>20</v>
      </c>
      <c r="P62" s="12" t="str">
        <f t="shared" si="3"/>
        <v>Yes</v>
      </c>
      <c r="Q62" s="75"/>
      <c r="R62" s="70" t="s">
        <v>39</v>
      </c>
      <c r="S62" s="68" t="s">
        <v>40</v>
      </c>
      <c r="T62" s="66"/>
      <c r="U62" s="75"/>
      <c r="V62" s="66"/>
      <c r="W62" s="66"/>
      <c r="AV62" s="139" t="str">
        <v>Quarter 1</v>
      </c>
    </row>
    <row r="63" spans="1:48" ht="30" customHeight="1" x14ac:dyDescent="0.35">
      <c r="A63" s="214">
        <v>62</v>
      </c>
      <c r="B63" s="66" t="s">
        <v>1223</v>
      </c>
      <c r="C63" s="66" t="s">
        <v>9</v>
      </c>
      <c r="D63" s="66" t="s">
        <v>1159</v>
      </c>
      <c r="E63" s="69">
        <v>45797</v>
      </c>
      <c r="F63" s="69">
        <f t="shared" si="9"/>
        <v>45798</v>
      </c>
      <c r="G63" s="69">
        <f t="shared" si="10"/>
        <v>45812</v>
      </c>
      <c r="H63" s="69">
        <f t="shared" si="11"/>
        <v>45826</v>
      </c>
      <c r="I63" s="69">
        <f t="shared" si="12"/>
        <v>45854</v>
      </c>
      <c r="J63" s="69" t="str">
        <f t="shared" si="8"/>
        <v>May</v>
      </c>
      <c r="K63" s="216" t="str">
        <f t="shared" ca="1" si="0"/>
        <v/>
      </c>
      <c r="L63" s="67" t="s">
        <v>10</v>
      </c>
      <c r="M63" s="67"/>
      <c r="N63" s="67">
        <v>45799</v>
      </c>
      <c r="O63" s="152">
        <f t="shared" si="1"/>
        <v>2</v>
      </c>
      <c r="P63" s="12" t="str">
        <f t="shared" si="3"/>
        <v>Yes</v>
      </c>
      <c r="Q63" s="75"/>
      <c r="R63" s="70" t="s">
        <v>39</v>
      </c>
      <c r="S63" s="68" t="s">
        <v>40</v>
      </c>
      <c r="T63" s="66"/>
      <c r="U63" s="75"/>
      <c r="V63" s="66"/>
      <c r="W63" s="66"/>
      <c r="AV63" s="139" t="str">
        <v>Quarter 1</v>
      </c>
    </row>
    <row r="64" spans="1:48" ht="30" customHeight="1" x14ac:dyDescent="0.35">
      <c r="A64" s="214">
        <v>63</v>
      </c>
      <c r="B64" s="66" t="s">
        <v>55</v>
      </c>
      <c r="C64" s="66" t="s">
        <v>13</v>
      </c>
      <c r="D64" s="66" t="s">
        <v>1224</v>
      </c>
      <c r="E64" s="69">
        <v>45798</v>
      </c>
      <c r="F64" s="69">
        <f t="shared" si="9"/>
        <v>45799</v>
      </c>
      <c r="G64" s="69">
        <f t="shared" si="10"/>
        <v>45813</v>
      </c>
      <c r="H64" s="69">
        <f t="shared" si="11"/>
        <v>45827</v>
      </c>
      <c r="I64" s="69">
        <f t="shared" si="12"/>
        <v>45855</v>
      </c>
      <c r="J64" s="69" t="str">
        <f t="shared" si="8"/>
        <v>May</v>
      </c>
      <c r="K64" s="216" t="str">
        <f t="shared" ca="1" si="0"/>
        <v/>
      </c>
      <c r="L64" s="67" t="s">
        <v>10</v>
      </c>
      <c r="M64" s="67"/>
      <c r="N64" s="67">
        <v>45817</v>
      </c>
      <c r="O64" s="152">
        <f t="shared" si="1"/>
        <v>12</v>
      </c>
      <c r="P64" s="12" t="str">
        <f t="shared" si="3"/>
        <v>Yes</v>
      </c>
      <c r="Q64" s="75"/>
      <c r="R64" s="70" t="s">
        <v>39</v>
      </c>
      <c r="S64" s="68" t="s">
        <v>40</v>
      </c>
      <c r="T64" s="66"/>
      <c r="U64" s="75"/>
      <c r="V64" s="66"/>
      <c r="W64" s="66"/>
      <c r="AV64" s="139" t="str">
        <v>Quarter 1</v>
      </c>
    </row>
    <row r="65" spans="1:48" ht="30" customHeight="1" x14ac:dyDescent="0.35">
      <c r="A65" s="214">
        <v>64</v>
      </c>
      <c r="B65" s="66" t="s">
        <v>6</v>
      </c>
      <c r="C65" s="66" t="s">
        <v>6</v>
      </c>
      <c r="D65" s="66" t="s">
        <v>1225</v>
      </c>
      <c r="E65" s="69">
        <v>45798</v>
      </c>
      <c r="F65" s="69">
        <f t="shared" si="9"/>
        <v>45799</v>
      </c>
      <c r="G65" s="69">
        <f t="shared" si="10"/>
        <v>45813</v>
      </c>
      <c r="H65" s="69">
        <f t="shared" si="11"/>
        <v>45827</v>
      </c>
      <c r="I65" s="69">
        <f t="shared" si="12"/>
        <v>45855</v>
      </c>
      <c r="J65" s="69" t="str">
        <f t="shared" si="8"/>
        <v>May</v>
      </c>
      <c r="K65" s="216" t="str">
        <f t="shared" ca="1" si="0"/>
        <v/>
      </c>
      <c r="L65" s="67" t="s">
        <v>10</v>
      </c>
      <c r="M65" s="67"/>
      <c r="N65" s="67">
        <v>45804</v>
      </c>
      <c r="O65" s="152">
        <f t="shared" si="1"/>
        <v>3</v>
      </c>
      <c r="P65" s="12" t="str">
        <f t="shared" si="3"/>
        <v>Yes</v>
      </c>
      <c r="Q65" s="75"/>
      <c r="R65" s="70" t="s">
        <v>39</v>
      </c>
      <c r="S65" s="68" t="s">
        <v>45</v>
      </c>
      <c r="T65" s="66"/>
      <c r="U65" s="75" t="s">
        <v>1147</v>
      </c>
      <c r="V65" s="66" t="s">
        <v>46</v>
      </c>
      <c r="W65" s="66"/>
      <c r="AV65" s="139" t="str">
        <v>Quarter 1</v>
      </c>
    </row>
    <row r="66" spans="1:48" ht="30" customHeight="1" x14ac:dyDescent="0.35">
      <c r="A66" s="214">
        <v>65</v>
      </c>
      <c r="B66" s="66" t="s">
        <v>214</v>
      </c>
      <c r="C66" s="66" t="s">
        <v>5</v>
      </c>
      <c r="D66" s="66" t="s">
        <v>1226</v>
      </c>
      <c r="E66" s="69">
        <v>45799</v>
      </c>
      <c r="F66" s="69">
        <f t="shared" si="9"/>
        <v>45800</v>
      </c>
      <c r="G66" s="69">
        <f t="shared" si="10"/>
        <v>45814</v>
      </c>
      <c r="H66" s="69">
        <f t="shared" si="11"/>
        <v>45828</v>
      </c>
      <c r="I66" s="69">
        <f t="shared" si="12"/>
        <v>45856</v>
      </c>
      <c r="J66" s="69" t="str">
        <f t="shared" si="8"/>
        <v>May</v>
      </c>
      <c r="K66" s="216" t="str">
        <f t="shared" ref="K66:K129" ca="1" si="13">IF($E66="","",IF($N66="",$H66-TODAY(),""))</f>
        <v/>
      </c>
      <c r="L66" s="67" t="s">
        <v>10</v>
      </c>
      <c r="M66" s="67"/>
      <c r="N66" s="67">
        <v>45817</v>
      </c>
      <c r="O66" s="152">
        <f t="shared" ref="O66:O129" si="14">IF($N66="","",NETWORKDAYS($E66,$N66,$Z$33:$Z$47)-1)</f>
        <v>11</v>
      </c>
      <c r="P66" s="12" t="str">
        <f t="shared" si="3"/>
        <v>Yes</v>
      </c>
      <c r="Q66" s="75"/>
      <c r="R66" s="70" t="s">
        <v>39</v>
      </c>
      <c r="S66" s="68" t="s">
        <v>40</v>
      </c>
      <c r="T66" s="66"/>
      <c r="U66" s="75"/>
      <c r="V66" s="66"/>
      <c r="W66" s="66"/>
      <c r="AV66" s="139" t="str">
        <v>Quarter 1</v>
      </c>
    </row>
    <row r="67" spans="1:48" ht="30" customHeight="1" x14ac:dyDescent="0.35">
      <c r="A67" s="214">
        <v>66</v>
      </c>
      <c r="B67" s="66" t="s">
        <v>6</v>
      </c>
      <c r="C67" s="66" t="s">
        <v>6</v>
      </c>
      <c r="D67" s="66" t="s">
        <v>1227</v>
      </c>
      <c r="E67" s="69">
        <v>45799</v>
      </c>
      <c r="F67" s="69">
        <f t="shared" si="9"/>
        <v>45800</v>
      </c>
      <c r="G67" s="69">
        <f t="shared" si="10"/>
        <v>45814</v>
      </c>
      <c r="H67" s="69">
        <f t="shared" si="11"/>
        <v>45828</v>
      </c>
      <c r="I67" s="69">
        <f t="shared" si="12"/>
        <v>45856</v>
      </c>
      <c r="J67" s="69" t="str">
        <f t="shared" si="8"/>
        <v>May</v>
      </c>
      <c r="K67" s="216" t="str">
        <f t="shared" ca="1" si="13"/>
        <v/>
      </c>
      <c r="L67" s="67" t="s">
        <v>10</v>
      </c>
      <c r="M67" s="67"/>
      <c r="N67" s="67">
        <v>45806</v>
      </c>
      <c r="O67" s="152">
        <f t="shared" si="14"/>
        <v>4</v>
      </c>
      <c r="P67" s="12" t="str">
        <f t="shared" ref="P67:P130" si="15">IF(ISBLANK($N67),"",IF($O67&lt;21,"Yes","No"))</f>
        <v>Yes</v>
      </c>
      <c r="Q67" s="75"/>
      <c r="R67" s="70" t="s">
        <v>39</v>
      </c>
      <c r="S67" s="68" t="s">
        <v>40</v>
      </c>
      <c r="T67" s="66"/>
      <c r="U67" s="75"/>
      <c r="V67" s="66"/>
      <c r="W67" s="66"/>
      <c r="AV67" s="139" t="str">
        <v>Quarter 1</v>
      </c>
    </row>
    <row r="68" spans="1:48" ht="30" customHeight="1" x14ac:dyDescent="0.35">
      <c r="A68" s="214">
        <v>67</v>
      </c>
      <c r="B68" s="66" t="s">
        <v>1228</v>
      </c>
      <c r="C68" s="66" t="s">
        <v>5</v>
      </c>
      <c r="D68" s="199" t="s">
        <v>1229</v>
      </c>
      <c r="E68" s="69">
        <v>45800</v>
      </c>
      <c r="F68" s="69">
        <f t="shared" si="9"/>
        <v>45804</v>
      </c>
      <c r="G68" s="69">
        <f t="shared" si="10"/>
        <v>45817</v>
      </c>
      <c r="H68" s="69">
        <f t="shared" si="11"/>
        <v>45831</v>
      </c>
      <c r="I68" s="69">
        <f t="shared" si="12"/>
        <v>45859</v>
      </c>
      <c r="J68" s="69" t="str">
        <f t="shared" si="8"/>
        <v>May</v>
      </c>
      <c r="K68" s="216" t="str">
        <f t="shared" ca="1" si="13"/>
        <v/>
      </c>
      <c r="L68" s="67" t="s">
        <v>10</v>
      </c>
      <c r="M68" s="67"/>
      <c r="N68" s="67">
        <v>45804</v>
      </c>
      <c r="O68" s="152">
        <f t="shared" si="14"/>
        <v>1</v>
      </c>
      <c r="P68" s="12" t="str">
        <f t="shared" si="15"/>
        <v>Yes</v>
      </c>
      <c r="Q68" s="75"/>
      <c r="R68" s="70" t="s">
        <v>39</v>
      </c>
      <c r="S68" s="68" t="s">
        <v>40</v>
      </c>
      <c r="T68" s="66"/>
      <c r="U68" s="75"/>
      <c r="V68" s="66"/>
      <c r="W68" s="66"/>
      <c r="AV68" s="139" t="str">
        <v>Quarter 1</v>
      </c>
    </row>
    <row r="69" spans="1:48" ht="30" customHeight="1" x14ac:dyDescent="0.35">
      <c r="A69" s="214">
        <v>68</v>
      </c>
      <c r="B69" s="66" t="s">
        <v>55</v>
      </c>
      <c r="C69" s="66" t="s">
        <v>13</v>
      </c>
      <c r="D69" s="66" t="s">
        <v>1230</v>
      </c>
      <c r="E69" s="69">
        <v>45804</v>
      </c>
      <c r="F69" s="69">
        <f t="shared" ref="F69:F100" si="16">IF($E69="","",WORKDAY($E69,1,$Z$33:$Z$47))</f>
        <v>45805</v>
      </c>
      <c r="G69" s="69">
        <f t="shared" ref="G69:G100" si="17">IF($E69="","",WORKDAY($E69,10,$Z$33:$Z$47))</f>
        <v>45818</v>
      </c>
      <c r="H69" s="69">
        <f t="shared" ref="H69:H100" si="18">IF($E69="","",WORKDAY($E69,20,$Z$33:$Z$47))</f>
        <v>45832</v>
      </c>
      <c r="I69" s="69">
        <f t="shared" ref="I69:I100" si="19">IF($E69="","",WORKDAY($E69,40,$Z$33:$Z$47))</f>
        <v>45860</v>
      </c>
      <c r="J69" s="69" t="str">
        <f t="shared" si="8"/>
        <v>May</v>
      </c>
      <c r="K69" s="216" t="str">
        <f t="shared" ca="1" si="13"/>
        <v/>
      </c>
      <c r="L69" s="67" t="s">
        <v>10</v>
      </c>
      <c r="M69" s="67"/>
      <c r="N69" s="67">
        <v>45804</v>
      </c>
      <c r="O69" s="152">
        <f t="shared" si="14"/>
        <v>0</v>
      </c>
      <c r="P69" s="12" t="str">
        <f t="shared" si="15"/>
        <v>Yes</v>
      </c>
      <c r="Q69" s="75"/>
      <c r="R69" s="70" t="s">
        <v>39</v>
      </c>
      <c r="S69" s="68" t="s">
        <v>40</v>
      </c>
      <c r="T69" s="66"/>
      <c r="U69" s="75"/>
      <c r="V69" s="66"/>
      <c r="W69" s="66"/>
      <c r="AV69" s="139" t="str">
        <v>Quarter 1</v>
      </c>
    </row>
    <row r="70" spans="1:48" ht="30" customHeight="1" x14ac:dyDescent="0.35">
      <c r="A70" s="214">
        <v>69</v>
      </c>
      <c r="B70" s="66" t="s">
        <v>6</v>
      </c>
      <c r="C70" s="66" t="s">
        <v>6</v>
      </c>
      <c r="D70" s="199" t="s">
        <v>1231</v>
      </c>
      <c r="E70" s="69">
        <v>45804</v>
      </c>
      <c r="F70" s="69">
        <f t="shared" si="16"/>
        <v>45805</v>
      </c>
      <c r="G70" s="69">
        <f t="shared" si="17"/>
        <v>45818</v>
      </c>
      <c r="H70" s="69">
        <f t="shared" si="18"/>
        <v>45832</v>
      </c>
      <c r="I70" s="69">
        <f t="shared" si="19"/>
        <v>45860</v>
      </c>
      <c r="J70" s="69" t="str">
        <f t="shared" si="8"/>
        <v>May</v>
      </c>
      <c r="K70" s="216" t="str">
        <f t="shared" ca="1" si="13"/>
        <v/>
      </c>
      <c r="L70" s="67" t="s">
        <v>10</v>
      </c>
      <c r="M70" s="67"/>
      <c r="N70" s="67">
        <v>45819</v>
      </c>
      <c r="O70" s="152">
        <f t="shared" si="14"/>
        <v>11</v>
      </c>
      <c r="P70" s="12" t="str">
        <f t="shared" si="15"/>
        <v>Yes</v>
      </c>
      <c r="Q70" s="75"/>
      <c r="R70" s="70" t="s">
        <v>39</v>
      </c>
      <c r="S70" s="68" t="s">
        <v>40</v>
      </c>
      <c r="T70" s="66"/>
      <c r="U70" s="75" t="s">
        <v>1147</v>
      </c>
      <c r="V70" s="66"/>
      <c r="W70" s="66"/>
      <c r="AV70" s="139" t="str">
        <v>Quarter 1</v>
      </c>
    </row>
    <row r="71" spans="1:48" ht="30" customHeight="1" x14ac:dyDescent="0.35">
      <c r="A71" s="214">
        <v>70</v>
      </c>
      <c r="B71" s="66" t="s">
        <v>1232</v>
      </c>
      <c r="C71" s="66" t="s">
        <v>9</v>
      </c>
      <c r="D71" s="66" t="s">
        <v>1233</v>
      </c>
      <c r="E71" s="69">
        <v>45804</v>
      </c>
      <c r="F71" s="69">
        <f t="shared" si="16"/>
        <v>45805</v>
      </c>
      <c r="G71" s="69">
        <f t="shared" si="17"/>
        <v>45818</v>
      </c>
      <c r="H71" s="69">
        <f t="shared" si="18"/>
        <v>45832</v>
      </c>
      <c r="I71" s="69">
        <f t="shared" si="19"/>
        <v>45860</v>
      </c>
      <c r="J71" s="69" t="str">
        <f t="shared" si="8"/>
        <v>May</v>
      </c>
      <c r="K71" s="216" t="str">
        <f t="shared" ca="1" si="13"/>
        <v/>
      </c>
      <c r="L71" s="67" t="s">
        <v>10</v>
      </c>
      <c r="M71" s="67"/>
      <c r="N71" s="67">
        <v>45818</v>
      </c>
      <c r="O71" s="152">
        <f t="shared" si="14"/>
        <v>10</v>
      </c>
      <c r="P71" s="12" t="str">
        <f t="shared" si="15"/>
        <v>Yes</v>
      </c>
      <c r="Q71" s="75"/>
      <c r="R71" s="70" t="s">
        <v>39</v>
      </c>
      <c r="S71" s="68" t="s">
        <v>45</v>
      </c>
      <c r="T71" s="66"/>
      <c r="U71" s="75" t="s">
        <v>1147</v>
      </c>
      <c r="V71" s="66"/>
      <c r="W71" s="66"/>
      <c r="AV71" s="139" t="str">
        <v>Quarter 1</v>
      </c>
    </row>
    <row r="72" spans="1:48" ht="30" customHeight="1" x14ac:dyDescent="0.35">
      <c r="A72" s="214">
        <v>71</v>
      </c>
      <c r="B72" s="66" t="s">
        <v>1234</v>
      </c>
      <c r="C72" s="66" t="s">
        <v>9</v>
      </c>
      <c r="D72" s="66" t="s">
        <v>1235</v>
      </c>
      <c r="E72" s="69">
        <v>45805</v>
      </c>
      <c r="F72" s="69">
        <f t="shared" si="16"/>
        <v>45806</v>
      </c>
      <c r="G72" s="69">
        <f t="shared" si="17"/>
        <v>45819</v>
      </c>
      <c r="H72" s="69">
        <f t="shared" si="18"/>
        <v>45833</v>
      </c>
      <c r="I72" s="69">
        <f t="shared" si="19"/>
        <v>45861</v>
      </c>
      <c r="J72" s="69" t="str">
        <f t="shared" si="8"/>
        <v>May</v>
      </c>
      <c r="K72" s="216" t="str">
        <f t="shared" ca="1" si="13"/>
        <v/>
      </c>
      <c r="L72" s="67" t="s">
        <v>10</v>
      </c>
      <c r="M72" s="67"/>
      <c r="N72" s="67">
        <v>45805</v>
      </c>
      <c r="O72" s="152">
        <f t="shared" si="14"/>
        <v>0</v>
      </c>
      <c r="P72" s="12" t="str">
        <f t="shared" si="15"/>
        <v>Yes</v>
      </c>
      <c r="Q72" s="75"/>
      <c r="R72" s="70" t="s">
        <v>39</v>
      </c>
      <c r="S72" s="68" t="s">
        <v>40</v>
      </c>
      <c r="T72" s="66"/>
      <c r="U72" s="75"/>
      <c r="V72" s="66"/>
      <c r="W72" s="66"/>
      <c r="AV72" s="139" t="str">
        <v>Quarter 1</v>
      </c>
    </row>
    <row r="73" spans="1:48" ht="30" customHeight="1" x14ac:dyDescent="0.35">
      <c r="A73" s="214">
        <v>72</v>
      </c>
      <c r="B73" s="66" t="s">
        <v>6</v>
      </c>
      <c r="C73" s="66" t="s">
        <v>6</v>
      </c>
      <c r="D73" s="66" t="s">
        <v>1236</v>
      </c>
      <c r="E73" s="69">
        <v>45806</v>
      </c>
      <c r="F73" s="69">
        <f t="shared" si="16"/>
        <v>45807</v>
      </c>
      <c r="G73" s="69">
        <f t="shared" si="17"/>
        <v>45820</v>
      </c>
      <c r="H73" s="69">
        <f t="shared" si="18"/>
        <v>45834</v>
      </c>
      <c r="I73" s="69">
        <f t="shared" si="19"/>
        <v>45862</v>
      </c>
      <c r="J73" s="69" t="str">
        <f t="shared" si="8"/>
        <v>May</v>
      </c>
      <c r="K73" s="216" t="str">
        <f t="shared" ca="1" si="13"/>
        <v/>
      </c>
      <c r="L73" s="67" t="s">
        <v>10</v>
      </c>
      <c r="M73" s="67"/>
      <c r="N73" s="67">
        <v>45806</v>
      </c>
      <c r="O73" s="152">
        <f t="shared" si="14"/>
        <v>0</v>
      </c>
      <c r="P73" s="12" t="str">
        <f t="shared" si="15"/>
        <v>Yes</v>
      </c>
      <c r="Q73" s="75"/>
      <c r="R73" s="70" t="s">
        <v>39</v>
      </c>
      <c r="S73" s="68" t="s">
        <v>45</v>
      </c>
      <c r="T73" s="66"/>
      <c r="U73" s="75" t="s">
        <v>1151</v>
      </c>
      <c r="V73" s="66"/>
      <c r="W73" s="66"/>
      <c r="AV73" s="139" t="str">
        <v>Quarter 1</v>
      </c>
    </row>
    <row r="74" spans="1:48" ht="30" customHeight="1" x14ac:dyDescent="0.35">
      <c r="A74" s="214">
        <v>73</v>
      </c>
      <c r="B74" s="66" t="s">
        <v>6</v>
      </c>
      <c r="C74" s="66" t="s">
        <v>6</v>
      </c>
      <c r="D74" s="66" t="s">
        <v>1184</v>
      </c>
      <c r="E74" s="69">
        <v>45807</v>
      </c>
      <c r="F74" s="69">
        <f t="shared" si="16"/>
        <v>45810</v>
      </c>
      <c r="G74" s="69">
        <f t="shared" si="17"/>
        <v>45821</v>
      </c>
      <c r="H74" s="69">
        <f t="shared" si="18"/>
        <v>45835</v>
      </c>
      <c r="I74" s="69">
        <f t="shared" si="19"/>
        <v>45863</v>
      </c>
      <c r="J74" s="69" t="str">
        <f t="shared" si="8"/>
        <v>May</v>
      </c>
      <c r="K74" s="216" t="str">
        <f t="shared" ca="1" si="13"/>
        <v/>
      </c>
      <c r="L74" s="67" t="s">
        <v>4</v>
      </c>
      <c r="M74" s="67"/>
      <c r="N74" s="67">
        <v>45834</v>
      </c>
      <c r="O74" s="152">
        <f t="shared" si="14"/>
        <v>19</v>
      </c>
      <c r="P74" s="12" t="str">
        <f t="shared" si="15"/>
        <v>Yes</v>
      </c>
      <c r="Q74" s="75"/>
      <c r="R74" s="70" t="s">
        <v>39</v>
      </c>
      <c r="S74" s="68" t="s">
        <v>51</v>
      </c>
      <c r="T74" s="66"/>
      <c r="U74" s="75" t="s">
        <v>1157</v>
      </c>
      <c r="V74" s="66" t="s">
        <v>1237</v>
      </c>
      <c r="W74" s="66"/>
      <c r="AV74" s="139" t="str">
        <v>Quarter 1</v>
      </c>
    </row>
    <row r="75" spans="1:48" ht="30" customHeight="1" x14ac:dyDescent="0.35">
      <c r="A75" s="214">
        <v>74</v>
      </c>
      <c r="B75" s="66" t="s">
        <v>214</v>
      </c>
      <c r="C75" s="66" t="s">
        <v>5</v>
      </c>
      <c r="D75" s="66" t="s">
        <v>1145</v>
      </c>
      <c r="E75" s="69">
        <v>45810</v>
      </c>
      <c r="F75" s="69">
        <f t="shared" si="16"/>
        <v>45811</v>
      </c>
      <c r="G75" s="69">
        <f t="shared" si="17"/>
        <v>45824</v>
      </c>
      <c r="H75" s="69">
        <f t="shared" si="18"/>
        <v>45838</v>
      </c>
      <c r="I75" s="69">
        <f t="shared" si="19"/>
        <v>45866</v>
      </c>
      <c r="J75" s="69" t="str">
        <f t="shared" si="8"/>
        <v>Jun</v>
      </c>
      <c r="K75" s="216" t="str">
        <f t="shared" ca="1" si="13"/>
        <v/>
      </c>
      <c r="L75" s="67" t="s">
        <v>10</v>
      </c>
      <c r="M75" s="67"/>
      <c r="N75" s="67">
        <v>45838</v>
      </c>
      <c r="O75" s="152">
        <f t="shared" si="14"/>
        <v>20</v>
      </c>
      <c r="P75" s="12" t="str">
        <f t="shared" si="15"/>
        <v>Yes</v>
      </c>
      <c r="Q75" s="75"/>
      <c r="R75" s="70" t="s">
        <v>39</v>
      </c>
      <c r="S75" s="68" t="s">
        <v>40</v>
      </c>
      <c r="T75" s="66"/>
      <c r="U75" s="75"/>
      <c r="V75" s="66" t="s">
        <v>46</v>
      </c>
      <c r="W75" s="66"/>
      <c r="AV75" s="139" t="str">
        <v>Quarter 1</v>
      </c>
    </row>
    <row r="76" spans="1:48" ht="30" customHeight="1" x14ac:dyDescent="0.35">
      <c r="A76" s="214">
        <v>75</v>
      </c>
      <c r="B76" s="66" t="s">
        <v>1238</v>
      </c>
      <c r="C76" s="66" t="s">
        <v>9</v>
      </c>
      <c r="D76" s="66" t="s">
        <v>1239</v>
      </c>
      <c r="E76" s="69">
        <v>45810</v>
      </c>
      <c r="F76" s="69">
        <f t="shared" si="16"/>
        <v>45811</v>
      </c>
      <c r="G76" s="69">
        <f t="shared" si="17"/>
        <v>45824</v>
      </c>
      <c r="H76" s="69">
        <f t="shared" si="18"/>
        <v>45838</v>
      </c>
      <c r="I76" s="69">
        <f t="shared" si="19"/>
        <v>45866</v>
      </c>
      <c r="J76" s="69" t="str">
        <f t="shared" ref="J76:J139" si="20">IF(ISBLANK($E76),"",TEXT($E76,"mmm"))</f>
        <v>Jun</v>
      </c>
      <c r="K76" s="216" t="str">
        <f t="shared" ca="1" si="13"/>
        <v/>
      </c>
      <c r="L76" s="67" t="s">
        <v>4</v>
      </c>
      <c r="M76" s="67"/>
      <c r="N76" s="67">
        <v>45810</v>
      </c>
      <c r="O76" s="152">
        <f t="shared" si="14"/>
        <v>0</v>
      </c>
      <c r="P76" s="12" t="str">
        <f t="shared" si="15"/>
        <v>Yes</v>
      </c>
      <c r="Q76" s="75"/>
      <c r="R76" s="70" t="s">
        <v>39</v>
      </c>
      <c r="S76" s="68" t="s">
        <v>51</v>
      </c>
      <c r="T76" s="66"/>
      <c r="U76" s="75" t="s">
        <v>1165</v>
      </c>
      <c r="V76" s="66"/>
      <c r="W76" s="66"/>
      <c r="AV76" s="139" t="str">
        <v>Quarter 1</v>
      </c>
    </row>
    <row r="77" spans="1:48" ht="30" customHeight="1" x14ac:dyDescent="0.35">
      <c r="A77" s="214">
        <v>76</v>
      </c>
      <c r="B77" s="66" t="s">
        <v>1240</v>
      </c>
      <c r="C77" s="66" t="s">
        <v>9</v>
      </c>
      <c r="D77" s="66" t="s">
        <v>1241</v>
      </c>
      <c r="E77" s="69">
        <v>45810</v>
      </c>
      <c r="F77" s="69">
        <f t="shared" si="16"/>
        <v>45811</v>
      </c>
      <c r="G77" s="69">
        <f t="shared" si="17"/>
        <v>45824</v>
      </c>
      <c r="H77" s="69">
        <f t="shared" si="18"/>
        <v>45838</v>
      </c>
      <c r="I77" s="69">
        <f t="shared" si="19"/>
        <v>45866</v>
      </c>
      <c r="J77" s="69" t="str">
        <f t="shared" si="20"/>
        <v>Jun</v>
      </c>
      <c r="K77" s="216" t="str">
        <f t="shared" ca="1" si="13"/>
        <v/>
      </c>
      <c r="L77" s="67" t="s">
        <v>10</v>
      </c>
      <c r="M77" s="67"/>
      <c r="N77" s="67">
        <v>45824</v>
      </c>
      <c r="O77" s="152">
        <f t="shared" si="14"/>
        <v>10</v>
      </c>
      <c r="P77" s="12" t="str">
        <f t="shared" si="15"/>
        <v>Yes</v>
      </c>
      <c r="Q77" s="75"/>
      <c r="R77" s="70" t="s">
        <v>39</v>
      </c>
      <c r="S77" s="68" t="s">
        <v>40</v>
      </c>
      <c r="T77" s="66"/>
      <c r="U77" s="75"/>
      <c r="V77" s="66" t="s">
        <v>46</v>
      </c>
      <c r="W77" s="66"/>
      <c r="AV77" s="139" t="str">
        <v>Quarter 1</v>
      </c>
    </row>
    <row r="78" spans="1:48" ht="30" customHeight="1" x14ac:dyDescent="0.35">
      <c r="A78" s="214">
        <v>77</v>
      </c>
      <c r="B78" s="5" t="s">
        <v>55</v>
      </c>
      <c r="C78" s="5" t="s">
        <v>13</v>
      </c>
      <c r="D78" s="5" t="s">
        <v>1242</v>
      </c>
      <c r="E78" s="69">
        <v>45812</v>
      </c>
      <c r="F78" s="69">
        <f t="shared" si="16"/>
        <v>45813</v>
      </c>
      <c r="G78" s="69">
        <f t="shared" si="17"/>
        <v>45826</v>
      </c>
      <c r="H78" s="69">
        <f t="shared" si="18"/>
        <v>45840</v>
      </c>
      <c r="I78" s="69">
        <f t="shared" si="19"/>
        <v>45868</v>
      </c>
      <c r="J78" s="69" t="str">
        <f t="shared" si="20"/>
        <v>Jun</v>
      </c>
      <c r="K78" s="216" t="str">
        <f t="shared" ca="1" si="13"/>
        <v/>
      </c>
      <c r="L78" s="67" t="s">
        <v>10</v>
      </c>
      <c r="M78" s="67"/>
      <c r="N78" s="67">
        <v>46113</v>
      </c>
      <c r="O78" s="152">
        <f t="shared" si="14"/>
        <v>211</v>
      </c>
      <c r="P78" s="12" t="str">
        <f t="shared" si="15"/>
        <v>No</v>
      </c>
      <c r="Q78" s="75"/>
      <c r="R78" s="70" t="s">
        <v>39</v>
      </c>
      <c r="S78" s="68" t="s">
        <v>40</v>
      </c>
      <c r="T78" s="66"/>
      <c r="U78" s="75" t="s">
        <v>1147</v>
      </c>
      <c r="V78" s="66"/>
      <c r="W78" s="66"/>
      <c r="AV78" s="139" t="str">
        <v>Quarter 1</v>
      </c>
    </row>
    <row r="79" spans="1:48" ht="30" customHeight="1" x14ac:dyDescent="0.35">
      <c r="A79" s="214">
        <v>78</v>
      </c>
      <c r="B79" s="66" t="s">
        <v>6</v>
      </c>
      <c r="C79" s="66" t="s">
        <v>6</v>
      </c>
      <c r="D79" s="66" t="s">
        <v>1243</v>
      </c>
      <c r="E79" s="69">
        <v>45812</v>
      </c>
      <c r="F79" s="69">
        <f t="shared" si="16"/>
        <v>45813</v>
      </c>
      <c r="G79" s="69">
        <f t="shared" si="17"/>
        <v>45826</v>
      </c>
      <c r="H79" s="69">
        <f t="shared" si="18"/>
        <v>45840</v>
      </c>
      <c r="I79" s="69">
        <f t="shared" si="19"/>
        <v>45868</v>
      </c>
      <c r="J79" s="69" t="str">
        <f t="shared" si="20"/>
        <v>Jun</v>
      </c>
      <c r="K79" s="216" t="str">
        <f t="shared" ca="1" si="13"/>
        <v/>
      </c>
      <c r="L79" s="67" t="s">
        <v>10</v>
      </c>
      <c r="M79" s="67"/>
      <c r="N79" s="67">
        <v>45987</v>
      </c>
      <c r="O79" s="152">
        <f t="shared" si="14"/>
        <v>124</v>
      </c>
      <c r="P79" s="12" t="str">
        <f t="shared" si="15"/>
        <v>No</v>
      </c>
      <c r="Q79" s="75"/>
      <c r="R79" s="70" t="s">
        <v>39</v>
      </c>
      <c r="S79" s="68" t="s">
        <v>40</v>
      </c>
      <c r="T79" s="66"/>
      <c r="U79" s="75"/>
      <c r="V79" s="66" t="s">
        <v>46</v>
      </c>
      <c r="W79" s="66"/>
      <c r="AV79" s="139" t="str">
        <v>Quarter 1</v>
      </c>
    </row>
    <row r="80" spans="1:48" ht="30" customHeight="1" x14ac:dyDescent="0.35">
      <c r="A80" s="214">
        <v>79</v>
      </c>
      <c r="B80" s="66" t="s">
        <v>288</v>
      </c>
      <c r="C80" s="66" t="s">
        <v>9</v>
      </c>
      <c r="D80" s="66" t="s">
        <v>1145</v>
      </c>
      <c r="E80" s="69">
        <v>45812</v>
      </c>
      <c r="F80" s="69">
        <f t="shared" si="16"/>
        <v>45813</v>
      </c>
      <c r="G80" s="69">
        <f t="shared" si="17"/>
        <v>45826</v>
      </c>
      <c r="H80" s="69">
        <f t="shared" si="18"/>
        <v>45840</v>
      </c>
      <c r="I80" s="69">
        <f t="shared" si="19"/>
        <v>45868</v>
      </c>
      <c r="J80" s="69" t="str">
        <f t="shared" si="20"/>
        <v>Jun</v>
      </c>
      <c r="K80" s="216" t="str">
        <f t="shared" ca="1" si="13"/>
        <v/>
      </c>
      <c r="L80" s="67" t="s">
        <v>10</v>
      </c>
      <c r="M80" s="67"/>
      <c r="N80" s="67">
        <v>45826</v>
      </c>
      <c r="O80" s="152">
        <f t="shared" si="14"/>
        <v>10</v>
      </c>
      <c r="P80" s="12" t="str">
        <f t="shared" si="15"/>
        <v>Yes</v>
      </c>
      <c r="Q80" s="75"/>
      <c r="R80" s="70" t="s">
        <v>39</v>
      </c>
      <c r="S80" s="68" t="s">
        <v>40</v>
      </c>
      <c r="T80" s="66"/>
      <c r="U80" s="75"/>
      <c r="V80" s="66" t="s">
        <v>46</v>
      </c>
      <c r="W80" s="66"/>
      <c r="AV80" s="139" t="str">
        <v>Quarter 1</v>
      </c>
    </row>
    <row r="81" spans="1:48" ht="30" customHeight="1" x14ac:dyDescent="0.35">
      <c r="A81" s="214">
        <v>80</v>
      </c>
      <c r="B81" s="66" t="s">
        <v>6</v>
      </c>
      <c r="C81" s="66" t="s">
        <v>6</v>
      </c>
      <c r="D81" s="66" t="s">
        <v>1184</v>
      </c>
      <c r="E81" s="69">
        <v>45813</v>
      </c>
      <c r="F81" s="69">
        <f t="shared" si="16"/>
        <v>45814</v>
      </c>
      <c r="G81" s="69">
        <f t="shared" si="17"/>
        <v>45827</v>
      </c>
      <c r="H81" s="69">
        <f t="shared" si="18"/>
        <v>45841</v>
      </c>
      <c r="I81" s="69">
        <f t="shared" si="19"/>
        <v>45869</v>
      </c>
      <c r="J81" s="69" t="str">
        <f t="shared" si="20"/>
        <v>Jun</v>
      </c>
      <c r="K81" s="216" t="str">
        <f t="shared" ca="1" si="13"/>
        <v/>
      </c>
      <c r="L81" s="67" t="s">
        <v>4</v>
      </c>
      <c r="M81" s="67"/>
      <c r="N81" s="67">
        <v>45839</v>
      </c>
      <c r="O81" s="152">
        <f t="shared" si="14"/>
        <v>18</v>
      </c>
      <c r="P81" s="12" t="str">
        <f t="shared" si="15"/>
        <v>Yes</v>
      </c>
      <c r="Q81" s="75"/>
      <c r="R81" s="70" t="s">
        <v>39</v>
      </c>
      <c r="S81" s="68" t="s">
        <v>40</v>
      </c>
      <c r="T81" s="66"/>
      <c r="U81" s="75"/>
      <c r="V81" s="66"/>
      <c r="W81" s="66"/>
      <c r="AV81" s="139" t="str">
        <v>Quarter 1</v>
      </c>
    </row>
    <row r="82" spans="1:48" ht="30" customHeight="1" x14ac:dyDescent="0.35">
      <c r="A82" s="214">
        <v>81</v>
      </c>
      <c r="B82" s="66" t="s">
        <v>55</v>
      </c>
      <c r="C82" s="66" t="s">
        <v>13</v>
      </c>
      <c r="D82" s="66" t="s">
        <v>1244</v>
      </c>
      <c r="E82" s="69">
        <v>45814</v>
      </c>
      <c r="F82" s="69">
        <f t="shared" si="16"/>
        <v>45817</v>
      </c>
      <c r="G82" s="69">
        <f t="shared" si="17"/>
        <v>45828</v>
      </c>
      <c r="H82" s="69">
        <f t="shared" si="18"/>
        <v>45842</v>
      </c>
      <c r="I82" s="69">
        <f t="shared" si="19"/>
        <v>45870</v>
      </c>
      <c r="J82" s="69" t="str">
        <f t="shared" si="20"/>
        <v>Jun</v>
      </c>
      <c r="K82" s="216" t="str">
        <f t="shared" ca="1" si="13"/>
        <v/>
      </c>
      <c r="L82" s="67" t="s">
        <v>10</v>
      </c>
      <c r="M82" s="67"/>
      <c r="N82" s="67">
        <v>45819</v>
      </c>
      <c r="O82" s="152">
        <f t="shared" si="14"/>
        <v>3</v>
      </c>
      <c r="P82" s="12" t="str">
        <f t="shared" si="15"/>
        <v>Yes</v>
      </c>
      <c r="Q82" s="75"/>
      <c r="R82" s="70" t="s">
        <v>39</v>
      </c>
      <c r="S82" s="68" t="s">
        <v>45</v>
      </c>
      <c r="T82" s="66"/>
      <c r="U82" s="75" t="s">
        <v>1147</v>
      </c>
      <c r="V82" s="66"/>
      <c r="W82" s="66"/>
      <c r="AV82" s="139" t="str">
        <v>Quarter 1</v>
      </c>
    </row>
    <row r="83" spans="1:48" ht="30" customHeight="1" x14ac:dyDescent="0.35">
      <c r="A83" s="214">
        <v>82</v>
      </c>
      <c r="B83" s="66" t="s">
        <v>55</v>
      </c>
      <c r="C83" s="66" t="s">
        <v>13</v>
      </c>
      <c r="D83" s="66" t="s">
        <v>1245</v>
      </c>
      <c r="E83" s="69">
        <v>45817</v>
      </c>
      <c r="F83" s="69">
        <f t="shared" si="16"/>
        <v>45818</v>
      </c>
      <c r="G83" s="69">
        <f t="shared" si="17"/>
        <v>45831</v>
      </c>
      <c r="H83" s="69">
        <f t="shared" si="18"/>
        <v>45845</v>
      </c>
      <c r="I83" s="69">
        <f t="shared" si="19"/>
        <v>45873</v>
      </c>
      <c r="J83" s="69" t="str">
        <f t="shared" si="20"/>
        <v>Jun</v>
      </c>
      <c r="K83" s="216" t="str">
        <f t="shared" ca="1" si="13"/>
        <v/>
      </c>
      <c r="L83" s="67" t="s">
        <v>10</v>
      </c>
      <c r="M83" s="67"/>
      <c r="N83" s="67">
        <v>45831</v>
      </c>
      <c r="O83" s="152">
        <f t="shared" si="14"/>
        <v>10</v>
      </c>
      <c r="P83" s="12" t="str">
        <f t="shared" si="15"/>
        <v>Yes</v>
      </c>
      <c r="Q83" s="75"/>
      <c r="R83" s="70" t="s">
        <v>39</v>
      </c>
      <c r="S83" s="68" t="s">
        <v>40</v>
      </c>
      <c r="T83" s="66"/>
      <c r="U83" s="75"/>
      <c r="V83" s="66"/>
      <c r="W83" s="66"/>
      <c r="AV83" s="139" t="str">
        <v>Quarter 1</v>
      </c>
    </row>
    <row r="84" spans="1:48" ht="30" customHeight="1" x14ac:dyDescent="0.35">
      <c r="A84" s="214">
        <v>83</v>
      </c>
      <c r="B84" s="66" t="s">
        <v>6</v>
      </c>
      <c r="C84" s="66" t="s">
        <v>6</v>
      </c>
      <c r="D84" s="66" t="s">
        <v>1246</v>
      </c>
      <c r="E84" s="69">
        <v>45820</v>
      </c>
      <c r="F84" s="69">
        <f t="shared" si="16"/>
        <v>45821</v>
      </c>
      <c r="G84" s="69">
        <f t="shared" si="17"/>
        <v>45834</v>
      </c>
      <c r="H84" s="69">
        <f t="shared" si="18"/>
        <v>45848</v>
      </c>
      <c r="I84" s="69">
        <f t="shared" si="19"/>
        <v>45876</v>
      </c>
      <c r="J84" s="69" t="str">
        <f t="shared" si="20"/>
        <v>Jun</v>
      </c>
      <c r="K84" s="216" t="str">
        <f t="shared" ca="1" si="13"/>
        <v/>
      </c>
      <c r="L84" s="67" t="s">
        <v>10</v>
      </c>
      <c r="M84" s="67"/>
      <c r="N84" s="67">
        <v>45838</v>
      </c>
      <c r="O84" s="152">
        <f t="shared" si="14"/>
        <v>12</v>
      </c>
      <c r="P84" s="12" t="str">
        <f t="shared" si="15"/>
        <v>Yes</v>
      </c>
      <c r="Q84" s="75"/>
      <c r="R84" s="70" t="s">
        <v>39</v>
      </c>
      <c r="S84" s="68" t="s">
        <v>40</v>
      </c>
      <c r="T84" s="66"/>
      <c r="U84" s="75" t="s">
        <v>1151</v>
      </c>
      <c r="V84" s="66" t="s">
        <v>46</v>
      </c>
      <c r="W84" s="66"/>
      <c r="AV84" s="139" t="str">
        <v>Quarter 1</v>
      </c>
    </row>
    <row r="85" spans="1:48" ht="30" customHeight="1" x14ac:dyDescent="0.35">
      <c r="A85" s="214">
        <v>84</v>
      </c>
      <c r="B85" s="66" t="s">
        <v>55</v>
      </c>
      <c r="C85" s="66" t="s">
        <v>13</v>
      </c>
      <c r="D85" s="66" t="s">
        <v>1247</v>
      </c>
      <c r="E85" s="69">
        <v>45819</v>
      </c>
      <c r="F85" s="69">
        <f t="shared" si="16"/>
        <v>45820</v>
      </c>
      <c r="G85" s="69">
        <f t="shared" si="17"/>
        <v>45833</v>
      </c>
      <c r="H85" s="69">
        <f t="shared" si="18"/>
        <v>45847</v>
      </c>
      <c r="I85" s="69">
        <f t="shared" si="19"/>
        <v>45875</v>
      </c>
      <c r="J85" s="69" t="str">
        <f t="shared" si="20"/>
        <v>Jun</v>
      </c>
      <c r="K85" s="216" t="str">
        <f t="shared" ca="1" si="13"/>
        <v/>
      </c>
      <c r="L85" s="67" t="s">
        <v>10</v>
      </c>
      <c r="M85" s="67"/>
      <c r="N85" s="67">
        <v>45820</v>
      </c>
      <c r="O85" s="152">
        <f t="shared" si="14"/>
        <v>1</v>
      </c>
      <c r="P85" s="12" t="str">
        <f t="shared" si="15"/>
        <v>Yes</v>
      </c>
      <c r="Q85" s="75"/>
      <c r="R85" s="70" t="s">
        <v>39</v>
      </c>
      <c r="S85" s="68" t="s">
        <v>40</v>
      </c>
      <c r="T85" s="66"/>
      <c r="U85" s="75"/>
      <c r="V85" s="66"/>
      <c r="W85" s="66"/>
      <c r="AV85" s="139" t="str">
        <v>Quarter 1</v>
      </c>
    </row>
    <row r="86" spans="1:48" ht="30" customHeight="1" x14ac:dyDescent="0.35">
      <c r="A86" s="214">
        <v>85</v>
      </c>
      <c r="B86" s="66" t="s">
        <v>1248</v>
      </c>
      <c r="C86" s="66" t="s">
        <v>9</v>
      </c>
      <c r="D86" s="66" t="s">
        <v>1249</v>
      </c>
      <c r="E86" s="69">
        <v>45819</v>
      </c>
      <c r="F86" s="69">
        <f t="shared" si="16"/>
        <v>45820</v>
      </c>
      <c r="G86" s="69">
        <f t="shared" si="17"/>
        <v>45833</v>
      </c>
      <c r="H86" s="69">
        <f t="shared" si="18"/>
        <v>45847</v>
      </c>
      <c r="I86" s="69">
        <f t="shared" si="19"/>
        <v>45875</v>
      </c>
      <c r="J86" s="69" t="str">
        <f t="shared" si="20"/>
        <v>Jun</v>
      </c>
      <c r="K86" s="216" t="str">
        <f t="shared" ca="1" si="13"/>
        <v/>
      </c>
      <c r="L86" s="67" t="s">
        <v>10</v>
      </c>
      <c r="M86" s="67"/>
      <c r="N86" s="67">
        <v>45819</v>
      </c>
      <c r="O86" s="152">
        <f t="shared" si="14"/>
        <v>0</v>
      </c>
      <c r="P86" s="12" t="str">
        <f t="shared" si="15"/>
        <v>Yes</v>
      </c>
      <c r="Q86" s="75"/>
      <c r="R86" s="70" t="s">
        <v>39</v>
      </c>
      <c r="S86" s="68" t="s">
        <v>40</v>
      </c>
      <c r="T86" s="66"/>
      <c r="U86" s="75"/>
      <c r="V86" s="66" t="s">
        <v>46</v>
      </c>
      <c r="W86" s="66"/>
      <c r="AV86" s="139" t="str">
        <v>Quarter 1</v>
      </c>
    </row>
    <row r="87" spans="1:48" ht="30" customHeight="1" x14ac:dyDescent="0.35">
      <c r="A87" s="214">
        <v>86</v>
      </c>
      <c r="B87" s="66" t="s">
        <v>6</v>
      </c>
      <c r="C87" s="66" t="s">
        <v>6</v>
      </c>
      <c r="D87" s="66" t="s">
        <v>1184</v>
      </c>
      <c r="E87" s="69">
        <v>45821</v>
      </c>
      <c r="F87" s="69">
        <f t="shared" si="16"/>
        <v>45824</v>
      </c>
      <c r="G87" s="69">
        <f t="shared" si="17"/>
        <v>45835</v>
      </c>
      <c r="H87" s="69">
        <f t="shared" si="18"/>
        <v>45849</v>
      </c>
      <c r="I87" s="69">
        <f t="shared" si="19"/>
        <v>45877</v>
      </c>
      <c r="J87" s="69" t="str">
        <f t="shared" si="20"/>
        <v>Jun</v>
      </c>
      <c r="K87" s="216" t="str">
        <f t="shared" ca="1" si="13"/>
        <v/>
      </c>
      <c r="L87" s="67" t="s">
        <v>4</v>
      </c>
      <c r="M87" s="67"/>
      <c r="N87" s="67">
        <v>45845</v>
      </c>
      <c r="O87" s="152">
        <f t="shared" si="14"/>
        <v>16</v>
      </c>
      <c r="P87" s="12" t="str">
        <f t="shared" si="15"/>
        <v>Yes</v>
      </c>
      <c r="Q87" s="75"/>
      <c r="R87" s="70" t="s">
        <v>39</v>
      </c>
      <c r="S87" s="68" t="s">
        <v>45</v>
      </c>
      <c r="T87" s="66"/>
      <c r="U87" s="75" t="s">
        <v>1157</v>
      </c>
      <c r="V87" s="66" t="s">
        <v>1250</v>
      </c>
      <c r="W87" s="66"/>
      <c r="AV87" s="139" t="str">
        <v>Quarter 1</v>
      </c>
    </row>
    <row r="88" spans="1:48" ht="30" customHeight="1" x14ac:dyDescent="0.35">
      <c r="A88" s="214">
        <v>87</v>
      </c>
      <c r="B88" s="66" t="s">
        <v>55</v>
      </c>
      <c r="C88" s="66" t="s">
        <v>13</v>
      </c>
      <c r="D88" s="66" t="s">
        <v>1251</v>
      </c>
      <c r="E88" s="69">
        <v>45821</v>
      </c>
      <c r="F88" s="69">
        <f t="shared" si="16"/>
        <v>45824</v>
      </c>
      <c r="G88" s="69">
        <f t="shared" si="17"/>
        <v>45835</v>
      </c>
      <c r="H88" s="69">
        <f t="shared" si="18"/>
        <v>45849</v>
      </c>
      <c r="I88" s="69">
        <f t="shared" si="19"/>
        <v>45877</v>
      </c>
      <c r="J88" s="69" t="str">
        <f t="shared" si="20"/>
        <v>Jun</v>
      </c>
      <c r="K88" s="216" t="str">
        <f t="shared" ca="1" si="13"/>
        <v/>
      </c>
      <c r="L88" s="67" t="s">
        <v>10</v>
      </c>
      <c r="M88" s="67"/>
      <c r="N88" s="67">
        <v>45824</v>
      </c>
      <c r="O88" s="152">
        <f t="shared" si="14"/>
        <v>1</v>
      </c>
      <c r="P88" s="12" t="str">
        <f t="shared" si="15"/>
        <v>Yes</v>
      </c>
      <c r="Q88" s="75"/>
      <c r="R88" s="70" t="s">
        <v>39</v>
      </c>
      <c r="S88" s="68" t="s">
        <v>40</v>
      </c>
      <c r="T88" s="66"/>
      <c r="U88" s="75"/>
      <c r="V88" s="66"/>
      <c r="W88" s="66"/>
      <c r="AV88" s="139" t="str">
        <v>Quarter 1</v>
      </c>
    </row>
    <row r="89" spans="1:48" ht="30" customHeight="1" x14ac:dyDescent="0.35">
      <c r="A89" s="214">
        <v>88</v>
      </c>
      <c r="B89" s="66" t="s">
        <v>6</v>
      </c>
      <c r="C89" s="66" t="s">
        <v>6</v>
      </c>
      <c r="D89" s="66" t="s">
        <v>1145</v>
      </c>
      <c r="E89" s="69">
        <v>45821</v>
      </c>
      <c r="F89" s="69">
        <f t="shared" si="16"/>
        <v>45824</v>
      </c>
      <c r="G89" s="69">
        <f t="shared" si="17"/>
        <v>45835</v>
      </c>
      <c r="H89" s="69">
        <f t="shared" si="18"/>
        <v>45849</v>
      </c>
      <c r="I89" s="69">
        <f t="shared" si="19"/>
        <v>45877</v>
      </c>
      <c r="J89" s="69" t="str">
        <f t="shared" si="20"/>
        <v>Jun</v>
      </c>
      <c r="K89" s="216" t="str">
        <f t="shared" ca="1" si="13"/>
        <v/>
      </c>
      <c r="L89" s="67" t="s">
        <v>10</v>
      </c>
      <c r="M89" s="67"/>
      <c r="N89" s="67">
        <v>45827</v>
      </c>
      <c r="O89" s="152">
        <f t="shared" si="14"/>
        <v>4</v>
      </c>
      <c r="P89" s="12" t="str">
        <f t="shared" si="15"/>
        <v>Yes</v>
      </c>
      <c r="Q89" s="75"/>
      <c r="R89" s="70" t="s">
        <v>39</v>
      </c>
      <c r="S89" s="68" t="s">
        <v>40</v>
      </c>
      <c r="T89" s="66"/>
      <c r="U89" s="75"/>
      <c r="V89" s="66"/>
      <c r="W89" s="66"/>
      <c r="AV89" s="139" t="str">
        <v>Quarter 1</v>
      </c>
    </row>
    <row r="90" spans="1:48" ht="30" customHeight="1" x14ac:dyDescent="0.35">
      <c r="A90" s="214">
        <v>89</v>
      </c>
      <c r="B90" s="66" t="s">
        <v>6</v>
      </c>
      <c r="C90" s="66" t="s">
        <v>6</v>
      </c>
      <c r="D90" s="66" t="s">
        <v>1176</v>
      </c>
      <c r="E90" s="69">
        <v>45824</v>
      </c>
      <c r="F90" s="69">
        <f t="shared" si="16"/>
        <v>45825</v>
      </c>
      <c r="G90" s="69">
        <f t="shared" si="17"/>
        <v>45838</v>
      </c>
      <c r="H90" s="69">
        <f t="shared" si="18"/>
        <v>45852</v>
      </c>
      <c r="I90" s="69">
        <f t="shared" si="19"/>
        <v>45880</v>
      </c>
      <c r="J90" s="69" t="str">
        <f t="shared" si="20"/>
        <v>Jun</v>
      </c>
      <c r="K90" s="216" t="str">
        <f t="shared" ca="1" si="13"/>
        <v/>
      </c>
      <c r="L90" s="67" t="s">
        <v>10</v>
      </c>
      <c r="M90" s="67"/>
      <c r="N90" s="67">
        <v>45825</v>
      </c>
      <c r="O90" s="152">
        <f t="shared" si="14"/>
        <v>1</v>
      </c>
      <c r="P90" s="12" t="str">
        <f t="shared" si="15"/>
        <v>Yes</v>
      </c>
      <c r="Q90" s="75"/>
      <c r="R90" s="70" t="s">
        <v>39</v>
      </c>
      <c r="S90" s="68" t="s">
        <v>62</v>
      </c>
      <c r="T90" s="66"/>
      <c r="U90" s="75"/>
      <c r="V90" s="66"/>
      <c r="W90" s="66"/>
      <c r="AV90" s="139" t="str">
        <v>Quarter 1</v>
      </c>
    </row>
    <row r="91" spans="1:48" ht="30" customHeight="1" x14ac:dyDescent="0.35">
      <c r="A91" s="214">
        <v>90</v>
      </c>
      <c r="B91" s="66" t="s">
        <v>6</v>
      </c>
      <c r="C91" s="66" t="s">
        <v>6</v>
      </c>
      <c r="D91" s="66" t="s">
        <v>1181</v>
      </c>
      <c r="E91" s="69">
        <v>45824</v>
      </c>
      <c r="F91" s="69">
        <f t="shared" si="16"/>
        <v>45825</v>
      </c>
      <c r="G91" s="69">
        <f t="shared" si="17"/>
        <v>45838</v>
      </c>
      <c r="H91" s="69">
        <f t="shared" si="18"/>
        <v>45852</v>
      </c>
      <c r="I91" s="69">
        <f t="shared" si="19"/>
        <v>45880</v>
      </c>
      <c r="J91" s="69" t="str">
        <f t="shared" si="20"/>
        <v>Jun</v>
      </c>
      <c r="K91" s="216" t="str">
        <f t="shared" ca="1" si="13"/>
        <v/>
      </c>
      <c r="L91" s="67" t="s">
        <v>10</v>
      </c>
      <c r="M91" s="67"/>
      <c r="N91" s="67">
        <v>45839</v>
      </c>
      <c r="O91" s="152">
        <f t="shared" si="14"/>
        <v>11</v>
      </c>
      <c r="P91" s="12" t="str">
        <f t="shared" si="15"/>
        <v>Yes</v>
      </c>
      <c r="Q91" s="75"/>
      <c r="R91" s="70" t="s">
        <v>39</v>
      </c>
      <c r="S91" s="68" t="s">
        <v>62</v>
      </c>
      <c r="T91" s="66"/>
      <c r="U91" s="75"/>
      <c r="V91" s="66"/>
      <c r="W91" s="66"/>
      <c r="AV91" s="139" t="str">
        <v>Quarter 1</v>
      </c>
    </row>
    <row r="92" spans="1:48" ht="30" customHeight="1" x14ac:dyDescent="0.35">
      <c r="A92" s="214">
        <v>91</v>
      </c>
      <c r="B92" s="66" t="s">
        <v>1252</v>
      </c>
      <c r="C92" s="66" t="s">
        <v>9</v>
      </c>
      <c r="D92" s="66" t="s">
        <v>1253</v>
      </c>
      <c r="E92" s="69">
        <v>45827</v>
      </c>
      <c r="F92" s="69">
        <f t="shared" si="16"/>
        <v>45828</v>
      </c>
      <c r="G92" s="69">
        <f t="shared" si="17"/>
        <v>45841</v>
      </c>
      <c r="H92" s="69">
        <f t="shared" si="18"/>
        <v>45855</v>
      </c>
      <c r="I92" s="69">
        <f t="shared" si="19"/>
        <v>45883</v>
      </c>
      <c r="J92" s="69" t="str">
        <f t="shared" si="20"/>
        <v>Jun</v>
      </c>
      <c r="K92" s="216" t="str">
        <f t="shared" ca="1" si="13"/>
        <v/>
      </c>
      <c r="L92" s="67" t="s">
        <v>10</v>
      </c>
      <c r="M92" s="67"/>
      <c r="N92" s="67">
        <v>45828</v>
      </c>
      <c r="O92" s="152">
        <f t="shared" si="14"/>
        <v>1</v>
      </c>
      <c r="P92" s="12" t="str">
        <f t="shared" si="15"/>
        <v>Yes</v>
      </c>
      <c r="Q92" s="75"/>
      <c r="R92" s="70" t="s">
        <v>39</v>
      </c>
      <c r="S92" s="68" t="s">
        <v>40</v>
      </c>
      <c r="T92" s="66"/>
      <c r="U92" s="75"/>
      <c r="V92" s="66" t="s">
        <v>46</v>
      </c>
      <c r="W92" s="66"/>
      <c r="AV92" s="139" t="str">
        <v>Quarter 1</v>
      </c>
    </row>
    <row r="93" spans="1:48" ht="30" customHeight="1" x14ac:dyDescent="0.35">
      <c r="A93" s="214">
        <v>92</v>
      </c>
      <c r="B93" s="66" t="s">
        <v>55</v>
      </c>
      <c r="C93" s="66" t="s">
        <v>13</v>
      </c>
      <c r="D93" s="66" t="s">
        <v>1254</v>
      </c>
      <c r="E93" s="69">
        <v>45827</v>
      </c>
      <c r="F93" s="69">
        <f t="shared" si="16"/>
        <v>45828</v>
      </c>
      <c r="G93" s="69">
        <f t="shared" si="17"/>
        <v>45841</v>
      </c>
      <c r="H93" s="69">
        <f t="shared" si="18"/>
        <v>45855</v>
      </c>
      <c r="I93" s="69">
        <f t="shared" si="19"/>
        <v>45883</v>
      </c>
      <c r="J93" s="69" t="str">
        <f t="shared" si="20"/>
        <v>Jun</v>
      </c>
      <c r="K93" s="216" t="str">
        <f t="shared" ca="1" si="13"/>
        <v/>
      </c>
      <c r="L93" s="67" t="s">
        <v>10</v>
      </c>
      <c r="M93" s="67"/>
      <c r="N93" s="67">
        <v>45831</v>
      </c>
      <c r="O93" s="152">
        <f t="shared" si="14"/>
        <v>2</v>
      </c>
      <c r="P93" s="12" t="str">
        <f t="shared" si="15"/>
        <v>Yes</v>
      </c>
      <c r="Q93" s="75"/>
      <c r="R93" s="70" t="s">
        <v>39</v>
      </c>
      <c r="S93" s="68" t="s">
        <v>40</v>
      </c>
      <c r="T93" s="66"/>
      <c r="U93" s="75"/>
      <c r="V93" s="66"/>
      <c r="W93" s="66"/>
      <c r="AV93" s="139" t="str">
        <v>Quarter 1</v>
      </c>
    </row>
    <row r="94" spans="1:48" ht="30" customHeight="1" x14ac:dyDescent="0.35">
      <c r="A94" s="214">
        <v>93</v>
      </c>
      <c r="B94" s="66" t="s">
        <v>1255</v>
      </c>
      <c r="C94" s="66" t="s">
        <v>5</v>
      </c>
      <c r="D94" s="66" t="s">
        <v>1256</v>
      </c>
      <c r="E94" s="69">
        <v>45831</v>
      </c>
      <c r="F94" s="69">
        <f t="shared" si="16"/>
        <v>45832</v>
      </c>
      <c r="G94" s="69">
        <f t="shared" si="17"/>
        <v>45845</v>
      </c>
      <c r="H94" s="69">
        <f t="shared" si="18"/>
        <v>45859</v>
      </c>
      <c r="I94" s="69">
        <f t="shared" si="19"/>
        <v>45887</v>
      </c>
      <c r="J94" s="69" t="str">
        <f t="shared" si="20"/>
        <v>Jun</v>
      </c>
      <c r="K94" s="216" t="str">
        <f t="shared" ca="1" si="13"/>
        <v/>
      </c>
      <c r="L94" s="67" t="s">
        <v>10</v>
      </c>
      <c r="M94" s="67"/>
      <c r="N94" s="67">
        <v>45831</v>
      </c>
      <c r="O94" s="152">
        <f t="shared" si="14"/>
        <v>0</v>
      </c>
      <c r="P94" s="12" t="str">
        <f t="shared" si="15"/>
        <v>Yes</v>
      </c>
      <c r="Q94" s="75"/>
      <c r="R94" s="70" t="s">
        <v>39</v>
      </c>
      <c r="S94" s="68" t="s">
        <v>62</v>
      </c>
      <c r="T94" s="66"/>
      <c r="U94" s="75"/>
      <c r="V94" s="66"/>
      <c r="W94" s="66"/>
      <c r="AV94" s="139" t="str">
        <v>Quarter 1</v>
      </c>
    </row>
    <row r="95" spans="1:48" ht="30" customHeight="1" x14ac:dyDescent="0.35">
      <c r="A95" s="214">
        <v>94</v>
      </c>
      <c r="B95" s="66" t="s">
        <v>6</v>
      </c>
      <c r="C95" s="66" t="s">
        <v>6</v>
      </c>
      <c r="D95" s="66" t="s">
        <v>1257</v>
      </c>
      <c r="E95" s="69">
        <v>45831</v>
      </c>
      <c r="F95" s="69">
        <f t="shared" si="16"/>
        <v>45832</v>
      </c>
      <c r="G95" s="69">
        <f t="shared" si="17"/>
        <v>45845</v>
      </c>
      <c r="H95" s="69">
        <f t="shared" si="18"/>
        <v>45859</v>
      </c>
      <c r="I95" s="69">
        <f t="shared" si="19"/>
        <v>45887</v>
      </c>
      <c r="J95" s="69" t="str">
        <f t="shared" si="20"/>
        <v>Jun</v>
      </c>
      <c r="K95" s="216" t="str">
        <f t="shared" ca="1" si="13"/>
        <v/>
      </c>
      <c r="L95" s="67" t="s">
        <v>10</v>
      </c>
      <c r="M95" s="67"/>
      <c r="N95" s="67">
        <v>45884</v>
      </c>
      <c r="O95" s="152">
        <f t="shared" si="14"/>
        <v>39</v>
      </c>
      <c r="P95" s="12" t="str">
        <f t="shared" si="15"/>
        <v>No</v>
      </c>
      <c r="Q95" s="75"/>
      <c r="R95" s="70" t="s">
        <v>39</v>
      </c>
      <c r="S95" s="68" t="s">
        <v>40</v>
      </c>
      <c r="T95" s="66"/>
      <c r="U95" s="75"/>
      <c r="V95" s="66"/>
      <c r="W95" s="66"/>
      <c r="AV95" s="139" t="str">
        <v>Quarter 1</v>
      </c>
    </row>
    <row r="96" spans="1:48" ht="30" customHeight="1" x14ac:dyDescent="0.35">
      <c r="A96" s="214">
        <v>95</v>
      </c>
      <c r="B96" s="66" t="s">
        <v>1258</v>
      </c>
      <c r="C96" s="66" t="s">
        <v>9</v>
      </c>
      <c r="D96" s="66" t="s">
        <v>1259</v>
      </c>
      <c r="E96" s="69">
        <v>45831</v>
      </c>
      <c r="F96" s="69">
        <f t="shared" si="16"/>
        <v>45832</v>
      </c>
      <c r="G96" s="69">
        <f t="shared" si="17"/>
        <v>45845</v>
      </c>
      <c r="H96" s="69">
        <f t="shared" si="18"/>
        <v>45859</v>
      </c>
      <c r="I96" s="69">
        <f t="shared" si="19"/>
        <v>45887</v>
      </c>
      <c r="J96" s="69" t="str">
        <f t="shared" si="20"/>
        <v>Jun</v>
      </c>
      <c r="K96" s="216" t="str">
        <f t="shared" ca="1" si="13"/>
        <v/>
      </c>
      <c r="L96" s="67" t="s">
        <v>10</v>
      </c>
      <c r="M96" s="67"/>
      <c r="N96" s="67">
        <v>45832</v>
      </c>
      <c r="O96" s="152">
        <f t="shared" si="14"/>
        <v>1</v>
      </c>
      <c r="P96" s="12" t="str">
        <f t="shared" si="15"/>
        <v>Yes</v>
      </c>
      <c r="Q96" s="75"/>
      <c r="R96" s="70" t="s">
        <v>39</v>
      </c>
      <c r="S96" s="68" t="s">
        <v>40</v>
      </c>
      <c r="T96" s="66"/>
      <c r="U96" s="75" t="s">
        <v>1153</v>
      </c>
      <c r="V96" s="66"/>
      <c r="W96" s="66"/>
      <c r="AV96" s="139" t="str">
        <v>Quarter 1</v>
      </c>
    </row>
    <row r="97" spans="1:48" ht="30" customHeight="1" x14ac:dyDescent="0.35">
      <c r="A97" s="214">
        <v>96</v>
      </c>
      <c r="B97" s="66" t="s">
        <v>1172</v>
      </c>
      <c r="C97" s="66" t="s">
        <v>5</v>
      </c>
      <c r="D97" s="66" t="s">
        <v>1260</v>
      </c>
      <c r="E97" s="69">
        <v>45832</v>
      </c>
      <c r="F97" s="69">
        <f t="shared" si="16"/>
        <v>45833</v>
      </c>
      <c r="G97" s="69">
        <f t="shared" si="17"/>
        <v>45846</v>
      </c>
      <c r="H97" s="69">
        <f t="shared" si="18"/>
        <v>45860</v>
      </c>
      <c r="I97" s="69">
        <f t="shared" si="19"/>
        <v>45888</v>
      </c>
      <c r="J97" s="69" t="str">
        <f t="shared" si="20"/>
        <v>Jun</v>
      </c>
      <c r="K97" s="216" t="str">
        <f t="shared" ca="1" si="13"/>
        <v/>
      </c>
      <c r="L97" s="67" t="s">
        <v>10</v>
      </c>
      <c r="M97" s="67"/>
      <c r="N97" s="67">
        <v>45833</v>
      </c>
      <c r="O97" s="152">
        <f t="shared" si="14"/>
        <v>1</v>
      </c>
      <c r="P97" s="12" t="str">
        <f t="shared" si="15"/>
        <v>Yes</v>
      </c>
      <c r="Q97" s="75"/>
      <c r="R97" s="70" t="s">
        <v>39</v>
      </c>
      <c r="S97" s="68" t="s">
        <v>40</v>
      </c>
      <c r="T97" s="66"/>
      <c r="U97" s="75"/>
      <c r="V97" s="66"/>
      <c r="W97" s="66"/>
      <c r="AV97" s="139" t="str">
        <v>Quarter 1</v>
      </c>
    </row>
    <row r="98" spans="1:48" ht="30" customHeight="1" x14ac:dyDescent="0.35">
      <c r="A98" s="214">
        <v>97</v>
      </c>
      <c r="B98" s="66" t="s">
        <v>1261</v>
      </c>
      <c r="C98" s="66" t="s">
        <v>12</v>
      </c>
      <c r="D98" s="66" t="s">
        <v>1262</v>
      </c>
      <c r="E98" s="69">
        <v>45832</v>
      </c>
      <c r="F98" s="69">
        <f t="shared" si="16"/>
        <v>45833</v>
      </c>
      <c r="G98" s="69">
        <f t="shared" si="17"/>
        <v>45846</v>
      </c>
      <c r="H98" s="69">
        <f t="shared" si="18"/>
        <v>45860</v>
      </c>
      <c r="I98" s="69">
        <f t="shared" si="19"/>
        <v>45888</v>
      </c>
      <c r="J98" s="69" t="str">
        <f t="shared" si="20"/>
        <v>Jun</v>
      </c>
      <c r="K98" s="216" t="str">
        <f t="shared" ca="1" si="13"/>
        <v/>
      </c>
      <c r="L98" s="67" t="s">
        <v>10</v>
      </c>
      <c r="M98" s="67"/>
      <c r="N98" s="67">
        <v>45833</v>
      </c>
      <c r="O98" s="152">
        <f t="shared" si="14"/>
        <v>1</v>
      </c>
      <c r="P98" s="12" t="str">
        <f t="shared" si="15"/>
        <v>Yes</v>
      </c>
      <c r="Q98" s="75"/>
      <c r="R98" s="70" t="s">
        <v>39</v>
      </c>
      <c r="S98" s="68" t="s">
        <v>40</v>
      </c>
      <c r="T98" s="66"/>
      <c r="U98" s="75" t="s">
        <v>1147</v>
      </c>
      <c r="V98" s="66" t="s">
        <v>46</v>
      </c>
      <c r="W98" s="66"/>
      <c r="AV98" s="139" t="str">
        <v>Quarter 1</v>
      </c>
    </row>
    <row r="99" spans="1:48" ht="30" customHeight="1" x14ac:dyDescent="0.35">
      <c r="A99" s="214">
        <v>98</v>
      </c>
      <c r="B99" s="66" t="s">
        <v>6</v>
      </c>
      <c r="C99" s="66" t="s">
        <v>6</v>
      </c>
      <c r="D99" s="66" t="s">
        <v>1263</v>
      </c>
      <c r="E99" s="69">
        <v>45832</v>
      </c>
      <c r="F99" s="69">
        <f t="shared" si="16"/>
        <v>45833</v>
      </c>
      <c r="G99" s="69">
        <f t="shared" si="17"/>
        <v>45846</v>
      </c>
      <c r="H99" s="69">
        <f t="shared" si="18"/>
        <v>45860</v>
      </c>
      <c r="I99" s="69">
        <f t="shared" si="19"/>
        <v>45888</v>
      </c>
      <c r="J99" s="69" t="str">
        <f t="shared" si="20"/>
        <v>Jun</v>
      </c>
      <c r="K99" s="216" t="str">
        <f t="shared" ca="1" si="13"/>
        <v/>
      </c>
      <c r="L99" s="67" t="s">
        <v>10</v>
      </c>
      <c r="M99" s="67"/>
      <c r="N99" s="67">
        <v>45845</v>
      </c>
      <c r="O99" s="152">
        <f t="shared" si="14"/>
        <v>9</v>
      </c>
      <c r="P99" s="12" t="str">
        <f t="shared" si="15"/>
        <v>Yes</v>
      </c>
      <c r="Q99" s="75"/>
      <c r="R99" s="70" t="s">
        <v>39</v>
      </c>
      <c r="S99" s="68" t="s">
        <v>45</v>
      </c>
      <c r="T99" s="66"/>
      <c r="U99" s="75" t="s">
        <v>1167</v>
      </c>
      <c r="V99" s="66" t="s">
        <v>1264</v>
      </c>
      <c r="W99" s="66"/>
      <c r="AV99" s="139" t="str">
        <v>Quarter 1</v>
      </c>
    </row>
    <row r="100" spans="1:48" ht="30" customHeight="1" x14ac:dyDescent="0.35">
      <c r="A100" s="214">
        <v>99</v>
      </c>
      <c r="B100" s="5" t="s">
        <v>6</v>
      </c>
      <c r="C100" s="5" t="s">
        <v>6</v>
      </c>
      <c r="D100" s="5" t="s">
        <v>1265</v>
      </c>
      <c r="E100" s="69">
        <v>45833</v>
      </c>
      <c r="F100" s="69">
        <f t="shared" si="16"/>
        <v>45834</v>
      </c>
      <c r="G100" s="69">
        <f t="shared" si="17"/>
        <v>45847</v>
      </c>
      <c r="H100" s="69">
        <f t="shared" si="18"/>
        <v>45861</v>
      </c>
      <c r="I100" s="69">
        <f t="shared" si="19"/>
        <v>45889</v>
      </c>
      <c r="J100" s="69" t="str">
        <f t="shared" si="20"/>
        <v>Jun</v>
      </c>
      <c r="K100" s="216" t="str">
        <f t="shared" ca="1" si="13"/>
        <v/>
      </c>
      <c r="L100" s="67" t="s">
        <v>10</v>
      </c>
      <c r="M100" s="67"/>
      <c r="N100" s="67">
        <v>45860</v>
      </c>
      <c r="O100" s="152">
        <f t="shared" si="14"/>
        <v>19</v>
      </c>
      <c r="P100" s="12" t="str">
        <f t="shared" si="15"/>
        <v>Yes</v>
      </c>
      <c r="Q100" s="75"/>
      <c r="R100" s="70" t="s">
        <v>39</v>
      </c>
      <c r="S100" s="68" t="s">
        <v>40</v>
      </c>
      <c r="T100" s="66"/>
      <c r="U100" s="75" t="s">
        <v>1151</v>
      </c>
      <c r="V100" s="66"/>
      <c r="W100" s="66"/>
      <c r="AV100" s="139" t="str">
        <v>Quarter 1</v>
      </c>
    </row>
    <row r="101" spans="1:48" ht="30" customHeight="1" x14ac:dyDescent="0.35">
      <c r="A101" s="214">
        <v>100</v>
      </c>
      <c r="B101" s="66" t="s">
        <v>6</v>
      </c>
      <c r="C101" s="66" t="s">
        <v>6</v>
      </c>
      <c r="D101" s="66" t="s">
        <v>1266</v>
      </c>
      <c r="E101" s="69">
        <v>45834</v>
      </c>
      <c r="F101" s="69">
        <f t="shared" ref="F101:F123" si="21">IF($E101="","",WORKDAY($E101,1,$Z$33:$Z$47))</f>
        <v>45835</v>
      </c>
      <c r="G101" s="69">
        <f t="shared" ref="G101:G123" si="22">IF($E101="","",WORKDAY($E101,10,$Z$33:$Z$47))</f>
        <v>45848</v>
      </c>
      <c r="H101" s="69">
        <f t="shared" ref="H101:H123" si="23">IF($E101="","",WORKDAY($E101,20,$Z$33:$Z$47))</f>
        <v>45862</v>
      </c>
      <c r="I101" s="69">
        <f t="shared" ref="I101:I123" si="24">IF($E101="","",WORKDAY($E101,40,$Z$33:$Z$47))</f>
        <v>45890</v>
      </c>
      <c r="J101" s="69" t="str">
        <f t="shared" si="20"/>
        <v>Jun</v>
      </c>
      <c r="K101" s="216" t="str">
        <f t="shared" ca="1" si="13"/>
        <v/>
      </c>
      <c r="L101" s="67" t="s">
        <v>4</v>
      </c>
      <c r="M101" s="67"/>
      <c r="N101" s="67">
        <v>45834</v>
      </c>
      <c r="O101" s="152">
        <f t="shared" si="14"/>
        <v>0</v>
      </c>
      <c r="P101" s="12" t="str">
        <f t="shared" si="15"/>
        <v>Yes</v>
      </c>
      <c r="Q101" s="75"/>
      <c r="R101" s="70" t="s">
        <v>39</v>
      </c>
      <c r="S101" s="68" t="s">
        <v>62</v>
      </c>
      <c r="T101" s="66"/>
      <c r="U101" s="75"/>
      <c r="V101" s="66"/>
      <c r="W101" s="66"/>
      <c r="AV101" s="139" t="str">
        <v>Quarter 1</v>
      </c>
    </row>
    <row r="102" spans="1:48" ht="30" customHeight="1" x14ac:dyDescent="0.35">
      <c r="A102" s="214">
        <v>101</v>
      </c>
      <c r="B102" s="66" t="s">
        <v>1267</v>
      </c>
      <c r="C102" s="66" t="s">
        <v>9</v>
      </c>
      <c r="D102" s="66" t="s">
        <v>1268</v>
      </c>
      <c r="E102" s="69">
        <v>45835</v>
      </c>
      <c r="F102" s="69">
        <f t="shared" si="21"/>
        <v>45838</v>
      </c>
      <c r="G102" s="69">
        <f t="shared" si="22"/>
        <v>45849</v>
      </c>
      <c r="H102" s="69">
        <f t="shared" si="23"/>
        <v>45863</v>
      </c>
      <c r="I102" s="69">
        <f t="shared" si="24"/>
        <v>45891</v>
      </c>
      <c r="J102" s="69" t="str">
        <f t="shared" si="20"/>
        <v>Jun</v>
      </c>
      <c r="K102" s="216" t="str">
        <f t="shared" ca="1" si="13"/>
        <v/>
      </c>
      <c r="L102" s="67" t="s">
        <v>10</v>
      </c>
      <c r="M102" s="67"/>
      <c r="N102" s="67">
        <v>46113</v>
      </c>
      <c r="O102" s="152">
        <f t="shared" si="14"/>
        <v>194</v>
      </c>
      <c r="P102" s="12" t="str">
        <f t="shared" si="15"/>
        <v>No</v>
      </c>
      <c r="Q102" s="75"/>
      <c r="R102" s="70" t="s">
        <v>39</v>
      </c>
      <c r="S102" s="68" t="s">
        <v>40</v>
      </c>
      <c r="T102" s="66"/>
      <c r="U102" s="75"/>
      <c r="V102" s="66"/>
      <c r="W102" s="66"/>
      <c r="AV102" s="139" t="str">
        <v>Quarter 1</v>
      </c>
    </row>
    <row r="103" spans="1:48" ht="30" customHeight="1" x14ac:dyDescent="0.35">
      <c r="A103" s="214">
        <v>102</v>
      </c>
      <c r="B103" s="66" t="s">
        <v>6</v>
      </c>
      <c r="C103" s="66" t="s">
        <v>6</v>
      </c>
      <c r="D103" s="66" t="s">
        <v>1184</v>
      </c>
      <c r="E103" s="69">
        <v>45838</v>
      </c>
      <c r="F103" s="69">
        <f t="shared" si="21"/>
        <v>45839</v>
      </c>
      <c r="G103" s="69">
        <f t="shared" si="22"/>
        <v>45852</v>
      </c>
      <c r="H103" s="69">
        <f t="shared" si="23"/>
        <v>45866</v>
      </c>
      <c r="I103" s="69">
        <f t="shared" si="24"/>
        <v>45895</v>
      </c>
      <c r="J103" s="69" t="str">
        <f t="shared" si="20"/>
        <v>Jun</v>
      </c>
      <c r="K103" s="216" t="str">
        <f t="shared" ca="1" si="13"/>
        <v/>
      </c>
      <c r="L103" s="67" t="s">
        <v>4</v>
      </c>
      <c r="M103" s="67"/>
      <c r="N103" s="67">
        <v>45862</v>
      </c>
      <c r="O103" s="152">
        <f t="shared" si="14"/>
        <v>18</v>
      </c>
      <c r="P103" s="12" t="str">
        <f t="shared" si="15"/>
        <v>Yes</v>
      </c>
      <c r="Q103" s="75"/>
      <c r="R103" s="70" t="s">
        <v>39</v>
      </c>
      <c r="S103" s="68" t="s">
        <v>45</v>
      </c>
      <c r="T103" s="66"/>
      <c r="U103" s="75" t="s">
        <v>1157</v>
      </c>
      <c r="V103" s="66" t="s">
        <v>1269</v>
      </c>
      <c r="W103" s="66"/>
      <c r="AV103" s="139" t="str">
        <v>Quarter 1</v>
      </c>
    </row>
    <row r="104" spans="1:48" ht="30" customHeight="1" x14ac:dyDescent="0.35">
      <c r="A104" s="214">
        <v>103</v>
      </c>
      <c r="B104" s="66" t="s">
        <v>6</v>
      </c>
      <c r="C104" s="66" t="s">
        <v>6</v>
      </c>
      <c r="D104" s="66" t="s">
        <v>1184</v>
      </c>
      <c r="E104" s="69">
        <v>45838</v>
      </c>
      <c r="F104" s="69">
        <f t="shared" si="21"/>
        <v>45839</v>
      </c>
      <c r="G104" s="69">
        <f t="shared" si="22"/>
        <v>45852</v>
      </c>
      <c r="H104" s="69">
        <f t="shared" si="23"/>
        <v>45866</v>
      </c>
      <c r="I104" s="69">
        <f t="shared" si="24"/>
        <v>45895</v>
      </c>
      <c r="J104" s="69" t="str">
        <f t="shared" si="20"/>
        <v>Jun</v>
      </c>
      <c r="K104" s="216" t="str">
        <f t="shared" ca="1" si="13"/>
        <v/>
      </c>
      <c r="L104" s="67" t="s">
        <v>4</v>
      </c>
      <c r="M104" s="67"/>
      <c r="N104" s="67">
        <v>45862</v>
      </c>
      <c r="O104" s="152">
        <f t="shared" si="14"/>
        <v>18</v>
      </c>
      <c r="P104" s="12" t="str">
        <f t="shared" si="15"/>
        <v>Yes</v>
      </c>
      <c r="Q104" s="75"/>
      <c r="R104" s="70" t="s">
        <v>39</v>
      </c>
      <c r="S104" s="68" t="s">
        <v>40</v>
      </c>
      <c r="T104" s="66"/>
      <c r="U104" s="75" t="s">
        <v>1151</v>
      </c>
      <c r="V104" s="66"/>
      <c r="W104" s="66"/>
      <c r="AV104" s="139" t="str">
        <v>Quarter 1</v>
      </c>
    </row>
    <row r="105" spans="1:48" ht="30" customHeight="1" x14ac:dyDescent="0.35">
      <c r="A105" s="214">
        <v>104</v>
      </c>
      <c r="B105" s="66" t="s">
        <v>6</v>
      </c>
      <c r="C105" s="66" t="s">
        <v>6</v>
      </c>
      <c r="D105" s="66" t="s">
        <v>1184</v>
      </c>
      <c r="E105" s="69">
        <v>45838</v>
      </c>
      <c r="F105" s="69">
        <f t="shared" si="21"/>
        <v>45839</v>
      </c>
      <c r="G105" s="69">
        <f t="shared" si="22"/>
        <v>45852</v>
      </c>
      <c r="H105" s="69">
        <f t="shared" si="23"/>
        <v>45866</v>
      </c>
      <c r="I105" s="69">
        <f t="shared" si="24"/>
        <v>45895</v>
      </c>
      <c r="J105" s="69" t="str">
        <f t="shared" si="20"/>
        <v>Jun</v>
      </c>
      <c r="K105" s="216" t="str">
        <f t="shared" ca="1" si="13"/>
        <v/>
      </c>
      <c r="L105" s="67" t="s">
        <v>4</v>
      </c>
      <c r="M105" s="67"/>
      <c r="N105" s="67">
        <v>45862</v>
      </c>
      <c r="O105" s="152">
        <f t="shared" si="14"/>
        <v>18</v>
      </c>
      <c r="P105" s="12" t="str">
        <f t="shared" si="15"/>
        <v>Yes</v>
      </c>
      <c r="Q105" s="75"/>
      <c r="R105" s="70" t="s">
        <v>39</v>
      </c>
      <c r="S105" s="68" t="s">
        <v>40</v>
      </c>
      <c r="T105" s="66"/>
      <c r="U105" s="75"/>
      <c r="V105" s="66" t="s">
        <v>46</v>
      </c>
      <c r="W105" s="66"/>
      <c r="AV105" s="139" t="str">
        <v>Quarter 1</v>
      </c>
    </row>
    <row r="106" spans="1:48" ht="30" customHeight="1" x14ac:dyDescent="0.35">
      <c r="A106" s="214">
        <v>105</v>
      </c>
      <c r="B106" s="66" t="s">
        <v>6</v>
      </c>
      <c r="C106" s="66" t="s">
        <v>6</v>
      </c>
      <c r="D106" s="66" t="s">
        <v>1270</v>
      </c>
      <c r="E106" s="69">
        <v>45838</v>
      </c>
      <c r="F106" s="69">
        <f t="shared" si="21"/>
        <v>45839</v>
      </c>
      <c r="G106" s="69">
        <f t="shared" si="22"/>
        <v>45852</v>
      </c>
      <c r="H106" s="69">
        <f t="shared" si="23"/>
        <v>45866</v>
      </c>
      <c r="I106" s="69">
        <f t="shared" si="24"/>
        <v>45895</v>
      </c>
      <c r="J106" s="69" t="str">
        <f t="shared" si="20"/>
        <v>Jun</v>
      </c>
      <c r="K106" s="216" t="str">
        <f t="shared" ca="1" si="13"/>
        <v/>
      </c>
      <c r="L106" s="67" t="s">
        <v>4</v>
      </c>
      <c r="M106" s="67"/>
      <c r="N106" s="67">
        <v>45838</v>
      </c>
      <c r="O106" s="152">
        <f t="shared" si="14"/>
        <v>0</v>
      </c>
      <c r="P106" s="12" t="str">
        <f t="shared" si="15"/>
        <v>Yes</v>
      </c>
      <c r="Q106" s="75"/>
      <c r="R106" s="70" t="s">
        <v>39</v>
      </c>
      <c r="S106" s="68" t="s">
        <v>40</v>
      </c>
      <c r="T106" s="66"/>
      <c r="U106" s="75"/>
      <c r="V106" s="66"/>
      <c r="W106" s="66"/>
      <c r="AV106" s="139" t="str">
        <v>Quarter 1</v>
      </c>
    </row>
    <row r="107" spans="1:48" ht="30" customHeight="1" x14ac:dyDescent="0.35">
      <c r="A107" s="214">
        <v>106</v>
      </c>
      <c r="B107" s="66" t="s">
        <v>1271</v>
      </c>
      <c r="C107" s="66" t="s">
        <v>11</v>
      </c>
      <c r="D107" s="66" t="s">
        <v>1272</v>
      </c>
      <c r="E107" s="69">
        <v>45838</v>
      </c>
      <c r="F107" s="69">
        <f t="shared" si="21"/>
        <v>45839</v>
      </c>
      <c r="G107" s="69">
        <f t="shared" si="22"/>
        <v>45852</v>
      </c>
      <c r="H107" s="69">
        <f t="shared" si="23"/>
        <v>45866</v>
      </c>
      <c r="I107" s="69">
        <f t="shared" si="24"/>
        <v>45895</v>
      </c>
      <c r="J107" s="69" t="str">
        <f t="shared" si="20"/>
        <v>Jun</v>
      </c>
      <c r="K107" s="216" t="str">
        <f t="shared" ca="1" si="13"/>
        <v/>
      </c>
      <c r="L107" s="67" t="s">
        <v>10</v>
      </c>
      <c r="M107" s="67"/>
      <c r="N107" s="67">
        <v>45853</v>
      </c>
      <c r="O107" s="152">
        <f t="shared" si="14"/>
        <v>11</v>
      </c>
      <c r="P107" s="12" t="str">
        <f t="shared" si="15"/>
        <v>Yes</v>
      </c>
      <c r="Q107" s="75"/>
      <c r="R107" s="70" t="s">
        <v>39</v>
      </c>
      <c r="S107" s="68" t="s">
        <v>40</v>
      </c>
      <c r="T107" s="66"/>
      <c r="U107" s="75"/>
      <c r="V107" s="66"/>
      <c r="W107" s="66"/>
      <c r="AV107" s="139" t="str">
        <v>Quarter 1</v>
      </c>
    </row>
    <row r="108" spans="1:48" ht="30" customHeight="1" x14ac:dyDescent="0.35">
      <c r="A108" s="214">
        <v>107</v>
      </c>
      <c r="B108" s="66" t="s">
        <v>1273</v>
      </c>
      <c r="C108" s="66" t="s">
        <v>9</v>
      </c>
      <c r="D108" s="66" t="s">
        <v>1274</v>
      </c>
      <c r="E108" s="69">
        <v>45839</v>
      </c>
      <c r="F108" s="69">
        <f t="shared" si="21"/>
        <v>45840</v>
      </c>
      <c r="G108" s="69">
        <f t="shared" si="22"/>
        <v>45853</v>
      </c>
      <c r="H108" s="69">
        <f t="shared" si="23"/>
        <v>45867</v>
      </c>
      <c r="I108" s="69">
        <f t="shared" si="24"/>
        <v>45896</v>
      </c>
      <c r="J108" s="69" t="str">
        <f t="shared" si="20"/>
        <v>Jul</v>
      </c>
      <c r="K108" s="216" t="str">
        <f t="shared" ca="1" si="13"/>
        <v/>
      </c>
      <c r="L108" s="67" t="s">
        <v>10</v>
      </c>
      <c r="M108" s="67"/>
      <c r="N108" s="67">
        <v>45841</v>
      </c>
      <c r="O108" s="152">
        <f t="shared" si="14"/>
        <v>2</v>
      </c>
      <c r="P108" s="12" t="str">
        <f t="shared" si="15"/>
        <v>Yes</v>
      </c>
      <c r="Q108" s="75"/>
      <c r="R108" s="70" t="s">
        <v>39</v>
      </c>
      <c r="S108" s="68" t="s">
        <v>45</v>
      </c>
      <c r="T108" s="66"/>
      <c r="U108" s="75" t="s">
        <v>1151</v>
      </c>
      <c r="V108" s="66" t="s">
        <v>1275</v>
      </c>
      <c r="W108" s="66"/>
      <c r="AV108" s="139" t="str">
        <v>Quarter 2</v>
      </c>
    </row>
    <row r="109" spans="1:48" ht="30" customHeight="1" x14ac:dyDescent="0.35">
      <c r="A109" s="214">
        <v>108</v>
      </c>
      <c r="B109" s="66" t="s">
        <v>1276</v>
      </c>
      <c r="C109" s="66" t="s">
        <v>11</v>
      </c>
      <c r="D109" s="66" t="s">
        <v>1277</v>
      </c>
      <c r="E109" s="69">
        <v>45840</v>
      </c>
      <c r="F109" s="69">
        <f t="shared" si="21"/>
        <v>45841</v>
      </c>
      <c r="G109" s="69">
        <f t="shared" si="22"/>
        <v>45854</v>
      </c>
      <c r="H109" s="69">
        <f t="shared" si="23"/>
        <v>45868</v>
      </c>
      <c r="I109" s="69">
        <f t="shared" si="24"/>
        <v>45897</v>
      </c>
      <c r="J109" s="69" t="str">
        <f t="shared" si="20"/>
        <v>Jul</v>
      </c>
      <c r="K109" s="216" t="str">
        <f t="shared" ca="1" si="13"/>
        <v/>
      </c>
      <c r="L109" s="67" t="s">
        <v>10</v>
      </c>
      <c r="M109" s="67"/>
      <c r="N109" s="67">
        <v>45867</v>
      </c>
      <c r="O109" s="152">
        <f t="shared" si="14"/>
        <v>19</v>
      </c>
      <c r="P109" s="12" t="str">
        <f t="shared" si="15"/>
        <v>Yes</v>
      </c>
      <c r="Q109" s="75"/>
      <c r="R109" s="70" t="s">
        <v>39</v>
      </c>
      <c r="S109" s="68" t="s">
        <v>40</v>
      </c>
      <c r="T109" s="66"/>
      <c r="U109" s="75"/>
      <c r="V109" s="66" t="s">
        <v>46</v>
      </c>
      <c r="W109" s="66"/>
      <c r="AV109" s="139" t="str">
        <v>Quarter 2</v>
      </c>
    </row>
    <row r="110" spans="1:48" ht="30" customHeight="1" x14ac:dyDescent="0.35">
      <c r="A110" s="214">
        <v>109</v>
      </c>
      <c r="B110" s="66" t="s">
        <v>1148</v>
      </c>
      <c r="C110" s="66" t="s">
        <v>9</v>
      </c>
      <c r="D110" s="66" t="s">
        <v>1278</v>
      </c>
      <c r="E110" s="69">
        <v>45842</v>
      </c>
      <c r="F110" s="69">
        <f t="shared" si="21"/>
        <v>45845</v>
      </c>
      <c r="G110" s="69">
        <f t="shared" si="22"/>
        <v>45856</v>
      </c>
      <c r="H110" s="69">
        <f t="shared" si="23"/>
        <v>45870</v>
      </c>
      <c r="I110" s="69">
        <f t="shared" si="24"/>
        <v>45901</v>
      </c>
      <c r="J110" s="69" t="str">
        <f t="shared" si="20"/>
        <v>Jul</v>
      </c>
      <c r="K110" s="216" t="str">
        <f t="shared" ca="1" si="13"/>
        <v/>
      </c>
      <c r="L110" s="67" t="s">
        <v>10</v>
      </c>
      <c r="M110" s="67"/>
      <c r="N110" s="67">
        <v>45870</v>
      </c>
      <c r="O110" s="152">
        <f t="shared" si="14"/>
        <v>20</v>
      </c>
      <c r="P110" s="12" t="str">
        <f t="shared" si="15"/>
        <v>Yes</v>
      </c>
      <c r="Q110" s="75"/>
      <c r="R110" s="70" t="s">
        <v>39</v>
      </c>
      <c r="S110" s="68" t="s">
        <v>40</v>
      </c>
      <c r="T110" s="66"/>
      <c r="U110" s="75"/>
      <c r="V110" s="66"/>
      <c r="W110" s="66"/>
      <c r="AV110" s="139" t="str">
        <v>Quarter 2</v>
      </c>
    </row>
    <row r="111" spans="1:48" ht="30" customHeight="1" x14ac:dyDescent="0.35">
      <c r="A111" s="214">
        <v>110</v>
      </c>
      <c r="B111" s="66" t="s">
        <v>1279</v>
      </c>
      <c r="C111" s="66" t="s">
        <v>5</v>
      </c>
      <c r="D111" s="66" t="s">
        <v>1249</v>
      </c>
      <c r="E111" s="69">
        <v>45846</v>
      </c>
      <c r="F111" s="69">
        <f t="shared" si="21"/>
        <v>45847</v>
      </c>
      <c r="G111" s="69">
        <f t="shared" si="22"/>
        <v>45860</v>
      </c>
      <c r="H111" s="69">
        <f t="shared" si="23"/>
        <v>45874</v>
      </c>
      <c r="I111" s="69">
        <f t="shared" si="24"/>
        <v>45903</v>
      </c>
      <c r="J111" s="69" t="str">
        <f t="shared" si="20"/>
        <v>Jul</v>
      </c>
      <c r="K111" s="216" t="str">
        <f t="shared" ca="1" si="13"/>
        <v/>
      </c>
      <c r="L111" s="67" t="s">
        <v>10</v>
      </c>
      <c r="M111" s="67"/>
      <c r="N111" s="67">
        <v>45861</v>
      </c>
      <c r="O111" s="152">
        <f t="shared" si="14"/>
        <v>11</v>
      </c>
      <c r="P111" s="12" t="str">
        <f t="shared" si="15"/>
        <v>Yes</v>
      </c>
      <c r="Q111" s="75"/>
      <c r="R111" s="70" t="s">
        <v>39</v>
      </c>
      <c r="S111" s="68" t="s">
        <v>40</v>
      </c>
      <c r="T111" s="66"/>
      <c r="U111" s="75"/>
      <c r="V111" s="66" t="s">
        <v>46</v>
      </c>
      <c r="W111" s="66"/>
      <c r="AV111" s="139" t="str">
        <v>Quarter 2</v>
      </c>
    </row>
    <row r="112" spans="1:48" ht="30" customHeight="1" x14ac:dyDescent="0.35">
      <c r="A112" s="214">
        <v>111</v>
      </c>
      <c r="B112" s="66" t="s">
        <v>1280</v>
      </c>
      <c r="C112" s="66" t="s">
        <v>5</v>
      </c>
      <c r="D112" s="66" t="s">
        <v>1281</v>
      </c>
      <c r="E112" s="69">
        <v>45846</v>
      </c>
      <c r="F112" s="69">
        <f t="shared" si="21"/>
        <v>45847</v>
      </c>
      <c r="G112" s="69">
        <f t="shared" si="22"/>
        <v>45860</v>
      </c>
      <c r="H112" s="69">
        <f t="shared" si="23"/>
        <v>45874</v>
      </c>
      <c r="I112" s="69">
        <f t="shared" si="24"/>
        <v>45903</v>
      </c>
      <c r="J112" s="69" t="str">
        <f t="shared" si="20"/>
        <v>Jul</v>
      </c>
      <c r="K112" s="216" t="str">
        <f t="shared" ca="1" si="13"/>
        <v/>
      </c>
      <c r="L112" s="67" t="s">
        <v>4</v>
      </c>
      <c r="M112" s="67"/>
      <c r="N112" s="67">
        <v>45846</v>
      </c>
      <c r="O112" s="152">
        <f t="shared" si="14"/>
        <v>0</v>
      </c>
      <c r="P112" s="12" t="str">
        <f t="shared" si="15"/>
        <v>Yes</v>
      </c>
      <c r="Q112" s="75"/>
      <c r="R112" s="70" t="s">
        <v>39</v>
      </c>
      <c r="S112" s="68" t="s">
        <v>40</v>
      </c>
      <c r="T112" s="66"/>
      <c r="U112" s="75"/>
      <c r="V112" s="66"/>
      <c r="W112" s="66"/>
      <c r="AV112" s="139" t="str">
        <v>Quarter 2</v>
      </c>
    </row>
    <row r="113" spans="1:48" ht="30" customHeight="1" x14ac:dyDescent="0.35">
      <c r="A113" s="214">
        <v>112</v>
      </c>
      <c r="B113" s="66" t="s">
        <v>493</v>
      </c>
      <c r="C113" s="66" t="s">
        <v>5</v>
      </c>
      <c r="D113" s="66" t="s">
        <v>1170</v>
      </c>
      <c r="E113" s="69">
        <v>45847</v>
      </c>
      <c r="F113" s="69">
        <f t="shared" si="21"/>
        <v>45848</v>
      </c>
      <c r="G113" s="69">
        <f t="shared" si="22"/>
        <v>45861</v>
      </c>
      <c r="H113" s="69">
        <f t="shared" si="23"/>
        <v>45875</v>
      </c>
      <c r="I113" s="69">
        <f t="shared" si="24"/>
        <v>45904</v>
      </c>
      <c r="J113" s="69" t="str">
        <f t="shared" si="20"/>
        <v>Jul</v>
      </c>
      <c r="K113" s="216" t="str">
        <f t="shared" ca="1" si="13"/>
        <v/>
      </c>
      <c r="L113" s="67" t="s">
        <v>10</v>
      </c>
      <c r="M113" s="67"/>
      <c r="N113" s="67">
        <v>45852</v>
      </c>
      <c r="O113" s="152">
        <f t="shared" si="14"/>
        <v>3</v>
      </c>
      <c r="P113" s="12" t="str">
        <f t="shared" si="15"/>
        <v>Yes</v>
      </c>
      <c r="Q113" s="75"/>
      <c r="R113" s="70" t="s">
        <v>39</v>
      </c>
      <c r="S113" s="68" t="s">
        <v>40</v>
      </c>
      <c r="T113" s="66"/>
      <c r="U113" s="75" t="s">
        <v>1151</v>
      </c>
      <c r="V113" s="66"/>
      <c r="W113" s="66"/>
      <c r="AV113" s="139" t="str">
        <v>Quarter 2</v>
      </c>
    </row>
    <row r="114" spans="1:48" ht="30" customHeight="1" x14ac:dyDescent="0.35">
      <c r="A114" s="214">
        <v>113</v>
      </c>
      <c r="B114" s="5" t="s">
        <v>1172</v>
      </c>
      <c r="C114" s="5" t="s">
        <v>5</v>
      </c>
      <c r="D114" s="5" t="s">
        <v>1282</v>
      </c>
      <c r="E114" s="69">
        <v>45847</v>
      </c>
      <c r="F114" s="69">
        <f t="shared" si="21"/>
        <v>45848</v>
      </c>
      <c r="G114" s="69">
        <f t="shared" si="22"/>
        <v>45861</v>
      </c>
      <c r="H114" s="69">
        <f t="shared" si="23"/>
        <v>45875</v>
      </c>
      <c r="I114" s="69">
        <f t="shared" si="24"/>
        <v>45904</v>
      </c>
      <c r="J114" s="69" t="str">
        <f t="shared" si="20"/>
        <v>Jul</v>
      </c>
      <c r="K114" s="216" t="str">
        <f t="shared" ca="1" si="13"/>
        <v/>
      </c>
      <c r="L114" s="67" t="s">
        <v>10</v>
      </c>
      <c r="M114" s="67"/>
      <c r="N114" s="67">
        <v>45861</v>
      </c>
      <c r="O114" s="152">
        <f t="shared" si="14"/>
        <v>10</v>
      </c>
      <c r="P114" s="12" t="str">
        <f t="shared" si="15"/>
        <v>Yes</v>
      </c>
      <c r="Q114" s="75"/>
      <c r="R114" s="70" t="s">
        <v>39</v>
      </c>
      <c r="S114" s="68" t="s">
        <v>62</v>
      </c>
      <c r="T114" s="66"/>
      <c r="U114" s="75"/>
      <c r="V114" s="66"/>
      <c r="W114" s="66"/>
      <c r="AV114" s="139" t="str">
        <v>Quarter 2</v>
      </c>
    </row>
    <row r="115" spans="1:48" ht="30" customHeight="1" x14ac:dyDescent="0.35">
      <c r="A115" s="214">
        <v>114</v>
      </c>
      <c r="B115" s="66" t="s">
        <v>1283</v>
      </c>
      <c r="C115" s="66" t="s">
        <v>9</v>
      </c>
      <c r="D115" s="66" t="s">
        <v>1284</v>
      </c>
      <c r="E115" s="69">
        <v>45846</v>
      </c>
      <c r="F115" s="69">
        <f t="shared" si="21"/>
        <v>45847</v>
      </c>
      <c r="G115" s="69">
        <f t="shared" si="22"/>
        <v>45860</v>
      </c>
      <c r="H115" s="69">
        <f t="shared" si="23"/>
        <v>45874</v>
      </c>
      <c r="I115" s="69">
        <f t="shared" si="24"/>
        <v>45903</v>
      </c>
      <c r="J115" s="69" t="str">
        <f t="shared" si="20"/>
        <v>Jul</v>
      </c>
      <c r="K115" s="216" t="str">
        <f t="shared" ca="1" si="13"/>
        <v/>
      </c>
      <c r="L115" s="67" t="s">
        <v>10</v>
      </c>
      <c r="M115" s="67"/>
      <c r="N115" s="67">
        <v>45862</v>
      </c>
      <c r="O115" s="152">
        <f t="shared" si="14"/>
        <v>12</v>
      </c>
      <c r="P115" s="12" t="str">
        <f t="shared" si="15"/>
        <v>Yes</v>
      </c>
      <c r="Q115" s="75"/>
      <c r="R115" s="70" t="s">
        <v>39</v>
      </c>
      <c r="S115" s="68" t="s">
        <v>40</v>
      </c>
      <c r="T115" s="66"/>
      <c r="U115" s="75"/>
      <c r="V115" s="66"/>
      <c r="W115" s="66"/>
      <c r="AV115" s="139" t="str">
        <v>Quarter 2</v>
      </c>
    </row>
    <row r="116" spans="1:48" ht="30" customHeight="1" x14ac:dyDescent="0.35">
      <c r="A116" s="214">
        <v>115</v>
      </c>
      <c r="B116" s="66" t="s">
        <v>1285</v>
      </c>
      <c r="C116" s="66" t="s">
        <v>9</v>
      </c>
      <c r="D116" s="66" t="s">
        <v>1286</v>
      </c>
      <c r="E116" s="69">
        <v>45847</v>
      </c>
      <c r="F116" s="69">
        <f t="shared" si="21"/>
        <v>45848</v>
      </c>
      <c r="G116" s="69">
        <f t="shared" si="22"/>
        <v>45861</v>
      </c>
      <c r="H116" s="69">
        <f t="shared" si="23"/>
        <v>45875</v>
      </c>
      <c r="I116" s="69">
        <f t="shared" si="24"/>
        <v>45904</v>
      </c>
      <c r="J116" s="69" t="str">
        <f t="shared" si="20"/>
        <v>Jul</v>
      </c>
      <c r="K116" s="216" t="str">
        <f t="shared" ca="1" si="13"/>
        <v/>
      </c>
      <c r="L116" s="67" t="s">
        <v>10</v>
      </c>
      <c r="M116" s="67"/>
      <c r="N116" s="67">
        <v>45867</v>
      </c>
      <c r="O116" s="152">
        <f t="shared" si="14"/>
        <v>14</v>
      </c>
      <c r="P116" s="12" t="str">
        <f t="shared" si="15"/>
        <v>Yes</v>
      </c>
      <c r="Q116" s="75"/>
      <c r="R116" s="70" t="s">
        <v>39</v>
      </c>
      <c r="S116" s="68" t="s">
        <v>40</v>
      </c>
      <c r="T116" s="66"/>
      <c r="U116" s="75"/>
      <c r="V116" s="66"/>
      <c r="W116" s="66"/>
      <c r="AV116" s="139" t="str">
        <v>Quarter 2</v>
      </c>
    </row>
    <row r="117" spans="1:48" ht="30" customHeight="1" x14ac:dyDescent="0.35">
      <c r="A117" s="214">
        <v>116</v>
      </c>
      <c r="B117" s="66" t="s">
        <v>1287</v>
      </c>
      <c r="C117" s="66" t="s">
        <v>11</v>
      </c>
      <c r="D117" s="66" t="s">
        <v>1216</v>
      </c>
      <c r="E117" s="69">
        <v>45848</v>
      </c>
      <c r="F117" s="69">
        <f t="shared" si="21"/>
        <v>45849</v>
      </c>
      <c r="G117" s="69">
        <f t="shared" si="22"/>
        <v>45862</v>
      </c>
      <c r="H117" s="69">
        <f t="shared" si="23"/>
        <v>45876</v>
      </c>
      <c r="I117" s="69">
        <f t="shared" si="24"/>
        <v>45905</v>
      </c>
      <c r="J117" s="69" t="str">
        <f t="shared" si="20"/>
        <v>Jul</v>
      </c>
      <c r="K117" s="216" t="str">
        <f t="shared" ca="1" si="13"/>
        <v/>
      </c>
      <c r="L117" s="67" t="s">
        <v>4</v>
      </c>
      <c r="M117" s="67"/>
      <c r="N117" s="67">
        <v>45880</v>
      </c>
      <c r="O117" s="152">
        <f t="shared" si="14"/>
        <v>22</v>
      </c>
      <c r="P117" s="12" t="str">
        <f t="shared" si="15"/>
        <v>No</v>
      </c>
      <c r="Q117" s="75"/>
      <c r="R117" s="70" t="s">
        <v>39</v>
      </c>
      <c r="S117" s="68" t="s">
        <v>40</v>
      </c>
      <c r="T117" s="66"/>
      <c r="U117" s="75" t="s">
        <v>1147</v>
      </c>
      <c r="V117" s="66" t="s">
        <v>46</v>
      </c>
      <c r="W117" s="66"/>
      <c r="AV117" s="139" t="str">
        <v>Quarter 2</v>
      </c>
    </row>
    <row r="118" spans="1:48" ht="30" customHeight="1" x14ac:dyDescent="0.35">
      <c r="A118" s="214">
        <v>117</v>
      </c>
      <c r="B118" s="66" t="s">
        <v>6</v>
      </c>
      <c r="C118" s="66" t="s">
        <v>6</v>
      </c>
      <c r="D118" s="66" t="s">
        <v>1288</v>
      </c>
      <c r="E118" s="69">
        <v>45848</v>
      </c>
      <c r="F118" s="69">
        <f t="shared" si="21"/>
        <v>45849</v>
      </c>
      <c r="G118" s="69">
        <f t="shared" si="22"/>
        <v>45862</v>
      </c>
      <c r="H118" s="69">
        <f t="shared" si="23"/>
        <v>45876</v>
      </c>
      <c r="I118" s="69">
        <f t="shared" si="24"/>
        <v>45905</v>
      </c>
      <c r="J118" s="69" t="str">
        <f t="shared" si="20"/>
        <v>Jul</v>
      </c>
      <c r="K118" s="216" t="str">
        <f t="shared" ca="1" si="13"/>
        <v/>
      </c>
      <c r="L118" s="67" t="s">
        <v>10</v>
      </c>
      <c r="M118" s="67"/>
      <c r="N118" s="67">
        <v>45873</v>
      </c>
      <c r="O118" s="152">
        <f t="shared" si="14"/>
        <v>17</v>
      </c>
      <c r="P118" s="12" t="str">
        <f t="shared" si="15"/>
        <v>Yes</v>
      </c>
      <c r="Q118" s="75"/>
      <c r="R118" s="70" t="s">
        <v>39</v>
      </c>
      <c r="S118" s="68" t="s">
        <v>40</v>
      </c>
      <c r="T118" s="66"/>
      <c r="U118" s="75"/>
      <c r="V118" s="66"/>
      <c r="W118" s="66"/>
      <c r="AV118" s="139" t="str">
        <v>Quarter 2</v>
      </c>
    </row>
    <row r="119" spans="1:48" ht="30" customHeight="1" x14ac:dyDescent="0.35">
      <c r="A119" s="214">
        <v>118</v>
      </c>
      <c r="B119" s="5" t="s">
        <v>1289</v>
      </c>
      <c r="C119" s="5" t="s">
        <v>9</v>
      </c>
      <c r="D119" s="5" t="s">
        <v>1290</v>
      </c>
      <c r="E119" s="69">
        <v>45849</v>
      </c>
      <c r="F119" s="69">
        <f t="shared" si="21"/>
        <v>45852</v>
      </c>
      <c r="G119" s="69">
        <f t="shared" si="22"/>
        <v>45863</v>
      </c>
      <c r="H119" s="69">
        <f t="shared" si="23"/>
        <v>45877</v>
      </c>
      <c r="I119" s="69">
        <f t="shared" si="24"/>
        <v>45908</v>
      </c>
      <c r="J119" s="69" t="str">
        <f t="shared" si="20"/>
        <v>Jul</v>
      </c>
      <c r="K119" s="216" t="str">
        <f t="shared" ca="1" si="13"/>
        <v/>
      </c>
      <c r="L119" s="67" t="s">
        <v>10</v>
      </c>
      <c r="M119" s="67"/>
      <c r="N119" s="67">
        <v>45851</v>
      </c>
      <c r="O119" s="152">
        <f t="shared" si="14"/>
        <v>0</v>
      </c>
      <c r="P119" s="12" t="str">
        <f t="shared" si="15"/>
        <v>Yes</v>
      </c>
      <c r="Q119" s="75"/>
      <c r="R119" s="70" t="s">
        <v>39</v>
      </c>
      <c r="S119" s="68" t="s">
        <v>40</v>
      </c>
      <c r="T119" s="66"/>
      <c r="U119" s="75"/>
      <c r="V119" s="66"/>
      <c r="W119" s="66"/>
      <c r="AV119" s="139" t="str">
        <v>Quarter 2</v>
      </c>
    </row>
    <row r="120" spans="1:48" ht="30" customHeight="1" x14ac:dyDescent="0.35">
      <c r="A120" s="214">
        <v>119</v>
      </c>
      <c r="B120" s="66" t="s">
        <v>1291</v>
      </c>
      <c r="C120" s="66" t="s">
        <v>12</v>
      </c>
      <c r="D120" s="66" t="s">
        <v>1292</v>
      </c>
      <c r="E120" s="69">
        <v>45852</v>
      </c>
      <c r="F120" s="69">
        <f t="shared" si="21"/>
        <v>45853</v>
      </c>
      <c r="G120" s="69">
        <f t="shared" si="22"/>
        <v>45866</v>
      </c>
      <c r="H120" s="69">
        <f t="shared" si="23"/>
        <v>45880</v>
      </c>
      <c r="I120" s="69">
        <f t="shared" si="24"/>
        <v>45909</v>
      </c>
      <c r="J120" s="69" t="str">
        <f t="shared" si="20"/>
        <v>Jul</v>
      </c>
      <c r="K120" s="216" t="str">
        <f t="shared" ca="1" si="13"/>
        <v/>
      </c>
      <c r="L120" s="67" t="s">
        <v>4</v>
      </c>
      <c r="M120" s="67"/>
      <c r="N120" s="67">
        <v>45852</v>
      </c>
      <c r="O120" s="152">
        <f t="shared" si="14"/>
        <v>0</v>
      </c>
      <c r="P120" s="12" t="str">
        <f t="shared" si="15"/>
        <v>Yes</v>
      </c>
      <c r="Q120" s="75"/>
      <c r="R120" s="70" t="s">
        <v>39</v>
      </c>
      <c r="S120" s="68" t="s">
        <v>62</v>
      </c>
      <c r="T120" s="66"/>
      <c r="U120" s="75"/>
      <c r="V120" s="66"/>
      <c r="W120" s="66"/>
      <c r="AV120" s="139" t="str">
        <v>Quarter 2</v>
      </c>
    </row>
    <row r="121" spans="1:48" ht="30" customHeight="1" x14ac:dyDescent="0.35">
      <c r="A121" s="214">
        <v>120</v>
      </c>
      <c r="B121" s="66" t="s">
        <v>1293</v>
      </c>
      <c r="C121" s="66" t="s">
        <v>9</v>
      </c>
      <c r="D121" s="66" t="s">
        <v>1294</v>
      </c>
      <c r="E121" s="69">
        <v>45852</v>
      </c>
      <c r="F121" s="69">
        <f t="shared" si="21"/>
        <v>45853</v>
      </c>
      <c r="G121" s="69">
        <f t="shared" si="22"/>
        <v>45866</v>
      </c>
      <c r="H121" s="69">
        <f t="shared" si="23"/>
        <v>45880</v>
      </c>
      <c r="I121" s="69">
        <f t="shared" si="24"/>
        <v>45909</v>
      </c>
      <c r="J121" s="69" t="str">
        <f t="shared" si="20"/>
        <v>Jul</v>
      </c>
      <c r="K121" s="216" t="str">
        <f t="shared" ca="1" si="13"/>
        <v/>
      </c>
      <c r="L121" s="67" t="s">
        <v>10</v>
      </c>
      <c r="M121" s="67"/>
      <c r="N121" s="67">
        <v>45867</v>
      </c>
      <c r="O121" s="152">
        <f t="shared" si="14"/>
        <v>11</v>
      </c>
      <c r="P121" s="12" t="str">
        <f t="shared" si="15"/>
        <v>Yes</v>
      </c>
      <c r="Q121" s="75"/>
      <c r="R121" s="70" t="s">
        <v>39</v>
      </c>
      <c r="S121" s="68" t="s">
        <v>40</v>
      </c>
      <c r="T121" s="66"/>
      <c r="U121" s="75"/>
      <c r="V121" s="66"/>
      <c r="W121" s="66"/>
      <c r="AV121" s="139" t="str">
        <v>Quarter 2</v>
      </c>
    </row>
    <row r="122" spans="1:48" ht="30" customHeight="1" x14ac:dyDescent="0.35">
      <c r="A122" s="214">
        <v>121</v>
      </c>
      <c r="B122" s="66" t="s">
        <v>55</v>
      </c>
      <c r="C122" s="66" t="s">
        <v>13</v>
      </c>
      <c r="D122" s="66" t="s">
        <v>1295</v>
      </c>
      <c r="E122" s="69">
        <v>45853</v>
      </c>
      <c r="F122" s="69">
        <f t="shared" si="21"/>
        <v>45854</v>
      </c>
      <c r="G122" s="69">
        <f t="shared" si="22"/>
        <v>45867</v>
      </c>
      <c r="H122" s="69">
        <f t="shared" si="23"/>
        <v>45881</v>
      </c>
      <c r="I122" s="69">
        <f t="shared" si="24"/>
        <v>45910</v>
      </c>
      <c r="J122" s="69" t="str">
        <f t="shared" si="20"/>
        <v>Jul</v>
      </c>
      <c r="K122" s="216" t="str">
        <f t="shared" ca="1" si="13"/>
        <v/>
      </c>
      <c r="L122" s="67" t="s">
        <v>10</v>
      </c>
      <c r="M122" s="67"/>
      <c r="N122" s="67">
        <v>45875</v>
      </c>
      <c r="O122" s="152">
        <f t="shared" si="14"/>
        <v>16</v>
      </c>
      <c r="P122" s="12" t="str">
        <f t="shared" si="15"/>
        <v>Yes</v>
      </c>
      <c r="Q122" s="75"/>
      <c r="R122" s="70" t="s">
        <v>39</v>
      </c>
      <c r="S122" s="68" t="s">
        <v>40</v>
      </c>
      <c r="T122" s="66"/>
      <c r="U122" s="75"/>
      <c r="V122" s="66" t="s">
        <v>46</v>
      </c>
      <c r="W122" s="66"/>
      <c r="AV122" s="139" t="str">
        <v>Quarter 2</v>
      </c>
    </row>
    <row r="123" spans="1:48" ht="30" customHeight="1" x14ac:dyDescent="0.35">
      <c r="A123" s="214">
        <v>122</v>
      </c>
      <c r="B123" s="66" t="s">
        <v>6</v>
      </c>
      <c r="C123" s="66" t="s">
        <v>6</v>
      </c>
      <c r="D123" s="66" t="s">
        <v>1145</v>
      </c>
      <c r="E123" s="69">
        <v>45856</v>
      </c>
      <c r="F123" s="69">
        <f t="shared" si="21"/>
        <v>45859</v>
      </c>
      <c r="G123" s="69">
        <f t="shared" si="22"/>
        <v>45870</v>
      </c>
      <c r="H123" s="69">
        <f t="shared" si="23"/>
        <v>45884</v>
      </c>
      <c r="I123" s="69">
        <f t="shared" si="24"/>
        <v>45915</v>
      </c>
      <c r="J123" s="69" t="str">
        <f t="shared" si="20"/>
        <v>Jul</v>
      </c>
      <c r="K123" s="216" t="str">
        <f t="shared" ca="1" si="13"/>
        <v/>
      </c>
      <c r="L123" s="67" t="s">
        <v>10</v>
      </c>
      <c r="M123" s="67"/>
      <c r="N123" s="67">
        <v>45881</v>
      </c>
      <c r="O123" s="152">
        <f t="shared" si="14"/>
        <v>17</v>
      </c>
      <c r="P123" s="12" t="str">
        <f t="shared" si="15"/>
        <v>Yes</v>
      </c>
      <c r="Q123" s="75"/>
      <c r="R123" s="70" t="s">
        <v>39</v>
      </c>
      <c r="S123" s="68" t="s">
        <v>40</v>
      </c>
      <c r="T123" s="66"/>
      <c r="U123" s="75"/>
      <c r="V123" s="66" t="s">
        <v>46</v>
      </c>
      <c r="W123" s="66"/>
      <c r="AV123" s="139" t="str">
        <v>Quarter 2</v>
      </c>
    </row>
    <row r="124" spans="1:48" ht="30" customHeight="1" x14ac:dyDescent="0.35">
      <c r="A124" s="214">
        <v>123</v>
      </c>
      <c r="B124" s="66" t="s">
        <v>6</v>
      </c>
      <c r="C124" s="66" t="s">
        <v>6</v>
      </c>
      <c r="D124" s="66" t="s">
        <v>1296</v>
      </c>
      <c r="E124" s="69"/>
      <c r="F124" s="69"/>
      <c r="G124" s="69"/>
      <c r="H124" s="69"/>
      <c r="I124" s="69"/>
      <c r="J124" s="69" t="s">
        <v>484</v>
      </c>
      <c r="K124" s="216" t="str">
        <f t="shared" ca="1" si="13"/>
        <v/>
      </c>
      <c r="L124" s="67" t="s">
        <v>10</v>
      </c>
      <c r="M124" s="67"/>
      <c r="N124" s="67"/>
      <c r="O124" s="152" t="str">
        <f t="shared" si="14"/>
        <v/>
      </c>
      <c r="P124" s="12" t="str">
        <f t="shared" si="15"/>
        <v/>
      </c>
      <c r="Q124" s="75"/>
      <c r="R124" s="70" t="s">
        <v>52</v>
      </c>
      <c r="S124" s="68" t="s">
        <v>52</v>
      </c>
      <c r="T124" s="66"/>
      <c r="U124" s="75"/>
      <c r="V124" s="66"/>
      <c r="W124" s="66"/>
      <c r="AV124" s="139" t="str">
        <v>Quarter 2</v>
      </c>
    </row>
    <row r="125" spans="1:48" ht="30" customHeight="1" x14ac:dyDescent="0.35">
      <c r="A125" s="214">
        <v>124</v>
      </c>
      <c r="B125" s="66" t="s">
        <v>55</v>
      </c>
      <c r="C125" s="66" t="s">
        <v>13</v>
      </c>
      <c r="D125" s="66" t="s">
        <v>1297</v>
      </c>
      <c r="E125" s="69">
        <v>45859</v>
      </c>
      <c r="F125" s="69">
        <f t="shared" ref="F125:F156" si="25">IF($E125="","",WORKDAY($E125,1,$Z$33:$Z$47))</f>
        <v>45860</v>
      </c>
      <c r="G125" s="69">
        <f t="shared" ref="G125:G156" si="26">IF($E125="","",WORKDAY($E125,10,$Z$33:$Z$47))</f>
        <v>45873</v>
      </c>
      <c r="H125" s="69">
        <f t="shared" ref="H125:H156" si="27">IF($E125="","",WORKDAY($E125,20,$Z$33:$Z$47))</f>
        <v>45887</v>
      </c>
      <c r="I125" s="69">
        <f t="shared" ref="I125:I156" si="28">IF($E125="","",WORKDAY($E125,40,$Z$33:$Z$47))</f>
        <v>45916</v>
      </c>
      <c r="J125" s="69" t="str">
        <f t="shared" si="20"/>
        <v>Jul</v>
      </c>
      <c r="K125" s="216" t="str">
        <f t="shared" ca="1" si="13"/>
        <v/>
      </c>
      <c r="L125" s="67" t="s">
        <v>4</v>
      </c>
      <c r="M125" s="67"/>
      <c r="N125" s="67">
        <v>45880</v>
      </c>
      <c r="O125" s="152">
        <f t="shared" si="14"/>
        <v>15</v>
      </c>
      <c r="P125" s="12" t="str">
        <f t="shared" si="15"/>
        <v>Yes</v>
      </c>
      <c r="Q125" s="75"/>
      <c r="R125" s="70" t="s">
        <v>39</v>
      </c>
      <c r="S125" s="68" t="s">
        <v>40</v>
      </c>
      <c r="T125" s="66"/>
      <c r="U125" s="75"/>
      <c r="V125" s="66"/>
      <c r="W125" s="66"/>
      <c r="AV125" s="139" t="str">
        <v>Quarter 2</v>
      </c>
    </row>
    <row r="126" spans="1:48" ht="30" customHeight="1" x14ac:dyDescent="0.35">
      <c r="A126" s="214">
        <v>125</v>
      </c>
      <c r="B126" s="66" t="s">
        <v>1298</v>
      </c>
      <c r="C126" s="66" t="s">
        <v>9</v>
      </c>
      <c r="D126" s="66" t="s">
        <v>1299</v>
      </c>
      <c r="E126" s="69">
        <v>45859</v>
      </c>
      <c r="F126" s="69">
        <f t="shared" si="25"/>
        <v>45860</v>
      </c>
      <c r="G126" s="69">
        <f t="shared" si="26"/>
        <v>45873</v>
      </c>
      <c r="H126" s="69">
        <f t="shared" si="27"/>
        <v>45887</v>
      </c>
      <c r="I126" s="69">
        <f t="shared" si="28"/>
        <v>45916</v>
      </c>
      <c r="J126" s="69" t="str">
        <f t="shared" si="20"/>
        <v>Jul</v>
      </c>
      <c r="K126" s="216" t="str">
        <f t="shared" ca="1" si="13"/>
        <v/>
      </c>
      <c r="L126" s="67" t="s">
        <v>10</v>
      </c>
      <c r="M126" s="67"/>
      <c r="N126" s="67">
        <v>45866</v>
      </c>
      <c r="O126" s="152">
        <f t="shared" si="14"/>
        <v>5</v>
      </c>
      <c r="P126" s="12" t="str">
        <f t="shared" si="15"/>
        <v>Yes</v>
      </c>
      <c r="Q126" s="75"/>
      <c r="R126" s="70" t="s">
        <v>39</v>
      </c>
      <c r="S126" s="68" t="s">
        <v>40</v>
      </c>
      <c r="T126" s="66"/>
      <c r="U126" s="75"/>
      <c r="V126" s="66" t="s">
        <v>46</v>
      </c>
      <c r="W126" s="66"/>
      <c r="AV126" s="139" t="str">
        <v>Quarter 2</v>
      </c>
    </row>
    <row r="127" spans="1:48" ht="30" customHeight="1" x14ac:dyDescent="0.35">
      <c r="A127" s="214">
        <v>126</v>
      </c>
      <c r="B127" s="66" t="s">
        <v>6</v>
      </c>
      <c r="C127" s="66" t="s">
        <v>6</v>
      </c>
      <c r="D127" s="66" t="s">
        <v>1145</v>
      </c>
      <c r="E127" s="69">
        <v>45859</v>
      </c>
      <c r="F127" s="69">
        <f t="shared" si="25"/>
        <v>45860</v>
      </c>
      <c r="G127" s="69">
        <f t="shared" si="26"/>
        <v>45873</v>
      </c>
      <c r="H127" s="69">
        <f t="shared" si="27"/>
        <v>45887</v>
      </c>
      <c r="I127" s="69">
        <f t="shared" si="28"/>
        <v>45916</v>
      </c>
      <c r="J127" s="69" t="str">
        <f t="shared" si="20"/>
        <v>Jul</v>
      </c>
      <c r="K127" s="216" t="str">
        <f t="shared" ca="1" si="13"/>
        <v/>
      </c>
      <c r="L127" s="67" t="s">
        <v>10</v>
      </c>
      <c r="M127" s="67"/>
      <c r="N127" s="67">
        <v>45869</v>
      </c>
      <c r="O127" s="152">
        <f t="shared" si="14"/>
        <v>8</v>
      </c>
      <c r="P127" s="12" t="str">
        <f t="shared" si="15"/>
        <v>Yes</v>
      </c>
      <c r="Q127" s="75"/>
      <c r="R127" s="70" t="s">
        <v>39</v>
      </c>
      <c r="S127" s="68" t="s">
        <v>40</v>
      </c>
      <c r="T127" s="66"/>
      <c r="U127" s="75"/>
      <c r="V127" s="66" t="s">
        <v>46</v>
      </c>
      <c r="W127" s="66"/>
      <c r="AV127" s="139" t="str">
        <v>Quarter 2</v>
      </c>
    </row>
    <row r="128" spans="1:48" ht="30" customHeight="1" x14ac:dyDescent="0.35">
      <c r="A128" s="214">
        <v>127</v>
      </c>
      <c r="B128" s="66" t="s">
        <v>6</v>
      </c>
      <c r="C128" s="66" t="s">
        <v>6</v>
      </c>
      <c r="D128" s="66" t="s">
        <v>1300</v>
      </c>
      <c r="E128" s="69">
        <v>45859</v>
      </c>
      <c r="F128" s="69">
        <f t="shared" si="25"/>
        <v>45860</v>
      </c>
      <c r="G128" s="69">
        <f t="shared" si="26"/>
        <v>45873</v>
      </c>
      <c r="H128" s="69">
        <f t="shared" si="27"/>
        <v>45887</v>
      </c>
      <c r="I128" s="69">
        <f t="shared" si="28"/>
        <v>45916</v>
      </c>
      <c r="J128" s="69" t="str">
        <f t="shared" si="20"/>
        <v>Jul</v>
      </c>
      <c r="K128" s="216" t="str">
        <f t="shared" ca="1" si="13"/>
        <v/>
      </c>
      <c r="L128" s="67" t="s">
        <v>10</v>
      </c>
      <c r="M128" s="67"/>
      <c r="N128" s="67">
        <v>45867</v>
      </c>
      <c r="O128" s="152">
        <f t="shared" si="14"/>
        <v>6</v>
      </c>
      <c r="P128" s="12" t="str">
        <f t="shared" si="15"/>
        <v>Yes</v>
      </c>
      <c r="Q128" s="75"/>
      <c r="R128" s="70" t="s">
        <v>39</v>
      </c>
      <c r="S128" s="68" t="s">
        <v>40</v>
      </c>
      <c r="T128" s="66"/>
      <c r="U128" s="75"/>
      <c r="V128" s="66" t="s">
        <v>46</v>
      </c>
      <c r="W128" s="66"/>
      <c r="AV128" s="139" t="str">
        <v>Quarter 2</v>
      </c>
    </row>
    <row r="129" spans="1:48" ht="30" customHeight="1" x14ac:dyDescent="0.35">
      <c r="A129" s="214">
        <v>128</v>
      </c>
      <c r="B129" s="66" t="s">
        <v>1301</v>
      </c>
      <c r="C129" s="66" t="s">
        <v>5</v>
      </c>
      <c r="D129" s="66" t="s">
        <v>1302</v>
      </c>
      <c r="E129" s="69">
        <v>45861</v>
      </c>
      <c r="F129" s="69">
        <f t="shared" si="25"/>
        <v>45862</v>
      </c>
      <c r="G129" s="69">
        <f t="shared" si="26"/>
        <v>45875</v>
      </c>
      <c r="H129" s="69">
        <f t="shared" si="27"/>
        <v>45889</v>
      </c>
      <c r="I129" s="69">
        <f t="shared" si="28"/>
        <v>45918</v>
      </c>
      <c r="J129" s="69" t="str">
        <f t="shared" si="20"/>
        <v>Jul</v>
      </c>
      <c r="K129" s="216" t="str">
        <f t="shared" ca="1" si="13"/>
        <v/>
      </c>
      <c r="L129" s="67" t="s">
        <v>10</v>
      </c>
      <c r="M129" s="67"/>
      <c r="N129" s="67">
        <v>45866</v>
      </c>
      <c r="O129" s="152">
        <f t="shared" si="14"/>
        <v>3</v>
      </c>
      <c r="P129" s="12" t="str">
        <f t="shared" si="15"/>
        <v>Yes</v>
      </c>
      <c r="Q129" s="75"/>
      <c r="R129" s="70" t="s">
        <v>39</v>
      </c>
      <c r="S129" s="68" t="s">
        <v>40</v>
      </c>
      <c r="T129" s="66"/>
      <c r="U129" s="75"/>
      <c r="V129" s="66"/>
      <c r="W129" s="66"/>
      <c r="AV129" s="139" t="str">
        <v>Quarter 2</v>
      </c>
    </row>
    <row r="130" spans="1:48" ht="30" customHeight="1" x14ac:dyDescent="0.35">
      <c r="A130" s="214">
        <v>129</v>
      </c>
      <c r="B130" s="5" t="s">
        <v>1303</v>
      </c>
      <c r="C130" s="5" t="s">
        <v>11</v>
      </c>
      <c r="D130" s="66" t="s">
        <v>1304</v>
      </c>
      <c r="E130" s="69">
        <v>45861</v>
      </c>
      <c r="F130" s="69">
        <f t="shared" si="25"/>
        <v>45862</v>
      </c>
      <c r="G130" s="69">
        <f t="shared" si="26"/>
        <v>45875</v>
      </c>
      <c r="H130" s="69">
        <f t="shared" si="27"/>
        <v>45889</v>
      </c>
      <c r="I130" s="69">
        <f t="shared" si="28"/>
        <v>45918</v>
      </c>
      <c r="J130" s="69" t="str">
        <f t="shared" si="20"/>
        <v>Jul</v>
      </c>
      <c r="K130" s="216" t="str">
        <f t="shared" ref="K130:K193" ca="1" si="29">IF($E130="","",IF($N130="",$H130-TODAY(),""))</f>
        <v/>
      </c>
      <c r="L130" s="67" t="s">
        <v>10</v>
      </c>
      <c r="M130" s="67"/>
      <c r="N130" s="67">
        <v>45862</v>
      </c>
      <c r="O130" s="152">
        <f t="shared" ref="O130:O193" si="30">IF($N130="","",NETWORKDAYS($E130,$N130,$Z$33:$Z$47)-1)</f>
        <v>1</v>
      </c>
      <c r="P130" s="12" t="str">
        <f t="shared" si="15"/>
        <v>Yes</v>
      </c>
      <c r="Q130" s="75"/>
      <c r="R130" s="70" t="s">
        <v>39</v>
      </c>
      <c r="S130" s="68" t="s">
        <v>40</v>
      </c>
      <c r="T130" s="66"/>
      <c r="U130" s="75" t="s">
        <v>1147</v>
      </c>
      <c r="V130" s="66" t="s">
        <v>46</v>
      </c>
      <c r="W130" s="66"/>
      <c r="AV130" s="139" t="str">
        <v>Quarter 2</v>
      </c>
    </row>
    <row r="131" spans="1:48" ht="30" customHeight="1" x14ac:dyDescent="0.35">
      <c r="A131" s="214">
        <v>130</v>
      </c>
      <c r="B131" s="66" t="s">
        <v>55</v>
      </c>
      <c r="C131" s="66" t="s">
        <v>13</v>
      </c>
      <c r="D131" s="66" t="s">
        <v>1305</v>
      </c>
      <c r="E131" s="69">
        <v>45862</v>
      </c>
      <c r="F131" s="69">
        <f t="shared" si="25"/>
        <v>45863</v>
      </c>
      <c r="G131" s="69">
        <f t="shared" si="26"/>
        <v>45876</v>
      </c>
      <c r="H131" s="69">
        <f t="shared" si="27"/>
        <v>45890</v>
      </c>
      <c r="I131" s="69">
        <f t="shared" si="28"/>
        <v>45919</v>
      </c>
      <c r="J131" s="69" t="str">
        <f t="shared" si="20"/>
        <v>Jul</v>
      </c>
      <c r="K131" s="216" t="str">
        <f t="shared" ca="1" si="29"/>
        <v/>
      </c>
      <c r="L131" s="67" t="s">
        <v>10</v>
      </c>
      <c r="M131" s="67"/>
      <c r="N131" s="67">
        <v>45876</v>
      </c>
      <c r="O131" s="152">
        <f t="shared" si="30"/>
        <v>10</v>
      </c>
      <c r="P131" s="12" t="str">
        <f t="shared" ref="P131:P194" si="31">IF(ISBLANK($N131),"",IF($O131&lt;21,"Yes","No"))</f>
        <v>Yes</v>
      </c>
      <c r="Q131" s="75"/>
      <c r="R131" s="70" t="s">
        <v>39</v>
      </c>
      <c r="S131" s="68" t="s">
        <v>40</v>
      </c>
      <c r="T131" s="66"/>
      <c r="U131" s="75" t="s">
        <v>1147</v>
      </c>
      <c r="V131" s="66" t="s">
        <v>46</v>
      </c>
      <c r="W131" s="66"/>
      <c r="AV131" s="139" t="str">
        <v>Quarter 2</v>
      </c>
    </row>
    <row r="132" spans="1:48" ht="30" customHeight="1" x14ac:dyDescent="0.35">
      <c r="A132" s="214">
        <v>131</v>
      </c>
      <c r="B132" s="66" t="s">
        <v>6</v>
      </c>
      <c r="C132" s="66" t="s">
        <v>6</v>
      </c>
      <c r="D132" s="66" t="s">
        <v>1184</v>
      </c>
      <c r="E132" s="69">
        <v>45863</v>
      </c>
      <c r="F132" s="69">
        <f t="shared" si="25"/>
        <v>45866</v>
      </c>
      <c r="G132" s="69">
        <f t="shared" si="26"/>
        <v>45877</v>
      </c>
      <c r="H132" s="69">
        <f t="shared" si="27"/>
        <v>45891</v>
      </c>
      <c r="I132" s="69">
        <f t="shared" si="28"/>
        <v>45922</v>
      </c>
      <c r="J132" s="69" t="str">
        <f t="shared" si="20"/>
        <v>Jul</v>
      </c>
      <c r="K132" s="216" t="str">
        <f t="shared" ca="1" si="29"/>
        <v/>
      </c>
      <c r="L132" s="67" t="s">
        <v>4</v>
      </c>
      <c r="M132" s="67"/>
      <c r="N132" s="67">
        <v>45867</v>
      </c>
      <c r="O132" s="152">
        <f t="shared" si="30"/>
        <v>2</v>
      </c>
      <c r="P132" s="12" t="str">
        <f t="shared" si="31"/>
        <v>Yes</v>
      </c>
      <c r="Q132" s="75"/>
      <c r="R132" s="70" t="s">
        <v>39</v>
      </c>
      <c r="S132" s="68" t="s">
        <v>62</v>
      </c>
      <c r="T132" s="66"/>
      <c r="U132" s="75"/>
      <c r="V132" s="66"/>
      <c r="W132" s="66"/>
      <c r="AV132" s="139" t="str">
        <v>Quarter 2</v>
      </c>
    </row>
    <row r="133" spans="1:48" ht="30" customHeight="1" x14ac:dyDescent="0.35">
      <c r="A133" s="214">
        <v>132</v>
      </c>
      <c r="B133" s="66" t="s">
        <v>1306</v>
      </c>
      <c r="C133" s="66" t="s">
        <v>9</v>
      </c>
      <c r="D133" s="66" t="s">
        <v>1296</v>
      </c>
      <c r="E133" s="69">
        <v>45863</v>
      </c>
      <c r="F133" s="69">
        <f t="shared" si="25"/>
        <v>45866</v>
      </c>
      <c r="G133" s="69">
        <f t="shared" si="26"/>
        <v>45877</v>
      </c>
      <c r="H133" s="69">
        <f t="shared" si="27"/>
        <v>45891</v>
      </c>
      <c r="I133" s="69">
        <f t="shared" si="28"/>
        <v>45922</v>
      </c>
      <c r="J133" s="69" t="str">
        <f t="shared" si="20"/>
        <v>Jul</v>
      </c>
      <c r="K133" s="216" t="str">
        <f t="shared" ca="1" si="29"/>
        <v/>
      </c>
      <c r="L133" s="67" t="s">
        <v>10</v>
      </c>
      <c r="M133" s="67"/>
      <c r="N133" s="67">
        <v>45868</v>
      </c>
      <c r="O133" s="152">
        <f t="shared" si="30"/>
        <v>3</v>
      </c>
      <c r="P133" s="12" t="str">
        <f t="shared" si="31"/>
        <v>Yes</v>
      </c>
      <c r="Q133" s="75"/>
      <c r="R133" s="70" t="s">
        <v>39</v>
      </c>
      <c r="S133" s="68" t="s">
        <v>40</v>
      </c>
      <c r="T133" s="66"/>
      <c r="U133" s="75" t="s">
        <v>1147</v>
      </c>
      <c r="V133" s="66" t="s">
        <v>46</v>
      </c>
      <c r="W133" s="66"/>
      <c r="AV133" s="139" t="str">
        <v>Quarter 2</v>
      </c>
    </row>
    <row r="134" spans="1:48" ht="30" customHeight="1" x14ac:dyDescent="0.35">
      <c r="A134" s="214">
        <v>133</v>
      </c>
      <c r="B134" s="66" t="s">
        <v>55</v>
      </c>
      <c r="C134" s="66" t="s">
        <v>13</v>
      </c>
      <c r="D134" s="66" t="s">
        <v>1307</v>
      </c>
      <c r="E134" s="69">
        <v>45863</v>
      </c>
      <c r="F134" s="69">
        <f t="shared" si="25"/>
        <v>45866</v>
      </c>
      <c r="G134" s="69">
        <f t="shared" si="26"/>
        <v>45877</v>
      </c>
      <c r="H134" s="69">
        <f t="shared" si="27"/>
        <v>45891</v>
      </c>
      <c r="I134" s="69">
        <f t="shared" si="28"/>
        <v>45922</v>
      </c>
      <c r="J134" s="69" t="str">
        <f t="shared" si="20"/>
        <v>Jul</v>
      </c>
      <c r="K134" s="216" t="str">
        <f t="shared" ca="1" si="29"/>
        <v/>
      </c>
      <c r="L134" s="67" t="s">
        <v>10</v>
      </c>
      <c r="M134" s="67"/>
      <c r="N134" s="67">
        <v>45867</v>
      </c>
      <c r="O134" s="152">
        <f t="shared" si="30"/>
        <v>2</v>
      </c>
      <c r="P134" s="12" t="str">
        <f t="shared" si="31"/>
        <v>Yes</v>
      </c>
      <c r="Q134" s="75"/>
      <c r="R134" s="70" t="s">
        <v>39</v>
      </c>
      <c r="S134" s="68" t="s">
        <v>40</v>
      </c>
      <c r="T134" s="66"/>
      <c r="U134" s="75"/>
      <c r="V134" s="66" t="s">
        <v>46</v>
      </c>
      <c r="W134" s="66"/>
      <c r="AV134" s="139" t="str">
        <v>Quarter 2</v>
      </c>
    </row>
    <row r="135" spans="1:48" ht="30" customHeight="1" x14ac:dyDescent="0.35">
      <c r="A135" s="214">
        <v>134</v>
      </c>
      <c r="B135" s="66" t="s">
        <v>6</v>
      </c>
      <c r="C135" s="66" t="s">
        <v>6</v>
      </c>
      <c r="D135" s="66" t="s">
        <v>1308</v>
      </c>
      <c r="E135" s="69">
        <v>45867</v>
      </c>
      <c r="F135" s="69">
        <f t="shared" si="25"/>
        <v>45868</v>
      </c>
      <c r="G135" s="69">
        <f t="shared" si="26"/>
        <v>45881</v>
      </c>
      <c r="H135" s="69">
        <f t="shared" si="27"/>
        <v>45896</v>
      </c>
      <c r="I135" s="69">
        <f t="shared" si="28"/>
        <v>45924</v>
      </c>
      <c r="J135" s="69" t="str">
        <f t="shared" si="20"/>
        <v>Jul</v>
      </c>
      <c r="K135" s="216" t="str">
        <f t="shared" ca="1" si="29"/>
        <v/>
      </c>
      <c r="L135" s="67" t="s">
        <v>10</v>
      </c>
      <c r="M135" s="67"/>
      <c r="N135" s="67">
        <v>45869</v>
      </c>
      <c r="O135" s="152">
        <f t="shared" si="30"/>
        <v>2</v>
      </c>
      <c r="P135" s="12" t="str">
        <f t="shared" si="31"/>
        <v>Yes</v>
      </c>
      <c r="Q135" s="75"/>
      <c r="R135" s="70" t="s">
        <v>39</v>
      </c>
      <c r="S135" s="68" t="s">
        <v>40</v>
      </c>
      <c r="T135" s="66"/>
      <c r="U135" s="75"/>
      <c r="V135" s="66"/>
      <c r="W135" s="66"/>
      <c r="AV135" s="139" t="str">
        <v>Quarter 2</v>
      </c>
    </row>
    <row r="136" spans="1:48" ht="30" customHeight="1" x14ac:dyDescent="0.35">
      <c r="A136" s="214">
        <v>135</v>
      </c>
      <c r="B136" s="66" t="s">
        <v>1309</v>
      </c>
      <c r="C136" s="66" t="s">
        <v>9</v>
      </c>
      <c r="D136" s="66" t="s">
        <v>1310</v>
      </c>
      <c r="E136" s="69">
        <v>45869</v>
      </c>
      <c r="F136" s="69">
        <f t="shared" si="25"/>
        <v>45870</v>
      </c>
      <c r="G136" s="69">
        <f t="shared" si="26"/>
        <v>45883</v>
      </c>
      <c r="H136" s="69">
        <f t="shared" si="27"/>
        <v>45898</v>
      </c>
      <c r="I136" s="69">
        <f t="shared" si="28"/>
        <v>45926</v>
      </c>
      <c r="J136" s="69" t="str">
        <f t="shared" si="20"/>
        <v>Jul</v>
      </c>
      <c r="K136" s="216" t="str">
        <f t="shared" ca="1" si="29"/>
        <v/>
      </c>
      <c r="L136" s="67" t="s">
        <v>10</v>
      </c>
      <c r="M136" s="67"/>
      <c r="N136" s="67">
        <v>45887</v>
      </c>
      <c r="O136" s="152">
        <f t="shared" si="30"/>
        <v>12</v>
      </c>
      <c r="P136" s="12" t="str">
        <f t="shared" si="31"/>
        <v>Yes</v>
      </c>
      <c r="Q136" s="75"/>
      <c r="R136" s="70" t="s">
        <v>39</v>
      </c>
      <c r="S136" s="68" t="s">
        <v>40</v>
      </c>
      <c r="T136" s="66"/>
      <c r="U136" s="75"/>
      <c r="V136" s="66" t="s">
        <v>46</v>
      </c>
      <c r="W136" s="66"/>
      <c r="AV136" s="139" t="str">
        <v>Quarter 2</v>
      </c>
    </row>
    <row r="137" spans="1:48" ht="30" customHeight="1" x14ac:dyDescent="0.35">
      <c r="A137" s="214">
        <v>136</v>
      </c>
      <c r="B137" s="66" t="s">
        <v>6</v>
      </c>
      <c r="C137" s="66" t="s">
        <v>6</v>
      </c>
      <c r="D137" s="66" t="s">
        <v>1311</v>
      </c>
      <c r="E137" s="69">
        <v>45869</v>
      </c>
      <c r="F137" s="69">
        <f t="shared" si="25"/>
        <v>45870</v>
      </c>
      <c r="G137" s="69">
        <f t="shared" si="26"/>
        <v>45883</v>
      </c>
      <c r="H137" s="69">
        <f t="shared" si="27"/>
        <v>45898</v>
      </c>
      <c r="I137" s="69">
        <f t="shared" si="28"/>
        <v>45926</v>
      </c>
      <c r="J137" s="69" t="str">
        <f t="shared" si="20"/>
        <v>Jul</v>
      </c>
      <c r="K137" s="216" t="str">
        <f t="shared" ca="1" si="29"/>
        <v/>
      </c>
      <c r="L137" s="67" t="s">
        <v>10</v>
      </c>
      <c r="M137" s="67"/>
      <c r="N137" s="67">
        <v>45873</v>
      </c>
      <c r="O137" s="152">
        <f t="shared" si="30"/>
        <v>2</v>
      </c>
      <c r="P137" s="12" t="str">
        <f t="shared" si="31"/>
        <v>Yes</v>
      </c>
      <c r="Q137" s="75"/>
      <c r="R137" s="70" t="s">
        <v>39</v>
      </c>
      <c r="S137" s="68" t="s">
        <v>51</v>
      </c>
      <c r="T137" s="66"/>
      <c r="U137" s="75" t="s">
        <v>1151</v>
      </c>
      <c r="V137" s="66"/>
      <c r="W137" s="66"/>
      <c r="AV137" s="139" t="str">
        <v>Quarter 2</v>
      </c>
    </row>
    <row r="138" spans="1:48" ht="30" customHeight="1" x14ac:dyDescent="0.35">
      <c r="A138" s="214">
        <v>137</v>
      </c>
      <c r="B138" s="66" t="s">
        <v>6</v>
      </c>
      <c r="C138" s="66" t="s">
        <v>6</v>
      </c>
      <c r="D138" s="66" t="s">
        <v>1312</v>
      </c>
      <c r="E138" s="69">
        <v>45869</v>
      </c>
      <c r="F138" s="69">
        <f t="shared" si="25"/>
        <v>45870</v>
      </c>
      <c r="G138" s="69">
        <f t="shared" si="26"/>
        <v>45883</v>
      </c>
      <c r="H138" s="69">
        <f t="shared" si="27"/>
        <v>45898</v>
      </c>
      <c r="I138" s="69">
        <f t="shared" si="28"/>
        <v>45926</v>
      </c>
      <c r="J138" s="69" t="str">
        <f t="shared" si="20"/>
        <v>Jul</v>
      </c>
      <c r="K138" s="216" t="str">
        <f t="shared" ca="1" si="29"/>
        <v/>
      </c>
      <c r="L138" s="67" t="s">
        <v>10</v>
      </c>
      <c r="M138" s="67"/>
      <c r="N138" s="67">
        <v>45876</v>
      </c>
      <c r="O138" s="152">
        <f t="shared" si="30"/>
        <v>5</v>
      </c>
      <c r="P138" s="12" t="str">
        <f t="shared" si="31"/>
        <v>Yes</v>
      </c>
      <c r="Q138" s="75"/>
      <c r="R138" s="70" t="s">
        <v>39</v>
      </c>
      <c r="S138" s="68" t="s">
        <v>62</v>
      </c>
      <c r="T138" s="66"/>
      <c r="U138" s="75"/>
      <c r="V138" s="66"/>
      <c r="W138" s="66"/>
      <c r="AV138" s="139" t="str">
        <v>Quarter 2</v>
      </c>
    </row>
    <row r="139" spans="1:48" ht="30" customHeight="1" x14ac:dyDescent="0.35">
      <c r="A139" s="214">
        <v>138</v>
      </c>
      <c r="B139" s="66" t="s">
        <v>1148</v>
      </c>
      <c r="C139" s="66" t="s">
        <v>9</v>
      </c>
      <c r="D139" s="66" t="s">
        <v>1313</v>
      </c>
      <c r="E139" s="69">
        <v>45870</v>
      </c>
      <c r="F139" s="69">
        <f t="shared" si="25"/>
        <v>45873</v>
      </c>
      <c r="G139" s="69">
        <f t="shared" si="26"/>
        <v>45884</v>
      </c>
      <c r="H139" s="69">
        <f t="shared" si="27"/>
        <v>45901</v>
      </c>
      <c r="I139" s="69">
        <f t="shared" si="28"/>
        <v>45929</v>
      </c>
      <c r="J139" s="69" t="str">
        <f t="shared" si="20"/>
        <v>Aug</v>
      </c>
      <c r="K139" s="216" t="str">
        <f t="shared" ca="1" si="29"/>
        <v/>
      </c>
      <c r="L139" s="67" t="s">
        <v>10</v>
      </c>
      <c r="M139" s="67"/>
      <c r="N139" s="67">
        <v>45895</v>
      </c>
      <c r="O139" s="152">
        <f t="shared" si="30"/>
        <v>16</v>
      </c>
      <c r="P139" s="12" t="str">
        <f t="shared" si="31"/>
        <v>Yes</v>
      </c>
      <c r="Q139" s="75"/>
      <c r="R139" s="70" t="s">
        <v>39</v>
      </c>
      <c r="S139" s="68" t="s">
        <v>40</v>
      </c>
      <c r="T139" s="66"/>
      <c r="U139" s="75"/>
      <c r="V139" s="66"/>
      <c r="W139" s="66"/>
      <c r="AV139" s="139" t="str">
        <v>Quarter 2</v>
      </c>
    </row>
    <row r="140" spans="1:48" ht="30" customHeight="1" x14ac:dyDescent="0.35">
      <c r="A140" s="214">
        <v>139</v>
      </c>
      <c r="B140" s="66" t="s">
        <v>1148</v>
      </c>
      <c r="C140" s="66" t="s">
        <v>9</v>
      </c>
      <c r="D140" s="66" t="s">
        <v>1314</v>
      </c>
      <c r="E140" s="69">
        <v>45870</v>
      </c>
      <c r="F140" s="69">
        <f t="shared" si="25"/>
        <v>45873</v>
      </c>
      <c r="G140" s="69">
        <f t="shared" si="26"/>
        <v>45884</v>
      </c>
      <c r="H140" s="69">
        <f t="shared" si="27"/>
        <v>45901</v>
      </c>
      <c r="I140" s="69">
        <f t="shared" si="28"/>
        <v>45929</v>
      </c>
      <c r="J140" s="69" t="str">
        <f t="shared" ref="J140:J203" si="32">IF(ISBLANK($E140),"",TEXT($E140,"mmm"))</f>
        <v>Aug</v>
      </c>
      <c r="K140" s="216" t="str">
        <f t="shared" ca="1" si="29"/>
        <v/>
      </c>
      <c r="L140" s="67" t="s">
        <v>10</v>
      </c>
      <c r="M140" s="67"/>
      <c r="N140" s="67">
        <v>45895</v>
      </c>
      <c r="O140" s="152">
        <f t="shared" si="30"/>
        <v>16</v>
      </c>
      <c r="P140" s="12" t="str">
        <f t="shared" si="31"/>
        <v>Yes</v>
      </c>
      <c r="Q140" s="75"/>
      <c r="R140" s="70" t="s">
        <v>39</v>
      </c>
      <c r="S140" s="68" t="s">
        <v>40</v>
      </c>
      <c r="T140" s="66"/>
      <c r="U140" s="75"/>
      <c r="V140" s="66"/>
      <c r="W140" s="66"/>
      <c r="AV140" s="139" t="str">
        <v>Quarter 2</v>
      </c>
    </row>
    <row r="141" spans="1:48" ht="30" customHeight="1" x14ac:dyDescent="0.35">
      <c r="A141" s="214">
        <v>140</v>
      </c>
      <c r="B141" s="66" t="s">
        <v>493</v>
      </c>
      <c r="C141" s="66" t="s">
        <v>5</v>
      </c>
      <c r="D141" s="66" t="s">
        <v>1170</v>
      </c>
      <c r="E141" s="69">
        <v>45870</v>
      </c>
      <c r="F141" s="69">
        <f t="shared" si="25"/>
        <v>45873</v>
      </c>
      <c r="G141" s="69">
        <f t="shared" si="26"/>
        <v>45884</v>
      </c>
      <c r="H141" s="69">
        <f t="shared" si="27"/>
        <v>45901</v>
      </c>
      <c r="I141" s="69">
        <f t="shared" si="28"/>
        <v>45929</v>
      </c>
      <c r="J141" s="69" t="str">
        <f t="shared" si="32"/>
        <v>Aug</v>
      </c>
      <c r="K141" s="216" t="str">
        <f t="shared" ca="1" si="29"/>
        <v/>
      </c>
      <c r="L141" s="67" t="s">
        <v>10</v>
      </c>
      <c r="M141" s="67"/>
      <c r="N141" s="67">
        <v>45873</v>
      </c>
      <c r="O141" s="152">
        <f t="shared" si="30"/>
        <v>1</v>
      </c>
      <c r="P141" s="12" t="str">
        <f t="shared" si="31"/>
        <v>Yes</v>
      </c>
      <c r="Q141" s="75"/>
      <c r="R141" s="70" t="s">
        <v>39</v>
      </c>
      <c r="S141" s="68" t="s">
        <v>40</v>
      </c>
      <c r="T141" s="66"/>
      <c r="U141" s="75"/>
      <c r="V141" s="66"/>
      <c r="W141" s="66"/>
      <c r="AV141" s="139" t="str">
        <v>Quarter 2</v>
      </c>
    </row>
    <row r="142" spans="1:48" ht="30" customHeight="1" x14ac:dyDescent="0.35">
      <c r="A142" s="214">
        <v>141</v>
      </c>
      <c r="B142" s="66" t="s">
        <v>55</v>
      </c>
      <c r="C142" s="66" t="s">
        <v>13</v>
      </c>
      <c r="D142" s="66" t="s">
        <v>1315</v>
      </c>
      <c r="E142" s="69">
        <v>45870</v>
      </c>
      <c r="F142" s="69">
        <f t="shared" si="25"/>
        <v>45873</v>
      </c>
      <c r="G142" s="69">
        <f t="shared" si="26"/>
        <v>45884</v>
      </c>
      <c r="H142" s="69">
        <f t="shared" si="27"/>
        <v>45901</v>
      </c>
      <c r="I142" s="69">
        <f t="shared" si="28"/>
        <v>45929</v>
      </c>
      <c r="J142" s="69" t="str">
        <f t="shared" si="32"/>
        <v>Aug</v>
      </c>
      <c r="K142" s="216" t="str">
        <f t="shared" ca="1" si="29"/>
        <v/>
      </c>
      <c r="L142" s="67" t="s">
        <v>10</v>
      </c>
      <c r="M142" s="67"/>
      <c r="N142" s="67">
        <v>45874</v>
      </c>
      <c r="O142" s="152">
        <f t="shared" si="30"/>
        <v>2</v>
      </c>
      <c r="P142" s="12" t="str">
        <f t="shared" si="31"/>
        <v>Yes</v>
      </c>
      <c r="Q142" s="75"/>
      <c r="R142" s="70" t="s">
        <v>39</v>
      </c>
      <c r="S142" s="68" t="s">
        <v>40</v>
      </c>
      <c r="T142" s="66"/>
      <c r="U142" s="75"/>
      <c r="V142" s="66"/>
      <c r="W142" s="66"/>
      <c r="AV142" s="139" t="str">
        <v>Quarter 2</v>
      </c>
    </row>
    <row r="143" spans="1:48" ht="30" customHeight="1" x14ac:dyDescent="0.35">
      <c r="A143" s="214">
        <v>142</v>
      </c>
      <c r="B143" s="66" t="s">
        <v>55</v>
      </c>
      <c r="C143" s="66" t="s">
        <v>13</v>
      </c>
      <c r="D143" s="66" t="s">
        <v>1316</v>
      </c>
      <c r="E143" s="69">
        <v>45874</v>
      </c>
      <c r="F143" s="69">
        <f t="shared" si="25"/>
        <v>45875</v>
      </c>
      <c r="G143" s="69">
        <f t="shared" si="26"/>
        <v>45888</v>
      </c>
      <c r="H143" s="69">
        <f t="shared" si="27"/>
        <v>45903</v>
      </c>
      <c r="I143" s="69">
        <f t="shared" si="28"/>
        <v>45931</v>
      </c>
      <c r="J143" s="69" t="str">
        <f t="shared" si="32"/>
        <v>Aug</v>
      </c>
      <c r="K143" s="216" t="str">
        <f t="shared" ca="1" si="29"/>
        <v/>
      </c>
      <c r="L143" s="67" t="s">
        <v>10</v>
      </c>
      <c r="M143" s="67"/>
      <c r="N143" s="67">
        <v>45889</v>
      </c>
      <c r="O143" s="152">
        <f t="shared" si="30"/>
        <v>11</v>
      </c>
      <c r="P143" s="12" t="str">
        <f t="shared" si="31"/>
        <v>Yes</v>
      </c>
      <c r="Q143" s="75"/>
      <c r="R143" s="70" t="s">
        <v>39</v>
      </c>
      <c r="S143" s="68" t="s">
        <v>40</v>
      </c>
      <c r="T143" s="66"/>
      <c r="U143" s="75"/>
      <c r="V143" s="66"/>
      <c r="W143" s="66"/>
      <c r="AV143" s="139" t="str">
        <v>Quarter 2</v>
      </c>
    </row>
    <row r="144" spans="1:48" ht="30" customHeight="1" x14ac:dyDescent="0.35">
      <c r="A144" s="214">
        <v>143</v>
      </c>
      <c r="B144" s="66" t="s">
        <v>6</v>
      </c>
      <c r="C144" s="66" t="s">
        <v>6</v>
      </c>
      <c r="D144" s="66" t="s">
        <v>1317</v>
      </c>
      <c r="E144" s="69">
        <v>45874</v>
      </c>
      <c r="F144" s="69">
        <f t="shared" si="25"/>
        <v>45875</v>
      </c>
      <c r="G144" s="69">
        <f t="shared" si="26"/>
        <v>45888</v>
      </c>
      <c r="H144" s="69">
        <f t="shared" si="27"/>
        <v>45903</v>
      </c>
      <c r="I144" s="69">
        <f t="shared" si="28"/>
        <v>45931</v>
      </c>
      <c r="J144" s="69" t="str">
        <f t="shared" si="32"/>
        <v>Aug</v>
      </c>
      <c r="K144" s="216" t="str">
        <f t="shared" ca="1" si="29"/>
        <v/>
      </c>
      <c r="L144" s="67" t="s">
        <v>10</v>
      </c>
      <c r="M144" s="67"/>
      <c r="N144" s="67">
        <v>45874</v>
      </c>
      <c r="O144" s="152">
        <f t="shared" si="30"/>
        <v>0</v>
      </c>
      <c r="P144" s="12" t="str">
        <f t="shared" si="31"/>
        <v>Yes</v>
      </c>
      <c r="Q144" s="75"/>
      <c r="R144" s="70" t="s">
        <v>39</v>
      </c>
      <c r="S144" s="68" t="s">
        <v>40</v>
      </c>
      <c r="T144" s="66"/>
      <c r="U144" s="75"/>
      <c r="V144" s="66"/>
      <c r="W144" s="66"/>
      <c r="AV144" s="139" t="str">
        <v>Quarter 2</v>
      </c>
    </row>
    <row r="145" spans="1:48" ht="30" customHeight="1" x14ac:dyDescent="0.35">
      <c r="A145" s="214">
        <v>144</v>
      </c>
      <c r="B145" s="66" t="s">
        <v>55</v>
      </c>
      <c r="C145" s="66" t="s">
        <v>13</v>
      </c>
      <c r="D145" s="66" t="s">
        <v>1179</v>
      </c>
      <c r="E145" s="69"/>
      <c r="F145" s="69" t="str">
        <f t="shared" si="25"/>
        <v/>
      </c>
      <c r="G145" s="69" t="str">
        <f t="shared" si="26"/>
        <v/>
      </c>
      <c r="H145" s="69" t="str">
        <f t="shared" si="27"/>
        <v/>
      </c>
      <c r="I145" s="69" t="str">
        <f t="shared" si="28"/>
        <v/>
      </c>
      <c r="J145" s="69" t="s">
        <v>563</v>
      </c>
      <c r="K145" s="216" t="str">
        <f t="shared" ca="1" si="29"/>
        <v/>
      </c>
      <c r="L145" s="67" t="s">
        <v>10</v>
      </c>
      <c r="M145" s="67"/>
      <c r="N145" s="67"/>
      <c r="O145" s="152" t="str">
        <f t="shared" si="30"/>
        <v/>
      </c>
      <c r="P145" s="12" t="str">
        <f t="shared" si="31"/>
        <v/>
      </c>
      <c r="Q145" s="75"/>
      <c r="R145" s="70" t="s">
        <v>52</v>
      </c>
      <c r="S145" s="68" t="s">
        <v>52</v>
      </c>
      <c r="T145" s="66"/>
      <c r="U145" s="75"/>
      <c r="V145" s="66" t="s">
        <v>1318</v>
      </c>
      <c r="W145" s="66"/>
      <c r="AV145" s="139" t="str">
        <v>Quarter 2</v>
      </c>
    </row>
    <row r="146" spans="1:48" ht="30" customHeight="1" x14ac:dyDescent="0.35">
      <c r="A146" s="214">
        <v>145</v>
      </c>
      <c r="B146" s="66" t="s">
        <v>6</v>
      </c>
      <c r="C146" s="66" t="s">
        <v>6</v>
      </c>
      <c r="D146" s="66" t="s">
        <v>1319</v>
      </c>
      <c r="E146" s="69">
        <v>45874</v>
      </c>
      <c r="F146" s="69">
        <f t="shared" si="25"/>
        <v>45875</v>
      </c>
      <c r="G146" s="69">
        <f t="shared" si="26"/>
        <v>45888</v>
      </c>
      <c r="H146" s="69">
        <f t="shared" si="27"/>
        <v>45903</v>
      </c>
      <c r="I146" s="69">
        <f t="shared" si="28"/>
        <v>45931</v>
      </c>
      <c r="J146" s="69" t="str">
        <f t="shared" si="32"/>
        <v>Aug</v>
      </c>
      <c r="K146" s="216" t="str">
        <f t="shared" ca="1" si="29"/>
        <v/>
      </c>
      <c r="L146" s="67" t="s">
        <v>10</v>
      </c>
      <c r="M146" s="67"/>
      <c r="N146" s="67">
        <v>45874</v>
      </c>
      <c r="O146" s="152">
        <f t="shared" si="30"/>
        <v>0</v>
      </c>
      <c r="P146" s="12" t="str">
        <f t="shared" si="31"/>
        <v>Yes</v>
      </c>
      <c r="Q146" s="75"/>
      <c r="R146" s="70" t="s">
        <v>39</v>
      </c>
      <c r="S146" s="68" t="s">
        <v>40</v>
      </c>
      <c r="T146" s="66"/>
      <c r="U146" s="75" t="s">
        <v>1151</v>
      </c>
      <c r="V146" s="66"/>
      <c r="W146" s="66"/>
      <c r="AV146" s="139" t="str">
        <v>Quarter 2</v>
      </c>
    </row>
    <row r="147" spans="1:48" ht="30" customHeight="1" x14ac:dyDescent="0.35">
      <c r="A147" s="214">
        <v>146</v>
      </c>
      <c r="B147" s="66" t="s">
        <v>1320</v>
      </c>
      <c r="C147" s="66" t="s">
        <v>9</v>
      </c>
      <c r="D147" s="66" t="s">
        <v>1321</v>
      </c>
      <c r="E147" s="69">
        <v>45874</v>
      </c>
      <c r="F147" s="69">
        <f t="shared" si="25"/>
        <v>45875</v>
      </c>
      <c r="G147" s="69">
        <f t="shared" si="26"/>
        <v>45888</v>
      </c>
      <c r="H147" s="69">
        <f t="shared" si="27"/>
        <v>45903</v>
      </c>
      <c r="I147" s="69">
        <f t="shared" si="28"/>
        <v>45931</v>
      </c>
      <c r="J147" s="69" t="str">
        <f t="shared" si="32"/>
        <v>Aug</v>
      </c>
      <c r="K147" s="216" t="str">
        <f t="shared" ca="1" si="29"/>
        <v/>
      </c>
      <c r="L147" s="67" t="s">
        <v>10</v>
      </c>
      <c r="M147" s="67"/>
      <c r="N147" s="67">
        <v>45876</v>
      </c>
      <c r="O147" s="152">
        <f t="shared" si="30"/>
        <v>2</v>
      </c>
      <c r="P147" s="12" t="str">
        <f t="shared" si="31"/>
        <v>Yes</v>
      </c>
      <c r="Q147" s="75"/>
      <c r="R147" s="70" t="s">
        <v>39</v>
      </c>
      <c r="S147" s="68" t="s">
        <v>40</v>
      </c>
      <c r="T147" s="66"/>
      <c r="U147" s="75"/>
      <c r="V147" s="66"/>
      <c r="W147" s="66"/>
      <c r="AV147" s="139" t="str">
        <v>Quarter 2</v>
      </c>
    </row>
    <row r="148" spans="1:48" ht="30" customHeight="1" x14ac:dyDescent="0.35">
      <c r="A148" s="214">
        <v>147</v>
      </c>
      <c r="B148" s="66" t="s">
        <v>6</v>
      </c>
      <c r="C148" s="66" t="s">
        <v>6</v>
      </c>
      <c r="D148" s="199" t="s">
        <v>1322</v>
      </c>
      <c r="E148" s="69">
        <v>45876</v>
      </c>
      <c r="F148" s="69">
        <f t="shared" si="25"/>
        <v>45877</v>
      </c>
      <c r="G148" s="69">
        <f t="shared" si="26"/>
        <v>45890</v>
      </c>
      <c r="H148" s="69">
        <f t="shared" si="27"/>
        <v>45905</v>
      </c>
      <c r="I148" s="69">
        <f t="shared" si="28"/>
        <v>45933</v>
      </c>
      <c r="J148" s="69" t="str">
        <f t="shared" si="32"/>
        <v>Aug</v>
      </c>
      <c r="K148" s="216" t="str">
        <f t="shared" ca="1" si="29"/>
        <v/>
      </c>
      <c r="L148" s="67" t="s">
        <v>10</v>
      </c>
      <c r="M148" s="67"/>
      <c r="N148" s="67">
        <v>45882</v>
      </c>
      <c r="O148" s="152">
        <f t="shared" si="30"/>
        <v>4</v>
      </c>
      <c r="P148" s="12" t="str">
        <f t="shared" si="31"/>
        <v>Yes</v>
      </c>
      <c r="Q148" s="75"/>
      <c r="R148" s="70" t="s">
        <v>39</v>
      </c>
      <c r="S148" s="68" t="s">
        <v>40</v>
      </c>
      <c r="T148" s="66"/>
      <c r="U148" s="75" t="s">
        <v>1151</v>
      </c>
      <c r="V148" s="66"/>
      <c r="W148" s="66"/>
      <c r="AV148" s="139" t="str">
        <v>Quarter 2</v>
      </c>
    </row>
    <row r="149" spans="1:48" ht="30" customHeight="1" x14ac:dyDescent="0.35">
      <c r="A149" s="214">
        <v>148</v>
      </c>
      <c r="B149" s="66" t="s">
        <v>573</v>
      </c>
      <c r="C149" s="66" t="s">
        <v>9</v>
      </c>
      <c r="D149" s="66" t="s">
        <v>1323</v>
      </c>
      <c r="E149" s="69">
        <v>45877</v>
      </c>
      <c r="F149" s="69">
        <f t="shared" si="25"/>
        <v>45880</v>
      </c>
      <c r="G149" s="69">
        <f t="shared" si="26"/>
        <v>45891</v>
      </c>
      <c r="H149" s="69">
        <f t="shared" si="27"/>
        <v>45908</v>
      </c>
      <c r="I149" s="69">
        <f t="shared" si="28"/>
        <v>45936</v>
      </c>
      <c r="J149" s="69" t="str">
        <f t="shared" si="32"/>
        <v>Aug</v>
      </c>
      <c r="K149" s="216" t="str">
        <f t="shared" ca="1" si="29"/>
        <v/>
      </c>
      <c r="L149" s="67" t="s">
        <v>10</v>
      </c>
      <c r="M149" s="67"/>
      <c r="N149" s="67">
        <v>45877</v>
      </c>
      <c r="O149" s="152">
        <f t="shared" si="30"/>
        <v>0</v>
      </c>
      <c r="P149" s="12" t="str">
        <f t="shared" si="31"/>
        <v>Yes</v>
      </c>
      <c r="Q149" s="75"/>
      <c r="R149" s="70" t="s">
        <v>39</v>
      </c>
      <c r="S149" s="68" t="s">
        <v>62</v>
      </c>
      <c r="T149" s="66"/>
      <c r="U149" s="75"/>
      <c r="V149" s="66"/>
      <c r="W149" s="66"/>
      <c r="AV149" s="139" t="str">
        <v>Quarter 2</v>
      </c>
    </row>
    <row r="150" spans="1:48" ht="30" customHeight="1" x14ac:dyDescent="0.35">
      <c r="A150" s="214">
        <v>149</v>
      </c>
      <c r="B150" s="66" t="s">
        <v>1287</v>
      </c>
      <c r="C150" s="66" t="s">
        <v>11</v>
      </c>
      <c r="D150" s="66" t="s">
        <v>1324</v>
      </c>
      <c r="E150" s="69">
        <v>45880</v>
      </c>
      <c r="F150" s="69">
        <f t="shared" si="25"/>
        <v>45881</v>
      </c>
      <c r="G150" s="69">
        <f t="shared" si="26"/>
        <v>45895</v>
      </c>
      <c r="H150" s="69">
        <f t="shared" si="27"/>
        <v>45909</v>
      </c>
      <c r="I150" s="69">
        <f t="shared" si="28"/>
        <v>45937</v>
      </c>
      <c r="J150" s="69" t="str">
        <f t="shared" si="32"/>
        <v>Aug</v>
      </c>
      <c r="K150" s="216" t="str">
        <f t="shared" ca="1" si="29"/>
        <v/>
      </c>
      <c r="L150" s="67" t="s">
        <v>10</v>
      </c>
      <c r="M150" s="67"/>
      <c r="N150" s="67">
        <v>45895</v>
      </c>
      <c r="O150" s="152">
        <f t="shared" si="30"/>
        <v>10</v>
      </c>
      <c r="P150" s="12" t="str">
        <f t="shared" si="31"/>
        <v>Yes</v>
      </c>
      <c r="Q150" s="75"/>
      <c r="R150" s="70" t="s">
        <v>39</v>
      </c>
      <c r="S150" s="68" t="s">
        <v>40</v>
      </c>
      <c r="T150" s="66"/>
      <c r="U150" s="75"/>
      <c r="V150" s="66" t="s">
        <v>46</v>
      </c>
      <c r="W150" s="66"/>
      <c r="AV150" s="139" t="str">
        <v>Quarter 2</v>
      </c>
    </row>
    <row r="151" spans="1:48" ht="30" customHeight="1" x14ac:dyDescent="0.35">
      <c r="A151" s="214">
        <v>150</v>
      </c>
      <c r="B151" s="66" t="s">
        <v>55</v>
      </c>
      <c r="C151" s="66" t="s">
        <v>13</v>
      </c>
      <c r="D151" s="66" t="s">
        <v>1315</v>
      </c>
      <c r="E151" s="69">
        <v>45880</v>
      </c>
      <c r="F151" s="69">
        <f t="shared" si="25"/>
        <v>45881</v>
      </c>
      <c r="G151" s="69">
        <f t="shared" si="26"/>
        <v>45895</v>
      </c>
      <c r="H151" s="69">
        <f t="shared" si="27"/>
        <v>45909</v>
      </c>
      <c r="I151" s="69">
        <f t="shared" si="28"/>
        <v>45937</v>
      </c>
      <c r="J151" s="69" t="str">
        <f t="shared" si="32"/>
        <v>Aug</v>
      </c>
      <c r="K151" s="216" t="str">
        <f t="shared" ca="1" si="29"/>
        <v/>
      </c>
      <c r="L151" s="67" t="s">
        <v>10</v>
      </c>
      <c r="M151" s="67"/>
      <c r="N151" s="67">
        <v>45882</v>
      </c>
      <c r="O151" s="152">
        <f t="shared" si="30"/>
        <v>2</v>
      </c>
      <c r="P151" s="12" t="str">
        <f t="shared" si="31"/>
        <v>Yes</v>
      </c>
      <c r="Q151" s="75"/>
      <c r="R151" s="70" t="s">
        <v>39</v>
      </c>
      <c r="S151" s="68" t="s">
        <v>40</v>
      </c>
      <c r="T151" s="66"/>
      <c r="U151" s="75"/>
      <c r="V151" s="66"/>
      <c r="W151" s="66"/>
      <c r="AV151" s="139" t="str">
        <v>Quarter 2</v>
      </c>
    </row>
    <row r="152" spans="1:48" ht="30" customHeight="1" x14ac:dyDescent="0.35">
      <c r="A152" s="214">
        <v>151</v>
      </c>
      <c r="B152" s="66" t="s">
        <v>55</v>
      </c>
      <c r="C152" s="66" t="s">
        <v>13</v>
      </c>
      <c r="D152" s="66" t="s">
        <v>1325</v>
      </c>
      <c r="E152" s="69">
        <v>45880</v>
      </c>
      <c r="F152" s="69">
        <f t="shared" si="25"/>
        <v>45881</v>
      </c>
      <c r="G152" s="69">
        <f t="shared" si="26"/>
        <v>45895</v>
      </c>
      <c r="H152" s="69">
        <f t="shared" si="27"/>
        <v>45909</v>
      </c>
      <c r="I152" s="69">
        <f t="shared" si="28"/>
        <v>45937</v>
      </c>
      <c r="J152" s="69" t="str">
        <f t="shared" si="32"/>
        <v>Aug</v>
      </c>
      <c r="K152" s="216" t="str">
        <f t="shared" ca="1" si="29"/>
        <v/>
      </c>
      <c r="L152" s="67" t="s">
        <v>10</v>
      </c>
      <c r="M152" s="67"/>
      <c r="N152" s="67">
        <v>45888</v>
      </c>
      <c r="O152" s="152">
        <f t="shared" si="30"/>
        <v>6</v>
      </c>
      <c r="P152" s="12" t="str">
        <f t="shared" si="31"/>
        <v>Yes</v>
      </c>
      <c r="Q152" s="75"/>
      <c r="R152" s="70" t="s">
        <v>39</v>
      </c>
      <c r="S152" s="68" t="s">
        <v>40</v>
      </c>
      <c r="T152" s="66"/>
      <c r="U152" s="75"/>
      <c r="V152" s="66" t="s">
        <v>46</v>
      </c>
      <c r="W152" s="66"/>
      <c r="AV152" s="139" t="str">
        <v>Quarter 2</v>
      </c>
    </row>
    <row r="153" spans="1:48" ht="30" customHeight="1" x14ac:dyDescent="0.35">
      <c r="A153" s="214">
        <v>152</v>
      </c>
      <c r="B153" s="66" t="s">
        <v>6</v>
      </c>
      <c r="C153" s="66" t="s">
        <v>6</v>
      </c>
      <c r="D153" s="66" t="s">
        <v>1326</v>
      </c>
      <c r="E153" s="69">
        <v>45880</v>
      </c>
      <c r="F153" s="69">
        <f t="shared" si="25"/>
        <v>45881</v>
      </c>
      <c r="G153" s="69">
        <f t="shared" si="26"/>
        <v>45895</v>
      </c>
      <c r="H153" s="69">
        <f t="shared" si="27"/>
        <v>45909</v>
      </c>
      <c r="I153" s="69">
        <f t="shared" si="28"/>
        <v>45937</v>
      </c>
      <c r="J153" s="69" t="str">
        <f t="shared" si="32"/>
        <v>Aug</v>
      </c>
      <c r="K153" s="216" t="str">
        <f t="shared" ca="1" si="29"/>
        <v/>
      </c>
      <c r="L153" s="67" t="s">
        <v>4</v>
      </c>
      <c r="M153" s="67"/>
      <c r="N153" s="67">
        <v>45883</v>
      </c>
      <c r="O153" s="152">
        <f t="shared" si="30"/>
        <v>3</v>
      </c>
      <c r="P153" s="12" t="str">
        <f t="shared" si="31"/>
        <v>Yes</v>
      </c>
      <c r="Q153" s="75"/>
      <c r="R153" s="70" t="s">
        <v>39</v>
      </c>
      <c r="S153" s="68" t="s">
        <v>40</v>
      </c>
      <c r="T153" s="66"/>
      <c r="U153" s="75"/>
      <c r="V153" s="66"/>
      <c r="W153" s="66"/>
      <c r="AV153" s="139" t="str">
        <v>Quarter 2</v>
      </c>
    </row>
    <row r="154" spans="1:48" ht="30" customHeight="1" x14ac:dyDescent="0.35">
      <c r="A154" s="214">
        <v>153</v>
      </c>
      <c r="B154" s="66" t="s">
        <v>6</v>
      </c>
      <c r="C154" s="66" t="s">
        <v>6</v>
      </c>
      <c r="D154" s="66" t="s">
        <v>1327</v>
      </c>
      <c r="E154" s="69">
        <v>45881</v>
      </c>
      <c r="F154" s="69">
        <f t="shared" si="25"/>
        <v>45882</v>
      </c>
      <c r="G154" s="69">
        <f t="shared" si="26"/>
        <v>45896</v>
      </c>
      <c r="H154" s="69">
        <f t="shared" si="27"/>
        <v>45910</v>
      </c>
      <c r="I154" s="69">
        <f t="shared" si="28"/>
        <v>45938</v>
      </c>
      <c r="J154" s="69" t="str">
        <f t="shared" si="32"/>
        <v>Aug</v>
      </c>
      <c r="K154" s="216" t="str">
        <f t="shared" ca="1" si="29"/>
        <v/>
      </c>
      <c r="L154" s="67" t="s">
        <v>10</v>
      </c>
      <c r="M154" s="67"/>
      <c r="N154" s="67">
        <v>45903</v>
      </c>
      <c r="O154" s="152">
        <f t="shared" si="30"/>
        <v>15</v>
      </c>
      <c r="P154" s="12" t="str">
        <f t="shared" si="31"/>
        <v>Yes</v>
      </c>
      <c r="Q154" s="75"/>
      <c r="R154" s="70" t="s">
        <v>39</v>
      </c>
      <c r="S154" s="68" t="s">
        <v>40</v>
      </c>
      <c r="T154" s="66"/>
      <c r="U154" s="75" t="s">
        <v>1151</v>
      </c>
      <c r="V154" s="66" t="s">
        <v>1328</v>
      </c>
      <c r="W154" s="66"/>
      <c r="AV154" s="139" t="str">
        <v>Quarter 2</v>
      </c>
    </row>
    <row r="155" spans="1:48" ht="30" customHeight="1" x14ac:dyDescent="0.35">
      <c r="A155" s="214">
        <v>154</v>
      </c>
      <c r="B155" s="66" t="s">
        <v>1329</v>
      </c>
      <c r="C155" s="66" t="s">
        <v>12</v>
      </c>
      <c r="D155" s="66" t="s">
        <v>1330</v>
      </c>
      <c r="E155" s="69">
        <v>45881</v>
      </c>
      <c r="F155" s="69">
        <f t="shared" si="25"/>
        <v>45882</v>
      </c>
      <c r="G155" s="69">
        <f t="shared" si="26"/>
        <v>45896</v>
      </c>
      <c r="H155" s="69">
        <f t="shared" si="27"/>
        <v>45910</v>
      </c>
      <c r="I155" s="69">
        <f t="shared" si="28"/>
        <v>45938</v>
      </c>
      <c r="J155" s="69" t="str">
        <f t="shared" si="32"/>
        <v>Aug</v>
      </c>
      <c r="K155" s="216" t="str">
        <f t="shared" ca="1" si="29"/>
        <v/>
      </c>
      <c r="L155" s="67" t="s">
        <v>10</v>
      </c>
      <c r="M155" s="67"/>
      <c r="N155" s="67">
        <v>45882</v>
      </c>
      <c r="O155" s="152">
        <f t="shared" si="30"/>
        <v>1</v>
      </c>
      <c r="P155" s="12" t="str">
        <f t="shared" si="31"/>
        <v>Yes</v>
      </c>
      <c r="Q155" s="75"/>
      <c r="R155" s="70" t="s">
        <v>39</v>
      </c>
      <c r="S155" s="68" t="s">
        <v>40</v>
      </c>
      <c r="T155" s="66"/>
      <c r="U155" s="75"/>
      <c r="V155" s="66"/>
      <c r="W155" s="66"/>
      <c r="AV155" s="139" t="str">
        <v>Quarter 2</v>
      </c>
    </row>
    <row r="156" spans="1:48" ht="30" customHeight="1" x14ac:dyDescent="0.35">
      <c r="A156" s="214">
        <v>155</v>
      </c>
      <c r="B156" s="66" t="s">
        <v>1331</v>
      </c>
      <c r="C156" s="66" t="s">
        <v>9</v>
      </c>
      <c r="D156" s="66" t="s">
        <v>1332</v>
      </c>
      <c r="E156" s="69">
        <v>45881</v>
      </c>
      <c r="F156" s="69">
        <f t="shared" si="25"/>
        <v>45882</v>
      </c>
      <c r="G156" s="69">
        <f t="shared" si="26"/>
        <v>45896</v>
      </c>
      <c r="H156" s="69">
        <f t="shared" si="27"/>
        <v>45910</v>
      </c>
      <c r="I156" s="69">
        <f t="shared" si="28"/>
        <v>45938</v>
      </c>
      <c r="J156" s="69" t="str">
        <f t="shared" si="32"/>
        <v>Aug</v>
      </c>
      <c r="K156" s="216" t="str">
        <f t="shared" ca="1" si="29"/>
        <v/>
      </c>
      <c r="L156" s="67" t="s">
        <v>10</v>
      </c>
      <c r="M156" s="67"/>
      <c r="N156" s="67">
        <v>45909</v>
      </c>
      <c r="O156" s="152">
        <f t="shared" si="30"/>
        <v>19</v>
      </c>
      <c r="P156" s="12" t="str">
        <f t="shared" si="31"/>
        <v>Yes</v>
      </c>
      <c r="Q156" s="75"/>
      <c r="R156" s="70" t="s">
        <v>39</v>
      </c>
      <c r="S156" s="68" t="s">
        <v>40</v>
      </c>
      <c r="T156" s="66"/>
      <c r="U156" s="75"/>
      <c r="V156" s="66" t="s">
        <v>46</v>
      </c>
      <c r="W156" s="66"/>
      <c r="AV156" s="139" t="str">
        <v>Quarter 2</v>
      </c>
    </row>
    <row r="157" spans="1:48" ht="30" customHeight="1" x14ac:dyDescent="0.35">
      <c r="A157" s="214">
        <v>156</v>
      </c>
      <c r="B157" s="66" t="s">
        <v>1188</v>
      </c>
      <c r="C157" s="66" t="s">
        <v>5</v>
      </c>
      <c r="D157" s="66" t="s">
        <v>1333</v>
      </c>
      <c r="E157" s="69">
        <v>45881</v>
      </c>
      <c r="F157" s="69">
        <f t="shared" ref="F157:F188" si="33">IF($E157="","",WORKDAY($E157,1,$Z$33:$Z$47))</f>
        <v>45882</v>
      </c>
      <c r="G157" s="69">
        <f t="shared" ref="G157:G188" si="34">IF($E157="","",WORKDAY($E157,10,$Z$33:$Z$47))</f>
        <v>45896</v>
      </c>
      <c r="H157" s="69">
        <f t="shared" ref="H157:H188" si="35">IF($E157="","",WORKDAY($E157,20,$Z$33:$Z$47))</f>
        <v>45910</v>
      </c>
      <c r="I157" s="69">
        <f t="shared" ref="I157:I188" si="36">IF($E157="","",WORKDAY($E157,40,$Z$33:$Z$47))</f>
        <v>45938</v>
      </c>
      <c r="J157" s="69" t="str">
        <f t="shared" si="32"/>
        <v>Aug</v>
      </c>
      <c r="K157" s="216" t="str">
        <f t="shared" ca="1" si="29"/>
        <v/>
      </c>
      <c r="L157" s="67" t="s">
        <v>10</v>
      </c>
      <c r="M157" s="67"/>
      <c r="N157" s="67">
        <v>45930</v>
      </c>
      <c r="O157" s="152">
        <f t="shared" si="30"/>
        <v>34</v>
      </c>
      <c r="P157" s="12" t="str">
        <f t="shared" si="31"/>
        <v>No</v>
      </c>
      <c r="Q157" s="75"/>
      <c r="R157" s="70" t="s">
        <v>39</v>
      </c>
      <c r="S157" s="68" t="s">
        <v>40</v>
      </c>
      <c r="T157" s="66"/>
      <c r="U157" s="75"/>
      <c r="V157" s="66"/>
      <c r="W157" s="66"/>
      <c r="AV157" s="139" t="str">
        <v>Quarter 2</v>
      </c>
    </row>
    <row r="158" spans="1:48" ht="30" customHeight="1" x14ac:dyDescent="0.35">
      <c r="A158" s="214">
        <v>157</v>
      </c>
      <c r="B158" s="66" t="s">
        <v>6</v>
      </c>
      <c r="C158" s="66" t="s">
        <v>6</v>
      </c>
      <c r="D158" s="66" t="s">
        <v>1334</v>
      </c>
      <c r="E158" s="69">
        <v>45881</v>
      </c>
      <c r="F158" s="69">
        <f t="shared" si="33"/>
        <v>45882</v>
      </c>
      <c r="G158" s="69">
        <f t="shared" si="34"/>
        <v>45896</v>
      </c>
      <c r="H158" s="69">
        <f t="shared" si="35"/>
        <v>45910</v>
      </c>
      <c r="I158" s="69">
        <f t="shared" si="36"/>
        <v>45938</v>
      </c>
      <c r="J158" s="69" t="str">
        <f t="shared" si="32"/>
        <v>Aug</v>
      </c>
      <c r="K158" s="216" t="str">
        <f t="shared" ca="1" si="29"/>
        <v/>
      </c>
      <c r="L158" s="67" t="s">
        <v>10</v>
      </c>
      <c r="M158" s="67"/>
      <c r="N158" s="67">
        <v>45911</v>
      </c>
      <c r="O158" s="152">
        <f t="shared" si="30"/>
        <v>21</v>
      </c>
      <c r="P158" s="12" t="str">
        <f t="shared" si="31"/>
        <v>No</v>
      </c>
      <c r="Q158" s="75"/>
      <c r="R158" s="70" t="s">
        <v>39</v>
      </c>
      <c r="S158" s="68" t="s">
        <v>40</v>
      </c>
      <c r="T158" s="66"/>
      <c r="U158" s="75"/>
      <c r="V158" s="66"/>
      <c r="W158" s="66"/>
      <c r="AV158" s="139" t="str">
        <v>Quarter 2</v>
      </c>
    </row>
    <row r="159" spans="1:48" ht="30" customHeight="1" x14ac:dyDescent="0.35">
      <c r="A159" s="214">
        <v>158</v>
      </c>
      <c r="B159" s="66" t="s">
        <v>112</v>
      </c>
      <c r="C159" s="66" t="s">
        <v>5</v>
      </c>
      <c r="D159" s="66" t="s">
        <v>1145</v>
      </c>
      <c r="E159" s="69">
        <v>45884</v>
      </c>
      <c r="F159" s="69">
        <f t="shared" si="33"/>
        <v>45887</v>
      </c>
      <c r="G159" s="69">
        <f t="shared" si="34"/>
        <v>45901</v>
      </c>
      <c r="H159" s="69">
        <f t="shared" si="35"/>
        <v>45915</v>
      </c>
      <c r="I159" s="69">
        <f t="shared" si="36"/>
        <v>45943</v>
      </c>
      <c r="J159" s="69" t="str">
        <f t="shared" si="32"/>
        <v>Aug</v>
      </c>
      <c r="K159" s="216" t="str">
        <f t="shared" ca="1" si="29"/>
        <v/>
      </c>
      <c r="L159" s="67" t="s">
        <v>10</v>
      </c>
      <c r="M159" s="67"/>
      <c r="N159" s="67">
        <v>45917</v>
      </c>
      <c r="O159" s="152">
        <f t="shared" si="30"/>
        <v>22</v>
      </c>
      <c r="P159" s="12" t="str">
        <f t="shared" si="31"/>
        <v>No</v>
      </c>
      <c r="Q159" s="75"/>
      <c r="R159" s="70" t="s">
        <v>39</v>
      </c>
      <c r="S159" s="68" t="s">
        <v>40</v>
      </c>
      <c r="T159" s="66"/>
      <c r="U159" s="75"/>
      <c r="V159" s="66" t="s">
        <v>46</v>
      </c>
      <c r="W159" s="66"/>
      <c r="AV159" s="139" t="str">
        <v>Quarter 2</v>
      </c>
    </row>
    <row r="160" spans="1:48" ht="30" customHeight="1" x14ac:dyDescent="0.35">
      <c r="A160" s="214">
        <v>159</v>
      </c>
      <c r="B160" s="66" t="s">
        <v>55</v>
      </c>
      <c r="C160" s="66" t="s">
        <v>13</v>
      </c>
      <c r="D160" s="66" t="s">
        <v>1335</v>
      </c>
      <c r="E160" s="69">
        <v>45889</v>
      </c>
      <c r="F160" s="69">
        <f t="shared" si="33"/>
        <v>45890</v>
      </c>
      <c r="G160" s="69">
        <f t="shared" si="34"/>
        <v>45904</v>
      </c>
      <c r="H160" s="69">
        <f t="shared" si="35"/>
        <v>45918</v>
      </c>
      <c r="I160" s="69">
        <f t="shared" si="36"/>
        <v>45946</v>
      </c>
      <c r="J160" s="69" t="str">
        <f t="shared" si="32"/>
        <v>Aug</v>
      </c>
      <c r="K160" s="216" t="str">
        <f t="shared" ca="1" si="29"/>
        <v/>
      </c>
      <c r="L160" s="67" t="s">
        <v>10</v>
      </c>
      <c r="M160" s="67"/>
      <c r="N160" s="67">
        <v>45902</v>
      </c>
      <c r="O160" s="152">
        <f t="shared" si="30"/>
        <v>8</v>
      </c>
      <c r="P160" s="12" t="str">
        <f t="shared" si="31"/>
        <v>Yes</v>
      </c>
      <c r="Q160" s="75"/>
      <c r="R160" s="70" t="s">
        <v>39</v>
      </c>
      <c r="S160" s="68" t="s">
        <v>40</v>
      </c>
      <c r="T160" s="66"/>
      <c r="U160" s="75"/>
      <c r="V160" s="66"/>
      <c r="W160" s="66"/>
      <c r="AV160" s="139" t="str">
        <v>Quarter 2</v>
      </c>
    </row>
    <row r="161" spans="1:48" ht="30" customHeight="1" x14ac:dyDescent="0.35">
      <c r="A161" s="214">
        <v>160</v>
      </c>
      <c r="B161" s="66" t="s">
        <v>55</v>
      </c>
      <c r="C161" s="66" t="s">
        <v>13</v>
      </c>
      <c r="D161" s="66" t="s">
        <v>1184</v>
      </c>
      <c r="E161" s="69">
        <v>45890</v>
      </c>
      <c r="F161" s="69">
        <f t="shared" si="33"/>
        <v>45891</v>
      </c>
      <c r="G161" s="69">
        <f t="shared" si="34"/>
        <v>45905</v>
      </c>
      <c r="H161" s="69">
        <f t="shared" si="35"/>
        <v>45919</v>
      </c>
      <c r="I161" s="69">
        <f t="shared" si="36"/>
        <v>45947</v>
      </c>
      <c r="J161" s="69" t="str">
        <f t="shared" si="32"/>
        <v>Aug</v>
      </c>
      <c r="K161" s="216" t="str">
        <f t="shared" ca="1" si="29"/>
        <v/>
      </c>
      <c r="L161" s="67" t="s">
        <v>4</v>
      </c>
      <c r="M161" s="67"/>
      <c r="N161" s="67">
        <v>45915</v>
      </c>
      <c r="O161" s="152">
        <f t="shared" si="30"/>
        <v>16</v>
      </c>
      <c r="P161" s="12" t="str">
        <f t="shared" si="31"/>
        <v>Yes</v>
      </c>
      <c r="Q161" s="75"/>
      <c r="R161" s="70" t="s">
        <v>39</v>
      </c>
      <c r="S161" s="68" t="s">
        <v>62</v>
      </c>
      <c r="T161" s="66"/>
      <c r="U161" s="75"/>
      <c r="V161" s="66"/>
      <c r="W161" s="66"/>
      <c r="AV161" s="139" t="str">
        <v>Quarter 2</v>
      </c>
    </row>
    <row r="162" spans="1:48" ht="30" customHeight="1" x14ac:dyDescent="0.35">
      <c r="A162" s="214">
        <v>161</v>
      </c>
      <c r="B162" s="5" t="s">
        <v>1336</v>
      </c>
      <c r="C162" s="5" t="s">
        <v>5</v>
      </c>
      <c r="D162" s="66" t="s">
        <v>1337</v>
      </c>
      <c r="E162" s="69">
        <v>45890</v>
      </c>
      <c r="F162" s="69">
        <f t="shared" si="33"/>
        <v>45891</v>
      </c>
      <c r="G162" s="69">
        <f t="shared" si="34"/>
        <v>45905</v>
      </c>
      <c r="H162" s="69">
        <f t="shared" si="35"/>
        <v>45919</v>
      </c>
      <c r="I162" s="69">
        <f t="shared" si="36"/>
        <v>45947</v>
      </c>
      <c r="J162" s="69" t="str">
        <f t="shared" si="32"/>
        <v>Aug</v>
      </c>
      <c r="K162" s="216" t="str">
        <f t="shared" ca="1" si="29"/>
        <v/>
      </c>
      <c r="L162" s="67" t="s">
        <v>10</v>
      </c>
      <c r="M162" s="67"/>
      <c r="N162" s="67">
        <v>45901</v>
      </c>
      <c r="O162" s="152">
        <f t="shared" si="30"/>
        <v>6</v>
      </c>
      <c r="P162" s="12" t="str">
        <f t="shared" si="31"/>
        <v>Yes</v>
      </c>
      <c r="Q162" s="75"/>
      <c r="R162" s="70" t="s">
        <v>39</v>
      </c>
      <c r="S162" s="68" t="s">
        <v>40</v>
      </c>
      <c r="T162" s="66"/>
      <c r="U162" s="75"/>
      <c r="V162" s="66"/>
      <c r="W162" s="66"/>
      <c r="AV162" s="139" t="str">
        <v>Quarter 2</v>
      </c>
    </row>
    <row r="163" spans="1:48" ht="30" customHeight="1" x14ac:dyDescent="0.35">
      <c r="A163" s="214">
        <v>162</v>
      </c>
      <c r="B163" s="66" t="s">
        <v>726</v>
      </c>
      <c r="C163" s="66" t="s">
        <v>9</v>
      </c>
      <c r="D163" s="66" t="s">
        <v>1338</v>
      </c>
      <c r="E163" s="69">
        <v>45890</v>
      </c>
      <c r="F163" s="69">
        <f t="shared" si="33"/>
        <v>45891</v>
      </c>
      <c r="G163" s="69">
        <f t="shared" si="34"/>
        <v>45905</v>
      </c>
      <c r="H163" s="69">
        <f t="shared" si="35"/>
        <v>45919</v>
      </c>
      <c r="I163" s="69">
        <f t="shared" si="36"/>
        <v>45947</v>
      </c>
      <c r="J163" s="69" t="str">
        <f t="shared" si="32"/>
        <v>Aug</v>
      </c>
      <c r="K163" s="216" t="str">
        <f t="shared" ca="1" si="29"/>
        <v/>
      </c>
      <c r="L163" s="67" t="s">
        <v>10</v>
      </c>
      <c r="M163" s="67"/>
      <c r="N163" s="67">
        <v>45896</v>
      </c>
      <c r="O163" s="152">
        <f t="shared" si="30"/>
        <v>3</v>
      </c>
      <c r="P163" s="12" t="str">
        <f t="shared" si="31"/>
        <v>Yes</v>
      </c>
      <c r="Q163" s="75"/>
      <c r="R163" s="70" t="s">
        <v>39</v>
      </c>
      <c r="S163" s="68" t="s">
        <v>40</v>
      </c>
      <c r="T163" s="66"/>
      <c r="U163" s="75"/>
      <c r="V163" s="66"/>
      <c r="W163" s="66"/>
      <c r="AV163" s="139" t="str">
        <v>Quarter 2</v>
      </c>
    </row>
    <row r="164" spans="1:48" ht="30" customHeight="1" x14ac:dyDescent="0.35">
      <c r="A164" s="214">
        <v>163</v>
      </c>
      <c r="B164" s="66" t="s">
        <v>573</v>
      </c>
      <c r="C164" s="66" t="s">
        <v>9</v>
      </c>
      <c r="D164" s="66" t="s">
        <v>1339</v>
      </c>
      <c r="E164" s="69">
        <v>45891</v>
      </c>
      <c r="F164" s="69">
        <f t="shared" si="33"/>
        <v>45895</v>
      </c>
      <c r="G164" s="69">
        <f t="shared" si="34"/>
        <v>45908</v>
      </c>
      <c r="H164" s="69">
        <f t="shared" si="35"/>
        <v>45922</v>
      </c>
      <c r="I164" s="69">
        <f t="shared" si="36"/>
        <v>45950</v>
      </c>
      <c r="J164" s="69" t="str">
        <f t="shared" si="32"/>
        <v>Aug</v>
      </c>
      <c r="K164" s="216" t="str">
        <f t="shared" ca="1" si="29"/>
        <v/>
      </c>
      <c r="L164" s="67" t="s">
        <v>10</v>
      </c>
      <c r="M164" s="67"/>
      <c r="N164" s="67">
        <v>45895</v>
      </c>
      <c r="O164" s="152">
        <f t="shared" si="30"/>
        <v>1</v>
      </c>
      <c r="P164" s="12" t="str">
        <f t="shared" si="31"/>
        <v>Yes</v>
      </c>
      <c r="Q164" s="75"/>
      <c r="R164" s="70" t="s">
        <v>39</v>
      </c>
      <c r="S164" s="68" t="s">
        <v>40</v>
      </c>
      <c r="T164" s="66"/>
      <c r="U164" s="75"/>
      <c r="V164" s="66"/>
      <c r="W164" s="66"/>
      <c r="AV164" s="139" t="str">
        <v>Quarter 2</v>
      </c>
    </row>
    <row r="165" spans="1:48" ht="30" customHeight="1" x14ac:dyDescent="0.35">
      <c r="A165" s="214">
        <v>164</v>
      </c>
      <c r="B165" s="66" t="s">
        <v>55</v>
      </c>
      <c r="C165" s="66" t="s">
        <v>13</v>
      </c>
      <c r="D165" s="66" t="s">
        <v>1175</v>
      </c>
      <c r="E165" s="69">
        <v>45891</v>
      </c>
      <c r="F165" s="69">
        <f t="shared" si="33"/>
        <v>45895</v>
      </c>
      <c r="G165" s="69">
        <f t="shared" si="34"/>
        <v>45908</v>
      </c>
      <c r="H165" s="69">
        <f t="shared" si="35"/>
        <v>45922</v>
      </c>
      <c r="I165" s="69">
        <f t="shared" si="36"/>
        <v>45950</v>
      </c>
      <c r="J165" s="69" t="str">
        <f t="shared" si="32"/>
        <v>Aug</v>
      </c>
      <c r="K165" s="216" t="str">
        <f t="shared" ca="1" si="29"/>
        <v/>
      </c>
      <c r="L165" s="67" t="s">
        <v>10</v>
      </c>
      <c r="M165" s="67"/>
      <c r="N165" s="67">
        <v>45901</v>
      </c>
      <c r="O165" s="152">
        <f t="shared" si="30"/>
        <v>5</v>
      </c>
      <c r="P165" s="12" t="str">
        <f t="shared" si="31"/>
        <v>Yes</v>
      </c>
      <c r="Q165" s="75"/>
      <c r="R165" s="70" t="s">
        <v>39</v>
      </c>
      <c r="S165" s="68" t="s">
        <v>40</v>
      </c>
      <c r="T165" s="66"/>
      <c r="U165" s="75"/>
      <c r="V165" s="66"/>
      <c r="W165" s="66"/>
      <c r="AV165" s="139" t="str">
        <v>Quarter 2</v>
      </c>
    </row>
    <row r="166" spans="1:48" ht="30" customHeight="1" x14ac:dyDescent="0.35">
      <c r="A166" s="214">
        <v>165</v>
      </c>
      <c r="B166" s="66" t="s">
        <v>6</v>
      </c>
      <c r="C166" s="66" t="s">
        <v>6</v>
      </c>
      <c r="D166" s="66" t="s">
        <v>1340</v>
      </c>
      <c r="E166" s="69">
        <v>45895</v>
      </c>
      <c r="F166" s="69">
        <f t="shared" si="33"/>
        <v>45896</v>
      </c>
      <c r="G166" s="69">
        <f t="shared" si="34"/>
        <v>45909</v>
      </c>
      <c r="H166" s="69">
        <f t="shared" si="35"/>
        <v>45923</v>
      </c>
      <c r="I166" s="69">
        <f t="shared" si="36"/>
        <v>45951</v>
      </c>
      <c r="J166" s="69" t="str">
        <f t="shared" si="32"/>
        <v>Aug</v>
      </c>
      <c r="K166" s="216" t="str">
        <f t="shared" ca="1" si="29"/>
        <v/>
      </c>
      <c r="L166" s="67" t="s">
        <v>10</v>
      </c>
      <c r="M166" s="67"/>
      <c r="N166" s="67">
        <v>45909</v>
      </c>
      <c r="O166" s="152">
        <f t="shared" si="30"/>
        <v>10</v>
      </c>
      <c r="P166" s="12" t="str">
        <f t="shared" si="31"/>
        <v>Yes</v>
      </c>
      <c r="Q166" s="75"/>
      <c r="R166" s="70" t="s">
        <v>39</v>
      </c>
      <c r="S166" s="68" t="s">
        <v>40</v>
      </c>
      <c r="T166" s="66"/>
      <c r="U166" s="75"/>
      <c r="V166" s="66"/>
      <c r="W166" s="66"/>
      <c r="AV166" s="139" t="str">
        <v>Quarter 2</v>
      </c>
    </row>
    <row r="167" spans="1:48" ht="30" customHeight="1" x14ac:dyDescent="0.35">
      <c r="A167" s="214">
        <v>166</v>
      </c>
      <c r="B167" s="66" t="s">
        <v>6</v>
      </c>
      <c r="C167" s="66" t="s">
        <v>6</v>
      </c>
      <c r="D167" s="66" t="s">
        <v>1341</v>
      </c>
      <c r="E167" s="69">
        <v>45895</v>
      </c>
      <c r="F167" s="69">
        <f t="shared" si="33"/>
        <v>45896</v>
      </c>
      <c r="G167" s="69">
        <f t="shared" si="34"/>
        <v>45909</v>
      </c>
      <c r="H167" s="69">
        <f t="shared" si="35"/>
        <v>45923</v>
      </c>
      <c r="I167" s="69">
        <f t="shared" si="36"/>
        <v>45951</v>
      </c>
      <c r="J167" s="69" t="str">
        <f t="shared" si="32"/>
        <v>Aug</v>
      </c>
      <c r="K167" s="216" t="str">
        <f t="shared" ca="1" si="29"/>
        <v/>
      </c>
      <c r="L167" s="67" t="s">
        <v>10</v>
      </c>
      <c r="M167" s="67"/>
      <c r="N167" s="67">
        <v>45901</v>
      </c>
      <c r="O167" s="152">
        <f t="shared" si="30"/>
        <v>4</v>
      </c>
      <c r="P167" s="12" t="str">
        <f t="shared" si="31"/>
        <v>Yes</v>
      </c>
      <c r="Q167" s="75"/>
      <c r="R167" s="70" t="s">
        <v>39</v>
      </c>
      <c r="S167" s="68" t="s">
        <v>40</v>
      </c>
      <c r="T167" s="66"/>
      <c r="U167" s="75"/>
      <c r="V167" s="66"/>
      <c r="W167" s="66"/>
      <c r="AV167" s="139" t="str">
        <v>Quarter 2</v>
      </c>
    </row>
    <row r="168" spans="1:48" ht="30" customHeight="1" x14ac:dyDescent="0.35">
      <c r="A168" s="214">
        <v>167</v>
      </c>
      <c r="B168" s="66" t="s">
        <v>1342</v>
      </c>
      <c r="C168" s="66" t="s">
        <v>9</v>
      </c>
      <c r="D168" s="66" t="s">
        <v>1343</v>
      </c>
      <c r="E168" s="69">
        <v>45898</v>
      </c>
      <c r="F168" s="69">
        <f t="shared" si="33"/>
        <v>45901</v>
      </c>
      <c r="G168" s="69">
        <f t="shared" si="34"/>
        <v>45912</v>
      </c>
      <c r="H168" s="69">
        <f t="shared" si="35"/>
        <v>45926</v>
      </c>
      <c r="I168" s="69">
        <f t="shared" si="36"/>
        <v>45954</v>
      </c>
      <c r="J168" s="69" t="str">
        <f t="shared" si="32"/>
        <v>Aug</v>
      </c>
      <c r="K168" s="216" t="str">
        <f t="shared" ca="1" si="29"/>
        <v/>
      </c>
      <c r="L168" s="67" t="s">
        <v>10</v>
      </c>
      <c r="M168" s="67"/>
      <c r="N168" s="67">
        <v>45901</v>
      </c>
      <c r="O168" s="152">
        <f t="shared" si="30"/>
        <v>1</v>
      </c>
      <c r="P168" s="12" t="str">
        <f t="shared" si="31"/>
        <v>Yes</v>
      </c>
      <c r="Q168" s="75"/>
      <c r="R168" s="70" t="s">
        <v>39</v>
      </c>
      <c r="S168" s="68" t="s">
        <v>40</v>
      </c>
      <c r="T168" s="66"/>
      <c r="U168" s="75"/>
      <c r="V168" s="66"/>
      <c r="W168" s="66"/>
      <c r="AV168" s="139" t="str">
        <v>Quarter 2</v>
      </c>
    </row>
    <row r="169" spans="1:48" ht="30" customHeight="1" x14ac:dyDescent="0.35">
      <c r="A169" s="214">
        <v>168</v>
      </c>
      <c r="B169" s="66" t="s">
        <v>55</v>
      </c>
      <c r="C169" s="66" t="s">
        <v>13</v>
      </c>
      <c r="D169" s="66" t="s">
        <v>1344</v>
      </c>
      <c r="E169" s="69">
        <v>45898</v>
      </c>
      <c r="F169" s="69">
        <f t="shared" si="33"/>
        <v>45901</v>
      </c>
      <c r="G169" s="69">
        <f t="shared" si="34"/>
        <v>45912</v>
      </c>
      <c r="H169" s="69">
        <f t="shared" si="35"/>
        <v>45926</v>
      </c>
      <c r="I169" s="69">
        <f t="shared" si="36"/>
        <v>45954</v>
      </c>
      <c r="J169" s="69" t="str">
        <f t="shared" si="32"/>
        <v>Aug</v>
      </c>
      <c r="K169" s="216" t="str">
        <f t="shared" ca="1" si="29"/>
        <v/>
      </c>
      <c r="L169" s="67" t="s">
        <v>10</v>
      </c>
      <c r="M169" s="67"/>
      <c r="N169" s="67">
        <v>45912</v>
      </c>
      <c r="O169" s="152">
        <f t="shared" si="30"/>
        <v>10</v>
      </c>
      <c r="P169" s="12" t="str">
        <f t="shared" si="31"/>
        <v>Yes</v>
      </c>
      <c r="Q169" s="75"/>
      <c r="R169" s="70" t="s">
        <v>39</v>
      </c>
      <c r="S169" s="68" t="s">
        <v>40</v>
      </c>
      <c r="T169" s="66"/>
      <c r="U169" s="75"/>
      <c r="V169" s="66"/>
      <c r="W169" s="66"/>
      <c r="AV169" s="139" t="str">
        <v>Quarter 2</v>
      </c>
    </row>
    <row r="170" spans="1:48" ht="30" customHeight="1" x14ac:dyDescent="0.35">
      <c r="A170" s="214">
        <v>169</v>
      </c>
      <c r="B170" s="66" t="s">
        <v>55</v>
      </c>
      <c r="C170" s="66" t="s">
        <v>13</v>
      </c>
      <c r="D170" s="66" t="s">
        <v>1345</v>
      </c>
      <c r="E170" s="69">
        <v>45901</v>
      </c>
      <c r="F170" s="69">
        <f t="shared" si="33"/>
        <v>45902</v>
      </c>
      <c r="G170" s="69">
        <f t="shared" si="34"/>
        <v>45915</v>
      </c>
      <c r="H170" s="69">
        <f t="shared" si="35"/>
        <v>45929</v>
      </c>
      <c r="I170" s="69">
        <f t="shared" si="36"/>
        <v>45957</v>
      </c>
      <c r="J170" s="69" t="str">
        <f t="shared" si="32"/>
        <v>Sep</v>
      </c>
      <c r="K170" s="216" t="str">
        <f t="shared" ca="1" si="29"/>
        <v/>
      </c>
      <c r="L170" s="67" t="s">
        <v>10</v>
      </c>
      <c r="M170" s="67"/>
      <c r="N170" s="67">
        <v>45903</v>
      </c>
      <c r="O170" s="152">
        <f t="shared" si="30"/>
        <v>2</v>
      </c>
      <c r="P170" s="12" t="str">
        <f t="shared" si="31"/>
        <v>Yes</v>
      </c>
      <c r="Q170" s="75"/>
      <c r="R170" s="70" t="s">
        <v>39</v>
      </c>
      <c r="S170" s="68" t="s">
        <v>40</v>
      </c>
      <c r="T170" s="66"/>
      <c r="U170" s="75"/>
      <c r="V170" s="66" t="s">
        <v>46</v>
      </c>
      <c r="W170" s="66"/>
      <c r="AV170" s="139" t="str">
        <v>Quarter 2</v>
      </c>
    </row>
    <row r="171" spans="1:48" ht="30" customHeight="1" x14ac:dyDescent="0.35">
      <c r="A171" s="214">
        <v>170</v>
      </c>
      <c r="B171" s="66" t="s">
        <v>1346</v>
      </c>
      <c r="C171" s="66" t="s">
        <v>11</v>
      </c>
      <c r="D171" s="66" t="s">
        <v>1347</v>
      </c>
      <c r="E171" s="69">
        <v>45901</v>
      </c>
      <c r="F171" s="69">
        <f t="shared" si="33"/>
        <v>45902</v>
      </c>
      <c r="G171" s="69">
        <f t="shared" si="34"/>
        <v>45915</v>
      </c>
      <c r="H171" s="69">
        <f t="shared" si="35"/>
        <v>45929</v>
      </c>
      <c r="I171" s="69">
        <f t="shared" si="36"/>
        <v>45957</v>
      </c>
      <c r="J171" s="69" t="str">
        <f t="shared" si="32"/>
        <v>Sep</v>
      </c>
      <c r="K171" s="216" t="str">
        <f t="shared" ca="1" si="29"/>
        <v/>
      </c>
      <c r="L171" s="67" t="s">
        <v>10</v>
      </c>
      <c r="M171" s="67"/>
      <c r="N171" s="67">
        <v>45903</v>
      </c>
      <c r="O171" s="152">
        <f t="shared" si="30"/>
        <v>2</v>
      </c>
      <c r="P171" s="12" t="str">
        <f t="shared" si="31"/>
        <v>Yes</v>
      </c>
      <c r="Q171" s="75"/>
      <c r="R171" s="70" t="s">
        <v>39</v>
      </c>
      <c r="S171" s="68" t="s">
        <v>40</v>
      </c>
      <c r="T171" s="66"/>
      <c r="U171" s="75"/>
      <c r="V171" s="66"/>
      <c r="W171" s="66"/>
      <c r="AV171" s="139" t="str">
        <v>Quarter 2</v>
      </c>
    </row>
    <row r="172" spans="1:48" ht="30" customHeight="1" x14ac:dyDescent="0.35">
      <c r="A172" s="214">
        <v>171</v>
      </c>
      <c r="B172" s="66" t="s">
        <v>1348</v>
      </c>
      <c r="C172" s="66" t="s">
        <v>11</v>
      </c>
      <c r="D172" s="66" t="s">
        <v>1268</v>
      </c>
      <c r="E172" s="69">
        <v>45902</v>
      </c>
      <c r="F172" s="69">
        <f t="shared" si="33"/>
        <v>45903</v>
      </c>
      <c r="G172" s="69">
        <f t="shared" si="34"/>
        <v>45916</v>
      </c>
      <c r="H172" s="69">
        <f t="shared" si="35"/>
        <v>45930</v>
      </c>
      <c r="I172" s="69">
        <f t="shared" si="36"/>
        <v>45958</v>
      </c>
      <c r="J172" s="69" t="str">
        <f t="shared" si="32"/>
        <v>Sep</v>
      </c>
      <c r="K172" s="216" t="str">
        <f t="shared" ca="1" si="29"/>
        <v/>
      </c>
      <c r="L172" s="67" t="s">
        <v>10</v>
      </c>
      <c r="M172" s="67"/>
      <c r="N172" s="67">
        <v>45987</v>
      </c>
      <c r="O172" s="152">
        <f t="shared" si="30"/>
        <v>61</v>
      </c>
      <c r="P172" s="12" t="str">
        <f t="shared" si="31"/>
        <v>No</v>
      </c>
      <c r="Q172" s="75"/>
      <c r="R172" s="70" t="s">
        <v>39</v>
      </c>
      <c r="S172" s="68" t="s">
        <v>40</v>
      </c>
      <c r="T172" s="66"/>
      <c r="U172" s="75"/>
      <c r="V172" s="66" t="s">
        <v>46</v>
      </c>
      <c r="W172" s="66"/>
      <c r="AV172" s="139" t="str">
        <v>Quarter 2</v>
      </c>
    </row>
    <row r="173" spans="1:48" ht="30" customHeight="1" x14ac:dyDescent="0.35">
      <c r="A173" s="214">
        <v>172</v>
      </c>
      <c r="B173" s="66" t="s">
        <v>55</v>
      </c>
      <c r="C173" s="66" t="s">
        <v>13</v>
      </c>
      <c r="D173" s="66" t="s">
        <v>1349</v>
      </c>
      <c r="E173" s="69">
        <v>45902</v>
      </c>
      <c r="F173" s="69">
        <f t="shared" si="33"/>
        <v>45903</v>
      </c>
      <c r="G173" s="69">
        <f t="shared" si="34"/>
        <v>45916</v>
      </c>
      <c r="H173" s="69">
        <f t="shared" si="35"/>
        <v>45930</v>
      </c>
      <c r="I173" s="69">
        <f t="shared" si="36"/>
        <v>45958</v>
      </c>
      <c r="J173" s="69" t="str">
        <f t="shared" si="32"/>
        <v>Sep</v>
      </c>
      <c r="K173" s="216" t="str">
        <f t="shared" ca="1" si="29"/>
        <v/>
      </c>
      <c r="L173" s="67" t="s">
        <v>10</v>
      </c>
      <c r="M173" s="67"/>
      <c r="N173" s="67">
        <v>45930</v>
      </c>
      <c r="O173" s="152">
        <f t="shared" si="30"/>
        <v>20</v>
      </c>
      <c r="P173" s="12" t="str">
        <f t="shared" si="31"/>
        <v>Yes</v>
      </c>
      <c r="Q173" s="75"/>
      <c r="R173" s="70" t="s">
        <v>39</v>
      </c>
      <c r="S173" s="68" t="s">
        <v>40</v>
      </c>
      <c r="T173" s="66"/>
      <c r="U173" s="75"/>
      <c r="V173" s="66"/>
      <c r="W173" s="66"/>
      <c r="AV173" s="139" t="str">
        <v>Quarter 2</v>
      </c>
    </row>
    <row r="174" spans="1:48" ht="30" customHeight="1" x14ac:dyDescent="0.35">
      <c r="A174" s="214">
        <v>173</v>
      </c>
      <c r="B174" s="66" t="s">
        <v>1148</v>
      </c>
      <c r="C174" s="66" t="s">
        <v>9</v>
      </c>
      <c r="D174" s="66" t="s">
        <v>1313</v>
      </c>
      <c r="E174" s="69">
        <v>45902</v>
      </c>
      <c r="F174" s="69">
        <f t="shared" si="33"/>
        <v>45903</v>
      </c>
      <c r="G174" s="69">
        <f t="shared" si="34"/>
        <v>45916</v>
      </c>
      <c r="H174" s="69">
        <f t="shared" si="35"/>
        <v>45930</v>
      </c>
      <c r="I174" s="69">
        <f t="shared" si="36"/>
        <v>45958</v>
      </c>
      <c r="J174" s="69" t="str">
        <f t="shared" si="32"/>
        <v>Sep</v>
      </c>
      <c r="K174" s="216" t="str">
        <f t="shared" ca="1" si="29"/>
        <v/>
      </c>
      <c r="L174" s="67" t="s">
        <v>10</v>
      </c>
      <c r="M174" s="67"/>
      <c r="N174" s="67">
        <v>45919</v>
      </c>
      <c r="O174" s="152">
        <f t="shared" si="30"/>
        <v>13</v>
      </c>
      <c r="P174" s="12" t="str">
        <f t="shared" si="31"/>
        <v>Yes</v>
      </c>
      <c r="Q174" s="75"/>
      <c r="R174" s="70" t="s">
        <v>39</v>
      </c>
      <c r="S174" s="68" t="s">
        <v>40</v>
      </c>
      <c r="T174" s="66"/>
      <c r="U174" s="75"/>
      <c r="V174" s="66"/>
      <c r="W174" s="66"/>
      <c r="AV174" s="139" t="str">
        <v>Quarter 2</v>
      </c>
    </row>
    <row r="175" spans="1:48" ht="30" customHeight="1" x14ac:dyDescent="0.35">
      <c r="A175" s="214">
        <v>174</v>
      </c>
      <c r="B175" s="66" t="s">
        <v>1148</v>
      </c>
      <c r="C175" s="66" t="s">
        <v>9</v>
      </c>
      <c r="D175" s="66" t="s">
        <v>1314</v>
      </c>
      <c r="E175" s="69">
        <v>45902</v>
      </c>
      <c r="F175" s="69">
        <f t="shared" si="33"/>
        <v>45903</v>
      </c>
      <c r="G175" s="69">
        <f t="shared" si="34"/>
        <v>45916</v>
      </c>
      <c r="H175" s="69">
        <f t="shared" si="35"/>
        <v>45930</v>
      </c>
      <c r="I175" s="69">
        <f t="shared" si="36"/>
        <v>45958</v>
      </c>
      <c r="J175" s="69" t="str">
        <f t="shared" si="32"/>
        <v>Sep</v>
      </c>
      <c r="K175" s="216" t="str">
        <f t="shared" ca="1" si="29"/>
        <v/>
      </c>
      <c r="L175" s="67" t="s">
        <v>10</v>
      </c>
      <c r="M175" s="67"/>
      <c r="N175" s="67">
        <v>45919</v>
      </c>
      <c r="O175" s="152">
        <f t="shared" si="30"/>
        <v>13</v>
      </c>
      <c r="P175" s="12" t="str">
        <f t="shared" si="31"/>
        <v>Yes</v>
      </c>
      <c r="Q175" s="75"/>
      <c r="R175" s="70" t="s">
        <v>39</v>
      </c>
      <c r="S175" s="68" t="s">
        <v>40</v>
      </c>
      <c r="T175" s="66"/>
      <c r="U175" s="75"/>
      <c r="V175" s="66"/>
      <c r="W175" s="66"/>
      <c r="AV175" s="139" t="str">
        <v>Quarter 2</v>
      </c>
    </row>
    <row r="176" spans="1:48" ht="30" customHeight="1" x14ac:dyDescent="0.35">
      <c r="A176" s="214">
        <v>175</v>
      </c>
      <c r="B176" s="66" t="s">
        <v>6</v>
      </c>
      <c r="C176" s="66" t="s">
        <v>6</v>
      </c>
      <c r="D176" s="199" t="s">
        <v>1145</v>
      </c>
      <c r="E176" s="69">
        <v>45903</v>
      </c>
      <c r="F176" s="69">
        <f t="shared" si="33"/>
        <v>45904</v>
      </c>
      <c r="G176" s="69">
        <f t="shared" si="34"/>
        <v>45917</v>
      </c>
      <c r="H176" s="69">
        <f t="shared" si="35"/>
        <v>45931</v>
      </c>
      <c r="I176" s="69">
        <f t="shared" si="36"/>
        <v>45959</v>
      </c>
      <c r="J176" s="69" t="str">
        <f t="shared" si="32"/>
        <v>Sep</v>
      </c>
      <c r="K176" s="216" t="str">
        <f t="shared" ca="1" si="29"/>
        <v/>
      </c>
      <c r="L176" s="67" t="s">
        <v>10</v>
      </c>
      <c r="M176" s="67"/>
      <c r="N176" s="67">
        <v>45903</v>
      </c>
      <c r="O176" s="152">
        <f t="shared" si="30"/>
        <v>0</v>
      </c>
      <c r="P176" s="12" t="str">
        <f t="shared" si="31"/>
        <v>Yes</v>
      </c>
      <c r="Q176" s="75"/>
      <c r="R176" s="70" t="s">
        <v>39</v>
      </c>
      <c r="S176" s="68" t="s">
        <v>62</v>
      </c>
      <c r="T176" s="66"/>
      <c r="U176" s="75"/>
      <c r="V176" s="66"/>
      <c r="W176" s="66"/>
      <c r="AV176" s="139" t="str">
        <v>Quarter 2</v>
      </c>
    </row>
    <row r="177" spans="1:48" ht="30" customHeight="1" x14ac:dyDescent="0.35">
      <c r="A177" s="214">
        <v>176</v>
      </c>
      <c r="B177" s="66" t="s">
        <v>493</v>
      </c>
      <c r="C177" s="66" t="s">
        <v>5</v>
      </c>
      <c r="D177" s="66" t="s">
        <v>1350</v>
      </c>
      <c r="E177" s="69">
        <v>45903</v>
      </c>
      <c r="F177" s="69">
        <f t="shared" si="33"/>
        <v>45904</v>
      </c>
      <c r="G177" s="69">
        <f t="shared" si="34"/>
        <v>45917</v>
      </c>
      <c r="H177" s="69">
        <f t="shared" si="35"/>
        <v>45931</v>
      </c>
      <c r="I177" s="69">
        <f t="shared" si="36"/>
        <v>45959</v>
      </c>
      <c r="J177" s="69" t="str">
        <f t="shared" si="32"/>
        <v>Sep</v>
      </c>
      <c r="K177" s="216" t="str">
        <f t="shared" ca="1" si="29"/>
        <v/>
      </c>
      <c r="L177" s="67" t="s">
        <v>10</v>
      </c>
      <c r="M177" s="67"/>
      <c r="N177" s="67">
        <v>45917</v>
      </c>
      <c r="O177" s="152">
        <f t="shared" si="30"/>
        <v>10</v>
      </c>
      <c r="P177" s="12" t="str">
        <f t="shared" si="31"/>
        <v>Yes</v>
      </c>
      <c r="Q177" s="75"/>
      <c r="R177" s="70" t="s">
        <v>39</v>
      </c>
      <c r="S177" s="68" t="s">
        <v>40</v>
      </c>
      <c r="T177" s="66"/>
      <c r="U177" s="75"/>
      <c r="V177" s="66" t="s">
        <v>46</v>
      </c>
      <c r="W177" s="66"/>
      <c r="AV177" s="139" t="str">
        <v>Quarter 2</v>
      </c>
    </row>
    <row r="178" spans="1:48" ht="30" customHeight="1" x14ac:dyDescent="0.35">
      <c r="A178" s="214">
        <v>177</v>
      </c>
      <c r="B178" s="66" t="s">
        <v>1351</v>
      </c>
      <c r="C178" s="66" t="s">
        <v>9</v>
      </c>
      <c r="D178" s="66" t="s">
        <v>1352</v>
      </c>
      <c r="E178" s="69">
        <v>45904</v>
      </c>
      <c r="F178" s="69">
        <f t="shared" si="33"/>
        <v>45905</v>
      </c>
      <c r="G178" s="69">
        <f t="shared" si="34"/>
        <v>45918</v>
      </c>
      <c r="H178" s="69">
        <f t="shared" si="35"/>
        <v>45932</v>
      </c>
      <c r="I178" s="69">
        <f t="shared" si="36"/>
        <v>45960</v>
      </c>
      <c r="J178" s="69" t="str">
        <f t="shared" si="32"/>
        <v>Sep</v>
      </c>
      <c r="K178" s="216" t="str">
        <f t="shared" ca="1" si="29"/>
        <v/>
      </c>
      <c r="L178" s="67" t="s">
        <v>10</v>
      </c>
      <c r="M178" s="67"/>
      <c r="N178" s="67">
        <v>45925</v>
      </c>
      <c r="O178" s="152">
        <f t="shared" si="30"/>
        <v>15</v>
      </c>
      <c r="P178" s="12" t="str">
        <f t="shared" si="31"/>
        <v>Yes</v>
      </c>
      <c r="Q178" s="75"/>
      <c r="R178" s="70" t="s">
        <v>39</v>
      </c>
      <c r="S178" s="68" t="s">
        <v>40</v>
      </c>
      <c r="T178" s="66"/>
      <c r="U178" s="75"/>
      <c r="V178" s="66" t="s">
        <v>46</v>
      </c>
      <c r="W178" s="66"/>
      <c r="AV178" s="139" t="str">
        <v>Quarter 2</v>
      </c>
    </row>
    <row r="179" spans="1:48" ht="30" customHeight="1" x14ac:dyDescent="0.35">
      <c r="A179" s="214">
        <v>178</v>
      </c>
      <c r="B179" s="66" t="s">
        <v>942</v>
      </c>
      <c r="C179" s="66" t="s">
        <v>9</v>
      </c>
      <c r="D179" s="66" t="s">
        <v>943</v>
      </c>
      <c r="E179" s="69">
        <v>45904</v>
      </c>
      <c r="F179" s="69">
        <f t="shared" si="33"/>
        <v>45905</v>
      </c>
      <c r="G179" s="69">
        <f t="shared" si="34"/>
        <v>45918</v>
      </c>
      <c r="H179" s="69">
        <f t="shared" si="35"/>
        <v>45932</v>
      </c>
      <c r="I179" s="69">
        <f t="shared" si="36"/>
        <v>45960</v>
      </c>
      <c r="J179" s="69" t="str">
        <f t="shared" si="32"/>
        <v>Sep</v>
      </c>
      <c r="K179" s="216" t="str">
        <f t="shared" ca="1" si="29"/>
        <v/>
      </c>
      <c r="L179" s="67" t="s">
        <v>10</v>
      </c>
      <c r="M179" s="67"/>
      <c r="N179" s="67">
        <v>45904</v>
      </c>
      <c r="O179" s="152">
        <f t="shared" si="30"/>
        <v>0</v>
      </c>
      <c r="P179" s="12" t="str">
        <f t="shared" si="31"/>
        <v>Yes</v>
      </c>
      <c r="Q179" s="75"/>
      <c r="R179" s="70" t="s">
        <v>39</v>
      </c>
      <c r="S179" s="68" t="s">
        <v>40</v>
      </c>
      <c r="T179" s="66"/>
      <c r="U179" s="75"/>
      <c r="V179" s="66"/>
      <c r="W179" s="66"/>
      <c r="AV179" s="139" t="str">
        <v>Quarter 2</v>
      </c>
    </row>
    <row r="180" spans="1:48" ht="30" customHeight="1" x14ac:dyDescent="0.35">
      <c r="A180" s="214">
        <v>179</v>
      </c>
      <c r="B180" s="66" t="s">
        <v>6</v>
      </c>
      <c r="C180" s="66" t="s">
        <v>6</v>
      </c>
      <c r="D180" s="66" t="s">
        <v>1353</v>
      </c>
      <c r="E180" s="69">
        <v>45904</v>
      </c>
      <c r="F180" s="69">
        <f t="shared" si="33"/>
        <v>45905</v>
      </c>
      <c r="G180" s="69">
        <f t="shared" si="34"/>
        <v>45918</v>
      </c>
      <c r="H180" s="69">
        <f t="shared" si="35"/>
        <v>45932</v>
      </c>
      <c r="I180" s="69">
        <f t="shared" si="36"/>
        <v>45960</v>
      </c>
      <c r="J180" s="69" t="str">
        <f t="shared" si="32"/>
        <v>Sep</v>
      </c>
      <c r="K180" s="216" t="str">
        <f t="shared" ca="1" si="29"/>
        <v/>
      </c>
      <c r="L180" s="67" t="s">
        <v>4</v>
      </c>
      <c r="M180" s="67"/>
      <c r="N180" s="67">
        <v>45922</v>
      </c>
      <c r="O180" s="152">
        <f t="shared" si="30"/>
        <v>12</v>
      </c>
      <c r="P180" s="12" t="str">
        <f t="shared" si="31"/>
        <v>Yes</v>
      </c>
      <c r="Q180" s="75"/>
      <c r="R180" s="70" t="s">
        <v>39</v>
      </c>
      <c r="S180" s="68" t="s">
        <v>40</v>
      </c>
      <c r="T180" s="66"/>
      <c r="U180" s="75"/>
      <c r="V180" s="66"/>
      <c r="W180" s="66"/>
      <c r="AV180" s="139" t="str">
        <v>Quarter 2</v>
      </c>
    </row>
    <row r="181" spans="1:48" ht="30" customHeight="1" x14ac:dyDescent="0.35">
      <c r="A181" s="214">
        <v>180</v>
      </c>
      <c r="B181" s="66" t="s">
        <v>6</v>
      </c>
      <c r="C181" s="66" t="s">
        <v>6</v>
      </c>
      <c r="D181" s="66" t="s">
        <v>1354</v>
      </c>
      <c r="E181" s="69">
        <v>45904</v>
      </c>
      <c r="F181" s="69">
        <f t="shared" si="33"/>
        <v>45905</v>
      </c>
      <c r="G181" s="69">
        <f t="shared" si="34"/>
        <v>45918</v>
      </c>
      <c r="H181" s="69">
        <f t="shared" si="35"/>
        <v>45932</v>
      </c>
      <c r="I181" s="69">
        <f t="shared" si="36"/>
        <v>45960</v>
      </c>
      <c r="J181" s="69" t="str">
        <f t="shared" si="32"/>
        <v>Sep</v>
      </c>
      <c r="K181" s="216" t="str">
        <f t="shared" ca="1" si="29"/>
        <v/>
      </c>
      <c r="L181" s="67" t="s">
        <v>10</v>
      </c>
      <c r="M181" s="67"/>
      <c r="N181" s="67">
        <v>45908</v>
      </c>
      <c r="O181" s="152">
        <f t="shared" si="30"/>
        <v>2</v>
      </c>
      <c r="P181" s="12" t="str">
        <f t="shared" si="31"/>
        <v>Yes</v>
      </c>
      <c r="Q181" s="75"/>
      <c r="R181" s="70" t="s">
        <v>39</v>
      </c>
      <c r="S181" s="68" t="s">
        <v>40</v>
      </c>
      <c r="T181" s="66"/>
      <c r="U181" s="75"/>
      <c r="V181" s="66"/>
      <c r="W181" s="66"/>
      <c r="AV181" s="139" t="str">
        <v>Quarter 2</v>
      </c>
    </row>
    <row r="182" spans="1:48" ht="30" customHeight="1" x14ac:dyDescent="0.35">
      <c r="A182" s="214">
        <v>181</v>
      </c>
      <c r="B182" s="66" t="s">
        <v>713</v>
      </c>
      <c r="C182" s="66" t="s">
        <v>9</v>
      </c>
      <c r="D182" s="66" t="s">
        <v>1355</v>
      </c>
      <c r="E182" s="69">
        <v>45905</v>
      </c>
      <c r="F182" s="69">
        <f t="shared" si="33"/>
        <v>45908</v>
      </c>
      <c r="G182" s="69">
        <f t="shared" si="34"/>
        <v>45919</v>
      </c>
      <c r="H182" s="69">
        <f t="shared" si="35"/>
        <v>45933</v>
      </c>
      <c r="I182" s="69">
        <f t="shared" si="36"/>
        <v>45961</v>
      </c>
      <c r="J182" s="69" t="str">
        <f t="shared" si="32"/>
        <v>Sep</v>
      </c>
      <c r="K182" s="216" t="str">
        <f t="shared" ca="1" si="29"/>
        <v/>
      </c>
      <c r="L182" s="67" t="s">
        <v>10</v>
      </c>
      <c r="M182" s="67"/>
      <c r="N182" s="67">
        <v>45919</v>
      </c>
      <c r="O182" s="152">
        <f t="shared" si="30"/>
        <v>10</v>
      </c>
      <c r="P182" s="12" t="str">
        <f t="shared" si="31"/>
        <v>Yes</v>
      </c>
      <c r="Q182" s="75"/>
      <c r="R182" s="70" t="s">
        <v>39</v>
      </c>
      <c r="S182" s="68" t="s">
        <v>62</v>
      </c>
      <c r="T182" s="66"/>
      <c r="U182" s="75"/>
      <c r="V182" s="66"/>
      <c r="W182" s="66"/>
      <c r="AV182" s="139" t="str">
        <v>Quarter 2</v>
      </c>
    </row>
    <row r="183" spans="1:48" ht="30" customHeight="1" x14ac:dyDescent="0.35">
      <c r="A183" s="214">
        <v>182</v>
      </c>
      <c r="B183" s="66" t="s">
        <v>214</v>
      </c>
      <c r="C183" s="66" t="s">
        <v>5</v>
      </c>
      <c r="D183" s="66" t="s">
        <v>1302</v>
      </c>
      <c r="E183" s="69">
        <v>45908</v>
      </c>
      <c r="F183" s="69">
        <f t="shared" si="33"/>
        <v>45909</v>
      </c>
      <c r="G183" s="69">
        <f t="shared" si="34"/>
        <v>45922</v>
      </c>
      <c r="H183" s="69">
        <f t="shared" si="35"/>
        <v>45936</v>
      </c>
      <c r="I183" s="69">
        <f t="shared" si="36"/>
        <v>45964</v>
      </c>
      <c r="J183" s="69" t="str">
        <f t="shared" si="32"/>
        <v>Sep</v>
      </c>
      <c r="K183" s="216" t="str">
        <f t="shared" ca="1" si="29"/>
        <v/>
      </c>
      <c r="L183" s="67" t="s">
        <v>10</v>
      </c>
      <c r="M183" s="67"/>
      <c r="N183" s="67">
        <v>45922</v>
      </c>
      <c r="O183" s="152">
        <f t="shared" si="30"/>
        <v>10</v>
      </c>
      <c r="P183" s="12" t="str">
        <f t="shared" si="31"/>
        <v>Yes</v>
      </c>
      <c r="Q183" s="75"/>
      <c r="R183" s="70" t="s">
        <v>39</v>
      </c>
      <c r="S183" s="68" t="s">
        <v>62</v>
      </c>
      <c r="T183" s="66"/>
      <c r="U183" s="75"/>
      <c r="V183" s="66"/>
      <c r="W183" s="66"/>
      <c r="AV183" s="139" t="str">
        <v>Quarter 2</v>
      </c>
    </row>
    <row r="184" spans="1:48" ht="30" customHeight="1" x14ac:dyDescent="0.35">
      <c r="A184" s="214">
        <v>183</v>
      </c>
      <c r="B184" s="66" t="s">
        <v>6</v>
      </c>
      <c r="C184" s="66" t="s">
        <v>6</v>
      </c>
      <c r="D184" s="66" t="s">
        <v>1356</v>
      </c>
      <c r="E184" s="69">
        <v>45908</v>
      </c>
      <c r="F184" s="69">
        <f t="shared" si="33"/>
        <v>45909</v>
      </c>
      <c r="G184" s="69">
        <f t="shared" si="34"/>
        <v>45922</v>
      </c>
      <c r="H184" s="69">
        <f t="shared" si="35"/>
        <v>45936</v>
      </c>
      <c r="I184" s="69">
        <f t="shared" si="36"/>
        <v>45964</v>
      </c>
      <c r="J184" s="69" t="str">
        <f t="shared" si="32"/>
        <v>Sep</v>
      </c>
      <c r="K184" s="216" t="str">
        <f t="shared" ca="1" si="29"/>
        <v/>
      </c>
      <c r="L184" s="67" t="s">
        <v>4</v>
      </c>
      <c r="M184" s="67"/>
      <c r="N184" s="67">
        <v>45925</v>
      </c>
      <c r="O184" s="152">
        <f t="shared" si="30"/>
        <v>13</v>
      </c>
      <c r="P184" s="12" t="str">
        <f t="shared" si="31"/>
        <v>Yes</v>
      </c>
      <c r="Q184" s="75"/>
      <c r="R184" s="70" t="s">
        <v>39</v>
      </c>
      <c r="S184" s="68" t="s">
        <v>40</v>
      </c>
      <c r="T184" s="66"/>
      <c r="U184" s="75"/>
      <c r="V184" s="66" t="s">
        <v>46</v>
      </c>
      <c r="W184" s="66"/>
      <c r="AV184" s="139" t="str">
        <v>Quarter 2</v>
      </c>
    </row>
    <row r="185" spans="1:48" ht="30" customHeight="1" x14ac:dyDescent="0.35">
      <c r="A185" s="214">
        <v>184</v>
      </c>
      <c r="B185" s="66" t="s">
        <v>1357</v>
      </c>
      <c r="C185" s="66" t="s">
        <v>9</v>
      </c>
      <c r="D185" s="66" t="s">
        <v>1358</v>
      </c>
      <c r="E185" s="69">
        <v>45910</v>
      </c>
      <c r="F185" s="69">
        <f t="shared" si="33"/>
        <v>45911</v>
      </c>
      <c r="G185" s="69">
        <f t="shared" si="34"/>
        <v>45924</v>
      </c>
      <c r="H185" s="69">
        <f t="shared" si="35"/>
        <v>45938</v>
      </c>
      <c r="I185" s="69">
        <f t="shared" si="36"/>
        <v>45966</v>
      </c>
      <c r="J185" s="69" t="str">
        <f t="shared" si="32"/>
        <v>Sep</v>
      </c>
      <c r="K185" s="216" t="str">
        <f t="shared" ca="1" si="29"/>
        <v/>
      </c>
      <c r="L185" s="67" t="s">
        <v>10</v>
      </c>
      <c r="M185" s="67"/>
      <c r="N185" s="67">
        <v>45925</v>
      </c>
      <c r="O185" s="152">
        <f t="shared" si="30"/>
        <v>11</v>
      </c>
      <c r="P185" s="12" t="str">
        <f t="shared" si="31"/>
        <v>Yes</v>
      </c>
      <c r="Q185" s="75"/>
      <c r="R185" s="70" t="s">
        <v>39</v>
      </c>
      <c r="S185" s="68" t="s">
        <v>40</v>
      </c>
      <c r="T185" s="66"/>
      <c r="U185" s="75"/>
      <c r="V185" s="66"/>
      <c r="W185" s="66"/>
      <c r="AV185" s="139" t="str">
        <v>Quarter 2</v>
      </c>
    </row>
    <row r="186" spans="1:48" ht="30" customHeight="1" x14ac:dyDescent="0.35">
      <c r="A186" s="214">
        <v>185</v>
      </c>
      <c r="B186" s="66" t="s">
        <v>6</v>
      </c>
      <c r="C186" s="66" t="s">
        <v>6</v>
      </c>
      <c r="D186" s="66" t="s">
        <v>1356</v>
      </c>
      <c r="E186" s="69">
        <v>45910</v>
      </c>
      <c r="F186" s="69">
        <f t="shared" si="33"/>
        <v>45911</v>
      </c>
      <c r="G186" s="69">
        <f t="shared" si="34"/>
        <v>45924</v>
      </c>
      <c r="H186" s="69">
        <f t="shared" si="35"/>
        <v>45938</v>
      </c>
      <c r="I186" s="69">
        <f t="shared" si="36"/>
        <v>45966</v>
      </c>
      <c r="J186" s="69" t="str">
        <f t="shared" si="32"/>
        <v>Sep</v>
      </c>
      <c r="K186" s="216" t="str">
        <f t="shared" ca="1" si="29"/>
        <v/>
      </c>
      <c r="L186" s="67" t="s">
        <v>4</v>
      </c>
      <c r="M186" s="67"/>
      <c r="N186" s="67">
        <v>45925</v>
      </c>
      <c r="O186" s="152">
        <f t="shared" si="30"/>
        <v>11</v>
      </c>
      <c r="P186" s="12" t="str">
        <f t="shared" si="31"/>
        <v>Yes</v>
      </c>
      <c r="Q186" s="75"/>
      <c r="R186" s="70" t="s">
        <v>39</v>
      </c>
      <c r="S186" s="68" t="s">
        <v>40</v>
      </c>
      <c r="T186" s="66"/>
      <c r="U186" s="75"/>
      <c r="V186" s="66" t="s">
        <v>46</v>
      </c>
      <c r="W186" s="66"/>
      <c r="AV186" s="139" t="str">
        <v>Quarter 2</v>
      </c>
    </row>
    <row r="187" spans="1:48" ht="30" customHeight="1" x14ac:dyDescent="0.35">
      <c r="A187" s="214">
        <v>186</v>
      </c>
      <c r="B187" s="66" t="s">
        <v>6</v>
      </c>
      <c r="C187" s="66" t="s">
        <v>6</v>
      </c>
      <c r="D187" s="66" t="s">
        <v>1359</v>
      </c>
      <c r="E187" s="69">
        <v>45916</v>
      </c>
      <c r="F187" s="69">
        <f t="shared" si="33"/>
        <v>45917</v>
      </c>
      <c r="G187" s="69">
        <f t="shared" si="34"/>
        <v>45930</v>
      </c>
      <c r="H187" s="69">
        <f t="shared" si="35"/>
        <v>45944</v>
      </c>
      <c r="I187" s="69">
        <f t="shared" si="36"/>
        <v>45972</v>
      </c>
      <c r="J187" s="69" t="str">
        <f t="shared" si="32"/>
        <v>Sep</v>
      </c>
      <c r="K187" s="216" t="str">
        <f t="shared" ca="1" si="29"/>
        <v/>
      </c>
      <c r="L187" s="67" t="s">
        <v>4</v>
      </c>
      <c r="M187" s="67"/>
      <c r="N187" s="67">
        <v>45922</v>
      </c>
      <c r="O187" s="152">
        <f t="shared" si="30"/>
        <v>4</v>
      </c>
      <c r="P187" s="12" t="str">
        <f t="shared" si="31"/>
        <v>Yes</v>
      </c>
      <c r="Q187" s="75"/>
      <c r="R187" s="70" t="s">
        <v>39</v>
      </c>
      <c r="S187" s="68" t="s">
        <v>40</v>
      </c>
      <c r="T187" s="66"/>
      <c r="U187" s="75"/>
      <c r="V187" s="66"/>
      <c r="W187" s="66"/>
      <c r="AV187" s="139" t="str">
        <v>Quarter 2</v>
      </c>
    </row>
    <row r="188" spans="1:48" ht="30" customHeight="1" x14ac:dyDescent="0.35">
      <c r="A188" s="214">
        <v>187</v>
      </c>
      <c r="B188" s="66" t="s">
        <v>1360</v>
      </c>
      <c r="C188" s="66" t="s">
        <v>9</v>
      </c>
      <c r="D188" s="66" t="s">
        <v>1361</v>
      </c>
      <c r="E188" s="69">
        <v>45916</v>
      </c>
      <c r="F188" s="69">
        <f t="shared" si="33"/>
        <v>45917</v>
      </c>
      <c r="G188" s="69">
        <f t="shared" si="34"/>
        <v>45930</v>
      </c>
      <c r="H188" s="69">
        <f t="shared" si="35"/>
        <v>45944</v>
      </c>
      <c r="I188" s="69">
        <f t="shared" si="36"/>
        <v>45972</v>
      </c>
      <c r="J188" s="69" t="str">
        <f t="shared" si="32"/>
        <v>Sep</v>
      </c>
      <c r="K188" s="216" t="str">
        <f t="shared" ca="1" si="29"/>
        <v/>
      </c>
      <c r="L188" s="67" t="s">
        <v>10</v>
      </c>
      <c r="M188" s="67"/>
      <c r="N188" s="67">
        <v>45918</v>
      </c>
      <c r="O188" s="152">
        <f t="shared" si="30"/>
        <v>2</v>
      </c>
      <c r="P188" s="12" t="str">
        <f t="shared" si="31"/>
        <v>Yes</v>
      </c>
      <c r="Q188" s="75"/>
      <c r="R188" s="70" t="s">
        <v>39</v>
      </c>
      <c r="S188" s="68" t="s">
        <v>45</v>
      </c>
      <c r="T188" s="66"/>
      <c r="U188" s="75" t="s">
        <v>1165</v>
      </c>
      <c r="V188" s="66"/>
      <c r="W188" s="66"/>
      <c r="AV188" s="139" t="str">
        <v>Quarter 2</v>
      </c>
    </row>
    <row r="189" spans="1:48" ht="30" customHeight="1" x14ac:dyDescent="0.35">
      <c r="A189" s="214">
        <v>188</v>
      </c>
      <c r="B189" s="66" t="s">
        <v>493</v>
      </c>
      <c r="C189" s="66" t="s">
        <v>5</v>
      </c>
      <c r="D189" s="66" t="s">
        <v>1362</v>
      </c>
      <c r="E189" s="69">
        <v>45918</v>
      </c>
      <c r="F189" s="69">
        <f t="shared" ref="F189:F220" si="37">IF($E189="","",WORKDAY($E189,1,$Z$33:$Z$47))</f>
        <v>45919</v>
      </c>
      <c r="G189" s="69">
        <f t="shared" ref="G189:G220" si="38">IF($E189="","",WORKDAY($E189,10,$Z$33:$Z$47))</f>
        <v>45932</v>
      </c>
      <c r="H189" s="69">
        <f t="shared" ref="H189:H220" si="39">IF($E189="","",WORKDAY($E189,20,$Z$33:$Z$47))</f>
        <v>45946</v>
      </c>
      <c r="I189" s="69">
        <f t="shared" ref="I189:I220" si="40">IF($E189="","",WORKDAY($E189,40,$Z$33:$Z$47))</f>
        <v>45974</v>
      </c>
      <c r="J189" s="69" t="str">
        <f t="shared" si="32"/>
        <v>Sep</v>
      </c>
      <c r="K189" s="216" t="str">
        <f t="shared" ca="1" si="29"/>
        <v/>
      </c>
      <c r="L189" s="67" t="s">
        <v>10</v>
      </c>
      <c r="M189" s="67"/>
      <c r="N189" s="67">
        <v>45918</v>
      </c>
      <c r="O189" s="152">
        <f t="shared" si="30"/>
        <v>0</v>
      </c>
      <c r="P189" s="12" t="str">
        <f t="shared" si="31"/>
        <v>Yes</v>
      </c>
      <c r="Q189" s="75"/>
      <c r="R189" s="70" t="s">
        <v>39</v>
      </c>
      <c r="S189" s="68" t="s">
        <v>40</v>
      </c>
      <c r="T189" s="66"/>
      <c r="U189" s="75"/>
      <c r="V189" s="66"/>
      <c r="W189" s="66"/>
      <c r="AV189" s="139" t="str">
        <v>Quarter 2</v>
      </c>
    </row>
    <row r="190" spans="1:48" ht="30" customHeight="1" x14ac:dyDescent="0.35">
      <c r="A190" s="214">
        <v>189</v>
      </c>
      <c r="B190" s="66" t="s">
        <v>493</v>
      </c>
      <c r="C190" s="66" t="s">
        <v>5</v>
      </c>
      <c r="D190" s="66" t="s">
        <v>1170</v>
      </c>
      <c r="E190" s="69">
        <v>45918</v>
      </c>
      <c r="F190" s="69">
        <f t="shared" si="37"/>
        <v>45919</v>
      </c>
      <c r="G190" s="69">
        <f t="shared" si="38"/>
        <v>45932</v>
      </c>
      <c r="H190" s="69">
        <f t="shared" si="39"/>
        <v>45946</v>
      </c>
      <c r="I190" s="69">
        <f t="shared" si="40"/>
        <v>45974</v>
      </c>
      <c r="J190" s="69" t="str">
        <f t="shared" si="32"/>
        <v>Sep</v>
      </c>
      <c r="K190" s="216" t="str">
        <f t="shared" ca="1" si="29"/>
        <v/>
      </c>
      <c r="L190" s="67" t="s">
        <v>10</v>
      </c>
      <c r="M190" s="67"/>
      <c r="N190" s="67">
        <v>45919</v>
      </c>
      <c r="O190" s="152">
        <f t="shared" si="30"/>
        <v>1</v>
      </c>
      <c r="P190" s="12" t="str">
        <f t="shared" si="31"/>
        <v>Yes</v>
      </c>
      <c r="Q190" s="75"/>
      <c r="R190" s="70" t="s">
        <v>39</v>
      </c>
      <c r="S190" s="68" t="s">
        <v>40</v>
      </c>
      <c r="T190" s="66"/>
      <c r="U190" s="75"/>
      <c r="V190" s="66"/>
      <c r="W190" s="66"/>
      <c r="AV190" s="139" t="str">
        <v>Quarter 2</v>
      </c>
    </row>
    <row r="191" spans="1:48" ht="30" customHeight="1" x14ac:dyDescent="0.35">
      <c r="A191" s="214">
        <v>190</v>
      </c>
      <c r="B191" s="66" t="s">
        <v>6</v>
      </c>
      <c r="C191" s="66" t="s">
        <v>6</v>
      </c>
      <c r="D191" s="66" t="s">
        <v>1184</v>
      </c>
      <c r="E191" s="69">
        <v>45918</v>
      </c>
      <c r="F191" s="69">
        <f t="shared" si="37"/>
        <v>45919</v>
      </c>
      <c r="G191" s="69">
        <f t="shared" si="38"/>
        <v>45932</v>
      </c>
      <c r="H191" s="69">
        <f t="shared" si="39"/>
        <v>45946</v>
      </c>
      <c r="I191" s="69">
        <f t="shared" si="40"/>
        <v>45974</v>
      </c>
      <c r="J191" s="69" t="str">
        <f t="shared" si="32"/>
        <v>Sep</v>
      </c>
      <c r="K191" s="216" t="str">
        <f t="shared" ca="1" si="29"/>
        <v/>
      </c>
      <c r="L191" s="67" t="s">
        <v>4</v>
      </c>
      <c r="M191" s="67"/>
      <c r="N191" s="67">
        <v>45932</v>
      </c>
      <c r="O191" s="152">
        <f t="shared" si="30"/>
        <v>10</v>
      </c>
      <c r="P191" s="12" t="str">
        <f t="shared" si="31"/>
        <v>Yes</v>
      </c>
      <c r="Q191" s="75"/>
      <c r="R191" s="70" t="s">
        <v>39</v>
      </c>
      <c r="S191" s="68" t="s">
        <v>62</v>
      </c>
      <c r="T191" s="66"/>
      <c r="U191" s="75"/>
      <c r="V191" s="66"/>
      <c r="W191" s="66"/>
      <c r="AV191" s="139" t="str">
        <v>Quarter 2</v>
      </c>
    </row>
    <row r="192" spans="1:48" ht="30" customHeight="1" x14ac:dyDescent="0.35">
      <c r="A192" s="214">
        <v>191</v>
      </c>
      <c r="B192" s="66" t="s">
        <v>1363</v>
      </c>
      <c r="C192" s="66" t="s">
        <v>9</v>
      </c>
      <c r="D192" s="66" t="s">
        <v>1364</v>
      </c>
      <c r="E192" s="69">
        <v>45922</v>
      </c>
      <c r="F192" s="69">
        <f t="shared" si="37"/>
        <v>45923</v>
      </c>
      <c r="G192" s="69">
        <f t="shared" si="38"/>
        <v>45936</v>
      </c>
      <c r="H192" s="69">
        <f t="shared" si="39"/>
        <v>45950</v>
      </c>
      <c r="I192" s="69">
        <f t="shared" si="40"/>
        <v>45978</v>
      </c>
      <c r="J192" s="69" t="str">
        <f t="shared" si="32"/>
        <v>Sep</v>
      </c>
      <c r="K192" s="216" t="str">
        <f t="shared" ca="1" si="29"/>
        <v/>
      </c>
      <c r="L192" s="67" t="s">
        <v>10</v>
      </c>
      <c r="M192" s="67"/>
      <c r="N192" s="67">
        <v>45936</v>
      </c>
      <c r="O192" s="152">
        <f t="shared" si="30"/>
        <v>10</v>
      </c>
      <c r="P192" s="12" t="str">
        <f t="shared" si="31"/>
        <v>Yes</v>
      </c>
      <c r="Q192" s="75"/>
      <c r="R192" s="70" t="s">
        <v>39</v>
      </c>
      <c r="S192" s="68" t="s">
        <v>40</v>
      </c>
      <c r="T192" s="66"/>
      <c r="U192" s="75"/>
      <c r="V192" s="66" t="s">
        <v>46</v>
      </c>
      <c r="W192" s="66"/>
      <c r="AV192" s="139" t="str">
        <v>Quarter 2</v>
      </c>
    </row>
    <row r="193" spans="1:48" ht="30" customHeight="1" x14ac:dyDescent="0.35">
      <c r="A193" s="214">
        <v>192</v>
      </c>
      <c r="B193" s="66" t="s">
        <v>633</v>
      </c>
      <c r="C193" s="66" t="s">
        <v>16</v>
      </c>
      <c r="D193" s="66" t="s">
        <v>1179</v>
      </c>
      <c r="E193" s="69">
        <v>45925</v>
      </c>
      <c r="F193" s="69">
        <f t="shared" si="37"/>
        <v>45926</v>
      </c>
      <c r="G193" s="69">
        <f t="shared" si="38"/>
        <v>45939</v>
      </c>
      <c r="H193" s="69">
        <f t="shared" si="39"/>
        <v>45953</v>
      </c>
      <c r="I193" s="69">
        <f t="shared" si="40"/>
        <v>45981</v>
      </c>
      <c r="J193" s="69" t="str">
        <f t="shared" si="32"/>
        <v>Sep</v>
      </c>
      <c r="K193" s="216" t="str">
        <f t="shared" ca="1" si="29"/>
        <v/>
      </c>
      <c r="L193" s="67" t="s">
        <v>4</v>
      </c>
      <c r="M193" s="67"/>
      <c r="N193" s="67">
        <v>45929</v>
      </c>
      <c r="O193" s="152">
        <f t="shared" si="30"/>
        <v>2</v>
      </c>
      <c r="P193" s="12" t="str">
        <f t="shared" si="31"/>
        <v>Yes</v>
      </c>
      <c r="Q193" s="75"/>
      <c r="R193" s="70" t="s">
        <v>39</v>
      </c>
      <c r="S193" s="68" t="s">
        <v>62</v>
      </c>
      <c r="T193" s="66"/>
      <c r="U193" s="75"/>
      <c r="V193" s="66"/>
      <c r="W193" s="66"/>
      <c r="AV193" s="139" t="str">
        <v>Quarter 2</v>
      </c>
    </row>
    <row r="194" spans="1:48" ht="30" customHeight="1" x14ac:dyDescent="0.35">
      <c r="A194" s="214">
        <v>193</v>
      </c>
      <c r="B194" s="66" t="s">
        <v>6</v>
      </c>
      <c r="C194" s="66" t="s">
        <v>6</v>
      </c>
      <c r="D194" s="66" t="s">
        <v>1365</v>
      </c>
      <c r="E194" s="69">
        <v>45926</v>
      </c>
      <c r="F194" s="69">
        <f t="shared" si="37"/>
        <v>45929</v>
      </c>
      <c r="G194" s="69">
        <f t="shared" si="38"/>
        <v>45940</v>
      </c>
      <c r="H194" s="69">
        <f t="shared" si="39"/>
        <v>45954</v>
      </c>
      <c r="I194" s="69">
        <f t="shared" si="40"/>
        <v>45982</v>
      </c>
      <c r="J194" s="69" t="str">
        <f t="shared" si="32"/>
        <v>Sep</v>
      </c>
      <c r="K194" s="216" t="str">
        <f t="shared" ref="K194:K257" ca="1" si="41">IF($E194="","",IF($N194="",$H194-TODAY(),""))</f>
        <v/>
      </c>
      <c r="L194" s="67" t="s">
        <v>10</v>
      </c>
      <c r="M194" s="67"/>
      <c r="N194" s="67">
        <v>45939</v>
      </c>
      <c r="O194" s="152">
        <f t="shared" ref="O194:O257" si="42">IF($N194="","",NETWORKDAYS($E194,$N194,$Z$33:$Z$47)-1)</f>
        <v>9</v>
      </c>
      <c r="P194" s="12" t="str">
        <f t="shared" si="31"/>
        <v>Yes</v>
      </c>
      <c r="Q194" s="75"/>
      <c r="R194" s="70" t="s">
        <v>39</v>
      </c>
      <c r="S194" s="68" t="s">
        <v>40</v>
      </c>
      <c r="T194" s="66"/>
      <c r="U194" s="75"/>
      <c r="V194" s="66"/>
      <c r="W194" s="66"/>
      <c r="AV194" s="139" t="str">
        <v>Quarter 2</v>
      </c>
    </row>
    <row r="195" spans="1:48" ht="30" customHeight="1" x14ac:dyDescent="0.35">
      <c r="A195" s="214">
        <v>194</v>
      </c>
      <c r="B195" s="66" t="s">
        <v>1287</v>
      </c>
      <c r="C195" s="66" t="s">
        <v>11</v>
      </c>
      <c r="D195" s="66" t="s">
        <v>1366</v>
      </c>
      <c r="E195" s="69">
        <v>45930</v>
      </c>
      <c r="F195" s="69">
        <f t="shared" si="37"/>
        <v>45931</v>
      </c>
      <c r="G195" s="69">
        <f t="shared" si="38"/>
        <v>45944</v>
      </c>
      <c r="H195" s="69">
        <f t="shared" si="39"/>
        <v>45958</v>
      </c>
      <c r="I195" s="69">
        <f t="shared" si="40"/>
        <v>45986</v>
      </c>
      <c r="J195" s="69" t="str">
        <f t="shared" si="32"/>
        <v>Sep</v>
      </c>
      <c r="K195" s="216" t="str">
        <f t="shared" ca="1" si="41"/>
        <v/>
      </c>
      <c r="L195" s="67" t="s">
        <v>10</v>
      </c>
      <c r="M195" s="67"/>
      <c r="N195" s="67">
        <v>45943</v>
      </c>
      <c r="O195" s="152">
        <f t="shared" si="42"/>
        <v>9</v>
      </c>
      <c r="P195" s="12" t="str">
        <f t="shared" ref="P195:P258" si="43">IF(ISBLANK($N195),"",IF($O195&lt;21,"Yes","No"))</f>
        <v>Yes</v>
      </c>
      <c r="Q195" s="75"/>
      <c r="R195" s="70" t="s">
        <v>39</v>
      </c>
      <c r="S195" s="68" t="s">
        <v>40</v>
      </c>
      <c r="T195" s="66"/>
      <c r="U195" s="75"/>
      <c r="V195" s="66" t="s">
        <v>46</v>
      </c>
      <c r="W195" s="66"/>
      <c r="AV195" s="139" t="str">
        <v>Quarter 2</v>
      </c>
    </row>
    <row r="196" spans="1:48" ht="30" customHeight="1" x14ac:dyDescent="0.35">
      <c r="A196" s="214">
        <v>195</v>
      </c>
      <c r="B196" s="66" t="s">
        <v>1367</v>
      </c>
      <c r="C196" s="66" t="s">
        <v>9</v>
      </c>
      <c r="D196" s="66" t="s">
        <v>1368</v>
      </c>
      <c r="E196" s="69">
        <v>45930</v>
      </c>
      <c r="F196" s="69">
        <f t="shared" si="37"/>
        <v>45931</v>
      </c>
      <c r="G196" s="69">
        <f t="shared" si="38"/>
        <v>45944</v>
      </c>
      <c r="H196" s="69">
        <f t="shared" si="39"/>
        <v>45958</v>
      </c>
      <c r="I196" s="69">
        <f t="shared" si="40"/>
        <v>45986</v>
      </c>
      <c r="J196" s="69" t="str">
        <f t="shared" si="32"/>
        <v>Sep</v>
      </c>
      <c r="K196" s="216" t="str">
        <f t="shared" ca="1" si="41"/>
        <v/>
      </c>
      <c r="L196" s="67" t="s">
        <v>10</v>
      </c>
      <c r="M196" s="67"/>
      <c r="N196" s="67">
        <v>45936</v>
      </c>
      <c r="O196" s="152">
        <f t="shared" si="42"/>
        <v>4</v>
      </c>
      <c r="P196" s="12" t="str">
        <f t="shared" si="43"/>
        <v>Yes</v>
      </c>
      <c r="Q196" s="75"/>
      <c r="R196" s="70" t="s">
        <v>39</v>
      </c>
      <c r="S196" s="68" t="s">
        <v>40</v>
      </c>
      <c r="T196" s="66"/>
      <c r="U196" s="75"/>
      <c r="V196" s="66"/>
      <c r="W196" s="66"/>
      <c r="AV196" s="139" t="str">
        <v>Quarter 2</v>
      </c>
    </row>
    <row r="197" spans="1:48" ht="30" customHeight="1" x14ac:dyDescent="0.35">
      <c r="A197" s="214">
        <v>196</v>
      </c>
      <c r="B197" s="66" t="s">
        <v>55</v>
      </c>
      <c r="C197" s="66" t="s">
        <v>13</v>
      </c>
      <c r="D197" s="66" t="s">
        <v>1369</v>
      </c>
      <c r="E197" s="69">
        <v>45930</v>
      </c>
      <c r="F197" s="69">
        <f t="shared" si="37"/>
        <v>45931</v>
      </c>
      <c r="G197" s="69">
        <f t="shared" si="38"/>
        <v>45944</v>
      </c>
      <c r="H197" s="69">
        <f t="shared" si="39"/>
        <v>45958</v>
      </c>
      <c r="I197" s="69">
        <f t="shared" si="40"/>
        <v>45986</v>
      </c>
      <c r="J197" s="69" t="str">
        <f t="shared" si="32"/>
        <v>Sep</v>
      </c>
      <c r="K197" s="216" t="str">
        <f t="shared" ca="1" si="41"/>
        <v/>
      </c>
      <c r="L197" s="67" t="s">
        <v>4</v>
      </c>
      <c r="M197" s="67"/>
      <c r="N197" s="67">
        <v>45932</v>
      </c>
      <c r="O197" s="152">
        <f t="shared" si="42"/>
        <v>2</v>
      </c>
      <c r="P197" s="12" t="str">
        <f t="shared" si="43"/>
        <v>Yes</v>
      </c>
      <c r="Q197" s="75"/>
      <c r="R197" s="70" t="s">
        <v>39</v>
      </c>
      <c r="S197" s="68" t="s">
        <v>40</v>
      </c>
      <c r="T197" s="66"/>
      <c r="U197" s="75" t="s">
        <v>1151</v>
      </c>
      <c r="V197" s="66"/>
      <c r="W197" s="66"/>
      <c r="AV197" s="139" t="str">
        <v>Quarter 2</v>
      </c>
    </row>
    <row r="198" spans="1:48" ht="30" customHeight="1" x14ac:dyDescent="0.35">
      <c r="A198" s="214">
        <v>197</v>
      </c>
      <c r="B198" s="66" t="s">
        <v>1148</v>
      </c>
      <c r="C198" s="66" t="s">
        <v>9</v>
      </c>
      <c r="D198" s="66" t="s">
        <v>1314</v>
      </c>
      <c r="E198" s="69">
        <v>45931</v>
      </c>
      <c r="F198" s="69">
        <f t="shared" si="37"/>
        <v>45932</v>
      </c>
      <c r="G198" s="69">
        <f t="shared" si="38"/>
        <v>45945</v>
      </c>
      <c r="H198" s="69">
        <f t="shared" si="39"/>
        <v>45959</v>
      </c>
      <c r="I198" s="69">
        <f t="shared" si="40"/>
        <v>45987</v>
      </c>
      <c r="J198" s="69" t="str">
        <f t="shared" si="32"/>
        <v>Oct</v>
      </c>
      <c r="K198" s="216" t="str">
        <f t="shared" ca="1" si="41"/>
        <v/>
      </c>
      <c r="L198" s="67" t="s">
        <v>10</v>
      </c>
      <c r="M198" s="67"/>
      <c r="N198" s="67">
        <v>45945</v>
      </c>
      <c r="O198" s="152">
        <f t="shared" si="42"/>
        <v>10</v>
      </c>
      <c r="P198" s="12" t="str">
        <f t="shared" si="43"/>
        <v>Yes</v>
      </c>
      <c r="Q198" s="75"/>
      <c r="R198" s="70" t="s">
        <v>39</v>
      </c>
      <c r="S198" s="68" t="s">
        <v>40</v>
      </c>
      <c r="T198" s="66"/>
      <c r="U198" s="75"/>
      <c r="V198" s="66"/>
      <c r="W198" s="66"/>
      <c r="AV198" s="139" t="str">
        <v>Quarter 3</v>
      </c>
    </row>
    <row r="199" spans="1:48" ht="30" customHeight="1" x14ac:dyDescent="0.35">
      <c r="A199" s="214">
        <v>198</v>
      </c>
      <c r="B199" s="66" t="s">
        <v>1148</v>
      </c>
      <c r="C199" s="66" t="s">
        <v>9</v>
      </c>
      <c r="D199" s="66" t="s">
        <v>1313</v>
      </c>
      <c r="E199" s="69">
        <v>45931</v>
      </c>
      <c r="F199" s="69">
        <f t="shared" si="37"/>
        <v>45932</v>
      </c>
      <c r="G199" s="69">
        <f t="shared" si="38"/>
        <v>45945</v>
      </c>
      <c r="H199" s="69">
        <f t="shared" si="39"/>
        <v>45959</v>
      </c>
      <c r="I199" s="69">
        <f t="shared" si="40"/>
        <v>45987</v>
      </c>
      <c r="J199" s="69" t="str">
        <f t="shared" si="32"/>
        <v>Oct</v>
      </c>
      <c r="K199" s="216" t="str">
        <f t="shared" ca="1" si="41"/>
        <v/>
      </c>
      <c r="L199" s="67" t="s">
        <v>10</v>
      </c>
      <c r="M199" s="67"/>
      <c r="N199" s="67">
        <v>45945</v>
      </c>
      <c r="O199" s="152">
        <f t="shared" si="42"/>
        <v>10</v>
      </c>
      <c r="P199" s="12" t="str">
        <f t="shared" si="43"/>
        <v>Yes</v>
      </c>
      <c r="Q199" s="75"/>
      <c r="R199" s="70" t="s">
        <v>39</v>
      </c>
      <c r="S199" s="68" t="s">
        <v>40</v>
      </c>
      <c r="T199" s="66"/>
      <c r="U199" s="75"/>
      <c r="V199" s="66"/>
      <c r="W199" s="66"/>
      <c r="AV199" s="139" t="str">
        <v>Quarter 3</v>
      </c>
    </row>
    <row r="200" spans="1:48" ht="30" customHeight="1" x14ac:dyDescent="0.35">
      <c r="A200" s="214">
        <v>199</v>
      </c>
      <c r="B200" s="66" t="s">
        <v>55</v>
      </c>
      <c r="C200" s="66" t="s">
        <v>13</v>
      </c>
      <c r="D200" s="66" t="s">
        <v>1370</v>
      </c>
      <c r="E200" s="69">
        <v>45931</v>
      </c>
      <c r="F200" s="69">
        <f t="shared" si="37"/>
        <v>45932</v>
      </c>
      <c r="G200" s="69">
        <f t="shared" si="38"/>
        <v>45945</v>
      </c>
      <c r="H200" s="69">
        <f t="shared" si="39"/>
        <v>45959</v>
      </c>
      <c r="I200" s="69">
        <f t="shared" si="40"/>
        <v>45987</v>
      </c>
      <c r="J200" s="69" t="str">
        <f t="shared" si="32"/>
        <v>Oct</v>
      </c>
      <c r="K200" s="216" t="str">
        <f t="shared" ca="1" si="41"/>
        <v/>
      </c>
      <c r="L200" s="67" t="s">
        <v>10</v>
      </c>
      <c r="M200" s="67"/>
      <c r="N200" s="67">
        <v>45939</v>
      </c>
      <c r="O200" s="152">
        <f t="shared" si="42"/>
        <v>6</v>
      </c>
      <c r="P200" s="12" t="str">
        <f t="shared" si="43"/>
        <v>Yes</v>
      </c>
      <c r="Q200" s="75"/>
      <c r="R200" s="70" t="s">
        <v>39</v>
      </c>
      <c r="S200" s="68" t="s">
        <v>40</v>
      </c>
      <c r="T200" s="66"/>
      <c r="U200" s="75"/>
      <c r="V200" s="66" t="s">
        <v>46</v>
      </c>
      <c r="W200" s="66"/>
      <c r="AV200" s="139" t="str">
        <v>Quarter 3</v>
      </c>
    </row>
    <row r="201" spans="1:48" ht="30" customHeight="1" x14ac:dyDescent="0.35">
      <c r="A201" s="214">
        <v>200</v>
      </c>
      <c r="B201" s="66" t="s">
        <v>1371</v>
      </c>
      <c r="C201" s="66" t="s">
        <v>16</v>
      </c>
      <c r="D201" s="66" t="s">
        <v>1314</v>
      </c>
      <c r="E201" s="69">
        <v>45931</v>
      </c>
      <c r="F201" s="69">
        <f t="shared" si="37"/>
        <v>45932</v>
      </c>
      <c r="G201" s="69">
        <f t="shared" si="38"/>
        <v>45945</v>
      </c>
      <c r="H201" s="69">
        <f t="shared" si="39"/>
        <v>45959</v>
      </c>
      <c r="I201" s="69">
        <f t="shared" si="40"/>
        <v>45987</v>
      </c>
      <c r="J201" s="69" t="str">
        <f t="shared" si="32"/>
        <v>Oct</v>
      </c>
      <c r="K201" s="216" t="str">
        <f t="shared" ca="1" si="41"/>
        <v/>
      </c>
      <c r="L201" s="67" t="s">
        <v>10</v>
      </c>
      <c r="M201" s="67"/>
      <c r="N201" s="67">
        <v>45945</v>
      </c>
      <c r="O201" s="152">
        <f t="shared" si="42"/>
        <v>10</v>
      </c>
      <c r="P201" s="12" t="str">
        <f t="shared" si="43"/>
        <v>Yes</v>
      </c>
      <c r="Q201" s="75"/>
      <c r="R201" s="70" t="s">
        <v>39</v>
      </c>
      <c r="S201" s="68" t="s">
        <v>40</v>
      </c>
      <c r="T201" s="66"/>
      <c r="U201" s="75"/>
      <c r="V201" s="66"/>
      <c r="W201" s="66"/>
      <c r="AV201" s="139" t="str">
        <v>Quarter 3</v>
      </c>
    </row>
    <row r="202" spans="1:48" ht="30" customHeight="1" x14ac:dyDescent="0.35">
      <c r="A202" s="214">
        <v>201</v>
      </c>
      <c r="B202" s="66" t="s">
        <v>1372</v>
      </c>
      <c r="C202" s="66" t="s">
        <v>9</v>
      </c>
      <c r="D202" s="66" t="s">
        <v>1373</v>
      </c>
      <c r="E202" s="69">
        <v>45938</v>
      </c>
      <c r="F202" s="69">
        <f t="shared" si="37"/>
        <v>45939</v>
      </c>
      <c r="G202" s="69">
        <f t="shared" si="38"/>
        <v>45952</v>
      </c>
      <c r="H202" s="69">
        <f t="shared" si="39"/>
        <v>45966</v>
      </c>
      <c r="I202" s="69">
        <f t="shared" si="40"/>
        <v>45994</v>
      </c>
      <c r="J202" s="69" t="str">
        <f t="shared" si="32"/>
        <v>Oct</v>
      </c>
      <c r="K202" s="216" t="str">
        <f t="shared" ca="1" si="41"/>
        <v/>
      </c>
      <c r="L202" s="67" t="s">
        <v>10</v>
      </c>
      <c r="M202" s="67"/>
      <c r="N202" s="67">
        <v>45954</v>
      </c>
      <c r="O202" s="152">
        <f t="shared" si="42"/>
        <v>12</v>
      </c>
      <c r="P202" s="12" t="str">
        <f t="shared" si="43"/>
        <v>Yes</v>
      </c>
      <c r="Q202" s="75"/>
      <c r="R202" s="70" t="s">
        <v>39</v>
      </c>
      <c r="S202" s="68" t="s">
        <v>62</v>
      </c>
      <c r="T202" s="66"/>
      <c r="U202" s="75"/>
      <c r="V202" s="66"/>
      <c r="W202" s="66"/>
      <c r="AV202" s="139" t="str">
        <v>Quarter 3</v>
      </c>
    </row>
    <row r="203" spans="1:48" ht="30" customHeight="1" x14ac:dyDescent="0.35">
      <c r="A203" s="214">
        <v>202</v>
      </c>
      <c r="B203" s="66" t="s">
        <v>1374</v>
      </c>
      <c r="C203" s="66" t="s">
        <v>9</v>
      </c>
      <c r="D203" s="66" t="s">
        <v>1375</v>
      </c>
      <c r="E203" s="69">
        <v>45940</v>
      </c>
      <c r="F203" s="69">
        <f t="shared" si="37"/>
        <v>45943</v>
      </c>
      <c r="G203" s="69">
        <f t="shared" si="38"/>
        <v>45954</v>
      </c>
      <c r="H203" s="69">
        <f t="shared" si="39"/>
        <v>45968</v>
      </c>
      <c r="I203" s="69">
        <f t="shared" si="40"/>
        <v>45996</v>
      </c>
      <c r="J203" s="69" t="str">
        <f t="shared" si="32"/>
        <v>Oct</v>
      </c>
      <c r="K203" s="216" t="str">
        <f t="shared" ca="1" si="41"/>
        <v/>
      </c>
      <c r="L203" s="67" t="s">
        <v>10</v>
      </c>
      <c r="M203" s="67"/>
      <c r="N203" s="67">
        <v>45966</v>
      </c>
      <c r="O203" s="152">
        <f t="shared" si="42"/>
        <v>18</v>
      </c>
      <c r="P203" s="12" t="str">
        <f t="shared" si="43"/>
        <v>Yes</v>
      </c>
      <c r="Q203" s="75"/>
      <c r="R203" s="70" t="s">
        <v>39</v>
      </c>
      <c r="S203" s="68" t="s">
        <v>40</v>
      </c>
      <c r="T203" s="66"/>
      <c r="U203" s="75" t="s">
        <v>1147</v>
      </c>
      <c r="V203" s="66"/>
      <c r="W203" s="66"/>
      <c r="AV203" s="139" t="str">
        <v>Quarter 3</v>
      </c>
    </row>
    <row r="204" spans="1:48" ht="30" customHeight="1" x14ac:dyDescent="0.35">
      <c r="A204" s="214">
        <v>203</v>
      </c>
      <c r="B204" s="66" t="s">
        <v>6</v>
      </c>
      <c r="C204" s="66" t="s">
        <v>6</v>
      </c>
      <c r="D204" s="66" t="s">
        <v>1184</v>
      </c>
      <c r="E204" s="69">
        <v>45943</v>
      </c>
      <c r="F204" s="69">
        <f t="shared" si="37"/>
        <v>45944</v>
      </c>
      <c r="G204" s="69">
        <f t="shared" si="38"/>
        <v>45957</v>
      </c>
      <c r="H204" s="69">
        <f t="shared" si="39"/>
        <v>45971</v>
      </c>
      <c r="I204" s="69">
        <f t="shared" si="40"/>
        <v>45999</v>
      </c>
      <c r="J204" s="69" t="str">
        <f t="shared" ref="J204:J274" si="44">IF(ISBLANK($E204),"",TEXT($E204,"mmm"))</f>
        <v>Oct</v>
      </c>
      <c r="K204" s="216" t="str">
        <f t="shared" ca="1" si="41"/>
        <v/>
      </c>
      <c r="L204" s="67" t="s">
        <v>4</v>
      </c>
      <c r="M204" s="67"/>
      <c r="N204" s="67">
        <v>45954</v>
      </c>
      <c r="O204" s="152">
        <f t="shared" si="42"/>
        <v>9</v>
      </c>
      <c r="P204" s="12" t="str">
        <f t="shared" si="43"/>
        <v>Yes</v>
      </c>
      <c r="Q204" s="75"/>
      <c r="R204" s="70" t="s">
        <v>39</v>
      </c>
      <c r="S204" s="68" t="s">
        <v>40</v>
      </c>
      <c r="T204" s="66"/>
      <c r="U204" s="75"/>
      <c r="V204" s="66"/>
      <c r="W204" s="66"/>
      <c r="AV204" s="139" t="str">
        <v>Quarter 3</v>
      </c>
    </row>
    <row r="205" spans="1:48" ht="30" customHeight="1" x14ac:dyDescent="0.35">
      <c r="A205" s="214">
        <v>204</v>
      </c>
      <c r="B205" s="66" t="s">
        <v>726</v>
      </c>
      <c r="C205" s="66" t="s">
        <v>9</v>
      </c>
      <c r="D205" s="66" t="s">
        <v>1376</v>
      </c>
      <c r="E205" s="69">
        <v>45946</v>
      </c>
      <c r="F205" s="69">
        <f t="shared" si="37"/>
        <v>45947</v>
      </c>
      <c r="G205" s="69">
        <f t="shared" si="38"/>
        <v>45960</v>
      </c>
      <c r="H205" s="69">
        <f t="shared" si="39"/>
        <v>45974</v>
      </c>
      <c r="I205" s="69">
        <f t="shared" si="40"/>
        <v>46002</v>
      </c>
      <c r="J205" s="69" t="str">
        <f t="shared" si="44"/>
        <v>Oct</v>
      </c>
      <c r="K205" s="216" t="str">
        <f t="shared" ca="1" si="41"/>
        <v/>
      </c>
      <c r="L205" s="67" t="s">
        <v>10</v>
      </c>
      <c r="M205" s="67"/>
      <c r="N205" s="67">
        <v>45951</v>
      </c>
      <c r="O205" s="152">
        <f t="shared" si="42"/>
        <v>3</v>
      </c>
      <c r="P205" s="12" t="str">
        <f t="shared" si="43"/>
        <v>Yes</v>
      </c>
      <c r="Q205" s="75"/>
      <c r="R205" s="70" t="s">
        <v>39</v>
      </c>
      <c r="S205" s="68" t="s">
        <v>40</v>
      </c>
      <c r="T205" s="66"/>
      <c r="U205" s="75"/>
      <c r="V205" s="66" t="s">
        <v>46</v>
      </c>
      <c r="W205" s="66"/>
      <c r="AV205" s="139" t="str">
        <v>Quarter 3</v>
      </c>
    </row>
    <row r="206" spans="1:48" ht="30" customHeight="1" x14ac:dyDescent="0.35">
      <c r="A206" s="214">
        <v>205</v>
      </c>
      <c r="B206" s="66" t="s">
        <v>55</v>
      </c>
      <c r="C206" s="66" t="s">
        <v>13</v>
      </c>
      <c r="D206" s="66" t="s">
        <v>1376</v>
      </c>
      <c r="E206" s="69">
        <v>45946</v>
      </c>
      <c r="F206" s="69">
        <f t="shared" si="37"/>
        <v>45947</v>
      </c>
      <c r="G206" s="69">
        <f t="shared" si="38"/>
        <v>45960</v>
      </c>
      <c r="H206" s="69">
        <f t="shared" si="39"/>
        <v>45974</v>
      </c>
      <c r="I206" s="69">
        <f t="shared" si="40"/>
        <v>46002</v>
      </c>
      <c r="J206" s="69" t="str">
        <f t="shared" si="44"/>
        <v>Oct</v>
      </c>
      <c r="K206" s="216" t="str">
        <f t="shared" ca="1" si="41"/>
        <v/>
      </c>
      <c r="L206" s="67" t="s">
        <v>10</v>
      </c>
      <c r="M206" s="67"/>
      <c r="N206" s="67">
        <v>45966</v>
      </c>
      <c r="O206" s="152">
        <f t="shared" si="42"/>
        <v>14</v>
      </c>
      <c r="P206" s="12" t="str">
        <f t="shared" si="43"/>
        <v>Yes</v>
      </c>
      <c r="Q206" s="75"/>
      <c r="R206" s="70" t="s">
        <v>39</v>
      </c>
      <c r="S206" s="68" t="s">
        <v>40</v>
      </c>
      <c r="T206" s="66"/>
      <c r="U206" s="75"/>
      <c r="V206" s="66" t="s">
        <v>46</v>
      </c>
      <c r="W206" s="66"/>
      <c r="AV206" s="139" t="str">
        <v>Quarter 3</v>
      </c>
    </row>
    <row r="207" spans="1:48" ht="30" customHeight="1" x14ac:dyDescent="0.35">
      <c r="A207" s="214">
        <v>206</v>
      </c>
      <c r="B207" s="66" t="s">
        <v>6</v>
      </c>
      <c r="C207" s="66" t="s">
        <v>6</v>
      </c>
      <c r="D207" s="66" t="s">
        <v>1377</v>
      </c>
      <c r="E207" s="69">
        <v>45951</v>
      </c>
      <c r="F207" s="69">
        <f t="shared" si="37"/>
        <v>45952</v>
      </c>
      <c r="G207" s="69">
        <f t="shared" si="38"/>
        <v>45965</v>
      </c>
      <c r="H207" s="69">
        <f t="shared" si="39"/>
        <v>45979</v>
      </c>
      <c r="I207" s="69">
        <f t="shared" si="40"/>
        <v>46007</v>
      </c>
      <c r="J207" s="69" t="str">
        <f t="shared" si="44"/>
        <v>Oct</v>
      </c>
      <c r="K207" s="216" t="str">
        <f t="shared" ca="1" si="41"/>
        <v/>
      </c>
      <c r="L207" s="67" t="s">
        <v>10</v>
      </c>
      <c r="M207" s="67"/>
      <c r="N207" s="67">
        <v>45953</v>
      </c>
      <c r="O207" s="152">
        <f t="shared" si="42"/>
        <v>2</v>
      </c>
      <c r="P207" s="12" t="str">
        <f t="shared" si="43"/>
        <v>Yes</v>
      </c>
      <c r="Q207" s="75"/>
      <c r="R207" s="70" t="s">
        <v>39</v>
      </c>
      <c r="S207" s="68" t="s">
        <v>40</v>
      </c>
      <c r="T207" s="66"/>
      <c r="U207" s="75"/>
      <c r="V207" s="66" t="s">
        <v>46</v>
      </c>
      <c r="W207" s="66"/>
      <c r="AV207" s="139" t="str">
        <v>Quarter 3</v>
      </c>
    </row>
    <row r="208" spans="1:48" ht="30" customHeight="1" x14ac:dyDescent="0.35">
      <c r="A208" s="214">
        <v>207</v>
      </c>
      <c r="B208" s="66" t="s">
        <v>6</v>
      </c>
      <c r="C208" s="66" t="s">
        <v>6</v>
      </c>
      <c r="D208" s="66" t="s">
        <v>1378</v>
      </c>
      <c r="E208" s="69">
        <v>45953</v>
      </c>
      <c r="F208" s="69">
        <f t="shared" si="37"/>
        <v>45954</v>
      </c>
      <c r="G208" s="69">
        <f t="shared" si="38"/>
        <v>45967</v>
      </c>
      <c r="H208" s="69">
        <f t="shared" si="39"/>
        <v>45981</v>
      </c>
      <c r="I208" s="69">
        <f t="shared" si="40"/>
        <v>46009</v>
      </c>
      <c r="J208" s="69" t="str">
        <f t="shared" si="44"/>
        <v>Oct</v>
      </c>
      <c r="K208" s="216" t="str">
        <f t="shared" ca="1" si="41"/>
        <v/>
      </c>
      <c r="L208" s="67" t="s">
        <v>10</v>
      </c>
      <c r="M208" s="67"/>
      <c r="N208" s="67">
        <v>45971</v>
      </c>
      <c r="O208" s="152">
        <f t="shared" si="42"/>
        <v>12</v>
      </c>
      <c r="P208" s="12" t="str">
        <f t="shared" si="43"/>
        <v>Yes</v>
      </c>
      <c r="Q208" s="75"/>
      <c r="R208" s="70" t="s">
        <v>39</v>
      </c>
      <c r="S208" s="68" t="s">
        <v>40</v>
      </c>
      <c r="T208" s="66"/>
      <c r="U208" s="75"/>
      <c r="V208" s="66"/>
      <c r="W208" s="66"/>
      <c r="AV208" s="139" t="str">
        <v>Quarter 3</v>
      </c>
    </row>
    <row r="209" spans="1:48" ht="30" customHeight="1" x14ac:dyDescent="0.35">
      <c r="A209" s="214">
        <v>208</v>
      </c>
      <c r="B209" s="66" t="s">
        <v>1379</v>
      </c>
      <c r="C209" s="66" t="s">
        <v>9</v>
      </c>
      <c r="D209" s="66" t="s">
        <v>1380</v>
      </c>
      <c r="E209" s="69">
        <v>45957</v>
      </c>
      <c r="F209" s="69">
        <f t="shared" si="37"/>
        <v>45958</v>
      </c>
      <c r="G209" s="69">
        <f t="shared" si="38"/>
        <v>45971</v>
      </c>
      <c r="H209" s="69">
        <f t="shared" si="39"/>
        <v>45985</v>
      </c>
      <c r="I209" s="69">
        <f t="shared" si="40"/>
        <v>46013</v>
      </c>
      <c r="J209" s="69" t="str">
        <f t="shared" si="44"/>
        <v>Oct</v>
      </c>
      <c r="K209" s="216" t="str">
        <f t="shared" ca="1" si="41"/>
        <v/>
      </c>
      <c r="L209" s="67" t="s">
        <v>10</v>
      </c>
      <c r="M209" s="67"/>
      <c r="N209" s="67">
        <v>45971</v>
      </c>
      <c r="O209" s="152">
        <f t="shared" si="42"/>
        <v>10</v>
      </c>
      <c r="P209" s="12" t="str">
        <f t="shared" si="43"/>
        <v>Yes</v>
      </c>
      <c r="Q209" s="75"/>
      <c r="R209" s="70" t="s">
        <v>39</v>
      </c>
      <c r="S209" s="68" t="s">
        <v>40</v>
      </c>
      <c r="T209" s="66"/>
      <c r="U209" s="75"/>
      <c r="V209" s="66"/>
      <c r="W209" s="66"/>
      <c r="AV209" s="139" t="str">
        <v>Quarter 3</v>
      </c>
    </row>
    <row r="210" spans="1:48" ht="30" customHeight="1" x14ac:dyDescent="0.35">
      <c r="A210" s="214">
        <v>209</v>
      </c>
      <c r="B210" s="66" t="s">
        <v>55</v>
      </c>
      <c r="C210" s="66" t="s">
        <v>13</v>
      </c>
      <c r="D210" s="66" t="s">
        <v>1381</v>
      </c>
      <c r="E210" s="69">
        <v>45957</v>
      </c>
      <c r="F210" s="69">
        <f t="shared" si="37"/>
        <v>45958</v>
      </c>
      <c r="G210" s="69">
        <f t="shared" si="38"/>
        <v>45971</v>
      </c>
      <c r="H210" s="69">
        <f t="shared" si="39"/>
        <v>45985</v>
      </c>
      <c r="I210" s="69">
        <f t="shared" si="40"/>
        <v>46013</v>
      </c>
      <c r="J210" s="69" t="str">
        <f t="shared" si="44"/>
        <v>Oct</v>
      </c>
      <c r="K210" s="216" t="str">
        <f t="shared" ca="1" si="41"/>
        <v/>
      </c>
      <c r="L210" s="67" t="s">
        <v>10</v>
      </c>
      <c r="M210" s="67"/>
      <c r="N210" s="67">
        <v>45972</v>
      </c>
      <c r="O210" s="152">
        <f t="shared" si="42"/>
        <v>11</v>
      </c>
      <c r="P210" s="12" t="str">
        <f t="shared" si="43"/>
        <v>Yes</v>
      </c>
      <c r="Q210" s="75"/>
      <c r="R210" s="70" t="s">
        <v>39</v>
      </c>
      <c r="S210" s="68" t="s">
        <v>40</v>
      </c>
      <c r="T210" s="66"/>
      <c r="U210" s="75"/>
      <c r="V210" s="66" t="s">
        <v>46</v>
      </c>
      <c r="W210" s="66"/>
      <c r="AV210" s="139" t="str">
        <v>Quarter 3</v>
      </c>
    </row>
    <row r="211" spans="1:48" ht="30" customHeight="1" x14ac:dyDescent="0.35">
      <c r="A211" s="214">
        <v>210</v>
      </c>
      <c r="B211" s="66" t="s">
        <v>1306</v>
      </c>
      <c r="C211" s="66" t="s">
        <v>9</v>
      </c>
      <c r="D211" s="66" t="s">
        <v>1317</v>
      </c>
      <c r="E211" s="69">
        <v>45958</v>
      </c>
      <c r="F211" s="69">
        <f t="shared" si="37"/>
        <v>45959</v>
      </c>
      <c r="G211" s="69">
        <f t="shared" si="38"/>
        <v>45972</v>
      </c>
      <c r="H211" s="69">
        <f t="shared" si="39"/>
        <v>45986</v>
      </c>
      <c r="I211" s="69">
        <f t="shared" si="40"/>
        <v>46014</v>
      </c>
      <c r="J211" s="69" t="str">
        <f t="shared" si="44"/>
        <v>Oct</v>
      </c>
      <c r="K211" s="216" t="str">
        <f t="shared" ca="1" si="41"/>
        <v/>
      </c>
      <c r="L211" s="67" t="s">
        <v>10</v>
      </c>
      <c r="M211" s="67"/>
      <c r="N211" s="67">
        <v>46048</v>
      </c>
      <c r="O211" s="152">
        <f t="shared" si="42"/>
        <v>61</v>
      </c>
      <c r="P211" s="12" t="str">
        <f t="shared" si="43"/>
        <v>No</v>
      </c>
      <c r="Q211" s="75"/>
      <c r="R211" s="70" t="s">
        <v>39</v>
      </c>
      <c r="S211" s="68" t="s">
        <v>62</v>
      </c>
      <c r="T211" s="66"/>
      <c r="U211" s="75"/>
      <c r="V211" s="66"/>
      <c r="W211" s="66"/>
      <c r="AV211" s="139" t="str">
        <v>Quarter 3</v>
      </c>
    </row>
    <row r="212" spans="1:48" ht="30" customHeight="1" x14ac:dyDescent="0.35">
      <c r="A212" s="214">
        <v>211</v>
      </c>
      <c r="B212" s="66" t="s">
        <v>6</v>
      </c>
      <c r="C212" s="66" t="s">
        <v>6</v>
      </c>
      <c r="D212" s="66" t="s">
        <v>1382</v>
      </c>
      <c r="E212" s="69">
        <v>45958</v>
      </c>
      <c r="F212" s="69">
        <f t="shared" si="37"/>
        <v>45959</v>
      </c>
      <c r="G212" s="69">
        <f t="shared" si="38"/>
        <v>45972</v>
      </c>
      <c r="H212" s="69">
        <f t="shared" si="39"/>
        <v>45986</v>
      </c>
      <c r="I212" s="69">
        <f t="shared" si="40"/>
        <v>46014</v>
      </c>
      <c r="J212" s="69" t="str">
        <f t="shared" si="44"/>
        <v>Oct</v>
      </c>
      <c r="K212" s="216" t="str">
        <f t="shared" ca="1" si="41"/>
        <v/>
      </c>
      <c r="L212" s="67" t="s">
        <v>10</v>
      </c>
      <c r="M212" s="67"/>
      <c r="N212" s="67">
        <v>45987</v>
      </c>
      <c r="O212" s="152">
        <f t="shared" si="42"/>
        <v>21</v>
      </c>
      <c r="P212" s="12" t="str">
        <f t="shared" si="43"/>
        <v>No</v>
      </c>
      <c r="Q212" s="75"/>
      <c r="R212" s="70" t="s">
        <v>39</v>
      </c>
      <c r="S212" s="68" t="s">
        <v>40</v>
      </c>
      <c r="T212" s="66"/>
      <c r="U212" s="75"/>
      <c r="V212" s="66"/>
      <c r="W212" s="66"/>
      <c r="AV212" s="139" t="str">
        <v>Quarter 3</v>
      </c>
    </row>
    <row r="213" spans="1:48" ht="30" customHeight="1" x14ac:dyDescent="0.35">
      <c r="A213" s="214">
        <v>212</v>
      </c>
      <c r="B213" s="66" t="s">
        <v>6</v>
      </c>
      <c r="C213" s="66" t="s">
        <v>6</v>
      </c>
      <c r="D213" s="66" t="s">
        <v>1184</v>
      </c>
      <c r="E213" s="69">
        <v>45960</v>
      </c>
      <c r="F213" s="69">
        <f t="shared" si="37"/>
        <v>45961</v>
      </c>
      <c r="G213" s="69">
        <f t="shared" si="38"/>
        <v>45974</v>
      </c>
      <c r="H213" s="69">
        <f t="shared" si="39"/>
        <v>45988</v>
      </c>
      <c r="I213" s="69">
        <f t="shared" si="40"/>
        <v>46020</v>
      </c>
      <c r="J213" s="69" t="str">
        <f t="shared" si="44"/>
        <v>Oct</v>
      </c>
      <c r="K213" s="216" t="str">
        <f t="shared" ca="1" si="41"/>
        <v/>
      </c>
      <c r="L213" s="67" t="s">
        <v>4</v>
      </c>
      <c r="M213" s="67"/>
      <c r="N213" s="67">
        <v>45985</v>
      </c>
      <c r="O213" s="152">
        <f t="shared" si="42"/>
        <v>17</v>
      </c>
      <c r="P213" s="12" t="str">
        <f t="shared" si="43"/>
        <v>Yes</v>
      </c>
      <c r="Q213" s="75"/>
      <c r="R213" s="70" t="s">
        <v>39</v>
      </c>
      <c r="S213" s="68" t="s">
        <v>40</v>
      </c>
      <c r="T213" s="66"/>
      <c r="U213" s="75" t="s">
        <v>1147</v>
      </c>
      <c r="V213" s="66"/>
      <c r="W213" s="66"/>
      <c r="AV213" s="139" t="str">
        <v>Quarter 3</v>
      </c>
    </row>
    <row r="214" spans="1:48" ht="30" customHeight="1" x14ac:dyDescent="0.35">
      <c r="A214" s="214">
        <v>213</v>
      </c>
      <c r="B214" s="66" t="s">
        <v>1383</v>
      </c>
      <c r="C214" s="66" t="s">
        <v>9</v>
      </c>
      <c r="D214" s="66" t="s">
        <v>1384</v>
      </c>
      <c r="E214" s="69">
        <v>45960</v>
      </c>
      <c r="F214" s="69">
        <f t="shared" si="37"/>
        <v>45961</v>
      </c>
      <c r="G214" s="69">
        <f t="shared" si="38"/>
        <v>45974</v>
      </c>
      <c r="H214" s="69">
        <f t="shared" si="39"/>
        <v>45988</v>
      </c>
      <c r="I214" s="69">
        <f t="shared" si="40"/>
        <v>46020</v>
      </c>
      <c r="J214" s="69" t="str">
        <f t="shared" si="44"/>
        <v>Oct</v>
      </c>
      <c r="K214" s="216" t="str">
        <f t="shared" ca="1" si="41"/>
        <v/>
      </c>
      <c r="L214" s="67" t="s">
        <v>10</v>
      </c>
      <c r="M214" s="67"/>
      <c r="N214" s="67">
        <v>45978</v>
      </c>
      <c r="O214" s="152">
        <f t="shared" si="42"/>
        <v>12</v>
      </c>
      <c r="P214" s="12" t="str">
        <f t="shared" si="43"/>
        <v>Yes</v>
      </c>
      <c r="Q214" s="75"/>
      <c r="R214" s="70" t="s">
        <v>39</v>
      </c>
      <c r="S214" s="68" t="s">
        <v>62</v>
      </c>
      <c r="T214" s="66"/>
      <c r="U214" s="75"/>
      <c r="V214" s="66"/>
      <c r="W214" s="66"/>
      <c r="AV214" s="139" t="str">
        <v>Quarter 3</v>
      </c>
    </row>
    <row r="215" spans="1:48" ht="30" customHeight="1" x14ac:dyDescent="0.35">
      <c r="A215" s="214">
        <v>214</v>
      </c>
      <c r="B215" s="66" t="s">
        <v>55</v>
      </c>
      <c r="C215" s="66" t="s">
        <v>13</v>
      </c>
      <c r="D215" s="66" t="s">
        <v>1385</v>
      </c>
      <c r="E215" s="69">
        <v>45961</v>
      </c>
      <c r="F215" s="69">
        <f t="shared" si="37"/>
        <v>45964</v>
      </c>
      <c r="G215" s="69">
        <f t="shared" si="38"/>
        <v>45975</v>
      </c>
      <c r="H215" s="69">
        <f t="shared" si="39"/>
        <v>45989</v>
      </c>
      <c r="I215" s="69">
        <f t="shared" si="40"/>
        <v>46021</v>
      </c>
      <c r="J215" s="69" t="str">
        <f t="shared" si="44"/>
        <v>Oct</v>
      </c>
      <c r="K215" s="216" t="str">
        <f t="shared" ca="1" si="41"/>
        <v/>
      </c>
      <c r="L215" s="67" t="s">
        <v>10</v>
      </c>
      <c r="M215" s="67"/>
      <c r="N215" s="67">
        <v>45986</v>
      </c>
      <c r="O215" s="152">
        <f t="shared" si="42"/>
        <v>17</v>
      </c>
      <c r="P215" s="12" t="str">
        <f t="shared" si="43"/>
        <v>Yes</v>
      </c>
      <c r="Q215" s="75"/>
      <c r="R215" s="70" t="s">
        <v>39</v>
      </c>
      <c r="S215" s="68" t="s">
        <v>45</v>
      </c>
      <c r="T215" s="66"/>
      <c r="U215" s="75" t="s">
        <v>1151</v>
      </c>
      <c r="V215" s="66"/>
      <c r="W215" s="66"/>
      <c r="AV215" s="139" t="str">
        <v>Quarter 3</v>
      </c>
    </row>
    <row r="216" spans="1:48" ht="30" customHeight="1" x14ac:dyDescent="0.35">
      <c r="A216" s="214">
        <v>215</v>
      </c>
      <c r="B216" s="66" t="s">
        <v>55</v>
      </c>
      <c r="C216" s="66" t="s">
        <v>13</v>
      </c>
      <c r="D216" s="66" t="s">
        <v>1386</v>
      </c>
      <c r="E216" s="69">
        <v>45965</v>
      </c>
      <c r="F216" s="69">
        <f t="shared" si="37"/>
        <v>45966</v>
      </c>
      <c r="G216" s="69">
        <f t="shared" si="38"/>
        <v>45979</v>
      </c>
      <c r="H216" s="69">
        <f t="shared" si="39"/>
        <v>45993</v>
      </c>
      <c r="I216" s="69">
        <f t="shared" si="40"/>
        <v>46024</v>
      </c>
      <c r="J216" s="69" t="str">
        <f t="shared" si="44"/>
        <v>Nov</v>
      </c>
      <c r="K216" s="216" t="str">
        <f t="shared" ca="1" si="41"/>
        <v/>
      </c>
      <c r="L216" s="67" t="s">
        <v>10</v>
      </c>
      <c r="M216" s="67"/>
      <c r="N216" s="67">
        <v>45978</v>
      </c>
      <c r="O216" s="152">
        <f t="shared" si="42"/>
        <v>9</v>
      </c>
      <c r="P216" s="12" t="str">
        <f t="shared" si="43"/>
        <v>Yes</v>
      </c>
      <c r="Q216" s="75"/>
      <c r="R216" s="70" t="s">
        <v>39</v>
      </c>
      <c r="S216" s="68" t="s">
        <v>40</v>
      </c>
      <c r="T216" s="66"/>
      <c r="U216" s="75"/>
      <c r="V216" s="66" t="s">
        <v>46</v>
      </c>
      <c r="W216" s="66"/>
      <c r="AV216" s="139" t="str">
        <v>Quarter 3</v>
      </c>
    </row>
    <row r="217" spans="1:48" ht="30" customHeight="1" x14ac:dyDescent="0.35">
      <c r="A217" s="214">
        <v>216</v>
      </c>
      <c r="B217" s="66" t="s">
        <v>1387</v>
      </c>
      <c r="C217" s="66" t="s">
        <v>12</v>
      </c>
      <c r="D217" s="66" t="s">
        <v>1388</v>
      </c>
      <c r="E217" s="69">
        <v>45965</v>
      </c>
      <c r="F217" s="69">
        <f t="shared" si="37"/>
        <v>45966</v>
      </c>
      <c r="G217" s="69">
        <f t="shared" si="38"/>
        <v>45979</v>
      </c>
      <c r="H217" s="69">
        <f t="shared" si="39"/>
        <v>45993</v>
      </c>
      <c r="I217" s="69">
        <f t="shared" si="40"/>
        <v>46024</v>
      </c>
      <c r="J217" s="69" t="str">
        <f t="shared" si="44"/>
        <v>Nov</v>
      </c>
      <c r="K217" s="216" t="str">
        <f t="shared" ca="1" si="41"/>
        <v/>
      </c>
      <c r="L217" s="67" t="s">
        <v>10</v>
      </c>
      <c r="M217" s="67"/>
      <c r="N217" s="67">
        <v>45966</v>
      </c>
      <c r="O217" s="152">
        <f t="shared" si="42"/>
        <v>1</v>
      </c>
      <c r="P217" s="12" t="str">
        <f t="shared" si="43"/>
        <v>Yes</v>
      </c>
      <c r="Q217" s="75"/>
      <c r="R217" s="70" t="s">
        <v>39</v>
      </c>
      <c r="S217" s="68" t="s">
        <v>40</v>
      </c>
      <c r="T217" s="66"/>
      <c r="U217" s="75"/>
      <c r="V217" s="66"/>
      <c r="W217" s="66"/>
      <c r="AV217" s="139" t="str">
        <v>Quarter 3</v>
      </c>
    </row>
    <row r="218" spans="1:48" ht="30" customHeight="1" x14ac:dyDescent="0.35">
      <c r="A218" s="214">
        <v>217</v>
      </c>
      <c r="B218" s="66" t="s">
        <v>493</v>
      </c>
      <c r="C218" s="66" t="s">
        <v>5</v>
      </c>
      <c r="D218" s="66" t="s">
        <v>1170</v>
      </c>
      <c r="E218" s="69">
        <v>45966</v>
      </c>
      <c r="F218" s="69">
        <f t="shared" si="37"/>
        <v>45967</v>
      </c>
      <c r="G218" s="69">
        <f t="shared" si="38"/>
        <v>45980</v>
      </c>
      <c r="H218" s="69">
        <f t="shared" si="39"/>
        <v>45994</v>
      </c>
      <c r="I218" s="69">
        <f t="shared" si="40"/>
        <v>46027</v>
      </c>
      <c r="J218" s="69" t="str">
        <f t="shared" si="44"/>
        <v>Nov</v>
      </c>
      <c r="K218" s="216" t="str">
        <f t="shared" ca="1" si="41"/>
        <v/>
      </c>
      <c r="L218" s="67" t="s">
        <v>10</v>
      </c>
      <c r="M218" s="67"/>
      <c r="N218" s="67">
        <v>45968</v>
      </c>
      <c r="O218" s="152">
        <f t="shared" si="42"/>
        <v>2</v>
      </c>
      <c r="P218" s="12" t="str">
        <f t="shared" si="43"/>
        <v>Yes</v>
      </c>
      <c r="Q218" s="75"/>
      <c r="R218" s="70" t="s">
        <v>39</v>
      </c>
      <c r="S218" s="68" t="s">
        <v>40</v>
      </c>
      <c r="T218" s="66"/>
      <c r="U218" s="75" t="s">
        <v>1151</v>
      </c>
      <c r="V218" s="66"/>
      <c r="W218" s="66"/>
      <c r="AV218" s="139" t="str">
        <v>Quarter 3</v>
      </c>
    </row>
    <row r="219" spans="1:48" ht="30" customHeight="1" x14ac:dyDescent="0.35">
      <c r="A219" s="214">
        <v>218</v>
      </c>
      <c r="B219" s="66" t="s">
        <v>1148</v>
      </c>
      <c r="C219" s="66" t="s">
        <v>9</v>
      </c>
      <c r="D219" s="66" t="s">
        <v>1313</v>
      </c>
      <c r="E219" s="69">
        <v>45968</v>
      </c>
      <c r="F219" s="69">
        <f t="shared" si="37"/>
        <v>45971</v>
      </c>
      <c r="G219" s="69">
        <f t="shared" si="38"/>
        <v>45982</v>
      </c>
      <c r="H219" s="69">
        <f t="shared" si="39"/>
        <v>45996</v>
      </c>
      <c r="I219" s="69">
        <f t="shared" si="40"/>
        <v>46029</v>
      </c>
      <c r="J219" s="69" t="str">
        <f t="shared" si="44"/>
        <v>Nov</v>
      </c>
      <c r="K219" s="216" t="str">
        <f t="shared" ca="1" si="41"/>
        <v/>
      </c>
      <c r="L219" s="67" t="s">
        <v>10</v>
      </c>
      <c r="M219" s="67"/>
      <c r="N219" s="67">
        <v>46000</v>
      </c>
      <c r="O219" s="152">
        <f t="shared" si="42"/>
        <v>22</v>
      </c>
      <c r="P219" s="12" t="str">
        <f t="shared" si="43"/>
        <v>No</v>
      </c>
      <c r="Q219" s="75"/>
      <c r="R219" s="70" t="s">
        <v>39</v>
      </c>
      <c r="S219" s="68" t="s">
        <v>40</v>
      </c>
      <c r="T219" s="66"/>
      <c r="U219" s="75"/>
      <c r="V219" s="66"/>
      <c r="W219" s="66"/>
      <c r="AV219" s="139" t="str">
        <v>Quarter 3</v>
      </c>
    </row>
    <row r="220" spans="1:48" ht="30" customHeight="1" x14ac:dyDescent="0.35">
      <c r="A220" s="214">
        <v>219</v>
      </c>
      <c r="B220" s="66" t="s">
        <v>1148</v>
      </c>
      <c r="C220" s="66" t="s">
        <v>9</v>
      </c>
      <c r="D220" s="66" t="s">
        <v>1314</v>
      </c>
      <c r="E220" s="69">
        <v>45968</v>
      </c>
      <c r="F220" s="69">
        <f t="shared" si="37"/>
        <v>45971</v>
      </c>
      <c r="G220" s="69">
        <f t="shared" si="38"/>
        <v>45982</v>
      </c>
      <c r="H220" s="69">
        <f t="shared" si="39"/>
        <v>45996</v>
      </c>
      <c r="I220" s="69">
        <f t="shared" si="40"/>
        <v>46029</v>
      </c>
      <c r="J220" s="69" t="str">
        <f t="shared" si="44"/>
        <v>Nov</v>
      </c>
      <c r="K220" s="216" t="str">
        <f t="shared" ca="1" si="41"/>
        <v/>
      </c>
      <c r="L220" s="67" t="s">
        <v>10</v>
      </c>
      <c r="M220" s="67"/>
      <c r="N220" s="67">
        <v>46000</v>
      </c>
      <c r="O220" s="152">
        <f t="shared" si="42"/>
        <v>22</v>
      </c>
      <c r="P220" s="12" t="str">
        <f t="shared" si="43"/>
        <v>No</v>
      </c>
      <c r="Q220" s="75"/>
      <c r="R220" s="70" t="s">
        <v>39</v>
      </c>
      <c r="S220" s="68" t="s">
        <v>40</v>
      </c>
      <c r="T220" s="66"/>
      <c r="U220" s="75"/>
      <c r="V220" s="66"/>
      <c r="W220" s="66"/>
      <c r="AV220" s="139" t="str">
        <v>Quarter 3</v>
      </c>
    </row>
    <row r="221" spans="1:48" ht="30" customHeight="1" x14ac:dyDescent="0.35">
      <c r="A221" s="214">
        <v>220</v>
      </c>
      <c r="B221" s="66" t="s">
        <v>162</v>
      </c>
      <c r="C221" s="66" t="s">
        <v>5</v>
      </c>
      <c r="D221" s="66" t="s">
        <v>1389</v>
      </c>
      <c r="E221" s="69">
        <v>45971</v>
      </c>
      <c r="F221" s="69">
        <f t="shared" ref="F221:F252" si="45">IF($E221="","",WORKDAY($E221,1,$Z$33:$Z$47))</f>
        <v>45972</v>
      </c>
      <c r="G221" s="69">
        <f t="shared" ref="G221:G252" si="46">IF($E221="","",WORKDAY($E221,10,$Z$33:$Z$47))</f>
        <v>45985</v>
      </c>
      <c r="H221" s="69">
        <f t="shared" ref="H221:H252" si="47">IF($E221="","",WORKDAY($E221,20,$Z$33:$Z$47))</f>
        <v>45999</v>
      </c>
      <c r="I221" s="69">
        <f t="shared" ref="I221:I252" si="48">IF($E221="","",WORKDAY($E221,40,$Z$33:$Z$47))</f>
        <v>46030</v>
      </c>
      <c r="J221" s="69" t="str">
        <f t="shared" si="44"/>
        <v>Nov</v>
      </c>
      <c r="K221" s="216" t="str">
        <f t="shared" ca="1" si="41"/>
        <v/>
      </c>
      <c r="L221" s="67" t="s">
        <v>10</v>
      </c>
      <c r="M221" s="67"/>
      <c r="N221" s="67">
        <v>45987</v>
      </c>
      <c r="O221" s="152">
        <f t="shared" si="42"/>
        <v>12</v>
      </c>
      <c r="P221" s="12" t="str">
        <f t="shared" si="43"/>
        <v>Yes</v>
      </c>
      <c r="Q221" s="75"/>
      <c r="R221" s="70" t="s">
        <v>39</v>
      </c>
      <c r="S221" s="68" t="s">
        <v>51</v>
      </c>
      <c r="T221" s="66"/>
      <c r="U221" s="75" t="s">
        <v>1153</v>
      </c>
      <c r="V221" s="66"/>
      <c r="W221" s="66"/>
      <c r="AV221" s="139" t="str">
        <v>Quarter 3</v>
      </c>
    </row>
    <row r="222" spans="1:48" ht="30" customHeight="1" x14ac:dyDescent="0.35">
      <c r="A222" s="214">
        <v>221</v>
      </c>
      <c r="B222" s="66" t="s">
        <v>1306</v>
      </c>
      <c r="C222" s="66" t="s">
        <v>9</v>
      </c>
      <c r="D222" s="66" t="s">
        <v>1390</v>
      </c>
      <c r="E222" s="69">
        <v>45971</v>
      </c>
      <c r="F222" s="69">
        <f t="shared" si="45"/>
        <v>45972</v>
      </c>
      <c r="G222" s="69">
        <f t="shared" si="46"/>
        <v>45985</v>
      </c>
      <c r="H222" s="69">
        <f t="shared" si="47"/>
        <v>45999</v>
      </c>
      <c r="I222" s="69">
        <f t="shared" si="48"/>
        <v>46030</v>
      </c>
      <c r="J222" s="69" t="str">
        <f t="shared" si="44"/>
        <v>Nov</v>
      </c>
      <c r="K222" s="216" t="str">
        <f t="shared" ca="1" si="41"/>
        <v/>
      </c>
      <c r="L222" s="67" t="s">
        <v>10</v>
      </c>
      <c r="M222" s="67"/>
      <c r="N222" s="67">
        <v>46048</v>
      </c>
      <c r="O222" s="152">
        <f t="shared" si="42"/>
        <v>52</v>
      </c>
      <c r="P222" s="12" t="str">
        <f t="shared" si="43"/>
        <v>No</v>
      </c>
      <c r="Q222" s="75"/>
      <c r="R222" s="70" t="s">
        <v>39</v>
      </c>
      <c r="S222" s="68" t="s">
        <v>40</v>
      </c>
      <c r="T222" s="66"/>
      <c r="U222" s="75"/>
      <c r="V222" s="66"/>
      <c r="W222" s="66"/>
      <c r="AV222" s="139" t="str">
        <v>Quarter 3</v>
      </c>
    </row>
    <row r="223" spans="1:48" ht="30" customHeight="1" x14ac:dyDescent="0.35">
      <c r="A223" s="214">
        <v>222</v>
      </c>
      <c r="B223" s="66" t="s">
        <v>6</v>
      </c>
      <c r="C223" s="66" t="s">
        <v>6</v>
      </c>
      <c r="D223" s="66" t="s">
        <v>1184</v>
      </c>
      <c r="E223" s="69">
        <v>45971</v>
      </c>
      <c r="F223" s="69">
        <f t="shared" si="45"/>
        <v>45972</v>
      </c>
      <c r="G223" s="69">
        <f t="shared" si="46"/>
        <v>45985</v>
      </c>
      <c r="H223" s="69">
        <f t="shared" si="47"/>
        <v>45999</v>
      </c>
      <c r="I223" s="69">
        <f t="shared" si="48"/>
        <v>46030</v>
      </c>
      <c r="J223" s="69" t="str">
        <f t="shared" si="44"/>
        <v>Nov</v>
      </c>
      <c r="K223" s="216" t="str">
        <f t="shared" ca="1" si="41"/>
        <v/>
      </c>
      <c r="L223" s="67" t="s">
        <v>10</v>
      </c>
      <c r="M223" s="67"/>
      <c r="N223" s="67">
        <v>45999</v>
      </c>
      <c r="O223" s="152">
        <f t="shared" si="42"/>
        <v>20</v>
      </c>
      <c r="P223" s="12" t="str">
        <f t="shared" si="43"/>
        <v>Yes</v>
      </c>
      <c r="Q223" s="75"/>
      <c r="R223" s="70" t="s">
        <v>39</v>
      </c>
      <c r="S223" s="68" t="s">
        <v>45</v>
      </c>
      <c r="T223" s="66"/>
      <c r="U223" s="75" t="s">
        <v>1165</v>
      </c>
      <c r="V223" s="66"/>
      <c r="W223" s="66"/>
      <c r="AV223" s="139" t="str">
        <v>Quarter 3</v>
      </c>
    </row>
    <row r="224" spans="1:48" ht="30" customHeight="1" x14ac:dyDescent="0.35">
      <c r="A224" s="214">
        <v>223</v>
      </c>
      <c r="B224" s="66" t="s">
        <v>1391</v>
      </c>
      <c r="C224" s="66" t="s">
        <v>9</v>
      </c>
      <c r="D224" s="66" t="s">
        <v>1392</v>
      </c>
      <c r="E224" s="69">
        <v>45972</v>
      </c>
      <c r="F224" s="69">
        <f t="shared" si="45"/>
        <v>45973</v>
      </c>
      <c r="G224" s="69">
        <f t="shared" si="46"/>
        <v>45986</v>
      </c>
      <c r="H224" s="69">
        <f t="shared" si="47"/>
        <v>46000</v>
      </c>
      <c r="I224" s="69">
        <f t="shared" si="48"/>
        <v>46031</v>
      </c>
      <c r="J224" s="69" t="str">
        <f t="shared" si="44"/>
        <v>Nov</v>
      </c>
      <c r="K224" s="216" t="str">
        <f t="shared" ca="1" si="41"/>
        <v/>
      </c>
      <c r="L224" s="67" t="s">
        <v>10</v>
      </c>
      <c r="M224" s="67"/>
      <c r="N224" s="67">
        <v>45974</v>
      </c>
      <c r="O224" s="152">
        <f t="shared" si="42"/>
        <v>2</v>
      </c>
      <c r="P224" s="12" t="str">
        <f t="shared" si="43"/>
        <v>Yes</v>
      </c>
      <c r="Q224" s="75"/>
      <c r="R224" s="70" t="s">
        <v>39</v>
      </c>
      <c r="S224" s="68" t="s">
        <v>40</v>
      </c>
      <c r="T224" s="66"/>
      <c r="U224" s="75"/>
      <c r="V224" s="66" t="s">
        <v>46</v>
      </c>
      <c r="W224" s="66"/>
      <c r="AV224" s="139" t="str">
        <v>Quarter 3</v>
      </c>
    </row>
    <row r="225" spans="1:48" ht="30" customHeight="1" x14ac:dyDescent="0.35">
      <c r="A225" s="214">
        <v>224</v>
      </c>
      <c r="B225" s="66" t="s">
        <v>1393</v>
      </c>
      <c r="C225" s="66" t="s">
        <v>9</v>
      </c>
      <c r="D225" s="66" t="s">
        <v>1394</v>
      </c>
      <c r="E225" s="69">
        <v>45972</v>
      </c>
      <c r="F225" s="69">
        <f t="shared" si="45"/>
        <v>45973</v>
      </c>
      <c r="G225" s="69">
        <f t="shared" si="46"/>
        <v>45986</v>
      </c>
      <c r="H225" s="69">
        <f t="shared" si="47"/>
        <v>46000</v>
      </c>
      <c r="I225" s="69">
        <f t="shared" si="48"/>
        <v>46031</v>
      </c>
      <c r="J225" s="69" t="str">
        <f t="shared" si="44"/>
        <v>Nov</v>
      </c>
      <c r="K225" s="216" t="str">
        <f t="shared" ca="1" si="41"/>
        <v/>
      </c>
      <c r="L225" s="67" t="s">
        <v>10</v>
      </c>
      <c r="M225" s="67"/>
      <c r="N225" s="67">
        <v>46000</v>
      </c>
      <c r="O225" s="152">
        <f t="shared" si="42"/>
        <v>20</v>
      </c>
      <c r="P225" s="12" t="str">
        <f t="shared" si="43"/>
        <v>Yes</v>
      </c>
      <c r="Q225" s="75"/>
      <c r="R225" s="70" t="s">
        <v>39</v>
      </c>
      <c r="S225" s="68" t="s">
        <v>62</v>
      </c>
      <c r="T225" s="66"/>
      <c r="U225" s="75"/>
      <c r="V225" s="66"/>
      <c r="W225" s="66"/>
      <c r="AV225" s="139" t="str">
        <v>Quarter 3</v>
      </c>
    </row>
    <row r="226" spans="1:48" ht="30" customHeight="1" x14ac:dyDescent="0.35">
      <c r="A226" s="214">
        <v>225</v>
      </c>
      <c r="B226" s="66" t="s">
        <v>1395</v>
      </c>
      <c r="C226" s="66" t="s">
        <v>11</v>
      </c>
      <c r="D226" s="66" t="s">
        <v>1396</v>
      </c>
      <c r="E226" s="69">
        <v>45972</v>
      </c>
      <c r="F226" s="69">
        <f t="shared" si="45"/>
        <v>45973</v>
      </c>
      <c r="G226" s="69">
        <f t="shared" si="46"/>
        <v>45986</v>
      </c>
      <c r="H226" s="69">
        <f t="shared" si="47"/>
        <v>46000</v>
      </c>
      <c r="I226" s="69">
        <f t="shared" si="48"/>
        <v>46031</v>
      </c>
      <c r="J226" s="69" t="str">
        <f t="shared" si="44"/>
        <v>Nov</v>
      </c>
      <c r="K226" s="216" t="str">
        <f t="shared" ca="1" si="41"/>
        <v/>
      </c>
      <c r="L226" s="67" t="s">
        <v>10</v>
      </c>
      <c r="M226" s="67"/>
      <c r="N226" s="67">
        <v>45989</v>
      </c>
      <c r="O226" s="152">
        <f t="shared" si="42"/>
        <v>13</v>
      </c>
      <c r="P226" s="12" t="str">
        <f t="shared" si="43"/>
        <v>Yes</v>
      </c>
      <c r="Q226" s="75"/>
      <c r="R226" s="70" t="s">
        <v>39</v>
      </c>
      <c r="S226" s="68" t="s">
        <v>40</v>
      </c>
      <c r="T226" s="66"/>
      <c r="U226" s="75"/>
      <c r="V226" s="66"/>
      <c r="W226" s="66"/>
      <c r="AV226" s="139" t="str">
        <v>Quarter 3</v>
      </c>
    </row>
    <row r="227" spans="1:48" ht="30" customHeight="1" x14ac:dyDescent="0.35">
      <c r="A227" s="214">
        <v>226</v>
      </c>
      <c r="B227" s="66" t="s">
        <v>493</v>
      </c>
      <c r="C227" s="66" t="s">
        <v>5</v>
      </c>
      <c r="D227" s="66" t="s">
        <v>1170</v>
      </c>
      <c r="E227" s="69">
        <v>45972</v>
      </c>
      <c r="F227" s="69">
        <f t="shared" si="45"/>
        <v>45973</v>
      </c>
      <c r="G227" s="69">
        <f t="shared" si="46"/>
        <v>45986</v>
      </c>
      <c r="H227" s="69">
        <f t="shared" si="47"/>
        <v>46000</v>
      </c>
      <c r="I227" s="69">
        <f t="shared" si="48"/>
        <v>46031</v>
      </c>
      <c r="J227" s="69" t="str">
        <f t="shared" si="44"/>
        <v>Nov</v>
      </c>
      <c r="K227" s="216" t="str">
        <f t="shared" ca="1" si="41"/>
        <v/>
      </c>
      <c r="L227" s="67" t="s">
        <v>10</v>
      </c>
      <c r="M227" s="67"/>
      <c r="N227" s="67">
        <v>45974</v>
      </c>
      <c r="O227" s="152">
        <f t="shared" si="42"/>
        <v>2</v>
      </c>
      <c r="P227" s="12" t="str">
        <f t="shared" si="43"/>
        <v>Yes</v>
      </c>
      <c r="Q227" s="75"/>
      <c r="R227" s="70" t="s">
        <v>39</v>
      </c>
      <c r="S227" s="68" t="s">
        <v>40</v>
      </c>
      <c r="T227" s="66"/>
      <c r="U227" s="75"/>
      <c r="V227" s="66"/>
      <c r="W227" s="66"/>
      <c r="AV227" s="139" t="str">
        <v>Quarter 3</v>
      </c>
    </row>
    <row r="228" spans="1:48" ht="30" customHeight="1" x14ac:dyDescent="0.35">
      <c r="A228" s="214">
        <v>227</v>
      </c>
      <c r="B228" s="66" t="s">
        <v>55</v>
      </c>
      <c r="C228" s="66" t="s">
        <v>13</v>
      </c>
      <c r="D228" s="66" t="s">
        <v>1397</v>
      </c>
      <c r="E228" s="69">
        <v>45974</v>
      </c>
      <c r="F228" s="69">
        <f t="shared" si="45"/>
        <v>45975</v>
      </c>
      <c r="G228" s="69">
        <f t="shared" si="46"/>
        <v>45988</v>
      </c>
      <c r="H228" s="69">
        <f t="shared" si="47"/>
        <v>46002</v>
      </c>
      <c r="I228" s="69">
        <f t="shared" si="48"/>
        <v>46035</v>
      </c>
      <c r="J228" s="69" t="str">
        <f t="shared" si="44"/>
        <v>Nov</v>
      </c>
      <c r="K228" s="216" t="str">
        <f t="shared" ca="1" si="41"/>
        <v/>
      </c>
      <c r="L228" s="67" t="s">
        <v>10</v>
      </c>
      <c r="M228" s="67"/>
      <c r="N228" s="67">
        <v>45996</v>
      </c>
      <c r="O228" s="152">
        <f t="shared" si="42"/>
        <v>16</v>
      </c>
      <c r="P228" s="12" t="str">
        <f t="shared" si="43"/>
        <v>Yes</v>
      </c>
      <c r="Q228" s="75"/>
      <c r="R228" s="70" t="s">
        <v>39</v>
      </c>
      <c r="S228" s="68" t="s">
        <v>40</v>
      </c>
      <c r="T228" s="66"/>
      <c r="U228" s="75"/>
      <c r="V228" s="66"/>
      <c r="W228" s="66"/>
      <c r="AV228" s="139" t="str">
        <v>Quarter 3</v>
      </c>
    </row>
    <row r="229" spans="1:48" ht="30" customHeight="1" x14ac:dyDescent="0.35">
      <c r="A229" s="214">
        <v>228</v>
      </c>
      <c r="B229" s="66" t="s">
        <v>6</v>
      </c>
      <c r="C229" s="66" t="s">
        <v>6</v>
      </c>
      <c r="D229" s="66" t="s">
        <v>1398</v>
      </c>
      <c r="E229" s="69">
        <v>45974</v>
      </c>
      <c r="F229" s="69">
        <f t="shared" si="45"/>
        <v>45975</v>
      </c>
      <c r="G229" s="69">
        <f t="shared" si="46"/>
        <v>45988</v>
      </c>
      <c r="H229" s="69">
        <f t="shared" si="47"/>
        <v>46002</v>
      </c>
      <c r="I229" s="69">
        <f t="shared" si="48"/>
        <v>46035</v>
      </c>
      <c r="J229" s="69" t="str">
        <f t="shared" si="44"/>
        <v>Nov</v>
      </c>
      <c r="K229" s="216" t="str">
        <f t="shared" ca="1" si="41"/>
        <v/>
      </c>
      <c r="L229" s="67" t="s">
        <v>10</v>
      </c>
      <c r="M229" s="67"/>
      <c r="N229" s="67">
        <v>45985</v>
      </c>
      <c r="O229" s="152">
        <f t="shared" si="42"/>
        <v>7</v>
      </c>
      <c r="P229" s="12" t="str">
        <f t="shared" si="43"/>
        <v>Yes</v>
      </c>
      <c r="Q229" s="75"/>
      <c r="R229" s="70" t="s">
        <v>39</v>
      </c>
      <c r="S229" s="68" t="s">
        <v>40</v>
      </c>
      <c r="T229" s="66"/>
      <c r="U229" s="75"/>
      <c r="V229" s="66"/>
      <c r="W229" s="66"/>
      <c r="AV229" s="139" t="str">
        <v>Quarter 3</v>
      </c>
    </row>
    <row r="230" spans="1:48" ht="30" customHeight="1" x14ac:dyDescent="0.35">
      <c r="A230" s="214">
        <v>229</v>
      </c>
      <c r="B230" s="66" t="s">
        <v>6</v>
      </c>
      <c r="C230" s="66" t="s">
        <v>6</v>
      </c>
      <c r="D230" s="66" t="s">
        <v>1399</v>
      </c>
      <c r="E230" s="69">
        <v>45979</v>
      </c>
      <c r="F230" s="69">
        <f t="shared" si="45"/>
        <v>45980</v>
      </c>
      <c r="G230" s="69">
        <f t="shared" si="46"/>
        <v>45993</v>
      </c>
      <c r="H230" s="69">
        <f t="shared" si="47"/>
        <v>46007</v>
      </c>
      <c r="I230" s="69">
        <f t="shared" si="48"/>
        <v>46038</v>
      </c>
      <c r="J230" s="69" t="str">
        <f t="shared" si="44"/>
        <v>Nov</v>
      </c>
      <c r="K230" s="216" t="str">
        <f t="shared" ca="1" si="41"/>
        <v/>
      </c>
      <c r="L230" s="67" t="s">
        <v>10</v>
      </c>
      <c r="M230" s="67"/>
      <c r="N230" s="67">
        <v>46008</v>
      </c>
      <c r="O230" s="152">
        <f t="shared" si="42"/>
        <v>21</v>
      </c>
      <c r="P230" s="12" t="str">
        <f t="shared" si="43"/>
        <v>No</v>
      </c>
      <c r="Q230" s="75"/>
      <c r="R230" s="70" t="s">
        <v>39</v>
      </c>
      <c r="S230" s="68" t="s">
        <v>40</v>
      </c>
      <c r="T230" s="66"/>
      <c r="U230" s="75"/>
      <c r="V230" s="66"/>
      <c r="W230" s="66"/>
      <c r="AV230" s="139" t="str">
        <v>Quarter 3</v>
      </c>
    </row>
    <row r="231" spans="1:48" ht="30" customHeight="1" x14ac:dyDescent="0.35">
      <c r="A231" s="214">
        <v>230</v>
      </c>
      <c r="B231" s="66" t="s">
        <v>6</v>
      </c>
      <c r="C231" s="66" t="s">
        <v>9</v>
      </c>
      <c r="D231" s="66" t="s">
        <v>1400</v>
      </c>
      <c r="E231" s="69">
        <v>45980</v>
      </c>
      <c r="F231" s="69">
        <f t="shared" si="45"/>
        <v>45981</v>
      </c>
      <c r="G231" s="69">
        <f t="shared" si="46"/>
        <v>45994</v>
      </c>
      <c r="H231" s="69">
        <f t="shared" si="47"/>
        <v>46008</v>
      </c>
      <c r="I231" s="69">
        <f t="shared" si="48"/>
        <v>46041</v>
      </c>
      <c r="J231" s="69" t="str">
        <f t="shared" si="44"/>
        <v>Nov</v>
      </c>
      <c r="K231" s="216" t="str">
        <f t="shared" ca="1" si="41"/>
        <v/>
      </c>
      <c r="L231" s="67" t="s">
        <v>10</v>
      </c>
      <c r="M231" s="67"/>
      <c r="N231" s="67">
        <v>45987</v>
      </c>
      <c r="O231" s="152">
        <f t="shared" si="42"/>
        <v>5</v>
      </c>
      <c r="P231" s="12" t="str">
        <f t="shared" si="43"/>
        <v>Yes</v>
      </c>
      <c r="Q231" s="75"/>
      <c r="R231" s="70" t="s">
        <v>39</v>
      </c>
      <c r="S231" s="68" t="s">
        <v>40</v>
      </c>
      <c r="T231" s="66"/>
      <c r="U231" s="75"/>
      <c r="V231" s="66"/>
      <c r="W231" s="66"/>
      <c r="AV231" s="139" t="str">
        <v>Quarter 3</v>
      </c>
    </row>
    <row r="232" spans="1:48" ht="30" customHeight="1" x14ac:dyDescent="0.35">
      <c r="A232" s="214">
        <v>231</v>
      </c>
      <c r="B232" s="66" t="s">
        <v>6</v>
      </c>
      <c r="C232" s="66" t="s">
        <v>6</v>
      </c>
      <c r="D232" s="66" t="s">
        <v>1184</v>
      </c>
      <c r="E232" s="69">
        <v>45982</v>
      </c>
      <c r="F232" s="69">
        <f t="shared" si="45"/>
        <v>45985</v>
      </c>
      <c r="G232" s="69">
        <f t="shared" si="46"/>
        <v>45996</v>
      </c>
      <c r="H232" s="69">
        <f t="shared" si="47"/>
        <v>46010</v>
      </c>
      <c r="I232" s="69">
        <f t="shared" si="48"/>
        <v>46043</v>
      </c>
      <c r="J232" s="69" t="str">
        <f t="shared" si="44"/>
        <v>Nov</v>
      </c>
      <c r="K232" s="216" t="str">
        <f t="shared" ca="1" si="41"/>
        <v/>
      </c>
      <c r="L232" s="67" t="s">
        <v>4</v>
      </c>
      <c r="M232" s="67"/>
      <c r="N232" s="67">
        <v>46008</v>
      </c>
      <c r="O232" s="152">
        <f t="shared" si="42"/>
        <v>18</v>
      </c>
      <c r="P232" s="12" t="str">
        <f t="shared" si="43"/>
        <v>Yes</v>
      </c>
      <c r="Q232" s="75"/>
      <c r="R232" s="70" t="s">
        <v>39</v>
      </c>
      <c r="S232" s="68" t="s">
        <v>45</v>
      </c>
      <c r="T232" s="66"/>
      <c r="U232" s="75" t="s">
        <v>1165</v>
      </c>
      <c r="V232" s="66"/>
      <c r="W232" s="66"/>
      <c r="AV232" s="139" t="str">
        <v>Quarter 3</v>
      </c>
    </row>
    <row r="233" spans="1:48" ht="30" customHeight="1" x14ac:dyDescent="0.35">
      <c r="A233" s="214">
        <v>232</v>
      </c>
      <c r="B233" s="66" t="s">
        <v>6</v>
      </c>
      <c r="C233" s="66" t="s">
        <v>6</v>
      </c>
      <c r="D233" s="66" t="s">
        <v>1401</v>
      </c>
      <c r="E233" s="69">
        <v>45985</v>
      </c>
      <c r="F233" s="69">
        <f t="shared" si="45"/>
        <v>45986</v>
      </c>
      <c r="G233" s="69">
        <f t="shared" si="46"/>
        <v>45999</v>
      </c>
      <c r="H233" s="69">
        <f t="shared" si="47"/>
        <v>46013</v>
      </c>
      <c r="I233" s="69">
        <f t="shared" si="48"/>
        <v>46044</v>
      </c>
      <c r="J233" s="69" t="str">
        <f t="shared" si="44"/>
        <v>Nov</v>
      </c>
      <c r="K233" s="216" t="str">
        <f t="shared" ca="1" si="41"/>
        <v/>
      </c>
      <c r="L233" s="67" t="s">
        <v>10</v>
      </c>
      <c r="M233" s="67"/>
      <c r="N233" s="67">
        <v>45994</v>
      </c>
      <c r="O233" s="152">
        <f t="shared" si="42"/>
        <v>7</v>
      </c>
      <c r="P233" s="12" t="str">
        <f t="shared" si="43"/>
        <v>Yes</v>
      </c>
      <c r="Q233" s="75"/>
      <c r="R233" s="70" t="s">
        <v>39</v>
      </c>
      <c r="S233" s="68" t="s">
        <v>40</v>
      </c>
      <c r="T233" s="66"/>
      <c r="U233" s="75"/>
      <c r="V233" s="66" t="s">
        <v>46</v>
      </c>
      <c r="W233" s="66"/>
      <c r="AV233" s="139" t="str">
        <v>Quarter 3</v>
      </c>
    </row>
    <row r="234" spans="1:48" ht="30" customHeight="1" x14ac:dyDescent="0.35">
      <c r="A234" s="214">
        <v>233</v>
      </c>
      <c r="B234" s="66" t="s">
        <v>55</v>
      </c>
      <c r="C234" s="66" t="s">
        <v>13</v>
      </c>
      <c r="D234" s="66" t="s">
        <v>1282</v>
      </c>
      <c r="E234" s="69">
        <v>45985</v>
      </c>
      <c r="F234" s="69">
        <f t="shared" si="45"/>
        <v>45986</v>
      </c>
      <c r="G234" s="69">
        <f t="shared" si="46"/>
        <v>45999</v>
      </c>
      <c r="H234" s="69">
        <f t="shared" si="47"/>
        <v>46013</v>
      </c>
      <c r="I234" s="69">
        <f t="shared" si="48"/>
        <v>46044</v>
      </c>
      <c r="J234" s="69" t="str">
        <f t="shared" si="44"/>
        <v>Nov</v>
      </c>
      <c r="K234" s="216" t="str">
        <f t="shared" ca="1" si="41"/>
        <v/>
      </c>
      <c r="L234" s="67" t="s">
        <v>4</v>
      </c>
      <c r="M234" s="67"/>
      <c r="N234" s="67">
        <v>45989</v>
      </c>
      <c r="O234" s="152">
        <f t="shared" si="42"/>
        <v>4</v>
      </c>
      <c r="P234" s="12" t="str">
        <f t="shared" si="43"/>
        <v>Yes</v>
      </c>
      <c r="Q234" s="75"/>
      <c r="R234" s="70" t="s">
        <v>39</v>
      </c>
      <c r="S234" s="68" t="s">
        <v>40</v>
      </c>
      <c r="T234" s="66"/>
      <c r="U234" s="75"/>
      <c r="V234" s="66" t="s">
        <v>46</v>
      </c>
      <c r="W234" s="66"/>
      <c r="AV234" s="139" t="str">
        <v>Quarter 3</v>
      </c>
    </row>
    <row r="235" spans="1:48" ht="30" customHeight="1" x14ac:dyDescent="0.35">
      <c r="A235" s="214">
        <v>234</v>
      </c>
      <c r="B235" s="66" t="s">
        <v>55</v>
      </c>
      <c r="C235" s="66" t="s">
        <v>13</v>
      </c>
      <c r="D235" s="66" t="s">
        <v>1402</v>
      </c>
      <c r="E235" s="69">
        <v>45985</v>
      </c>
      <c r="F235" s="69">
        <f t="shared" si="45"/>
        <v>45986</v>
      </c>
      <c r="G235" s="69">
        <f t="shared" si="46"/>
        <v>45999</v>
      </c>
      <c r="H235" s="69">
        <f t="shared" si="47"/>
        <v>46013</v>
      </c>
      <c r="I235" s="69">
        <f t="shared" si="48"/>
        <v>46044</v>
      </c>
      <c r="J235" s="69" t="str">
        <f t="shared" si="44"/>
        <v>Nov</v>
      </c>
      <c r="K235" s="216" t="str">
        <f t="shared" ca="1" si="41"/>
        <v/>
      </c>
      <c r="L235" s="67" t="s">
        <v>10</v>
      </c>
      <c r="M235" s="67"/>
      <c r="N235" s="67">
        <v>46006</v>
      </c>
      <c r="O235" s="152">
        <f t="shared" si="42"/>
        <v>15</v>
      </c>
      <c r="P235" s="12" t="str">
        <f t="shared" si="43"/>
        <v>Yes</v>
      </c>
      <c r="Q235" s="75"/>
      <c r="R235" s="70" t="s">
        <v>39</v>
      </c>
      <c r="S235" s="68" t="s">
        <v>45</v>
      </c>
      <c r="T235" s="66"/>
      <c r="U235" s="75" t="s">
        <v>1165</v>
      </c>
      <c r="V235" s="66" t="s">
        <v>46</v>
      </c>
      <c r="W235" s="66"/>
      <c r="AV235" s="139" t="str">
        <v>Quarter 3</v>
      </c>
    </row>
    <row r="236" spans="1:48" ht="30" customHeight="1" x14ac:dyDescent="0.35">
      <c r="A236" s="214">
        <v>235</v>
      </c>
      <c r="B236" s="66" t="s">
        <v>55</v>
      </c>
      <c r="C236" s="66" t="s">
        <v>13</v>
      </c>
      <c r="D236" s="66" t="s">
        <v>1281</v>
      </c>
      <c r="E236" s="69">
        <v>45987</v>
      </c>
      <c r="F236" s="69">
        <f t="shared" si="45"/>
        <v>45988</v>
      </c>
      <c r="G236" s="69">
        <f t="shared" si="46"/>
        <v>46001</v>
      </c>
      <c r="H236" s="69">
        <f t="shared" si="47"/>
        <v>46015</v>
      </c>
      <c r="I236" s="69">
        <f t="shared" si="48"/>
        <v>46048</v>
      </c>
      <c r="J236" s="69" t="str">
        <f t="shared" si="44"/>
        <v>Nov</v>
      </c>
      <c r="K236" s="216" t="str">
        <f t="shared" ca="1" si="41"/>
        <v/>
      </c>
      <c r="L236" s="67" t="s">
        <v>4</v>
      </c>
      <c r="M236" s="67"/>
      <c r="N236" s="67">
        <v>45987</v>
      </c>
      <c r="O236" s="152">
        <f t="shared" si="42"/>
        <v>0</v>
      </c>
      <c r="P236" s="12" t="str">
        <f t="shared" si="43"/>
        <v>Yes</v>
      </c>
      <c r="Q236" s="75"/>
      <c r="R236" s="70" t="s">
        <v>39</v>
      </c>
      <c r="S236" s="68" t="s">
        <v>40</v>
      </c>
      <c r="T236" s="66"/>
      <c r="U236" s="75"/>
      <c r="V236" s="66"/>
      <c r="W236" s="66"/>
      <c r="AV236" s="139" t="str">
        <v>Quarter 3</v>
      </c>
    </row>
    <row r="237" spans="1:48" ht="30" customHeight="1" x14ac:dyDescent="0.35">
      <c r="A237" s="214">
        <v>236</v>
      </c>
      <c r="B237" s="66" t="s">
        <v>1403</v>
      </c>
      <c r="C237" s="66" t="s">
        <v>9</v>
      </c>
      <c r="D237" s="66" t="s">
        <v>1404</v>
      </c>
      <c r="E237" s="69">
        <v>45988</v>
      </c>
      <c r="F237" s="69">
        <f t="shared" si="45"/>
        <v>45989</v>
      </c>
      <c r="G237" s="69">
        <f t="shared" si="46"/>
        <v>46002</v>
      </c>
      <c r="H237" s="69">
        <f t="shared" si="47"/>
        <v>46020</v>
      </c>
      <c r="I237" s="69">
        <f t="shared" si="48"/>
        <v>46049</v>
      </c>
      <c r="J237" s="69" t="str">
        <f t="shared" si="44"/>
        <v>Nov</v>
      </c>
      <c r="K237" s="216" t="str">
        <f t="shared" ca="1" si="41"/>
        <v/>
      </c>
      <c r="L237" s="67" t="s">
        <v>10</v>
      </c>
      <c r="M237" s="67"/>
      <c r="N237" s="67">
        <v>46006</v>
      </c>
      <c r="O237" s="152">
        <f t="shared" si="42"/>
        <v>12</v>
      </c>
      <c r="P237" s="12" t="str">
        <f t="shared" si="43"/>
        <v>Yes</v>
      </c>
      <c r="Q237" s="75"/>
      <c r="R237" s="70" t="s">
        <v>39</v>
      </c>
      <c r="S237" s="68" t="s">
        <v>40</v>
      </c>
      <c r="T237" s="66"/>
      <c r="U237" s="75" t="s">
        <v>1147</v>
      </c>
      <c r="V237" s="66" t="s">
        <v>46</v>
      </c>
      <c r="W237" s="66"/>
      <c r="AV237" s="139" t="str">
        <v>Quarter 3</v>
      </c>
    </row>
    <row r="238" spans="1:48" ht="30" customHeight="1" x14ac:dyDescent="0.35">
      <c r="A238" s="214">
        <v>237</v>
      </c>
      <c r="B238" s="66" t="s">
        <v>493</v>
      </c>
      <c r="C238" s="66" t="s">
        <v>5</v>
      </c>
      <c r="D238" s="66" t="s">
        <v>1170</v>
      </c>
      <c r="E238" s="69">
        <v>45989</v>
      </c>
      <c r="F238" s="69">
        <f t="shared" si="45"/>
        <v>45992</v>
      </c>
      <c r="G238" s="69">
        <f t="shared" si="46"/>
        <v>46003</v>
      </c>
      <c r="H238" s="69">
        <f t="shared" si="47"/>
        <v>46021</v>
      </c>
      <c r="I238" s="69">
        <f t="shared" si="48"/>
        <v>46050</v>
      </c>
      <c r="J238" s="69" t="str">
        <f t="shared" si="44"/>
        <v>Nov</v>
      </c>
      <c r="K238" s="216" t="str">
        <f t="shared" ca="1" si="41"/>
        <v/>
      </c>
      <c r="L238" s="67" t="s">
        <v>10</v>
      </c>
      <c r="M238" s="67"/>
      <c r="N238" s="67">
        <v>45992</v>
      </c>
      <c r="O238" s="152">
        <f t="shared" si="42"/>
        <v>1</v>
      </c>
      <c r="P238" s="12" t="str">
        <f t="shared" si="43"/>
        <v>Yes</v>
      </c>
      <c r="Q238" s="75"/>
      <c r="R238" s="70" t="s">
        <v>39</v>
      </c>
      <c r="S238" s="68" t="s">
        <v>40</v>
      </c>
      <c r="T238" s="66"/>
      <c r="U238" s="75"/>
      <c r="V238" s="66"/>
      <c r="W238" s="66"/>
      <c r="AV238" s="139" t="str">
        <v>Quarter 3</v>
      </c>
    </row>
    <row r="239" spans="1:48" ht="30" customHeight="1" x14ac:dyDescent="0.35">
      <c r="A239" s="214">
        <v>238</v>
      </c>
      <c r="B239" s="66" t="s">
        <v>6</v>
      </c>
      <c r="C239" s="66" t="s">
        <v>6</v>
      </c>
      <c r="D239" s="66" t="s">
        <v>1405</v>
      </c>
      <c r="E239" s="69">
        <v>45992</v>
      </c>
      <c r="F239" s="69">
        <f t="shared" si="45"/>
        <v>45993</v>
      </c>
      <c r="G239" s="69">
        <f t="shared" si="46"/>
        <v>46006</v>
      </c>
      <c r="H239" s="69">
        <f t="shared" si="47"/>
        <v>46022</v>
      </c>
      <c r="I239" s="69">
        <f t="shared" si="48"/>
        <v>46051</v>
      </c>
      <c r="J239" s="69" t="str">
        <f t="shared" si="44"/>
        <v>Dec</v>
      </c>
      <c r="K239" s="216" t="str">
        <f t="shared" ca="1" si="41"/>
        <v/>
      </c>
      <c r="L239" s="67" t="s">
        <v>10</v>
      </c>
      <c r="M239" s="67"/>
      <c r="N239" s="67">
        <v>46009</v>
      </c>
      <c r="O239" s="152">
        <f t="shared" si="42"/>
        <v>13</v>
      </c>
      <c r="P239" s="12" t="str">
        <f t="shared" si="43"/>
        <v>Yes</v>
      </c>
      <c r="Q239" s="75"/>
      <c r="R239" s="70" t="s">
        <v>39</v>
      </c>
      <c r="S239" s="68" t="s">
        <v>40</v>
      </c>
      <c r="T239" s="66"/>
      <c r="U239" s="75"/>
      <c r="V239" s="66" t="s">
        <v>46</v>
      </c>
      <c r="W239" s="66"/>
      <c r="AV239" s="139" t="str">
        <v>Quarter 3</v>
      </c>
    </row>
    <row r="240" spans="1:48" ht="30" customHeight="1" x14ac:dyDescent="0.35">
      <c r="A240" s="214">
        <v>239</v>
      </c>
      <c r="B240" s="66" t="s">
        <v>55</v>
      </c>
      <c r="C240" s="66" t="s">
        <v>13</v>
      </c>
      <c r="D240" s="66" t="s">
        <v>1406</v>
      </c>
      <c r="E240" s="69">
        <v>45992</v>
      </c>
      <c r="F240" s="69">
        <f t="shared" si="45"/>
        <v>45993</v>
      </c>
      <c r="G240" s="69">
        <f t="shared" si="46"/>
        <v>46006</v>
      </c>
      <c r="H240" s="69">
        <f t="shared" si="47"/>
        <v>46022</v>
      </c>
      <c r="I240" s="69">
        <f t="shared" si="48"/>
        <v>46051</v>
      </c>
      <c r="J240" s="69" t="str">
        <f t="shared" si="44"/>
        <v>Dec</v>
      </c>
      <c r="K240" s="216" t="str">
        <f t="shared" ca="1" si="41"/>
        <v/>
      </c>
      <c r="L240" s="67" t="s">
        <v>4</v>
      </c>
      <c r="M240" s="67"/>
      <c r="N240" s="67">
        <v>46015</v>
      </c>
      <c r="O240" s="152">
        <f t="shared" si="42"/>
        <v>17</v>
      </c>
      <c r="P240" s="12" t="str">
        <f t="shared" si="43"/>
        <v>Yes</v>
      </c>
      <c r="Q240" s="75"/>
      <c r="R240" s="70" t="s">
        <v>39</v>
      </c>
      <c r="S240" s="68" t="s">
        <v>40</v>
      </c>
      <c r="T240" s="66"/>
      <c r="U240" s="75" t="s">
        <v>1147</v>
      </c>
      <c r="V240" s="66"/>
      <c r="W240" s="66"/>
      <c r="AV240" s="139" t="str">
        <v>Quarter 3</v>
      </c>
    </row>
    <row r="241" spans="1:48" ht="30" customHeight="1" x14ac:dyDescent="0.35">
      <c r="A241" s="214">
        <v>240</v>
      </c>
      <c r="B241" s="66" t="s">
        <v>6</v>
      </c>
      <c r="C241" s="66" t="s">
        <v>6</v>
      </c>
      <c r="D241" s="66" t="s">
        <v>1407</v>
      </c>
      <c r="E241" s="69">
        <v>45992</v>
      </c>
      <c r="F241" s="69">
        <f t="shared" si="45"/>
        <v>45993</v>
      </c>
      <c r="G241" s="69">
        <f t="shared" si="46"/>
        <v>46006</v>
      </c>
      <c r="H241" s="69">
        <f t="shared" si="47"/>
        <v>46022</v>
      </c>
      <c r="I241" s="69">
        <f t="shared" si="48"/>
        <v>46051</v>
      </c>
      <c r="J241" s="69" t="str">
        <f t="shared" si="44"/>
        <v>Dec</v>
      </c>
      <c r="K241" s="216" t="str">
        <f t="shared" ca="1" si="41"/>
        <v/>
      </c>
      <c r="L241" s="67" t="s">
        <v>10</v>
      </c>
      <c r="M241" s="67"/>
      <c r="N241" s="67">
        <v>46008</v>
      </c>
      <c r="O241" s="152">
        <f t="shared" si="42"/>
        <v>12</v>
      </c>
      <c r="P241" s="12" t="str">
        <f t="shared" si="43"/>
        <v>Yes</v>
      </c>
      <c r="Q241" s="75"/>
      <c r="R241" s="70" t="s">
        <v>39</v>
      </c>
      <c r="S241" s="68" t="s">
        <v>40</v>
      </c>
      <c r="T241" s="66"/>
      <c r="U241" s="75"/>
      <c r="V241" s="66" t="s">
        <v>46</v>
      </c>
      <c r="W241" s="66"/>
      <c r="AV241" s="139" t="str">
        <v>Quarter 3</v>
      </c>
    </row>
    <row r="242" spans="1:48" ht="30" customHeight="1" x14ac:dyDescent="0.35">
      <c r="A242" s="214">
        <v>241</v>
      </c>
      <c r="B242" s="66" t="s">
        <v>1148</v>
      </c>
      <c r="C242" s="66" t="s">
        <v>9</v>
      </c>
      <c r="D242" s="66" t="s">
        <v>1313</v>
      </c>
      <c r="E242" s="69">
        <v>45992</v>
      </c>
      <c r="F242" s="69">
        <f t="shared" si="45"/>
        <v>45993</v>
      </c>
      <c r="G242" s="69">
        <f t="shared" si="46"/>
        <v>46006</v>
      </c>
      <c r="H242" s="69">
        <f t="shared" si="47"/>
        <v>46022</v>
      </c>
      <c r="I242" s="69">
        <f t="shared" si="48"/>
        <v>46051</v>
      </c>
      <c r="J242" s="69" t="str">
        <f t="shared" si="44"/>
        <v>Dec</v>
      </c>
      <c r="K242" s="216" t="str">
        <f t="shared" ca="1" si="41"/>
        <v/>
      </c>
      <c r="L242" s="67" t="s">
        <v>10</v>
      </c>
      <c r="M242" s="67"/>
      <c r="N242" s="67">
        <v>46001</v>
      </c>
      <c r="O242" s="152">
        <f t="shared" si="42"/>
        <v>7</v>
      </c>
      <c r="P242" s="12" t="str">
        <f t="shared" si="43"/>
        <v>Yes</v>
      </c>
      <c r="Q242" s="75"/>
      <c r="R242" s="70" t="s">
        <v>39</v>
      </c>
      <c r="S242" s="68" t="s">
        <v>40</v>
      </c>
      <c r="T242" s="66"/>
      <c r="U242" s="75"/>
      <c r="V242" s="66"/>
      <c r="W242" s="66"/>
      <c r="AV242" s="139" t="str">
        <v>Quarter 3</v>
      </c>
    </row>
    <row r="243" spans="1:48" ht="30" customHeight="1" x14ac:dyDescent="0.35">
      <c r="A243" s="214">
        <v>242</v>
      </c>
      <c r="B243" s="66" t="s">
        <v>1148</v>
      </c>
      <c r="C243" s="66" t="s">
        <v>9</v>
      </c>
      <c r="D243" s="66" t="s">
        <v>1314</v>
      </c>
      <c r="E243" s="69">
        <v>45992</v>
      </c>
      <c r="F243" s="69">
        <f t="shared" si="45"/>
        <v>45993</v>
      </c>
      <c r="G243" s="69">
        <f t="shared" si="46"/>
        <v>46006</v>
      </c>
      <c r="H243" s="69">
        <f t="shared" si="47"/>
        <v>46022</v>
      </c>
      <c r="I243" s="69">
        <f t="shared" si="48"/>
        <v>46051</v>
      </c>
      <c r="J243" s="69" t="str">
        <f t="shared" si="44"/>
        <v>Dec</v>
      </c>
      <c r="K243" s="216" t="str">
        <f t="shared" ca="1" si="41"/>
        <v/>
      </c>
      <c r="L243" s="67" t="s">
        <v>10</v>
      </c>
      <c r="M243" s="67"/>
      <c r="N243" s="67">
        <v>46001</v>
      </c>
      <c r="O243" s="152">
        <f t="shared" si="42"/>
        <v>7</v>
      </c>
      <c r="P243" s="12" t="str">
        <f t="shared" si="43"/>
        <v>Yes</v>
      </c>
      <c r="Q243" s="75"/>
      <c r="R243" s="70" t="s">
        <v>39</v>
      </c>
      <c r="S243" s="68" t="s">
        <v>40</v>
      </c>
      <c r="T243" s="66"/>
      <c r="U243" s="75"/>
      <c r="V243" s="66"/>
      <c r="W243" s="66"/>
      <c r="AV243" s="139" t="str">
        <v>Quarter 3</v>
      </c>
    </row>
    <row r="244" spans="1:48" ht="30" customHeight="1" x14ac:dyDescent="0.35">
      <c r="A244" s="214">
        <v>243</v>
      </c>
      <c r="B244" s="66" t="s">
        <v>6</v>
      </c>
      <c r="C244" s="66" t="s">
        <v>6</v>
      </c>
      <c r="D244" s="66" t="s">
        <v>1405</v>
      </c>
      <c r="E244" s="69">
        <v>45991</v>
      </c>
      <c r="F244" s="69">
        <f t="shared" si="45"/>
        <v>45992</v>
      </c>
      <c r="G244" s="69">
        <f t="shared" si="46"/>
        <v>46003</v>
      </c>
      <c r="H244" s="69">
        <f t="shared" si="47"/>
        <v>46021</v>
      </c>
      <c r="I244" s="69">
        <f t="shared" si="48"/>
        <v>46050</v>
      </c>
      <c r="J244" s="69" t="str">
        <f t="shared" si="44"/>
        <v>Nov</v>
      </c>
      <c r="K244" s="216" t="str">
        <f t="shared" ca="1" si="41"/>
        <v/>
      </c>
      <c r="L244" s="67" t="s">
        <v>10</v>
      </c>
      <c r="M244" s="67"/>
      <c r="N244" s="67">
        <v>46009</v>
      </c>
      <c r="O244" s="152">
        <f t="shared" si="42"/>
        <v>13</v>
      </c>
      <c r="P244" s="12" t="str">
        <f t="shared" si="43"/>
        <v>Yes</v>
      </c>
      <c r="Q244" s="75"/>
      <c r="R244" s="70" t="s">
        <v>39</v>
      </c>
      <c r="S244" s="68" t="s">
        <v>40</v>
      </c>
      <c r="T244" s="66"/>
      <c r="U244" s="75"/>
      <c r="V244" s="66"/>
      <c r="W244" s="66"/>
      <c r="AV244" s="139" t="str">
        <v>Quarter 3</v>
      </c>
    </row>
    <row r="245" spans="1:48" ht="30" customHeight="1" x14ac:dyDescent="0.35">
      <c r="A245" s="214">
        <v>244</v>
      </c>
      <c r="B245" s="66" t="s">
        <v>55</v>
      </c>
      <c r="C245" s="66" t="s">
        <v>13</v>
      </c>
      <c r="D245" s="66" t="s">
        <v>1282</v>
      </c>
      <c r="E245" s="69">
        <v>45995</v>
      </c>
      <c r="F245" s="69">
        <f t="shared" si="45"/>
        <v>45996</v>
      </c>
      <c r="G245" s="69">
        <f t="shared" si="46"/>
        <v>46009</v>
      </c>
      <c r="H245" s="69">
        <f t="shared" si="47"/>
        <v>46028</v>
      </c>
      <c r="I245" s="69">
        <f t="shared" si="48"/>
        <v>46056</v>
      </c>
      <c r="J245" s="69" t="str">
        <f t="shared" si="44"/>
        <v>Dec</v>
      </c>
      <c r="K245" s="216" t="str">
        <f t="shared" ca="1" si="41"/>
        <v/>
      </c>
      <c r="L245" s="67" t="s">
        <v>10</v>
      </c>
      <c r="M245" s="67"/>
      <c r="N245" s="67">
        <v>46051</v>
      </c>
      <c r="O245" s="152">
        <f t="shared" si="42"/>
        <v>37</v>
      </c>
      <c r="P245" s="12" t="str">
        <f t="shared" si="43"/>
        <v>No</v>
      </c>
      <c r="Q245" s="75"/>
      <c r="R245" s="70" t="s">
        <v>39</v>
      </c>
      <c r="S245" s="68" t="s">
        <v>40</v>
      </c>
      <c r="T245" s="66"/>
      <c r="U245" s="75"/>
      <c r="V245" s="66" t="s">
        <v>46</v>
      </c>
      <c r="W245" s="66"/>
      <c r="AV245" s="139" t="str">
        <v>Quarter 3</v>
      </c>
    </row>
    <row r="246" spans="1:48" ht="30" customHeight="1" x14ac:dyDescent="0.35">
      <c r="A246" s="214">
        <v>245</v>
      </c>
      <c r="B246" s="66" t="s">
        <v>1223</v>
      </c>
      <c r="C246" s="66" t="s">
        <v>9</v>
      </c>
      <c r="D246" s="66" t="s">
        <v>1159</v>
      </c>
      <c r="E246" s="69">
        <v>45996</v>
      </c>
      <c r="F246" s="69">
        <f t="shared" si="45"/>
        <v>45999</v>
      </c>
      <c r="G246" s="69">
        <f t="shared" si="46"/>
        <v>46010</v>
      </c>
      <c r="H246" s="69">
        <f t="shared" si="47"/>
        <v>46029</v>
      </c>
      <c r="I246" s="69">
        <f t="shared" si="48"/>
        <v>46057</v>
      </c>
      <c r="J246" s="69" t="str">
        <f t="shared" si="44"/>
        <v>Dec</v>
      </c>
      <c r="K246" s="216" t="str">
        <f t="shared" ca="1" si="41"/>
        <v/>
      </c>
      <c r="L246" s="67" t="s">
        <v>10</v>
      </c>
      <c r="M246" s="67"/>
      <c r="N246" s="67">
        <v>46007</v>
      </c>
      <c r="O246" s="152">
        <f t="shared" si="42"/>
        <v>7</v>
      </c>
      <c r="P246" s="12" t="str">
        <f t="shared" si="43"/>
        <v>Yes</v>
      </c>
      <c r="Q246" s="75"/>
      <c r="R246" s="70" t="s">
        <v>39</v>
      </c>
      <c r="S246" s="68" t="s">
        <v>40</v>
      </c>
      <c r="T246" s="66"/>
      <c r="U246" s="75"/>
      <c r="V246" s="66"/>
      <c r="W246" s="66"/>
      <c r="AV246" s="139" t="str">
        <v>Quarter 3</v>
      </c>
    </row>
    <row r="247" spans="1:48" ht="30" customHeight="1" x14ac:dyDescent="0.35">
      <c r="A247" s="214">
        <v>246</v>
      </c>
      <c r="B247" s="66" t="s">
        <v>6</v>
      </c>
      <c r="C247" s="66" t="s">
        <v>6</v>
      </c>
      <c r="D247" s="66" t="s">
        <v>1408</v>
      </c>
      <c r="E247" s="69">
        <v>45996</v>
      </c>
      <c r="F247" s="69">
        <f t="shared" si="45"/>
        <v>45999</v>
      </c>
      <c r="G247" s="69">
        <f t="shared" si="46"/>
        <v>46010</v>
      </c>
      <c r="H247" s="69">
        <f t="shared" si="47"/>
        <v>46029</v>
      </c>
      <c r="I247" s="69">
        <f t="shared" si="48"/>
        <v>46057</v>
      </c>
      <c r="J247" s="69" t="str">
        <f t="shared" si="44"/>
        <v>Dec</v>
      </c>
      <c r="K247" s="216" t="str">
        <f t="shared" ca="1" si="41"/>
        <v/>
      </c>
      <c r="L247" s="67" t="s">
        <v>10</v>
      </c>
      <c r="M247" s="67"/>
      <c r="N247" s="67">
        <v>46009</v>
      </c>
      <c r="O247" s="152">
        <f t="shared" si="42"/>
        <v>9</v>
      </c>
      <c r="P247" s="12" t="str">
        <f t="shared" si="43"/>
        <v>Yes</v>
      </c>
      <c r="Q247" s="75"/>
      <c r="R247" s="70" t="s">
        <v>39</v>
      </c>
      <c r="S247" s="68" t="s">
        <v>40</v>
      </c>
      <c r="T247" s="66"/>
      <c r="U247" s="75" t="s">
        <v>1147</v>
      </c>
      <c r="V247" s="66"/>
      <c r="W247" s="66"/>
      <c r="AV247" s="139" t="str">
        <v>Quarter 3</v>
      </c>
    </row>
    <row r="248" spans="1:48" ht="30" customHeight="1" x14ac:dyDescent="0.35">
      <c r="A248" s="214">
        <v>247</v>
      </c>
      <c r="B248" s="66" t="s">
        <v>214</v>
      </c>
      <c r="C248" s="66" t="s">
        <v>5</v>
      </c>
      <c r="D248" s="66" t="s">
        <v>1370</v>
      </c>
      <c r="E248" s="69">
        <v>46000</v>
      </c>
      <c r="F248" s="69">
        <f t="shared" si="45"/>
        <v>46001</v>
      </c>
      <c r="G248" s="69">
        <f t="shared" si="46"/>
        <v>46014</v>
      </c>
      <c r="H248" s="69">
        <f t="shared" si="47"/>
        <v>46031</v>
      </c>
      <c r="I248" s="69">
        <f t="shared" si="48"/>
        <v>46059</v>
      </c>
      <c r="J248" s="69" t="str">
        <f t="shared" si="44"/>
        <v>Dec</v>
      </c>
      <c r="K248" s="216" t="str">
        <f t="shared" ca="1" si="41"/>
        <v/>
      </c>
      <c r="L248" s="67" t="s">
        <v>10</v>
      </c>
      <c r="M248" s="67"/>
      <c r="N248" s="67">
        <v>46008</v>
      </c>
      <c r="O248" s="152">
        <f t="shared" si="42"/>
        <v>6</v>
      </c>
      <c r="P248" s="12" t="str">
        <f t="shared" si="43"/>
        <v>Yes</v>
      </c>
      <c r="Q248" s="75"/>
      <c r="R248" s="70" t="s">
        <v>39</v>
      </c>
      <c r="S248" s="68" t="s">
        <v>62</v>
      </c>
      <c r="T248" s="66"/>
      <c r="U248" s="75"/>
      <c r="V248" s="66"/>
      <c r="W248" s="66"/>
      <c r="AV248" s="139" t="str">
        <v>Quarter 3</v>
      </c>
    </row>
    <row r="249" spans="1:48" ht="30" customHeight="1" x14ac:dyDescent="0.35">
      <c r="A249" s="214">
        <v>248</v>
      </c>
      <c r="B249" s="66" t="s">
        <v>55</v>
      </c>
      <c r="C249" s="66" t="s">
        <v>13</v>
      </c>
      <c r="D249" s="66" t="s">
        <v>1409</v>
      </c>
      <c r="E249" s="69">
        <v>46000</v>
      </c>
      <c r="F249" s="69">
        <f t="shared" si="45"/>
        <v>46001</v>
      </c>
      <c r="G249" s="69">
        <f t="shared" si="46"/>
        <v>46014</v>
      </c>
      <c r="H249" s="69">
        <f t="shared" si="47"/>
        <v>46031</v>
      </c>
      <c r="I249" s="69">
        <f t="shared" si="48"/>
        <v>46059</v>
      </c>
      <c r="J249" s="69" t="str">
        <f t="shared" si="44"/>
        <v>Dec</v>
      </c>
      <c r="K249" s="216" t="str">
        <f t="shared" ca="1" si="41"/>
        <v/>
      </c>
      <c r="L249" s="67" t="s">
        <v>10</v>
      </c>
      <c r="M249" s="67"/>
      <c r="N249" s="67">
        <v>46014</v>
      </c>
      <c r="O249" s="152">
        <f t="shared" si="42"/>
        <v>10</v>
      </c>
      <c r="P249" s="12" t="str">
        <f t="shared" si="43"/>
        <v>Yes</v>
      </c>
      <c r="Q249" s="75"/>
      <c r="R249" s="70" t="s">
        <v>39</v>
      </c>
      <c r="S249" s="68" t="s">
        <v>40</v>
      </c>
      <c r="T249" s="66"/>
      <c r="U249" s="75"/>
      <c r="V249" s="66" t="s">
        <v>46</v>
      </c>
      <c r="W249" s="66"/>
      <c r="AV249" s="139" t="str">
        <v>Quarter 3</v>
      </c>
    </row>
    <row r="250" spans="1:48" ht="30" customHeight="1" x14ac:dyDescent="0.35">
      <c r="A250" s="214">
        <v>249</v>
      </c>
      <c r="B250" s="66" t="s">
        <v>6</v>
      </c>
      <c r="C250" s="66" t="s">
        <v>6</v>
      </c>
      <c r="D250" s="66" t="s">
        <v>1410</v>
      </c>
      <c r="E250" s="69">
        <v>46002</v>
      </c>
      <c r="F250" s="69">
        <f t="shared" si="45"/>
        <v>46003</v>
      </c>
      <c r="G250" s="69">
        <f t="shared" si="46"/>
        <v>46020</v>
      </c>
      <c r="H250" s="69">
        <f t="shared" si="47"/>
        <v>46035</v>
      </c>
      <c r="I250" s="69">
        <f t="shared" si="48"/>
        <v>46063</v>
      </c>
      <c r="J250" s="69" t="str">
        <f t="shared" si="44"/>
        <v>Dec</v>
      </c>
      <c r="K250" s="216" t="str">
        <f t="shared" ca="1" si="41"/>
        <v/>
      </c>
      <c r="L250" s="67" t="s">
        <v>4</v>
      </c>
      <c r="M250" s="67"/>
      <c r="N250" s="67">
        <v>46006</v>
      </c>
      <c r="O250" s="152">
        <f t="shared" si="42"/>
        <v>2</v>
      </c>
      <c r="P250" s="12" t="str">
        <f t="shared" si="43"/>
        <v>Yes</v>
      </c>
      <c r="Q250" s="75"/>
      <c r="R250" s="70" t="s">
        <v>39</v>
      </c>
      <c r="S250" s="68" t="s">
        <v>62</v>
      </c>
      <c r="T250" s="66"/>
      <c r="U250" s="75"/>
      <c r="V250" s="66"/>
      <c r="W250" s="66"/>
      <c r="AV250" s="139" t="str">
        <v>Quarter 3</v>
      </c>
    </row>
    <row r="251" spans="1:48" ht="30" customHeight="1" x14ac:dyDescent="0.35">
      <c r="A251" s="214">
        <v>250</v>
      </c>
      <c r="B251" s="66" t="s">
        <v>55</v>
      </c>
      <c r="C251" s="66" t="s">
        <v>13</v>
      </c>
      <c r="D251" s="66" t="s">
        <v>1411</v>
      </c>
      <c r="E251" s="69">
        <v>46003</v>
      </c>
      <c r="F251" s="69">
        <f t="shared" si="45"/>
        <v>46006</v>
      </c>
      <c r="G251" s="69">
        <f t="shared" si="46"/>
        <v>46021</v>
      </c>
      <c r="H251" s="69">
        <f t="shared" si="47"/>
        <v>46036</v>
      </c>
      <c r="I251" s="69">
        <f t="shared" si="48"/>
        <v>46064</v>
      </c>
      <c r="J251" s="69" t="str">
        <f t="shared" si="44"/>
        <v>Dec</v>
      </c>
      <c r="K251" s="216" t="str">
        <f t="shared" ca="1" si="41"/>
        <v/>
      </c>
      <c r="L251" s="67" t="s">
        <v>10</v>
      </c>
      <c r="M251" s="67"/>
      <c r="N251" s="67">
        <v>46006</v>
      </c>
      <c r="O251" s="152">
        <f t="shared" si="42"/>
        <v>1</v>
      </c>
      <c r="P251" s="12" t="str">
        <f t="shared" si="43"/>
        <v>Yes</v>
      </c>
      <c r="Q251" s="75"/>
      <c r="R251" s="70" t="s">
        <v>39</v>
      </c>
      <c r="S251" s="68" t="s">
        <v>40</v>
      </c>
      <c r="T251" s="66"/>
      <c r="U251" s="75" t="s">
        <v>1147</v>
      </c>
      <c r="V251" s="66"/>
      <c r="W251" s="66"/>
      <c r="AV251" s="139" t="str">
        <v>Quarter 3</v>
      </c>
    </row>
    <row r="252" spans="1:48" ht="30" customHeight="1" x14ac:dyDescent="0.35">
      <c r="A252" s="214">
        <v>251</v>
      </c>
      <c r="B252" s="66" t="s">
        <v>6</v>
      </c>
      <c r="C252" s="66" t="s">
        <v>6</v>
      </c>
      <c r="D252" s="66" t="s">
        <v>1412</v>
      </c>
      <c r="E252" s="69">
        <v>46008</v>
      </c>
      <c r="F252" s="69">
        <f t="shared" si="45"/>
        <v>46009</v>
      </c>
      <c r="G252" s="69">
        <f t="shared" si="46"/>
        <v>46027</v>
      </c>
      <c r="H252" s="69">
        <f t="shared" si="47"/>
        <v>46041</v>
      </c>
      <c r="I252" s="69">
        <f t="shared" si="48"/>
        <v>46069</v>
      </c>
      <c r="J252" s="69" t="str">
        <f t="shared" si="44"/>
        <v>Dec</v>
      </c>
      <c r="K252" s="216" t="str">
        <f t="shared" ca="1" si="41"/>
        <v/>
      </c>
      <c r="L252" s="67" t="s">
        <v>10</v>
      </c>
      <c r="M252" s="67"/>
      <c r="N252" s="67">
        <v>46041</v>
      </c>
      <c r="O252" s="152">
        <f t="shared" si="42"/>
        <v>20</v>
      </c>
      <c r="P252" s="12" t="str">
        <f t="shared" si="43"/>
        <v>Yes</v>
      </c>
      <c r="Q252" s="75"/>
      <c r="R252" s="70" t="s">
        <v>39</v>
      </c>
      <c r="S252" s="68" t="s">
        <v>62</v>
      </c>
      <c r="T252" s="66"/>
      <c r="U252" s="75"/>
      <c r="V252" s="66"/>
      <c r="W252" s="66"/>
      <c r="AV252" s="139" t="str">
        <v>Quarter 3</v>
      </c>
    </row>
    <row r="253" spans="1:48" ht="30" customHeight="1" x14ac:dyDescent="0.35">
      <c r="A253" s="214">
        <v>252</v>
      </c>
      <c r="B253" s="66" t="s">
        <v>6</v>
      </c>
      <c r="C253" s="66" t="s">
        <v>6</v>
      </c>
      <c r="D253" s="66" t="s">
        <v>1268</v>
      </c>
      <c r="E253" s="69">
        <v>46009</v>
      </c>
      <c r="F253" s="69">
        <f t="shared" ref="F253:F284" si="49">IF($E253="","",WORKDAY($E253,1,$Z$33:$Z$47))</f>
        <v>46010</v>
      </c>
      <c r="G253" s="69">
        <f t="shared" ref="G253:G284" si="50">IF($E253="","",WORKDAY($E253,10,$Z$33:$Z$47))</f>
        <v>46028</v>
      </c>
      <c r="H253" s="69">
        <f t="shared" ref="H253:H284" si="51">IF($E253="","",WORKDAY($E253,20,$Z$33:$Z$47))</f>
        <v>46042</v>
      </c>
      <c r="I253" s="69">
        <f t="shared" ref="I253:I284" si="52">IF($E253="","",WORKDAY($E253,40,$Z$33:$Z$47))</f>
        <v>46070</v>
      </c>
      <c r="J253" s="69" t="str">
        <f t="shared" si="44"/>
        <v>Dec</v>
      </c>
      <c r="K253" s="216" t="str">
        <f t="shared" ca="1" si="41"/>
        <v/>
      </c>
      <c r="L253" s="67" t="s">
        <v>10</v>
      </c>
      <c r="M253" s="67"/>
      <c r="N253" s="67">
        <v>46113</v>
      </c>
      <c r="O253" s="152">
        <f t="shared" si="42"/>
        <v>71</v>
      </c>
      <c r="P253" s="12" t="str">
        <f t="shared" si="43"/>
        <v>No</v>
      </c>
      <c r="Q253" s="75"/>
      <c r="R253" s="70" t="s">
        <v>39</v>
      </c>
      <c r="S253" s="68" t="s">
        <v>40</v>
      </c>
      <c r="T253" s="66"/>
      <c r="U253" s="75"/>
      <c r="V253" s="66" t="s">
        <v>46</v>
      </c>
      <c r="W253" s="66"/>
      <c r="AV253" s="139" t="str">
        <v>Quarter 3</v>
      </c>
    </row>
    <row r="254" spans="1:48" ht="30" customHeight="1" x14ac:dyDescent="0.35">
      <c r="A254" s="214">
        <v>253</v>
      </c>
      <c r="B254" s="66" t="s">
        <v>6</v>
      </c>
      <c r="C254" s="66" t="s">
        <v>6</v>
      </c>
      <c r="D254" s="66" t="s">
        <v>1413</v>
      </c>
      <c r="E254" s="69">
        <v>46009</v>
      </c>
      <c r="F254" s="69">
        <f t="shared" si="49"/>
        <v>46010</v>
      </c>
      <c r="G254" s="69">
        <f t="shared" si="50"/>
        <v>46028</v>
      </c>
      <c r="H254" s="69">
        <f t="shared" si="51"/>
        <v>46042</v>
      </c>
      <c r="I254" s="69">
        <f t="shared" si="52"/>
        <v>46070</v>
      </c>
      <c r="J254" s="69" t="str">
        <f t="shared" si="44"/>
        <v>Dec</v>
      </c>
      <c r="K254" s="216" t="str">
        <f t="shared" ca="1" si="41"/>
        <v/>
      </c>
      <c r="L254" s="67" t="s">
        <v>10</v>
      </c>
      <c r="M254" s="67"/>
      <c r="N254" s="67">
        <v>46036</v>
      </c>
      <c r="O254" s="152">
        <f t="shared" si="42"/>
        <v>16</v>
      </c>
      <c r="P254" s="12" t="str">
        <f t="shared" si="43"/>
        <v>Yes</v>
      </c>
      <c r="Q254" s="75"/>
      <c r="R254" s="70" t="s">
        <v>39</v>
      </c>
      <c r="S254" s="68" t="s">
        <v>40</v>
      </c>
      <c r="T254" s="66"/>
      <c r="U254" s="75" t="s">
        <v>1147</v>
      </c>
      <c r="V254" s="66"/>
      <c r="W254" s="66"/>
      <c r="AV254" s="139" t="str">
        <v>Quarter 3</v>
      </c>
    </row>
    <row r="255" spans="1:48" ht="30" customHeight="1" x14ac:dyDescent="0.35">
      <c r="A255" s="214">
        <v>254</v>
      </c>
      <c r="B255" s="66" t="s">
        <v>55</v>
      </c>
      <c r="C255" s="66" t="s">
        <v>13</v>
      </c>
      <c r="D255" s="66" t="s">
        <v>1414</v>
      </c>
      <c r="E255" s="69">
        <v>46010</v>
      </c>
      <c r="F255" s="69">
        <f t="shared" si="49"/>
        <v>46013</v>
      </c>
      <c r="G255" s="69">
        <f t="shared" si="50"/>
        <v>46029</v>
      </c>
      <c r="H255" s="69">
        <f t="shared" si="51"/>
        <v>46043</v>
      </c>
      <c r="I255" s="69">
        <f t="shared" si="52"/>
        <v>46071</v>
      </c>
      <c r="J255" s="69" t="str">
        <f t="shared" si="44"/>
        <v>Dec</v>
      </c>
      <c r="K255" s="216" t="str">
        <f t="shared" ca="1" si="41"/>
        <v/>
      </c>
      <c r="L255" s="67" t="s">
        <v>10</v>
      </c>
      <c r="M255" s="67"/>
      <c r="N255" s="67">
        <v>46013</v>
      </c>
      <c r="O255" s="152">
        <f t="shared" si="42"/>
        <v>1</v>
      </c>
      <c r="P255" s="12" t="str">
        <f t="shared" si="43"/>
        <v>Yes</v>
      </c>
      <c r="Q255" s="75"/>
      <c r="R255" s="70" t="s">
        <v>39</v>
      </c>
      <c r="S255" s="68" t="s">
        <v>40</v>
      </c>
      <c r="T255" s="66"/>
      <c r="U255" s="75" t="s">
        <v>1147</v>
      </c>
      <c r="V255" s="66"/>
      <c r="W255" s="66"/>
      <c r="AV255" s="139" t="str">
        <v>Quarter 3</v>
      </c>
    </row>
    <row r="256" spans="1:48" ht="30" customHeight="1" x14ac:dyDescent="0.35">
      <c r="A256" s="214">
        <v>255</v>
      </c>
      <c r="B256" s="66" t="s">
        <v>1415</v>
      </c>
      <c r="C256" s="66" t="s">
        <v>5</v>
      </c>
      <c r="D256" s="66" t="s">
        <v>1179</v>
      </c>
      <c r="E256" s="69">
        <v>46015</v>
      </c>
      <c r="F256" s="69">
        <f t="shared" si="49"/>
        <v>46020</v>
      </c>
      <c r="G256" s="69">
        <f t="shared" si="50"/>
        <v>46034</v>
      </c>
      <c r="H256" s="69">
        <f t="shared" si="51"/>
        <v>46048</v>
      </c>
      <c r="I256" s="69">
        <f t="shared" si="52"/>
        <v>46076</v>
      </c>
      <c r="J256" s="69" t="str">
        <f t="shared" si="44"/>
        <v>Dec</v>
      </c>
      <c r="K256" s="216" t="str">
        <f t="shared" ca="1" si="41"/>
        <v/>
      </c>
      <c r="L256" s="67" t="s">
        <v>10</v>
      </c>
      <c r="M256" s="67"/>
      <c r="N256" s="67">
        <v>46027</v>
      </c>
      <c r="O256" s="152">
        <f t="shared" si="42"/>
        <v>5</v>
      </c>
      <c r="P256" s="12" t="str">
        <f t="shared" si="43"/>
        <v>Yes</v>
      </c>
      <c r="Q256" s="75"/>
      <c r="R256" s="70" t="s">
        <v>39</v>
      </c>
      <c r="S256" s="68" t="s">
        <v>40</v>
      </c>
      <c r="T256" s="66"/>
      <c r="U256" s="75"/>
      <c r="V256" s="66" t="s">
        <v>46</v>
      </c>
      <c r="W256" s="66"/>
      <c r="AV256" s="139" t="str">
        <v>Quarter 3</v>
      </c>
    </row>
    <row r="257" spans="1:48" ht="30" customHeight="1" x14ac:dyDescent="0.35">
      <c r="A257" s="214">
        <v>256</v>
      </c>
      <c r="B257" s="66" t="s">
        <v>214</v>
      </c>
      <c r="C257" s="66" t="s">
        <v>5</v>
      </c>
      <c r="D257" s="66" t="s">
        <v>1416</v>
      </c>
      <c r="E257" s="69">
        <v>46024</v>
      </c>
      <c r="F257" s="69">
        <f t="shared" si="49"/>
        <v>46027</v>
      </c>
      <c r="G257" s="69">
        <f t="shared" si="50"/>
        <v>46038</v>
      </c>
      <c r="H257" s="69">
        <f t="shared" si="51"/>
        <v>46052</v>
      </c>
      <c r="I257" s="69">
        <f t="shared" si="52"/>
        <v>46080</v>
      </c>
      <c r="J257" s="69" t="str">
        <f t="shared" si="44"/>
        <v>Jan</v>
      </c>
      <c r="K257" s="216" t="str">
        <f t="shared" ca="1" si="41"/>
        <v/>
      </c>
      <c r="L257" s="67" t="s">
        <v>10</v>
      </c>
      <c r="M257" s="67"/>
      <c r="N257" s="67">
        <v>46024</v>
      </c>
      <c r="O257" s="152">
        <f t="shared" si="42"/>
        <v>0</v>
      </c>
      <c r="P257" s="12" t="str">
        <f t="shared" si="43"/>
        <v>Yes</v>
      </c>
      <c r="Q257" s="75"/>
      <c r="R257" s="70" t="s">
        <v>39</v>
      </c>
      <c r="S257" s="68" t="s">
        <v>40</v>
      </c>
      <c r="T257" s="66"/>
      <c r="U257" s="75"/>
      <c r="V257" s="66"/>
      <c r="W257" s="66"/>
      <c r="AV257" s="139" t="str">
        <v>Quarter 4</v>
      </c>
    </row>
    <row r="258" spans="1:48" ht="30" customHeight="1" x14ac:dyDescent="0.35">
      <c r="A258" s="214">
        <v>257</v>
      </c>
      <c r="B258" s="66" t="s">
        <v>493</v>
      </c>
      <c r="C258" s="66" t="s">
        <v>5</v>
      </c>
      <c r="D258" s="66" t="s">
        <v>1170</v>
      </c>
      <c r="E258" s="69">
        <v>46027</v>
      </c>
      <c r="F258" s="69">
        <f t="shared" si="49"/>
        <v>46028</v>
      </c>
      <c r="G258" s="69">
        <f t="shared" si="50"/>
        <v>46041</v>
      </c>
      <c r="H258" s="69">
        <f t="shared" si="51"/>
        <v>46055</v>
      </c>
      <c r="I258" s="69">
        <f t="shared" si="52"/>
        <v>46083</v>
      </c>
      <c r="J258" s="69" t="str">
        <f t="shared" si="44"/>
        <v>Jan</v>
      </c>
      <c r="K258" s="216" t="str">
        <f t="shared" ref="K258:K321" ca="1" si="53">IF($E258="","",IF($N258="",$H258-TODAY(),""))</f>
        <v/>
      </c>
      <c r="L258" s="67" t="s">
        <v>10</v>
      </c>
      <c r="M258" s="67"/>
      <c r="N258" s="67">
        <v>46027</v>
      </c>
      <c r="O258" s="152">
        <f t="shared" ref="O258:O321" si="54">IF($N258="","",NETWORKDAYS($E258,$N258,$Z$33:$Z$47)-1)</f>
        <v>0</v>
      </c>
      <c r="P258" s="12" t="str">
        <f t="shared" si="43"/>
        <v>Yes</v>
      </c>
      <c r="Q258" s="75"/>
      <c r="R258" s="70" t="s">
        <v>39</v>
      </c>
      <c r="S258" s="68" t="s">
        <v>40</v>
      </c>
      <c r="T258" s="66"/>
      <c r="U258" s="75"/>
      <c r="V258" s="66"/>
      <c r="W258" s="66"/>
      <c r="AV258" s="139" t="str">
        <v>Quarter 4</v>
      </c>
    </row>
    <row r="259" spans="1:48" ht="30" customHeight="1" x14ac:dyDescent="0.35">
      <c r="A259" s="214">
        <v>258</v>
      </c>
      <c r="B259" s="66" t="s">
        <v>6</v>
      </c>
      <c r="C259" s="66" t="s">
        <v>6</v>
      </c>
      <c r="D259" s="66" t="s">
        <v>1417</v>
      </c>
      <c r="E259" s="69">
        <v>46027</v>
      </c>
      <c r="F259" s="69">
        <f t="shared" si="49"/>
        <v>46028</v>
      </c>
      <c r="G259" s="69">
        <f t="shared" si="50"/>
        <v>46041</v>
      </c>
      <c r="H259" s="69">
        <f t="shared" si="51"/>
        <v>46055</v>
      </c>
      <c r="I259" s="69">
        <f t="shared" si="52"/>
        <v>46083</v>
      </c>
      <c r="J259" s="69" t="str">
        <f t="shared" si="44"/>
        <v>Jan</v>
      </c>
      <c r="K259" s="216" t="str">
        <f t="shared" ca="1" si="53"/>
        <v/>
      </c>
      <c r="L259" s="67" t="s">
        <v>10</v>
      </c>
      <c r="M259" s="67"/>
      <c r="N259" s="67">
        <v>46057</v>
      </c>
      <c r="O259" s="152">
        <f t="shared" si="54"/>
        <v>22</v>
      </c>
      <c r="P259" s="12" t="str">
        <f t="shared" ref="P259:P323" si="55">IF(ISBLANK($N259),"",IF($O259&lt;21,"Yes","No"))</f>
        <v>No</v>
      </c>
      <c r="Q259" s="75"/>
      <c r="R259" s="70" t="s">
        <v>39</v>
      </c>
      <c r="S259" s="68" t="s">
        <v>40</v>
      </c>
      <c r="T259" s="66"/>
      <c r="U259" s="75" t="s">
        <v>1151</v>
      </c>
      <c r="V259" s="66"/>
      <c r="W259" s="66"/>
      <c r="AV259" s="139" t="str">
        <v>Quarter 4</v>
      </c>
    </row>
    <row r="260" spans="1:48" ht="30" customHeight="1" x14ac:dyDescent="0.35">
      <c r="A260" s="214">
        <v>259</v>
      </c>
      <c r="B260" s="66" t="s">
        <v>1148</v>
      </c>
      <c r="C260" s="66" t="s">
        <v>9</v>
      </c>
      <c r="D260" s="66" t="s">
        <v>1313</v>
      </c>
      <c r="E260" s="69">
        <v>46027</v>
      </c>
      <c r="F260" s="69">
        <f t="shared" si="49"/>
        <v>46028</v>
      </c>
      <c r="G260" s="69">
        <f t="shared" si="50"/>
        <v>46041</v>
      </c>
      <c r="H260" s="69">
        <f t="shared" si="51"/>
        <v>46055</v>
      </c>
      <c r="I260" s="69">
        <f t="shared" si="52"/>
        <v>46083</v>
      </c>
      <c r="J260" s="69" t="str">
        <f t="shared" si="44"/>
        <v>Jan</v>
      </c>
      <c r="K260" s="216" t="str">
        <f t="shared" ca="1" si="53"/>
        <v/>
      </c>
      <c r="L260" s="67" t="s">
        <v>10</v>
      </c>
      <c r="M260" s="67"/>
      <c r="N260" s="67">
        <v>46029</v>
      </c>
      <c r="O260" s="152">
        <f t="shared" si="54"/>
        <v>2</v>
      </c>
      <c r="P260" s="12" t="str">
        <f t="shared" si="55"/>
        <v>Yes</v>
      </c>
      <c r="Q260" s="75"/>
      <c r="R260" s="70" t="s">
        <v>39</v>
      </c>
      <c r="S260" s="68" t="s">
        <v>40</v>
      </c>
      <c r="T260" s="66"/>
      <c r="U260" s="75"/>
      <c r="V260" s="66"/>
      <c r="W260" s="66"/>
      <c r="AV260" s="139" t="str">
        <v>Quarter 4</v>
      </c>
    </row>
    <row r="261" spans="1:48" ht="30" customHeight="1" x14ac:dyDescent="0.35">
      <c r="A261" s="214">
        <v>260</v>
      </c>
      <c r="B261" s="66" t="s">
        <v>1148</v>
      </c>
      <c r="C261" s="66" t="s">
        <v>9</v>
      </c>
      <c r="D261" s="66" t="s">
        <v>1314</v>
      </c>
      <c r="E261" s="69">
        <v>46027</v>
      </c>
      <c r="F261" s="69">
        <f t="shared" si="49"/>
        <v>46028</v>
      </c>
      <c r="G261" s="69">
        <f t="shared" si="50"/>
        <v>46041</v>
      </c>
      <c r="H261" s="69">
        <f t="shared" si="51"/>
        <v>46055</v>
      </c>
      <c r="I261" s="69">
        <f t="shared" si="52"/>
        <v>46083</v>
      </c>
      <c r="J261" s="69" t="str">
        <f t="shared" si="44"/>
        <v>Jan</v>
      </c>
      <c r="K261" s="216" t="str">
        <f t="shared" ca="1" si="53"/>
        <v/>
      </c>
      <c r="L261" s="67" t="s">
        <v>10</v>
      </c>
      <c r="M261" s="67"/>
      <c r="N261" s="67">
        <v>46029</v>
      </c>
      <c r="O261" s="152">
        <f t="shared" si="54"/>
        <v>2</v>
      </c>
      <c r="P261" s="12" t="str">
        <f t="shared" si="55"/>
        <v>Yes</v>
      </c>
      <c r="Q261" s="75"/>
      <c r="R261" s="70" t="s">
        <v>39</v>
      </c>
      <c r="S261" s="68" t="s">
        <v>40</v>
      </c>
      <c r="T261" s="66"/>
      <c r="U261" s="75"/>
      <c r="V261" s="66"/>
      <c r="W261" s="66"/>
      <c r="AV261" s="139" t="str">
        <v>Quarter 4</v>
      </c>
    </row>
    <row r="262" spans="1:48" ht="30" customHeight="1" x14ac:dyDescent="0.35">
      <c r="A262" s="214">
        <v>261</v>
      </c>
      <c r="B262" s="66" t="s">
        <v>6</v>
      </c>
      <c r="C262" s="66" t="s">
        <v>6</v>
      </c>
      <c r="D262" s="66" t="s">
        <v>1418</v>
      </c>
      <c r="E262" s="69">
        <v>46027</v>
      </c>
      <c r="F262" s="69">
        <f t="shared" si="49"/>
        <v>46028</v>
      </c>
      <c r="G262" s="69">
        <f t="shared" si="50"/>
        <v>46041</v>
      </c>
      <c r="H262" s="69">
        <f t="shared" si="51"/>
        <v>46055</v>
      </c>
      <c r="I262" s="69">
        <f t="shared" si="52"/>
        <v>46083</v>
      </c>
      <c r="J262" s="69" t="str">
        <f t="shared" si="44"/>
        <v>Jan</v>
      </c>
      <c r="K262" s="216" t="str">
        <f t="shared" ca="1" si="53"/>
        <v/>
      </c>
      <c r="L262" s="67" t="s">
        <v>10</v>
      </c>
      <c r="M262" s="67"/>
      <c r="N262" s="67">
        <v>46051</v>
      </c>
      <c r="O262" s="152">
        <f t="shared" si="54"/>
        <v>18</v>
      </c>
      <c r="P262" s="12" t="str">
        <f t="shared" si="55"/>
        <v>Yes</v>
      </c>
      <c r="Q262" s="75"/>
      <c r="R262" s="70" t="s">
        <v>39</v>
      </c>
      <c r="S262" s="68" t="s">
        <v>40</v>
      </c>
      <c r="T262" s="66"/>
      <c r="U262" s="75"/>
      <c r="V262" s="66" t="s">
        <v>46</v>
      </c>
      <c r="W262" s="66"/>
      <c r="AV262" s="139" t="str">
        <v>Quarter 4</v>
      </c>
    </row>
    <row r="263" spans="1:48" ht="30" customHeight="1" x14ac:dyDescent="0.35">
      <c r="A263" s="214">
        <v>262</v>
      </c>
      <c r="B263" s="66" t="s">
        <v>6</v>
      </c>
      <c r="C263" s="66" t="s">
        <v>6</v>
      </c>
      <c r="D263" s="66" t="s">
        <v>1419</v>
      </c>
      <c r="E263" s="69">
        <v>46027</v>
      </c>
      <c r="F263" s="69">
        <f t="shared" si="49"/>
        <v>46028</v>
      </c>
      <c r="G263" s="69">
        <f t="shared" si="50"/>
        <v>46041</v>
      </c>
      <c r="H263" s="69">
        <f t="shared" si="51"/>
        <v>46055</v>
      </c>
      <c r="I263" s="69">
        <f t="shared" si="52"/>
        <v>46083</v>
      </c>
      <c r="J263" s="69" t="str">
        <f t="shared" si="44"/>
        <v>Jan</v>
      </c>
      <c r="K263" s="216" t="str">
        <f t="shared" ca="1" si="53"/>
        <v/>
      </c>
      <c r="L263" s="67" t="s">
        <v>10</v>
      </c>
      <c r="M263" s="67"/>
      <c r="N263" s="67">
        <v>46028</v>
      </c>
      <c r="O263" s="152">
        <f t="shared" si="54"/>
        <v>1</v>
      </c>
      <c r="P263" s="12" t="str">
        <f t="shared" si="55"/>
        <v>Yes</v>
      </c>
      <c r="Q263" s="75"/>
      <c r="R263" s="70" t="s">
        <v>39</v>
      </c>
      <c r="S263" s="68" t="s">
        <v>40</v>
      </c>
      <c r="T263" s="66"/>
      <c r="U263" s="75"/>
      <c r="V263" s="66"/>
      <c r="W263" s="66"/>
      <c r="AV263" s="139" t="str">
        <v>Quarter 4</v>
      </c>
    </row>
    <row r="264" spans="1:48" ht="30" customHeight="1" x14ac:dyDescent="0.35">
      <c r="A264" s="214">
        <v>263</v>
      </c>
      <c r="B264" s="66" t="s">
        <v>55</v>
      </c>
      <c r="C264" s="66" t="s">
        <v>13</v>
      </c>
      <c r="D264" s="66" t="s">
        <v>1420</v>
      </c>
      <c r="E264" s="69">
        <v>46029</v>
      </c>
      <c r="F264" s="69">
        <f t="shared" si="49"/>
        <v>46030</v>
      </c>
      <c r="G264" s="69">
        <f t="shared" si="50"/>
        <v>46043</v>
      </c>
      <c r="H264" s="69">
        <f t="shared" si="51"/>
        <v>46057</v>
      </c>
      <c r="I264" s="69">
        <f t="shared" si="52"/>
        <v>46085</v>
      </c>
      <c r="J264" s="69" t="str">
        <f t="shared" si="44"/>
        <v>Jan</v>
      </c>
      <c r="K264" s="216" t="str">
        <f t="shared" ca="1" si="53"/>
        <v/>
      </c>
      <c r="L264" s="67" t="s">
        <v>10</v>
      </c>
      <c r="M264" s="67"/>
      <c r="N264" s="67">
        <v>46059</v>
      </c>
      <c r="O264" s="152">
        <f t="shared" si="54"/>
        <v>22</v>
      </c>
      <c r="P264" s="12" t="str">
        <f t="shared" si="55"/>
        <v>No</v>
      </c>
      <c r="Q264" s="75"/>
      <c r="R264" s="70" t="s">
        <v>39</v>
      </c>
      <c r="S264" s="68" t="s">
        <v>40</v>
      </c>
      <c r="T264" s="66"/>
      <c r="U264" s="75"/>
      <c r="V264" s="66" t="s">
        <v>46</v>
      </c>
      <c r="W264" s="66"/>
      <c r="AV264" s="139" t="str">
        <v>Quarter 4</v>
      </c>
    </row>
    <row r="265" spans="1:48" ht="30" customHeight="1" x14ac:dyDescent="0.35">
      <c r="A265" s="214">
        <v>264</v>
      </c>
      <c r="B265" s="66" t="s">
        <v>6</v>
      </c>
      <c r="C265" s="66" t="s">
        <v>6</v>
      </c>
      <c r="D265" s="66" t="s">
        <v>1421</v>
      </c>
      <c r="E265" s="69">
        <v>46028</v>
      </c>
      <c r="F265" s="69">
        <f t="shared" si="49"/>
        <v>46029</v>
      </c>
      <c r="G265" s="69">
        <f t="shared" si="50"/>
        <v>46042</v>
      </c>
      <c r="H265" s="69">
        <f t="shared" si="51"/>
        <v>46056</v>
      </c>
      <c r="I265" s="69">
        <f t="shared" si="52"/>
        <v>46084</v>
      </c>
      <c r="J265" s="69" t="str">
        <f t="shared" si="44"/>
        <v>Jan</v>
      </c>
      <c r="K265" s="216" t="str">
        <f t="shared" ca="1" si="53"/>
        <v/>
      </c>
      <c r="L265" s="67" t="s">
        <v>10</v>
      </c>
      <c r="M265" s="67"/>
      <c r="N265" s="67">
        <v>46035</v>
      </c>
      <c r="O265" s="152">
        <f t="shared" si="54"/>
        <v>5</v>
      </c>
      <c r="P265" s="12" t="str">
        <f t="shared" si="55"/>
        <v>Yes</v>
      </c>
      <c r="Q265" s="75"/>
      <c r="R265" s="70" t="s">
        <v>39</v>
      </c>
      <c r="S265" s="68" t="s">
        <v>40</v>
      </c>
      <c r="T265" s="66"/>
      <c r="U265" s="75" t="s">
        <v>1147</v>
      </c>
      <c r="V265" s="66"/>
      <c r="W265" s="66"/>
      <c r="AV265" s="139" t="str">
        <v>Quarter 4</v>
      </c>
    </row>
    <row r="266" spans="1:48" ht="30" customHeight="1" x14ac:dyDescent="0.35">
      <c r="A266" s="214">
        <v>265</v>
      </c>
      <c r="B266" s="66" t="s">
        <v>6</v>
      </c>
      <c r="C266" s="66" t="s">
        <v>6</v>
      </c>
      <c r="D266" s="66" t="s">
        <v>1422</v>
      </c>
      <c r="E266" s="69">
        <v>46029</v>
      </c>
      <c r="F266" s="69">
        <f t="shared" si="49"/>
        <v>46030</v>
      </c>
      <c r="G266" s="69">
        <f t="shared" si="50"/>
        <v>46043</v>
      </c>
      <c r="H266" s="69">
        <f t="shared" si="51"/>
        <v>46057</v>
      </c>
      <c r="I266" s="69">
        <f t="shared" si="52"/>
        <v>46085</v>
      </c>
      <c r="J266" s="69" t="str">
        <f t="shared" si="44"/>
        <v>Jan</v>
      </c>
      <c r="K266" s="216" t="str">
        <f t="shared" ca="1" si="53"/>
        <v/>
      </c>
      <c r="L266" s="67" t="s">
        <v>10</v>
      </c>
      <c r="M266" s="67"/>
      <c r="N266" s="67">
        <v>46031</v>
      </c>
      <c r="O266" s="152">
        <f t="shared" si="54"/>
        <v>2</v>
      </c>
      <c r="P266" s="12" t="str">
        <f t="shared" si="55"/>
        <v>Yes</v>
      </c>
      <c r="Q266" s="75"/>
      <c r="R266" s="70" t="s">
        <v>39</v>
      </c>
      <c r="S266" s="68" t="s">
        <v>62</v>
      </c>
      <c r="T266" s="66"/>
      <c r="U266" s="75"/>
      <c r="V266" s="66"/>
      <c r="W266" s="66"/>
      <c r="AV266" s="139" t="str">
        <v>Quarter 4</v>
      </c>
    </row>
    <row r="267" spans="1:48" ht="30" customHeight="1" x14ac:dyDescent="0.35">
      <c r="A267" s="214">
        <v>266</v>
      </c>
      <c r="B267" s="66" t="s">
        <v>55</v>
      </c>
      <c r="C267" s="66" t="s">
        <v>13</v>
      </c>
      <c r="D267" s="66" t="s">
        <v>1423</v>
      </c>
      <c r="E267" s="69">
        <v>46030</v>
      </c>
      <c r="F267" s="69">
        <f t="shared" si="49"/>
        <v>46031</v>
      </c>
      <c r="G267" s="69">
        <f t="shared" si="50"/>
        <v>46044</v>
      </c>
      <c r="H267" s="69">
        <f t="shared" si="51"/>
        <v>46058</v>
      </c>
      <c r="I267" s="69">
        <f t="shared" si="52"/>
        <v>46086</v>
      </c>
      <c r="J267" s="69" t="str">
        <f t="shared" si="44"/>
        <v>Jan</v>
      </c>
      <c r="K267" s="216" t="str">
        <f t="shared" ca="1" si="53"/>
        <v/>
      </c>
      <c r="L267" s="67" t="s">
        <v>10</v>
      </c>
      <c r="M267" s="67"/>
      <c r="N267" s="67">
        <v>46031</v>
      </c>
      <c r="O267" s="152">
        <f t="shared" si="54"/>
        <v>1</v>
      </c>
      <c r="P267" s="12" t="str">
        <f t="shared" si="55"/>
        <v>Yes</v>
      </c>
      <c r="Q267" s="75"/>
      <c r="R267" s="70" t="s">
        <v>39</v>
      </c>
      <c r="S267" s="68" t="s">
        <v>62</v>
      </c>
      <c r="T267" s="66"/>
      <c r="U267" s="75"/>
      <c r="V267" s="66"/>
      <c r="W267" s="66"/>
      <c r="AV267" s="139" t="str">
        <v>Quarter 4</v>
      </c>
    </row>
    <row r="268" spans="1:48" ht="30" customHeight="1" x14ac:dyDescent="0.35">
      <c r="A268" s="214">
        <v>267</v>
      </c>
      <c r="B268" s="66" t="s">
        <v>6</v>
      </c>
      <c r="C268" s="66" t="s">
        <v>6</v>
      </c>
      <c r="D268" s="66" t="s">
        <v>1424</v>
      </c>
      <c r="E268" s="69">
        <v>46030</v>
      </c>
      <c r="F268" s="69">
        <f t="shared" si="49"/>
        <v>46031</v>
      </c>
      <c r="G268" s="69">
        <f t="shared" si="50"/>
        <v>46044</v>
      </c>
      <c r="H268" s="69">
        <f t="shared" si="51"/>
        <v>46058</v>
      </c>
      <c r="I268" s="69">
        <f t="shared" si="52"/>
        <v>46086</v>
      </c>
      <c r="J268" s="69" t="str">
        <f t="shared" si="44"/>
        <v>Jan</v>
      </c>
      <c r="K268" s="216" t="str">
        <f t="shared" ca="1" si="53"/>
        <v/>
      </c>
      <c r="L268" s="67" t="s">
        <v>10</v>
      </c>
      <c r="M268" s="67"/>
      <c r="N268" s="67">
        <v>46045</v>
      </c>
      <c r="O268" s="152">
        <f t="shared" si="54"/>
        <v>11</v>
      </c>
      <c r="P268" s="12" t="str">
        <f t="shared" si="55"/>
        <v>Yes</v>
      </c>
      <c r="Q268" s="75"/>
      <c r="R268" s="70" t="s">
        <v>39</v>
      </c>
      <c r="S268" s="68" t="s">
        <v>40</v>
      </c>
      <c r="T268" s="66"/>
      <c r="U268" s="75"/>
      <c r="V268" s="66"/>
      <c r="W268" s="66"/>
      <c r="AV268" s="139" t="str">
        <v>Quarter 4</v>
      </c>
    </row>
    <row r="269" spans="1:48" ht="30" customHeight="1" x14ac:dyDescent="0.35">
      <c r="A269" s="214">
        <v>268</v>
      </c>
      <c r="B269" s="66" t="s">
        <v>6</v>
      </c>
      <c r="C269" s="66" t="s">
        <v>6</v>
      </c>
      <c r="D269" s="66" t="s">
        <v>1282</v>
      </c>
      <c r="E269" s="69">
        <v>46032</v>
      </c>
      <c r="F269" s="69">
        <f t="shared" si="49"/>
        <v>46034</v>
      </c>
      <c r="G269" s="69">
        <f t="shared" si="50"/>
        <v>46045</v>
      </c>
      <c r="H269" s="69">
        <f t="shared" si="51"/>
        <v>46059</v>
      </c>
      <c r="I269" s="69">
        <f t="shared" si="52"/>
        <v>46087</v>
      </c>
      <c r="J269" s="69" t="str">
        <f t="shared" ref="J269" si="56">IF(ISBLANK($E269),"",TEXT($E269,"mmm"))</f>
        <v>Jan</v>
      </c>
      <c r="K269" s="216" t="str">
        <f t="shared" ca="1" si="53"/>
        <v/>
      </c>
      <c r="L269" s="67" t="s">
        <v>10</v>
      </c>
      <c r="M269" s="67"/>
      <c r="N269" s="67">
        <v>46043</v>
      </c>
      <c r="O269" s="152">
        <f t="shared" si="54"/>
        <v>7</v>
      </c>
      <c r="P269" s="12" t="str">
        <f t="shared" si="55"/>
        <v>Yes</v>
      </c>
      <c r="Q269" s="75"/>
      <c r="R269" s="70" t="s">
        <v>39</v>
      </c>
      <c r="S269" s="68" t="s">
        <v>40</v>
      </c>
      <c r="T269" s="66"/>
      <c r="U269" s="75"/>
      <c r="V269" s="66" t="s">
        <v>46</v>
      </c>
      <c r="W269" s="66"/>
      <c r="AV269" s="139" t="str">
        <v>Quarter 4</v>
      </c>
    </row>
    <row r="270" spans="1:48" ht="30" customHeight="1" x14ac:dyDescent="0.35">
      <c r="A270" s="214">
        <v>269</v>
      </c>
      <c r="B270" s="66" t="s">
        <v>6</v>
      </c>
      <c r="C270" s="66" t="s">
        <v>6</v>
      </c>
      <c r="D270" s="66" t="s">
        <v>1184</v>
      </c>
      <c r="E270" s="69">
        <v>46034</v>
      </c>
      <c r="F270" s="69">
        <f t="shared" si="49"/>
        <v>46035</v>
      </c>
      <c r="G270" s="69">
        <f t="shared" si="50"/>
        <v>46048</v>
      </c>
      <c r="H270" s="69">
        <f t="shared" si="51"/>
        <v>46062</v>
      </c>
      <c r="I270" s="69">
        <f t="shared" si="52"/>
        <v>46090</v>
      </c>
      <c r="J270" s="69" t="str">
        <f t="shared" si="44"/>
        <v>Jan</v>
      </c>
      <c r="K270" s="216" t="str">
        <f t="shared" ca="1" si="53"/>
        <v/>
      </c>
      <c r="L270" s="67" t="s">
        <v>4</v>
      </c>
      <c r="M270" s="67"/>
      <c r="N270" s="67">
        <v>46059</v>
      </c>
      <c r="O270" s="152">
        <f t="shared" si="54"/>
        <v>19</v>
      </c>
      <c r="P270" s="12" t="str">
        <f t="shared" si="55"/>
        <v>Yes</v>
      </c>
      <c r="Q270" s="75"/>
      <c r="R270" s="70" t="s">
        <v>39</v>
      </c>
      <c r="S270" s="68" t="s">
        <v>45</v>
      </c>
      <c r="T270" s="66"/>
      <c r="U270" s="75" t="s">
        <v>1157</v>
      </c>
      <c r="V270" s="66"/>
      <c r="W270" s="66"/>
      <c r="AV270" s="139" t="str">
        <v>Quarter 4</v>
      </c>
    </row>
    <row r="271" spans="1:48" ht="30" customHeight="1" x14ac:dyDescent="0.35">
      <c r="A271" s="214">
        <v>270</v>
      </c>
      <c r="B271" s="66" t="s">
        <v>1148</v>
      </c>
      <c r="C271" s="66" t="s">
        <v>9</v>
      </c>
      <c r="D271" s="66" t="s">
        <v>1425</v>
      </c>
      <c r="E271" s="69">
        <v>46037</v>
      </c>
      <c r="F271" s="69">
        <f t="shared" si="49"/>
        <v>46038</v>
      </c>
      <c r="G271" s="69">
        <f t="shared" si="50"/>
        <v>46051</v>
      </c>
      <c r="H271" s="69">
        <f t="shared" si="51"/>
        <v>46065</v>
      </c>
      <c r="I271" s="69">
        <f t="shared" si="52"/>
        <v>46093</v>
      </c>
      <c r="J271" s="69" t="str">
        <f t="shared" ref="J271" si="57">IF(ISBLANK($E271),"",TEXT($E271,"mmm"))</f>
        <v>Jan</v>
      </c>
      <c r="K271" s="216" t="str">
        <f t="shared" ca="1" si="53"/>
        <v/>
      </c>
      <c r="L271" s="67" t="s">
        <v>10</v>
      </c>
      <c r="M271" s="67"/>
      <c r="N271" s="67">
        <v>46037</v>
      </c>
      <c r="O271" s="152">
        <f t="shared" si="54"/>
        <v>0</v>
      </c>
      <c r="P271" s="12" t="str">
        <f t="shared" si="55"/>
        <v>Yes</v>
      </c>
      <c r="Q271" s="75"/>
      <c r="R271" s="70" t="s">
        <v>39</v>
      </c>
      <c r="S271" s="68" t="s">
        <v>40</v>
      </c>
      <c r="T271" s="66"/>
      <c r="U271" s="75"/>
      <c r="V271" s="66" t="s">
        <v>46</v>
      </c>
      <c r="W271" s="66"/>
      <c r="AV271" s="139" t="str">
        <v>Quarter 4</v>
      </c>
    </row>
    <row r="272" spans="1:48" ht="30" customHeight="1" x14ac:dyDescent="0.35">
      <c r="A272" s="214">
        <v>271</v>
      </c>
      <c r="B272" s="5" t="s">
        <v>6</v>
      </c>
      <c r="C272" s="5" t="s">
        <v>6</v>
      </c>
      <c r="D272" s="5" t="s">
        <v>1426</v>
      </c>
      <c r="E272" s="69">
        <v>46041</v>
      </c>
      <c r="F272" s="69">
        <f t="shared" si="49"/>
        <v>46042</v>
      </c>
      <c r="G272" s="69">
        <f t="shared" si="50"/>
        <v>46055</v>
      </c>
      <c r="H272" s="69">
        <f t="shared" si="51"/>
        <v>46069</v>
      </c>
      <c r="I272" s="69">
        <f t="shared" si="52"/>
        <v>46097</v>
      </c>
      <c r="J272" s="69" t="str">
        <f t="shared" si="44"/>
        <v>Jan</v>
      </c>
      <c r="K272" s="216" t="str">
        <f t="shared" ca="1" si="53"/>
        <v/>
      </c>
      <c r="L272" s="67" t="s">
        <v>10</v>
      </c>
      <c r="M272" s="67"/>
      <c r="N272" s="67">
        <v>46050</v>
      </c>
      <c r="O272" s="152">
        <f t="shared" si="54"/>
        <v>7</v>
      </c>
      <c r="P272" s="12" t="str">
        <f t="shared" si="55"/>
        <v>Yes</v>
      </c>
      <c r="Q272" s="75"/>
      <c r="R272" s="70" t="s">
        <v>39</v>
      </c>
      <c r="S272" s="68" t="s">
        <v>40</v>
      </c>
      <c r="T272" s="66"/>
      <c r="U272" s="75"/>
      <c r="V272" s="66" t="s">
        <v>46</v>
      </c>
      <c r="W272" s="66"/>
      <c r="AV272" s="139" t="str">
        <v>Quarter 4</v>
      </c>
    </row>
    <row r="273" spans="1:48" ht="30" customHeight="1" x14ac:dyDescent="0.35">
      <c r="A273" s="214">
        <v>272</v>
      </c>
      <c r="B273" s="66" t="s">
        <v>6</v>
      </c>
      <c r="C273" s="66" t="s">
        <v>6</v>
      </c>
      <c r="D273" s="66" t="s">
        <v>1427</v>
      </c>
      <c r="E273" s="69">
        <v>46042</v>
      </c>
      <c r="F273" s="69">
        <f t="shared" si="49"/>
        <v>46043</v>
      </c>
      <c r="G273" s="69">
        <f t="shared" si="50"/>
        <v>46056</v>
      </c>
      <c r="H273" s="69">
        <f t="shared" si="51"/>
        <v>46070</v>
      </c>
      <c r="I273" s="69">
        <f t="shared" si="52"/>
        <v>46098</v>
      </c>
      <c r="J273" s="69" t="str">
        <f t="shared" ref="J273" si="58">IF(ISBLANK($E273),"",TEXT($E273,"mmm"))</f>
        <v>Jan</v>
      </c>
      <c r="K273" s="216" t="str">
        <f t="shared" ca="1" si="53"/>
        <v/>
      </c>
      <c r="L273" s="67" t="s">
        <v>10</v>
      </c>
      <c r="M273" s="67"/>
      <c r="N273" s="67">
        <v>46051</v>
      </c>
      <c r="O273" s="152">
        <f t="shared" si="54"/>
        <v>7</v>
      </c>
      <c r="P273" s="12" t="str">
        <f t="shared" si="55"/>
        <v>Yes</v>
      </c>
      <c r="Q273" s="75"/>
      <c r="R273" s="70" t="s">
        <v>39</v>
      </c>
      <c r="S273" s="68" t="s">
        <v>45</v>
      </c>
      <c r="T273" s="66"/>
      <c r="U273" s="75" t="s">
        <v>1151</v>
      </c>
      <c r="V273" s="66" t="s">
        <v>46</v>
      </c>
      <c r="W273" s="66"/>
      <c r="AV273" s="139" t="str">
        <v>Quarter 4</v>
      </c>
    </row>
    <row r="274" spans="1:48" ht="30" customHeight="1" x14ac:dyDescent="0.35">
      <c r="A274" s="214">
        <v>273</v>
      </c>
      <c r="B274" s="66" t="s">
        <v>942</v>
      </c>
      <c r="C274" s="66" t="s">
        <v>9</v>
      </c>
      <c r="D274" s="66" t="s">
        <v>1428</v>
      </c>
      <c r="E274" s="69">
        <v>46043</v>
      </c>
      <c r="F274" s="69">
        <f t="shared" si="49"/>
        <v>46044</v>
      </c>
      <c r="G274" s="69">
        <f t="shared" si="50"/>
        <v>46057</v>
      </c>
      <c r="H274" s="69">
        <f t="shared" si="51"/>
        <v>46071</v>
      </c>
      <c r="I274" s="69">
        <f t="shared" si="52"/>
        <v>46099</v>
      </c>
      <c r="J274" s="69" t="str">
        <f t="shared" si="44"/>
        <v>Jan</v>
      </c>
      <c r="K274" s="216" t="str">
        <f t="shared" ca="1" si="53"/>
        <v/>
      </c>
      <c r="L274" s="67" t="s">
        <v>10</v>
      </c>
      <c r="M274" s="67"/>
      <c r="N274" s="67">
        <v>46048</v>
      </c>
      <c r="O274" s="152">
        <f t="shared" si="54"/>
        <v>3</v>
      </c>
      <c r="P274" s="12" t="str">
        <f t="shared" si="55"/>
        <v>Yes</v>
      </c>
      <c r="Q274" s="75"/>
      <c r="R274" s="70" t="s">
        <v>39</v>
      </c>
      <c r="S274" s="68" t="s">
        <v>40</v>
      </c>
      <c r="T274" s="66"/>
      <c r="U274" s="75"/>
      <c r="V274" s="66" t="s">
        <v>46</v>
      </c>
      <c r="W274" s="66"/>
      <c r="AV274" s="139" t="str">
        <v>Quarter 4</v>
      </c>
    </row>
    <row r="275" spans="1:48" ht="30" customHeight="1" x14ac:dyDescent="0.35">
      <c r="A275" s="214">
        <v>274</v>
      </c>
      <c r="B275" s="66" t="s">
        <v>493</v>
      </c>
      <c r="C275" s="66" t="s">
        <v>5</v>
      </c>
      <c r="D275" s="66" t="s">
        <v>1170</v>
      </c>
      <c r="E275" s="69">
        <v>46044</v>
      </c>
      <c r="F275" s="69">
        <f t="shared" si="49"/>
        <v>46045</v>
      </c>
      <c r="G275" s="69">
        <f t="shared" si="50"/>
        <v>46058</v>
      </c>
      <c r="H275" s="69">
        <f t="shared" si="51"/>
        <v>46072</v>
      </c>
      <c r="I275" s="69">
        <f t="shared" si="52"/>
        <v>46100</v>
      </c>
      <c r="J275" s="69" t="str">
        <f t="shared" ref="J275:J342" si="59">IF(ISBLANK($E275),"",TEXT($E275,"mmm"))</f>
        <v>Jan</v>
      </c>
      <c r="K275" s="216" t="str">
        <f t="shared" ca="1" si="53"/>
        <v/>
      </c>
      <c r="L275" s="67" t="s">
        <v>10</v>
      </c>
      <c r="M275" s="67"/>
      <c r="N275" s="67">
        <v>46045</v>
      </c>
      <c r="O275" s="152">
        <f t="shared" si="54"/>
        <v>1</v>
      </c>
      <c r="P275" s="12" t="str">
        <f t="shared" si="55"/>
        <v>Yes</v>
      </c>
      <c r="Q275" s="75"/>
      <c r="R275" s="70" t="s">
        <v>39</v>
      </c>
      <c r="S275" s="68" t="s">
        <v>40</v>
      </c>
      <c r="T275" s="66"/>
      <c r="U275" s="75"/>
      <c r="V275" s="66"/>
      <c r="W275" s="66"/>
      <c r="AV275" s="139" t="str">
        <v>Quarter 4</v>
      </c>
    </row>
    <row r="276" spans="1:48" ht="30" customHeight="1" x14ac:dyDescent="0.35">
      <c r="A276" s="214">
        <v>275</v>
      </c>
      <c r="B276" s="66" t="s">
        <v>214</v>
      </c>
      <c r="C276" s="66" t="s">
        <v>5</v>
      </c>
      <c r="D276" s="66" t="s">
        <v>957</v>
      </c>
      <c r="E276" s="69">
        <v>46049</v>
      </c>
      <c r="F276" s="69">
        <f t="shared" si="49"/>
        <v>46050</v>
      </c>
      <c r="G276" s="69">
        <f t="shared" si="50"/>
        <v>46063</v>
      </c>
      <c r="H276" s="69">
        <f t="shared" si="51"/>
        <v>46077</v>
      </c>
      <c r="I276" s="69">
        <f t="shared" si="52"/>
        <v>46105</v>
      </c>
      <c r="J276" s="69" t="str">
        <f t="shared" si="59"/>
        <v>Jan</v>
      </c>
      <c r="K276" s="216" t="str">
        <f t="shared" ca="1" si="53"/>
        <v/>
      </c>
      <c r="L276" s="67" t="s">
        <v>10</v>
      </c>
      <c r="M276" s="67"/>
      <c r="N276" s="67">
        <v>46055</v>
      </c>
      <c r="O276" s="152">
        <f t="shared" si="54"/>
        <v>4</v>
      </c>
      <c r="P276" s="12" t="str">
        <f t="shared" si="55"/>
        <v>Yes</v>
      </c>
      <c r="Q276" s="75"/>
      <c r="R276" s="70" t="s">
        <v>39</v>
      </c>
      <c r="S276" s="68" t="s">
        <v>40</v>
      </c>
      <c r="T276" s="66"/>
      <c r="U276" s="75"/>
      <c r="V276" s="66" t="s">
        <v>46</v>
      </c>
      <c r="W276" s="66"/>
      <c r="AV276" s="139" t="str">
        <v>Quarter 4</v>
      </c>
    </row>
    <row r="277" spans="1:48" ht="30" customHeight="1" x14ac:dyDescent="0.35">
      <c r="A277" s="214">
        <v>276</v>
      </c>
      <c r="B277" s="66" t="s">
        <v>6</v>
      </c>
      <c r="C277" s="66" t="s">
        <v>6</v>
      </c>
      <c r="D277" s="66" t="s">
        <v>1429</v>
      </c>
      <c r="E277" s="69">
        <v>46050</v>
      </c>
      <c r="F277" s="69">
        <f t="shared" si="49"/>
        <v>46051</v>
      </c>
      <c r="G277" s="69">
        <f t="shared" si="50"/>
        <v>46064</v>
      </c>
      <c r="H277" s="69">
        <f t="shared" si="51"/>
        <v>46078</v>
      </c>
      <c r="I277" s="69">
        <f t="shared" si="52"/>
        <v>46106</v>
      </c>
      <c r="J277" s="69" t="str">
        <f t="shared" si="59"/>
        <v>Jan</v>
      </c>
      <c r="K277" s="216" t="str">
        <f t="shared" ca="1" si="53"/>
        <v/>
      </c>
      <c r="L277" s="67" t="s">
        <v>10</v>
      </c>
      <c r="M277" s="67"/>
      <c r="N277" s="67">
        <v>46051</v>
      </c>
      <c r="O277" s="152">
        <f t="shared" si="54"/>
        <v>1</v>
      </c>
      <c r="P277" s="12" t="str">
        <f t="shared" si="55"/>
        <v>Yes</v>
      </c>
      <c r="Q277" s="75"/>
      <c r="R277" s="70" t="s">
        <v>39</v>
      </c>
      <c r="S277" s="68" t="s">
        <v>40</v>
      </c>
      <c r="T277" s="66"/>
      <c r="U277" s="75"/>
      <c r="V277" s="66"/>
      <c r="W277" s="66"/>
      <c r="AV277" s="139" t="str">
        <v>Quarter 4</v>
      </c>
    </row>
    <row r="278" spans="1:48" ht="30" customHeight="1" x14ac:dyDescent="0.35">
      <c r="A278" s="214">
        <v>277</v>
      </c>
      <c r="B278" s="66" t="s">
        <v>6</v>
      </c>
      <c r="C278" s="66" t="s">
        <v>6</v>
      </c>
      <c r="D278" s="66" t="s">
        <v>1430</v>
      </c>
      <c r="E278" s="69">
        <v>46051</v>
      </c>
      <c r="F278" s="69">
        <f t="shared" si="49"/>
        <v>46052</v>
      </c>
      <c r="G278" s="69">
        <f t="shared" si="50"/>
        <v>46065</v>
      </c>
      <c r="H278" s="69">
        <f t="shared" si="51"/>
        <v>46079</v>
      </c>
      <c r="I278" s="69">
        <f t="shared" si="52"/>
        <v>46107</v>
      </c>
      <c r="J278" s="69" t="str">
        <f t="shared" si="59"/>
        <v>Jan</v>
      </c>
      <c r="K278" s="216" t="str">
        <f t="shared" ca="1" si="53"/>
        <v/>
      </c>
      <c r="L278" s="67" t="s">
        <v>10</v>
      </c>
      <c r="M278" s="67"/>
      <c r="N278" s="67">
        <v>46065</v>
      </c>
      <c r="O278" s="152">
        <f t="shared" si="54"/>
        <v>10</v>
      </c>
      <c r="P278" s="12" t="str">
        <f t="shared" si="55"/>
        <v>Yes</v>
      </c>
      <c r="Q278" s="75"/>
      <c r="R278" s="70" t="s">
        <v>39</v>
      </c>
      <c r="S278" s="68" t="s">
        <v>45</v>
      </c>
      <c r="T278" s="66"/>
      <c r="U278" s="75" t="s">
        <v>1165</v>
      </c>
      <c r="V278" s="66"/>
      <c r="W278" s="66"/>
      <c r="AV278" s="139" t="str">
        <v>Quarter 4</v>
      </c>
    </row>
    <row r="279" spans="1:48" ht="30" customHeight="1" x14ac:dyDescent="0.35">
      <c r="A279" s="214">
        <v>278</v>
      </c>
      <c r="B279" s="5" t="s">
        <v>1431</v>
      </c>
      <c r="C279" s="5" t="s">
        <v>16</v>
      </c>
      <c r="D279" s="5" t="s">
        <v>1432</v>
      </c>
      <c r="E279" s="69">
        <v>46052</v>
      </c>
      <c r="F279" s="69">
        <f t="shared" si="49"/>
        <v>46055</v>
      </c>
      <c r="G279" s="69">
        <f t="shared" si="50"/>
        <v>46066</v>
      </c>
      <c r="H279" s="69">
        <f t="shared" si="51"/>
        <v>46080</v>
      </c>
      <c r="I279" s="69">
        <f t="shared" si="52"/>
        <v>46108</v>
      </c>
      <c r="J279" s="69" t="str">
        <f t="shared" si="59"/>
        <v>Jan</v>
      </c>
      <c r="K279" s="216" t="str">
        <f t="shared" ca="1" si="53"/>
        <v/>
      </c>
      <c r="L279" s="67" t="s">
        <v>10</v>
      </c>
      <c r="M279" s="67"/>
      <c r="N279" s="67">
        <v>46055</v>
      </c>
      <c r="O279" s="152">
        <f t="shared" si="54"/>
        <v>1</v>
      </c>
      <c r="P279" s="12" t="str">
        <f t="shared" si="55"/>
        <v>Yes</v>
      </c>
      <c r="Q279" s="75"/>
      <c r="R279" s="70" t="s">
        <v>39</v>
      </c>
      <c r="S279" s="68" t="s">
        <v>40</v>
      </c>
      <c r="T279" s="66"/>
      <c r="U279" s="75"/>
      <c r="V279" s="66"/>
      <c r="W279" s="66"/>
      <c r="AV279" s="139" t="str">
        <v>Quarter 4</v>
      </c>
    </row>
    <row r="280" spans="1:48" ht="30" customHeight="1" x14ac:dyDescent="0.35">
      <c r="A280" s="214">
        <v>279</v>
      </c>
      <c r="B280" s="66" t="s">
        <v>6</v>
      </c>
      <c r="C280" s="66" t="s">
        <v>6</v>
      </c>
      <c r="D280" s="66" t="s">
        <v>1362</v>
      </c>
      <c r="E280" s="69">
        <v>46054</v>
      </c>
      <c r="F280" s="69">
        <f t="shared" si="49"/>
        <v>46055</v>
      </c>
      <c r="G280" s="69">
        <f t="shared" si="50"/>
        <v>46066</v>
      </c>
      <c r="H280" s="69">
        <f t="shared" si="51"/>
        <v>46080</v>
      </c>
      <c r="I280" s="69">
        <f t="shared" si="52"/>
        <v>46108</v>
      </c>
      <c r="J280" s="69" t="str">
        <f t="shared" si="59"/>
        <v>Feb</v>
      </c>
      <c r="K280" s="216" t="str">
        <f t="shared" ca="1" si="53"/>
        <v/>
      </c>
      <c r="L280" s="67" t="s">
        <v>10</v>
      </c>
      <c r="M280" s="67"/>
      <c r="N280" s="67">
        <v>46065</v>
      </c>
      <c r="O280" s="152">
        <f t="shared" si="54"/>
        <v>8</v>
      </c>
      <c r="P280" s="12" t="str">
        <f t="shared" si="55"/>
        <v>Yes</v>
      </c>
      <c r="Q280" s="75"/>
      <c r="R280" s="70" t="s">
        <v>39</v>
      </c>
      <c r="S280" s="68" t="s">
        <v>40</v>
      </c>
      <c r="T280" s="66"/>
      <c r="U280" s="75"/>
      <c r="V280" s="66" t="s">
        <v>46</v>
      </c>
      <c r="W280" s="66"/>
      <c r="AV280" s="139" t="str">
        <v>Quarter 4</v>
      </c>
    </row>
    <row r="281" spans="1:48" ht="30" customHeight="1" x14ac:dyDescent="0.35">
      <c r="A281" s="214">
        <v>280</v>
      </c>
      <c r="B281" s="66" t="s">
        <v>6</v>
      </c>
      <c r="C281" s="66" t="s">
        <v>6</v>
      </c>
      <c r="D281" s="66" t="s">
        <v>1433</v>
      </c>
      <c r="E281" s="69">
        <v>46055</v>
      </c>
      <c r="F281" s="69">
        <f t="shared" si="49"/>
        <v>46056</v>
      </c>
      <c r="G281" s="69">
        <f t="shared" si="50"/>
        <v>46069</v>
      </c>
      <c r="H281" s="69">
        <f t="shared" si="51"/>
        <v>46083</v>
      </c>
      <c r="I281" s="69">
        <f t="shared" si="52"/>
        <v>46111</v>
      </c>
      <c r="J281" s="69" t="str">
        <f t="shared" si="59"/>
        <v>Feb</v>
      </c>
      <c r="K281" s="216" t="str">
        <f t="shared" ca="1" si="53"/>
        <v/>
      </c>
      <c r="L281" s="67" t="s">
        <v>10</v>
      </c>
      <c r="M281" s="67"/>
      <c r="N281" s="67">
        <v>46071</v>
      </c>
      <c r="O281" s="152">
        <f t="shared" si="54"/>
        <v>12</v>
      </c>
      <c r="P281" s="12" t="str">
        <f t="shared" si="55"/>
        <v>Yes</v>
      </c>
      <c r="Q281" s="75"/>
      <c r="R281" s="70" t="s">
        <v>39</v>
      </c>
      <c r="S281" s="68" t="s">
        <v>40</v>
      </c>
      <c r="T281" s="66"/>
      <c r="U281" s="75"/>
      <c r="V281" s="66"/>
      <c r="AV281" s="139" t="str">
        <v>Quarter 4</v>
      </c>
    </row>
    <row r="282" spans="1:48" ht="30" customHeight="1" x14ac:dyDescent="0.35">
      <c r="A282" s="214">
        <v>281</v>
      </c>
      <c r="B282" s="66" t="s">
        <v>1148</v>
      </c>
      <c r="C282" s="66" t="s">
        <v>9</v>
      </c>
      <c r="D282" s="66" t="s">
        <v>1313</v>
      </c>
      <c r="E282" s="69">
        <v>46055</v>
      </c>
      <c r="F282" s="69">
        <f t="shared" si="49"/>
        <v>46056</v>
      </c>
      <c r="G282" s="69">
        <f t="shared" si="50"/>
        <v>46069</v>
      </c>
      <c r="H282" s="69">
        <f t="shared" si="51"/>
        <v>46083</v>
      </c>
      <c r="I282" s="69">
        <f t="shared" si="52"/>
        <v>46111</v>
      </c>
      <c r="J282" s="69" t="str">
        <f t="shared" si="59"/>
        <v>Feb</v>
      </c>
      <c r="K282" s="216" t="str">
        <f t="shared" ca="1" si="53"/>
        <v/>
      </c>
      <c r="L282" s="67" t="s">
        <v>10</v>
      </c>
      <c r="M282" s="67"/>
      <c r="N282" s="67">
        <v>46083</v>
      </c>
      <c r="O282" s="152">
        <f t="shared" si="54"/>
        <v>20</v>
      </c>
      <c r="P282" s="12" t="str">
        <f t="shared" si="55"/>
        <v>Yes</v>
      </c>
      <c r="Q282" s="75"/>
      <c r="R282" s="70" t="s">
        <v>39</v>
      </c>
      <c r="S282" s="68" t="s">
        <v>40</v>
      </c>
      <c r="T282" s="66"/>
      <c r="U282" s="75"/>
      <c r="V282" s="66"/>
      <c r="AV282" s="139" t="str">
        <v>Quarter 4</v>
      </c>
    </row>
    <row r="283" spans="1:48" ht="30" customHeight="1" x14ac:dyDescent="0.35">
      <c r="A283" s="214">
        <v>282</v>
      </c>
      <c r="B283" s="66" t="s">
        <v>1148</v>
      </c>
      <c r="C283" s="66" t="s">
        <v>9</v>
      </c>
      <c r="D283" s="66" t="s">
        <v>1314</v>
      </c>
      <c r="E283" s="69">
        <v>46055</v>
      </c>
      <c r="F283" s="69">
        <f t="shared" si="49"/>
        <v>46056</v>
      </c>
      <c r="G283" s="69">
        <f t="shared" si="50"/>
        <v>46069</v>
      </c>
      <c r="H283" s="69">
        <f t="shared" si="51"/>
        <v>46083</v>
      </c>
      <c r="I283" s="69">
        <f t="shared" si="52"/>
        <v>46111</v>
      </c>
      <c r="J283" s="69" t="str">
        <f t="shared" si="59"/>
        <v>Feb</v>
      </c>
      <c r="K283" s="216" t="str">
        <f t="shared" ca="1" si="53"/>
        <v/>
      </c>
      <c r="L283" s="67" t="s">
        <v>10</v>
      </c>
      <c r="M283" s="67"/>
      <c r="N283" s="67">
        <v>46083</v>
      </c>
      <c r="O283" s="152">
        <f t="shared" si="54"/>
        <v>20</v>
      </c>
      <c r="P283" s="12" t="str">
        <f t="shared" si="55"/>
        <v>Yes</v>
      </c>
      <c r="Q283" s="75"/>
      <c r="R283" s="70" t="s">
        <v>39</v>
      </c>
      <c r="S283" s="68" t="s">
        <v>40</v>
      </c>
      <c r="T283" s="66"/>
      <c r="U283" s="75"/>
      <c r="V283" s="66"/>
      <c r="AV283" s="139" t="str">
        <v>Quarter 4</v>
      </c>
    </row>
    <row r="284" spans="1:48" ht="30" customHeight="1" x14ac:dyDescent="0.35">
      <c r="A284" s="214">
        <v>283</v>
      </c>
      <c r="B284" s="66" t="s">
        <v>1434</v>
      </c>
      <c r="C284" s="66" t="s">
        <v>15</v>
      </c>
      <c r="D284" s="66" t="s">
        <v>1435</v>
      </c>
      <c r="E284" s="69">
        <v>46056</v>
      </c>
      <c r="F284" s="69">
        <f t="shared" si="49"/>
        <v>46057</v>
      </c>
      <c r="G284" s="69">
        <f t="shared" si="50"/>
        <v>46070</v>
      </c>
      <c r="H284" s="69">
        <f t="shared" si="51"/>
        <v>46084</v>
      </c>
      <c r="I284" s="69">
        <f t="shared" si="52"/>
        <v>46112</v>
      </c>
      <c r="J284" s="69" t="str">
        <f t="shared" si="59"/>
        <v>Feb</v>
      </c>
      <c r="K284" s="216" t="str">
        <f t="shared" ca="1" si="53"/>
        <v/>
      </c>
      <c r="L284" s="67" t="s">
        <v>10</v>
      </c>
      <c r="M284" s="67"/>
      <c r="N284" s="67">
        <v>46071</v>
      </c>
      <c r="O284" s="152">
        <f t="shared" si="54"/>
        <v>11</v>
      </c>
      <c r="P284" s="12" t="str">
        <f t="shared" si="55"/>
        <v>Yes</v>
      </c>
      <c r="Q284" s="75"/>
      <c r="R284" s="70" t="s">
        <v>39</v>
      </c>
      <c r="S284" s="68" t="s">
        <v>40</v>
      </c>
      <c r="T284" s="66"/>
      <c r="U284" s="75"/>
      <c r="V284" s="66"/>
      <c r="AV284" s="139" t="str">
        <v>Quarter 4</v>
      </c>
    </row>
    <row r="285" spans="1:48" ht="30" customHeight="1" x14ac:dyDescent="0.35">
      <c r="A285" s="214">
        <v>284</v>
      </c>
      <c r="B285" s="66" t="s">
        <v>6</v>
      </c>
      <c r="C285" s="66" t="s">
        <v>6</v>
      </c>
      <c r="D285" s="66" t="s">
        <v>1338</v>
      </c>
      <c r="E285" s="69">
        <v>46056</v>
      </c>
      <c r="F285" s="69">
        <f t="shared" ref="F285:F298" si="60">IF($E285="","",WORKDAY($E285,1,$Z$33:$Z$47))</f>
        <v>46057</v>
      </c>
      <c r="G285" s="69">
        <f t="shared" ref="G285:G298" si="61">IF($E285="","",WORKDAY($E285,10,$Z$33:$Z$47))</f>
        <v>46070</v>
      </c>
      <c r="H285" s="69">
        <f t="shared" ref="H285:H298" si="62">IF($E285="","",WORKDAY($E285,20,$Z$33:$Z$47))</f>
        <v>46084</v>
      </c>
      <c r="I285" s="69">
        <f t="shared" ref="I285:I298" si="63">IF($E285="","",WORKDAY($E285,40,$Z$33:$Z$47))</f>
        <v>46112</v>
      </c>
      <c r="J285" s="69" t="str">
        <f t="shared" si="59"/>
        <v>Feb</v>
      </c>
      <c r="K285" s="216" t="str">
        <f t="shared" ca="1" si="53"/>
        <v/>
      </c>
      <c r="L285" s="67" t="s">
        <v>10</v>
      </c>
      <c r="M285" s="67"/>
      <c r="N285" s="67">
        <v>46057</v>
      </c>
      <c r="O285" s="152">
        <f t="shared" si="54"/>
        <v>1</v>
      </c>
      <c r="P285" s="12" t="str">
        <f t="shared" si="55"/>
        <v>Yes</v>
      </c>
      <c r="Q285" s="75"/>
      <c r="R285" s="70" t="s">
        <v>39</v>
      </c>
      <c r="S285" s="68" t="s">
        <v>40</v>
      </c>
      <c r="T285" s="66"/>
      <c r="U285" s="75"/>
      <c r="V285" s="66" t="s">
        <v>46</v>
      </c>
      <c r="AV285" s="139" t="str">
        <v>Quarter 4</v>
      </c>
    </row>
    <row r="286" spans="1:48" ht="30" customHeight="1" x14ac:dyDescent="0.35">
      <c r="A286" s="214">
        <v>285</v>
      </c>
      <c r="B286" s="66" t="s">
        <v>214</v>
      </c>
      <c r="C286" s="66" t="s">
        <v>5</v>
      </c>
      <c r="D286" s="66" t="s">
        <v>1436</v>
      </c>
      <c r="E286" s="69">
        <v>46057</v>
      </c>
      <c r="F286" s="69">
        <f t="shared" si="60"/>
        <v>46058</v>
      </c>
      <c r="G286" s="69">
        <f t="shared" si="61"/>
        <v>46071</v>
      </c>
      <c r="H286" s="69">
        <f t="shared" si="62"/>
        <v>46085</v>
      </c>
      <c r="I286" s="69">
        <f t="shared" si="63"/>
        <v>46113</v>
      </c>
      <c r="J286" s="69" t="str">
        <f t="shared" si="59"/>
        <v>Feb</v>
      </c>
      <c r="K286" s="216" t="str">
        <f t="shared" ca="1" si="53"/>
        <v/>
      </c>
      <c r="L286" s="67" t="s">
        <v>10</v>
      </c>
      <c r="M286" s="67"/>
      <c r="N286" s="67">
        <v>46071</v>
      </c>
      <c r="O286" s="152">
        <f t="shared" si="54"/>
        <v>10</v>
      </c>
      <c r="P286" s="12" t="str">
        <f t="shared" si="55"/>
        <v>Yes</v>
      </c>
      <c r="Q286" s="75"/>
      <c r="R286" s="70" t="s">
        <v>39</v>
      </c>
      <c r="S286" s="68" t="s">
        <v>40</v>
      </c>
      <c r="T286" s="66"/>
      <c r="U286" s="75"/>
      <c r="V286" s="66"/>
      <c r="AV286" s="139" t="str">
        <v>Quarter 4</v>
      </c>
    </row>
    <row r="287" spans="1:48" ht="30" customHeight="1" x14ac:dyDescent="0.35">
      <c r="A287" s="214">
        <v>286</v>
      </c>
      <c r="B287" s="66" t="s">
        <v>1610</v>
      </c>
      <c r="C287" s="66" t="s">
        <v>9</v>
      </c>
      <c r="D287" s="66" t="s">
        <v>1611</v>
      </c>
      <c r="E287" s="69">
        <v>46062</v>
      </c>
      <c r="F287" s="69">
        <f t="shared" si="60"/>
        <v>46063</v>
      </c>
      <c r="G287" s="69">
        <f t="shared" si="61"/>
        <v>46076</v>
      </c>
      <c r="H287" s="69">
        <f t="shared" si="62"/>
        <v>46090</v>
      </c>
      <c r="I287" s="69">
        <f t="shared" si="63"/>
        <v>46120</v>
      </c>
      <c r="J287" s="69" t="str">
        <f t="shared" si="59"/>
        <v>Feb</v>
      </c>
      <c r="K287" s="216" t="str">
        <f t="shared" ca="1" si="53"/>
        <v/>
      </c>
      <c r="L287" s="67" t="s">
        <v>10</v>
      </c>
      <c r="M287" s="67"/>
      <c r="N287" s="67">
        <v>46065</v>
      </c>
      <c r="O287" s="152">
        <f t="shared" si="54"/>
        <v>3</v>
      </c>
      <c r="P287" s="12" t="str">
        <f t="shared" si="55"/>
        <v>Yes</v>
      </c>
      <c r="Q287" s="75"/>
      <c r="R287" s="70" t="s">
        <v>39</v>
      </c>
      <c r="S287" s="68" t="s">
        <v>40</v>
      </c>
      <c r="T287" s="66"/>
      <c r="U287" s="75" t="s">
        <v>1147</v>
      </c>
      <c r="V287" s="66" t="s">
        <v>46</v>
      </c>
      <c r="AV287" s="139" t="str">
        <v>Quarter 4</v>
      </c>
    </row>
    <row r="288" spans="1:48" ht="30" customHeight="1" x14ac:dyDescent="0.35">
      <c r="A288" s="214">
        <v>287</v>
      </c>
      <c r="B288" s="66" t="s">
        <v>1213</v>
      </c>
      <c r="C288" s="66" t="s">
        <v>9</v>
      </c>
      <c r="D288" s="66" t="s">
        <v>1437</v>
      </c>
      <c r="E288" s="69">
        <v>46058</v>
      </c>
      <c r="F288" s="69">
        <f t="shared" si="60"/>
        <v>46059</v>
      </c>
      <c r="G288" s="69">
        <f t="shared" si="61"/>
        <v>46072</v>
      </c>
      <c r="H288" s="69">
        <f t="shared" si="62"/>
        <v>46086</v>
      </c>
      <c r="I288" s="69">
        <f t="shared" si="63"/>
        <v>46114</v>
      </c>
      <c r="J288" s="69" t="str">
        <f t="shared" si="59"/>
        <v>Feb</v>
      </c>
      <c r="K288" s="216" t="str">
        <f t="shared" ca="1" si="53"/>
        <v/>
      </c>
      <c r="L288" s="67" t="s">
        <v>10</v>
      </c>
      <c r="M288" s="67"/>
      <c r="N288" s="67">
        <v>46065</v>
      </c>
      <c r="O288" s="152">
        <f t="shared" si="54"/>
        <v>5</v>
      </c>
      <c r="P288" s="12" t="str">
        <f t="shared" si="55"/>
        <v>Yes</v>
      </c>
      <c r="Q288" s="75"/>
      <c r="R288" s="70" t="s">
        <v>39</v>
      </c>
      <c r="S288" s="68" t="s">
        <v>40</v>
      </c>
      <c r="T288" s="66"/>
      <c r="U288" s="75"/>
      <c r="V288" s="66" t="s">
        <v>46</v>
      </c>
      <c r="AV288" s="139" t="str">
        <v>Quarter 4</v>
      </c>
    </row>
    <row r="289" spans="1:48" ht="30" customHeight="1" x14ac:dyDescent="0.35">
      <c r="A289" s="214">
        <v>288</v>
      </c>
      <c r="B289" s="66" t="s">
        <v>55</v>
      </c>
      <c r="C289" s="66" t="s">
        <v>13</v>
      </c>
      <c r="D289" s="66" t="s">
        <v>1438</v>
      </c>
      <c r="E289" s="69">
        <v>46059</v>
      </c>
      <c r="F289" s="69">
        <f t="shared" si="60"/>
        <v>46062</v>
      </c>
      <c r="G289" s="69">
        <f t="shared" si="61"/>
        <v>46073</v>
      </c>
      <c r="H289" s="69">
        <f t="shared" si="62"/>
        <v>46087</v>
      </c>
      <c r="I289" s="69">
        <f t="shared" si="63"/>
        <v>46119</v>
      </c>
      <c r="J289" s="69" t="str">
        <f t="shared" si="59"/>
        <v>Feb</v>
      </c>
      <c r="K289" s="216" t="str">
        <f t="shared" ca="1" si="53"/>
        <v/>
      </c>
      <c r="L289" s="67" t="s">
        <v>10</v>
      </c>
      <c r="M289" s="67"/>
      <c r="N289" s="67">
        <v>46062</v>
      </c>
      <c r="O289" s="152">
        <f t="shared" si="54"/>
        <v>1</v>
      </c>
      <c r="P289" s="12" t="str">
        <f t="shared" si="55"/>
        <v>Yes</v>
      </c>
      <c r="Q289" s="75"/>
      <c r="R289" s="70" t="s">
        <v>39</v>
      </c>
      <c r="S289" s="68" t="s">
        <v>62</v>
      </c>
      <c r="T289" s="66"/>
      <c r="U289" s="75"/>
      <c r="V289" s="66"/>
      <c r="AV289" s="139" t="str">
        <v>Quarter 4</v>
      </c>
    </row>
    <row r="290" spans="1:48" ht="30" customHeight="1" x14ac:dyDescent="0.35">
      <c r="A290" s="214">
        <v>289</v>
      </c>
      <c r="B290" s="66" t="s">
        <v>6</v>
      </c>
      <c r="C290" s="66" t="s">
        <v>6</v>
      </c>
      <c r="D290" s="66" t="s">
        <v>1599</v>
      </c>
      <c r="E290" s="69">
        <v>46059</v>
      </c>
      <c r="F290" s="69">
        <f t="shared" si="60"/>
        <v>46062</v>
      </c>
      <c r="G290" s="69">
        <f t="shared" si="61"/>
        <v>46073</v>
      </c>
      <c r="H290" s="69">
        <f t="shared" si="62"/>
        <v>46087</v>
      </c>
      <c r="I290" s="69">
        <f t="shared" si="63"/>
        <v>46119</v>
      </c>
      <c r="J290" s="69" t="str">
        <f t="shared" si="59"/>
        <v>Feb</v>
      </c>
      <c r="K290" s="216" t="str">
        <f t="shared" ca="1" si="53"/>
        <v/>
      </c>
      <c r="L290" s="67" t="s">
        <v>4</v>
      </c>
      <c r="M290" s="67"/>
      <c r="N290" s="67">
        <v>46090</v>
      </c>
      <c r="O290" s="152">
        <f t="shared" si="54"/>
        <v>21</v>
      </c>
      <c r="P290" s="12" t="str">
        <f t="shared" si="55"/>
        <v>No</v>
      </c>
      <c r="Q290" s="75"/>
      <c r="R290" s="70" t="s">
        <v>39</v>
      </c>
      <c r="S290" s="68" t="s">
        <v>40</v>
      </c>
      <c r="T290" s="66"/>
      <c r="U290" s="75"/>
      <c r="V290" s="66"/>
      <c r="AV290" s="139" t="str">
        <v>Quarter 4</v>
      </c>
    </row>
    <row r="291" spans="1:48" ht="30" customHeight="1" x14ac:dyDescent="0.35">
      <c r="A291" s="214">
        <v>290</v>
      </c>
      <c r="B291" s="66" t="s">
        <v>55</v>
      </c>
      <c r="C291" s="66" t="s">
        <v>13</v>
      </c>
      <c r="D291" s="66" t="s">
        <v>1606</v>
      </c>
      <c r="E291" s="69">
        <v>46062</v>
      </c>
      <c r="F291" s="69">
        <f t="shared" si="60"/>
        <v>46063</v>
      </c>
      <c r="G291" s="69">
        <f t="shared" si="61"/>
        <v>46076</v>
      </c>
      <c r="H291" s="69">
        <f t="shared" si="62"/>
        <v>46090</v>
      </c>
      <c r="I291" s="69">
        <f t="shared" si="63"/>
        <v>46120</v>
      </c>
      <c r="J291" s="69" t="str">
        <f t="shared" si="59"/>
        <v>Feb</v>
      </c>
      <c r="K291" s="216" t="str">
        <f t="shared" ca="1" si="53"/>
        <v/>
      </c>
      <c r="L291" s="67" t="s">
        <v>10</v>
      </c>
      <c r="M291" s="67"/>
      <c r="N291" s="67">
        <v>46113</v>
      </c>
      <c r="O291" s="152">
        <f t="shared" si="54"/>
        <v>37</v>
      </c>
      <c r="P291" s="12" t="str">
        <f t="shared" si="55"/>
        <v>No</v>
      </c>
      <c r="Q291" s="75"/>
      <c r="R291" s="70" t="s">
        <v>39</v>
      </c>
      <c r="S291" s="68" t="s">
        <v>40</v>
      </c>
      <c r="T291" s="66"/>
      <c r="U291" s="75"/>
      <c r="V291" s="66"/>
      <c r="AV291" s="139" t="str">
        <v>Quarter 4</v>
      </c>
    </row>
    <row r="292" spans="1:48" ht="30" customHeight="1" x14ac:dyDescent="0.35">
      <c r="A292" s="214">
        <v>291</v>
      </c>
      <c r="B292" s="66" t="s">
        <v>6</v>
      </c>
      <c r="C292" s="66" t="s">
        <v>6</v>
      </c>
      <c r="D292" s="66" t="s">
        <v>1607</v>
      </c>
      <c r="E292" s="69">
        <v>46059</v>
      </c>
      <c r="F292" s="69">
        <f t="shared" si="60"/>
        <v>46062</v>
      </c>
      <c r="G292" s="69">
        <f t="shared" si="61"/>
        <v>46073</v>
      </c>
      <c r="H292" s="69">
        <f t="shared" si="62"/>
        <v>46087</v>
      </c>
      <c r="I292" s="69">
        <f t="shared" si="63"/>
        <v>46119</v>
      </c>
      <c r="J292" s="69" t="str">
        <f t="shared" si="59"/>
        <v>Feb</v>
      </c>
      <c r="K292" s="216" t="str">
        <f t="shared" ca="1" si="53"/>
        <v/>
      </c>
      <c r="L292" s="67" t="s">
        <v>10</v>
      </c>
      <c r="M292" s="67"/>
      <c r="N292" s="67">
        <v>46087</v>
      </c>
      <c r="O292" s="152">
        <f t="shared" si="54"/>
        <v>20</v>
      </c>
      <c r="P292" s="12" t="str">
        <f t="shared" si="55"/>
        <v>Yes</v>
      </c>
      <c r="Q292" s="75"/>
      <c r="R292" s="70" t="s">
        <v>39</v>
      </c>
      <c r="S292" s="68" t="s">
        <v>40</v>
      </c>
      <c r="T292" s="66"/>
      <c r="U292" s="75"/>
      <c r="V292" s="66" t="s">
        <v>46</v>
      </c>
      <c r="AV292" s="139" t="str">
        <v>Quarter 4</v>
      </c>
    </row>
    <row r="293" spans="1:48" ht="30" customHeight="1" x14ac:dyDescent="0.35">
      <c r="A293" s="214">
        <v>292</v>
      </c>
      <c r="B293" s="66" t="s">
        <v>55</v>
      </c>
      <c r="C293" s="66" t="s">
        <v>13</v>
      </c>
      <c r="D293" s="66" t="s">
        <v>1614</v>
      </c>
      <c r="E293" s="69">
        <v>46062</v>
      </c>
      <c r="F293" s="69">
        <f t="shared" si="60"/>
        <v>46063</v>
      </c>
      <c r="G293" s="69">
        <f t="shared" si="61"/>
        <v>46076</v>
      </c>
      <c r="H293" s="69">
        <f t="shared" si="62"/>
        <v>46090</v>
      </c>
      <c r="I293" s="69">
        <f t="shared" si="63"/>
        <v>46120</v>
      </c>
      <c r="J293" s="69" t="str">
        <f t="shared" si="59"/>
        <v>Feb</v>
      </c>
      <c r="K293" s="216" t="str">
        <f t="shared" ca="1" si="53"/>
        <v/>
      </c>
      <c r="L293" s="67" t="s">
        <v>10</v>
      </c>
      <c r="M293" s="67"/>
      <c r="N293" s="67">
        <v>46113</v>
      </c>
      <c r="O293" s="152">
        <f t="shared" si="54"/>
        <v>37</v>
      </c>
      <c r="P293" s="12" t="str">
        <f t="shared" si="55"/>
        <v>No</v>
      </c>
      <c r="Q293" s="75"/>
      <c r="R293" s="70" t="s">
        <v>39</v>
      </c>
      <c r="S293" s="68" t="s">
        <v>40</v>
      </c>
      <c r="T293" s="66"/>
      <c r="U293" s="75"/>
      <c r="V293" s="66"/>
      <c r="AV293" s="139" t="str">
        <v>Quarter 4</v>
      </c>
    </row>
    <row r="294" spans="1:48" ht="30" customHeight="1" x14ac:dyDescent="0.35">
      <c r="A294" s="214">
        <v>293</v>
      </c>
      <c r="B294" s="66" t="s">
        <v>1620</v>
      </c>
      <c r="C294" s="66" t="s">
        <v>9</v>
      </c>
      <c r="D294" s="66" t="s">
        <v>1621</v>
      </c>
      <c r="E294" s="69">
        <v>46062</v>
      </c>
      <c r="F294" s="69">
        <f t="shared" si="60"/>
        <v>46063</v>
      </c>
      <c r="G294" s="69">
        <f t="shared" si="61"/>
        <v>46076</v>
      </c>
      <c r="H294" s="69">
        <f t="shared" si="62"/>
        <v>46090</v>
      </c>
      <c r="I294" s="69">
        <f t="shared" si="63"/>
        <v>46120</v>
      </c>
      <c r="J294" s="69" t="str">
        <f t="shared" si="59"/>
        <v>Feb</v>
      </c>
      <c r="K294" s="216" t="str">
        <f t="shared" ca="1" si="53"/>
        <v/>
      </c>
      <c r="L294" s="67" t="s">
        <v>10</v>
      </c>
      <c r="M294" s="67"/>
      <c r="N294" s="67">
        <v>46071</v>
      </c>
      <c r="O294" s="152">
        <f t="shared" si="54"/>
        <v>7</v>
      </c>
      <c r="P294" s="12" t="str">
        <f t="shared" si="55"/>
        <v>Yes</v>
      </c>
      <c r="Q294" s="75"/>
      <c r="R294" s="70" t="s">
        <v>39</v>
      </c>
      <c r="S294" s="68" t="s">
        <v>40</v>
      </c>
      <c r="T294" s="66"/>
      <c r="U294" s="75"/>
      <c r="V294" s="66" t="s">
        <v>46</v>
      </c>
      <c r="AV294" s="139" t="str">
        <v>Quarter 4</v>
      </c>
    </row>
    <row r="295" spans="1:48" ht="30" customHeight="1" x14ac:dyDescent="0.35">
      <c r="A295" s="214">
        <v>294</v>
      </c>
      <c r="B295" s="66" t="s">
        <v>1622</v>
      </c>
      <c r="C295" s="66" t="s">
        <v>9</v>
      </c>
      <c r="D295" s="66" t="s">
        <v>1623</v>
      </c>
      <c r="E295" s="69">
        <v>46062</v>
      </c>
      <c r="F295" s="69">
        <f t="shared" si="60"/>
        <v>46063</v>
      </c>
      <c r="G295" s="69">
        <f t="shared" si="61"/>
        <v>46076</v>
      </c>
      <c r="H295" s="69">
        <f t="shared" si="62"/>
        <v>46090</v>
      </c>
      <c r="I295" s="69">
        <f t="shared" si="63"/>
        <v>46120</v>
      </c>
      <c r="J295" s="69" t="str">
        <f t="shared" si="59"/>
        <v>Feb</v>
      </c>
      <c r="K295" s="216" t="str">
        <f t="shared" ca="1" si="53"/>
        <v/>
      </c>
      <c r="L295" s="67" t="s">
        <v>4</v>
      </c>
      <c r="M295" s="67"/>
      <c r="N295" s="67">
        <v>46065</v>
      </c>
      <c r="O295" s="152">
        <f t="shared" si="54"/>
        <v>3</v>
      </c>
      <c r="P295" s="12" t="str">
        <f t="shared" si="55"/>
        <v>Yes</v>
      </c>
      <c r="Q295" s="75"/>
      <c r="R295" s="70" t="s">
        <v>39</v>
      </c>
      <c r="S295" s="68" t="s">
        <v>62</v>
      </c>
      <c r="T295" s="66"/>
      <c r="U295" s="75"/>
      <c r="V295" s="66"/>
      <c r="AV295" s="139" t="str">
        <v>Quarter 4</v>
      </c>
    </row>
    <row r="296" spans="1:48" ht="30" customHeight="1" x14ac:dyDescent="0.35">
      <c r="A296" s="214">
        <v>295</v>
      </c>
      <c r="B296" s="66" t="s">
        <v>6</v>
      </c>
      <c r="C296" s="66" t="s">
        <v>6</v>
      </c>
      <c r="D296" s="66" t="s">
        <v>1637</v>
      </c>
      <c r="E296" s="69">
        <v>46064</v>
      </c>
      <c r="F296" s="69">
        <f t="shared" si="60"/>
        <v>46065</v>
      </c>
      <c r="G296" s="69">
        <f t="shared" si="61"/>
        <v>46078</v>
      </c>
      <c r="H296" s="69">
        <f t="shared" si="62"/>
        <v>46092</v>
      </c>
      <c r="I296" s="69">
        <f t="shared" si="63"/>
        <v>46122</v>
      </c>
      <c r="J296" s="69" t="str">
        <f t="shared" si="59"/>
        <v>Feb</v>
      </c>
      <c r="K296" s="216" t="str">
        <f t="shared" ca="1" si="53"/>
        <v/>
      </c>
      <c r="L296" s="67" t="s">
        <v>10</v>
      </c>
      <c r="M296" s="67"/>
      <c r="N296" s="67">
        <v>46078</v>
      </c>
      <c r="O296" s="152">
        <f t="shared" si="54"/>
        <v>10</v>
      </c>
      <c r="P296" s="12" t="str">
        <f t="shared" si="55"/>
        <v>Yes</v>
      </c>
      <c r="Q296" s="75"/>
      <c r="R296" s="70" t="s">
        <v>39</v>
      </c>
      <c r="S296" s="68" t="s">
        <v>40</v>
      </c>
      <c r="T296" s="66"/>
      <c r="U296" s="75"/>
      <c r="V296" s="66"/>
      <c r="AV296" s="139" t="str">
        <v>Quarter 4</v>
      </c>
    </row>
    <row r="297" spans="1:48" ht="30" customHeight="1" x14ac:dyDescent="0.35">
      <c r="A297" s="214">
        <v>296</v>
      </c>
      <c r="B297" s="66" t="s">
        <v>1648</v>
      </c>
      <c r="C297" s="66" t="s">
        <v>9</v>
      </c>
      <c r="D297" s="66" t="s">
        <v>1649</v>
      </c>
      <c r="E297" s="69">
        <v>46066</v>
      </c>
      <c r="F297" s="69">
        <f t="shared" si="60"/>
        <v>46069</v>
      </c>
      <c r="G297" s="69">
        <f t="shared" si="61"/>
        <v>46080</v>
      </c>
      <c r="H297" s="69">
        <f t="shared" si="62"/>
        <v>46094</v>
      </c>
      <c r="I297" s="69">
        <f t="shared" si="63"/>
        <v>46126</v>
      </c>
      <c r="J297" s="69" t="str">
        <f t="shared" si="59"/>
        <v>Feb</v>
      </c>
      <c r="K297" s="216" t="str">
        <f t="shared" ca="1" si="53"/>
        <v/>
      </c>
      <c r="L297" s="67" t="s">
        <v>10</v>
      </c>
      <c r="M297" s="67"/>
      <c r="N297" s="67">
        <v>46076</v>
      </c>
      <c r="O297" s="152">
        <f t="shared" si="54"/>
        <v>6</v>
      </c>
      <c r="P297" s="12" t="str">
        <f t="shared" si="55"/>
        <v>Yes</v>
      </c>
      <c r="Q297" s="75"/>
      <c r="R297" s="70" t="s">
        <v>39</v>
      </c>
      <c r="S297" s="68" t="s">
        <v>62</v>
      </c>
      <c r="T297" s="66"/>
      <c r="U297" s="75"/>
      <c r="V297" s="66"/>
      <c r="AV297" s="139" t="str">
        <v>Quarter 4</v>
      </c>
    </row>
    <row r="298" spans="1:48" ht="30" customHeight="1" x14ac:dyDescent="0.35">
      <c r="A298" s="214">
        <v>297</v>
      </c>
      <c r="B298" s="66" t="s">
        <v>1653</v>
      </c>
      <c r="C298" s="66" t="s">
        <v>9</v>
      </c>
      <c r="D298" s="66" t="s">
        <v>1654</v>
      </c>
      <c r="E298" s="69">
        <v>46069</v>
      </c>
      <c r="F298" s="69">
        <f t="shared" si="60"/>
        <v>46070</v>
      </c>
      <c r="G298" s="69">
        <f t="shared" si="61"/>
        <v>46083</v>
      </c>
      <c r="H298" s="69">
        <f t="shared" si="62"/>
        <v>46097</v>
      </c>
      <c r="I298" s="69">
        <f t="shared" si="63"/>
        <v>46127</v>
      </c>
      <c r="J298" s="69" t="str">
        <f t="shared" si="59"/>
        <v>Feb</v>
      </c>
      <c r="K298" s="216" t="str">
        <f t="shared" ca="1" si="53"/>
        <v/>
      </c>
      <c r="L298" s="67" t="s">
        <v>10</v>
      </c>
      <c r="M298" s="67"/>
      <c r="N298" s="67">
        <v>46080</v>
      </c>
      <c r="O298" s="152">
        <f t="shared" si="54"/>
        <v>9</v>
      </c>
      <c r="P298" s="12" t="str">
        <f t="shared" si="55"/>
        <v>Yes</v>
      </c>
      <c r="Q298" s="75"/>
      <c r="R298" s="70" t="s">
        <v>39</v>
      </c>
      <c r="S298" s="68" t="s">
        <v>40</v>
      </c>
      <c r="T298" s="66"/>
      <c r="U298" s="75" t="s">
        <v>1147</v>
      </c>
      <c r="V298" s="66"/>
      <c r="AV298" s="139" t="str">
        <v>Quarter 4</v>
      </c>
    </row>
    <row r="299" spans="1:48" ht="30" customHeight="1" x14ac:dyDescent="0.35">
      <c r="A299" s="214">
        <v>298</v>
      </c>
      <c r="B299" s="66" t="s">
        <v>6</v>
      </c>
      <c r="C299" s="66" t="s">
        <v>6</v>
      </c>
      <c r="D299" s="66" t="s">
        <v>1656</v>
      </c>
      <c r="E299" s="69"/>
      <c r="F299" s="69"/>
      <c r="G299" s="69"/>
      <c r="H299" s="69"/>
      <c r="I299" s="69"/>
      <c r="J299" s="69" t="s">
        <v>1631</v>
      </c>
      <c r="K299" s="216" t="str">
        <f t="shared" ca="1" si="53"/>
        <v/>
      </c>
      <c r="L299" s="67" t="s">
        <v>10</v>
      </c>
      <c r="M299" s="67"/>
      <c r="N299" s="67"/>
      <c r="O299" s="152" t="str">
        <f t="shared" si="54"/>
        <v/>
      </c>
      <c r="P299" s="12" t="str">
        <f t="shared" si="55"/>
        <v/>
      </c>
      <c r="Q299" s="75"/>
      <c r="R299" s="70" t="s">
        <v>57</v>
      </c>
      <c r="S299" s="68" t="s">
        <v>57</v>
      </c>
      <c r="T299" s="66"/>
      <c r="U299" s="75"/>
      <c r="V299" s="66" t="s">
        <v>1657</v>
      </c>
      <c r="AV299" s="139" t="str">
        <v>Quarter 4</v>
      </c>
    </row>
    <row r="300" spans="1:48" ht="30" customHeight="1" x14ac:dyDescent="0.35">
      <c r="A300" s="214">
        <v>299</v>
      </c>
      <c r="B300" s="66" t="s">
        <v>6</v>
      </c>
      <c r="C300" s="66" t="s">
        <v>6</v>
      </c>
      <c r="D300" s="66" t="s">
        <v>1656</v>
      </c>
      <c r="E300" s="69">
        <v>46069</v>
      </c>
      <c r="F300" s="69">
        <f t="shared" ref="F300:F342" si="64">IF($E300="","",WORKDAY($E300,1,$Z$33:$Z$47))</f>
        <v>46070</v>
      </c>
      <c r="G300" s="69">
        <f t="shared" ref="G300:G342" si="65">IF($E300="","",WORKDAY($E300,10,$Z$33:$Z$47))</f>
        <v>46083</v>
      </c>
      <c r="H300" s="69">
        <f t="shared" ref="H300:H342" si="66">IF($E300="","",WORKDAY($E300,20,$Z$33:$Z$47))</f>
        <v>46097</v>
      </c>
      <c r="I300" s="69">
        <f t="shared" ref="I300:I342" si="67">IF($E300="","",WORKDAY($E300,40,$Z$33:$Z$47))</f>
        <v>46127</v>
      </c>
      <c r="J300" s="69" t="str">
        <f t="shared" si="59"/>
        <v>Feb</v>
      </c>
      <c r="K300" s="216" t="str">
        <f t="shared" ca="1" si="53"/>
        <v/>
      </c>
      <c r="L300" s="67" t="s">
        <v>10</v>
      </c>
      <c r="M300" s="67"/>
      <c r="N300" s="67">
        <v>46071</v>
      </c>
      <c r="O300" s="152">
        <f t="shared" si="54"/>
        <v>2</v>
      </c>
      <c r="P300" s="12" t="str">
        <f t="shared" si="55"/>
        <v>Yes</v>
      </c>
      <c r="Q300" s="75"/>
      <c r="R300" s="70" t="s">
        <v>39</v>
      </c>
      <c r="S300" s="68" t="s">
        <v>40</v>
      </c>
      <c r="T300" s="66"/>
      <c r="U300" s="75"/>
      <c r="V300" s="66"/>
      <c r="AV300" s="139" t="str">
        <v>Quarter 4</v>
      </c>
    </row>
    <row r="301" spans="1:48" ht="30" customHeight="1" x14ac:dyDescent="0.35">
      <c r="A301" s="214">
        <v>300</v>
      </c>
      <c r="B301" s="66" t="s">
        <v>1668</v>
      </c>
      <c r="C301" s="66" t="s">
        <v>9</v>
      </c>
      <c r="D301" s="66" t="s">
        <v>1669</v>
      </c>
      <c r="E301" s="69">
        <v>46069</v>
      </c>
      <c r="F301" s="69">
        <f t="shared" si="64"/>
        <v>46070</v>
      </c>
      <c r="G301" s="69">
        <f t="shared" si="65"/>
        <v>46083</v>
      </c>
      <c r="H301" s="69">
        <f t="shared" si="66"/>
        <v>46097</v>
      </c>
      <c r="I301" s="69">
        <f t="shared" si="67"/>
        <v>46127</v>
      </c>
      <c r="J301" s="69" t="str">
        <f t="shared" si="59"/>
        <v>Feb</v>
      </c>
      <c r="K301" s="216" t="str">
        <f t="shared" ca="1" si="53"/>
        <v/>
      </c>
      <c r="L301" s="67" t="s">
        <v>10</v>
      </c>
      <c r="M301" s="67"/>
      <c r="N301" s="67">
        <v>46070</v>
      </c>
      <c r="O301" s="152">
        <f t="shared" si="54"/>
        <v>1</v>
      </c>
      <c r="P301" s="12" t="str">
        <f t="shared" si="55"/>
        <v>Yes</v>
      </c>
      <c r="Q301" s="75"/>
      <c r="R301" s="70" t="s">
        <v>39</v>
      </c>
      <c r="S301" s="68" t="s">
        <v>62</v>
      </c>
      <c r="T301" s="66"/>
      <c r="U301" s="75"/>
      <c r="V301" s="66"/>
      <c r="AV301" s="139" t="str">
        <v>Quarter 4</v>
      </c>
    </row>
    <row r="302" spans="1:48" ht="30" customHeight="1" x14ac:dyDescent="0.35">
      <c r="A302" s="214">
        <v>301</v>
      </c>
      <c r="B302" s="66" t="s">
        <v>6</v>
      </c>
      <c r="C302" s="66" t="s">
        <v>6</v>
      </c>
      <c r="D302" s="66" t="s">
        <v>1681</v>
      </c>
      <c r="E302" s="69">
        <v>46070</v>
      </c>
      <c r="F302" s="69">
        <f t="shared" si="64"/>
        <v>46071</v>
      </c>
      <c r="G302" s="69">
        <f t="shared" si="65"/>
        <v>46084</v>
      </c>
      <c r="H302" s="69">
        <f t="shared" si="66"/>
        <v>46098</v>
      </c>
      <c r="I302" s="69">
        <f t="shared" si="67"/>
        <v>46128</v>
      </c>
      <c r="J302" s="69" t="str">
        <f t="shared" si="59"/>
        <v>Feb</v>
      </c>
      <c r="K302" s="216" t="str">
        <f t="shared" ca="1" si="53"/>
        <v/>
      </c>
      <c r="L302" s="67" t="s">
        <v>4</v>
      </c>
      <c r="M302" s="67"/>
      <c r="N302" s="67">
        <v>46105</v>
      </c>
      <c r="O302" s="152">
        <f t="shared" si="54"/>
        <v>25</v>
      </c>
      <c r="P302" s="12" t="str">
        <f t="shared" si="55"/>
        <v>No</v>
      </c>
      <c r="Q302" s="75"/>
      <c r="R302" s="70" t="s">
        <v>39</v>
      </c>
      <c r="S302" s="68" t="s">
        <v>45</v>
      </c>
      <c r="T302" s="66"/>
      <c r="U302" s="75" t="s">
        <v>1153</v>
      </c>
      <c r="V302" s="66"/>
      <c r="AV302" s="139" t="str">
        <v>Quarter 4</v>
      </c>
    </row>
    <row r="303" spans="1:48" ht="30" customHeight="1" x14ac:dyDescent="0.35">
      <c r="A303" s="214">
        <v>302</v>
      </c>
      <c r="B303" s="66" t="s">
        <v>6</v>
      </c>
      <c r="C303" s="66" t="s">
        <v>6</v>
      </c>
      <c r="D303" s="66" t="s">
        <v>1687</v>
      </c>
      <c r="E303" s="69">
        <v>46071</v>
      </c>
      <c r="F303" s="69">
        <f t="shared" si="64"/>
        <v>46072</v>
      </c>
      <c r="G303" s="69">
        <f t="shared" si="65"/>
        <v>46085</v>
      </c>
      <c r="H303" s="69">
        <f t="shared" si="66"/>
        <v>46099</v>
      </c>
      <c r="I303" s="69">
        <f t="shared" si="67"/>
        <v>46129</v>
      </c>
      <c r="J303" s="69" t="str">
        <f t="shared" si="59"/>
        <v>Feb</v>
      </c>
      <c r="K303" s="216" t="str">
        <f t="shared" ca="1" si="53"/>
        <v/>
      </c>
      <c r="L303" s="67" t="s">
        <v>10</v>
      </c>
      <c r="M303" s="67"/>
      <c r="N303" s="67">
        <v>46107</v>
      </c>
      <c r="O303" s="152">
        <f t="shared" si="54"/>
        <v>26</v>
      </c>
      <c r="P303" s="12" t="str">
        <f t="shared" si="55"/>
        <v>No</v>
      </c>
      <c r="Q303" s="75"/>
      <c r="R303" s="70" t="s">
        <v>39</v>
      </c>
      <c r="S303" s="68" t="s">
        <v>40</v>
      </c>
      <c r="T303" s="66"/>
      <c r="U303" s="75"/>
      <c r="V303" s="66" t="s">
        <v>46</v>
      </c>
      <c r="AV303" s="139" t="str">
        <v>Quarter 4</v>
      </c>
    </row>
    <row r="304" spans="1:48" ht="30" customHeight="1" x14ac:dyDescent="0.35">
      <c r="A304" s="214">
        <v>303</v>
      </c>
      <c r="B304" s="66" t="s">
        <v>6</v>
      </c>
      <c r="C304" s="66" t="s">
        <v>6</v>
      </c>
      <c r="D304" s="66" t="s">
        <v>1687</v>
      </c>
      <c r="E304" s="69">
        <v>46071</v>
      </c>
      <c r="F304" s="69">
        <f t="shared" si="64"/>
        <v>46072</v>
      </c>
      <c r="G304" s="69">
        <f t="shared" si="65"/>
        <v>46085</v>
      </c>
      <c r="H304" s="69">
        <f t="shared" si="66"/>
        <v>46099</v>
      </c>
      <c r="I304" s="69">
        <f t="shared" si="67"/>
        <v>46129</v>
      </c>
      <c r="J304" s="69" t="str">
        <f t="shared" si="59"/>
        <v>Feb</v>
      </c>
      <c r="K304" s="216" t="str">
        <f t="shared" ca="1" si="53"/>
        <v/>
      </c>
      <c r="L304" s="67" t="s">
        <v>10</v>
      </c>
      <c r="M304" s="67"/>
      <c r="N304" s="67">
        <v>46092</v>
      </c>
      <c r="O304" s="152">
        <f t="shared" si="54"/>
        <v>15</v>
      </c>
      <c r="P304" s="12" t="str">
        <f t="shared" si="55"/>
        <v>Yes</v>
      </c>
      <c r="Q304" s="75"/>
      <c r="R304" s="70" t="s">
        <v>39</v>
      </c>
      <c r="S304" s="68" t="s">
        <v>40</v>
      </c>
      <c r="T304" s="66"/>
      <c r="U304" s="75" t="s">
        <v>1151</v>
      </c>
      <c r="V304" s="66"/>
      <c r="AV304" s="139" t="str">
        <v>Quarter 4</v>
      </c>
    </row>
    <row r="305" spans="1:48" ht="30" customHeight="1" x14ac:dyDescent="0.35">
      <c r="A305" s="214">
        <v>304</v>
      </c>
      <c r="B305" s="66" t="s">
        <v>6</v>
      </c>
      <c r="C305" s="66" t="s">
        <v>6</v>
      </c>
      <c r="D305" s="66" t="s">
        <v>1703</v>
      </c>
      <c r="E305" s="69">
        <v>46074</v>
      </c>
      <c r="F305" s="69">
        <f t="shared" si="64"/>
        <v>46076</v>
      </c>
      <c r="G305" s="69">
        <f t="shared" si="65"/>
        <v>46087</v>
      </c>
      <c r="H305" s="69">
        <f t="shared" si="66"/>
        <v>46101</v>
      </c>
      <c r="I305" s="69">
        <f t="shared" si="67"/>
        <v>46133</v>
      </c>
      <c r="J305" s="69" t="str">
        <f t="shared" si="59"/>
        <v>Feb</v>
      </c>
      <c r="K305" s="216" t="str">
        <f t="shared" ca="1" si="53"/>
        <v/>
      </c>
      <c r="L305" s="67" t="s">
        <v>10</v>
      </c>
      <c r="M305" s="67"/>
      <c r="N305" s="67">
        <v>46100</v>
      </c>
      <c r="O305" s="152">
        <f t="shared" si="54"/>
        <v>18</v>
      </c>
      <c r="P305" s="12" t="str">
        <f t="shared" si="55"/>
        <v>Yes</v>
      </c>
      <c r="Q305" s="75"/>
      <c r="R305" s="70" t="s">
        <v>39</v>
      </c>
      <c r="S305" s="68" t="s">
        <v>40</v>
      </c>
      <c r="T305" s="66"/>
      <c r="U305" s="75"/>
      <c r="V305" s="66"/>
      <c r="AV305" s="139" t="str">
        <v>Quarter 4</v>
      </c>
    </row>
    <row r="306" spans="1:48" ht="30" customHeight="1" x14ac:dyDescent="0.35">
      <c r="A306" s="214">
        <v>305</v>
      </c>
      <c r="B306" s="66" t="s">
        <v>55</v>
      </c>
      <c r="C306" s="66" t="s">
        <v>13</v>
      </c>
      <c r="D306" s="66" t="s">
        <v>1709</v>
      </c>
      <c r="E306" s="69">
        <v>46076</v>
      </c>
      <c r="F306" s="69">
        <f t="shared" si="64"/>
        <v>46077</v>
      </c>
      <c r="G306" s="69">
        <f t="shared" si="65"/>
        <v>46090</v>
      </c>
      <c r="H306" s="69">
        <f t="shared" si="66"/>
        <v>46104</v>
      </c>
      <c r="I306" s="69">
        <f t="shared" si="67"/>
        <v>46134</v>
      </c>
      <c r="J306" s="69" t="str">
        <f t="shared" si="59"/>
        <v>Feb</v>
      </c>
      <c r="K306" s="216" t="str">
        <f t="shared" ca="1" si="53"/>
        <v/>
      </c>
      <c r="L306" s="67" t="s">
        <v>10</v>
      </c>
      <c r="M306" s="67"/>
      <c r="N306" s="67">
        <v>46090</v>
      </c>
      <c r="O306" s="152">
        <f t="shared" si="54"/>
        <v>10</v>
      </c>
      <c r="P306" s="12" t="str">
        <f t="shared" si="55"/>
        <v>Yes</v>
      </c>
      <c r="Q306" s="75"/>
      <c r="R306" s="70" t="s">
        <v>39</v>
      </c>
      <c r="S306" s="68" t="s">
        <v>40</v>
      </c>
      <c r="T306" s="66"/>
      <c r="U306" s="75"/>
      <c r="V306" s="66"/>
      <c r="AV306" s="139" t="str">
        <v>Quarter 4</v>
      </c>
    </row>
    <row r="307" spans="1:48" ht="30" customHeight="1" x14ac:dyDescent="0.35">
      <c r="A307" s="214">
        <v>306</v>
      </c>
      <c r="B307" s="66" t="s">
        <v>214</v>
      </c>
      <c r="C307" s="66" t="s">
        <v>5</v>
      </c>
      <c r="D307" s="66" t="s">
        <v>1226</v>
      </c>
      <c r="E307" s="69">
        <v>46077</v>
      </c>
      <c r="F307" s="69">
        <f t="shared" si="64"/>
        <v>46078</v>
      </c>
      <c r="G307" s="69">
        <f t="shared" si="65"/>
        <v>46091</v>
      </c>
      <c r="H307" s="69">
        <f t="shared" si="66"/>
        <v>46105</v>
      </c>
      <c r="I307" s="69">
        <f t="shared" si="67"/>
        <v>46135</v>
      </c>
      <c r="J307" s="69" t="str">
        <f t="shared" si="59"/>
        <v>Feb</v>
      </c>
      <c r="K307" s="216" t="str">
        <f t="shared" ca="1" si="53"/>
        <v/>
      </c>
      <c r="L307" s="67" t="s">
        <v>10</v>
      </c>
      <c r="M307" s="67"/>
      <c r="N307" s="67">
        <v>46084</v>
      </c>
      <c r="O307" s="152">
        <f t="shared" si="54"/>
        <v>5</v>
      </c>
      <c r="P307" s="12" t="str">
        <f t="shared" si="55"/>
        <v>Yes</v>
      </c>
      <c r="Q307" s="75"/>
      <c r="R307" s="70" t="s">
        <v>39</v>
      </c>
      <c r="S307" s="68" t="s">
        <v>40</v>
      </c>
      <c r="T307" s="66"/>
      <c r="U307" s="75"/>
      <c r="V307" s="66" t="s">
        <v>46</v>
      </c>
      <c r="AV307" s="139" t="str">
        <v>Quarter 4</v>
      </c>
    </row>
    <row r="308" spans="1:48" ht="30" customHeight="1" x14ac:dyDescent="0.35">
      <c r="A308" s="214">
        <v>307</v>
      </c>
      <c r="B308" s="66" t="s">
        <v>6</v>
      </c>
      <c r="C308" s="66" t="s">
        <v>6</v>
      </c>
      <c r="D308" s="66" t="s">
        <v>1433</v>
      </c>
      <c r="E308" s="69">
        <v>46077</v>
      </c>
      <c r="F308" s="69">
        <f t="shared" si="64"/>
        <v>46078</v>
      </c>
      <c r="G308" s="69">
        <f t="shared" si="65"/>
        <v>46091</v>
      </c>
      <c r="H308" s="69">
        <f t="shared" si="66"/>
        <v>46105</v>
      </c>
      <c r="I308" s="69">
        <f t="shared" si="67"/>
        <v>46135</v>
      </c>
      <c r="J308" s="69" t="str">
        <f t="shared" si="59"/>
        <v>Feb</v>
      </c>
      <c r="K308" s="216" t="str">
        <f t="shared" ca="1" si="53"/>
        <v/>
      </c>
      <c r="L308" s="67" t="s">
        <v>10</v>
      </c>
      <c r="M308" s="67"/>
      <c r="N308" s="67">
        <v>46090</v>
      </c>
      <c r="O308" s="152">
        <f t="shared" si="54"/>
        <v>9</v>
      </c>
      <c r="P308" s="12" t="str">
        <f t="shared" si="55"/>
        <v>Yes</v>
      </c>
      <c r="Q308" s="75"/>
      <c r="R308" s="70" t="s">
        <v>39</v>
      </c>
      <c r="S308" s="68" t="s">
        <v>40</v>
      </c>
      <c r="T308" s="66"/>
      <c r="U308" s="75"/>
      <c r="V308" s="66"/>
      <c r="AV308" s="139" t="str">
        <v>Quarter 4</v>
      </c>
    </row>
    <row r="309" spans="1:48" ht="30" customHeight="1" x14ac:dyDescent="0.35">
      <c r="A309" s="214">
        <v>308</v>
      </c>
      <c r="B309" s="66" t="s">
        <v>6</v>
      </c>
      <c r="C309" s="66" t="s">
        <v>6</v>
      </c>
      <c r="D309" s="66" t="s">
        <v>1723</v>
      </c>
      <c r="E309" s="69">
        <v>46078</v>
      </c>
      <c r="F309" s="69">
        <f t="shared" si="64"/>
        <v>46079</v>
      </c>
      <c r="G309" s="69">
        <f t="shared" si="65"/>
        <v>46092</v>
      </c>
      <c r="H309" s="69">
        <f t="shared" si="66"/>
        <v>46106</v>
      </c>
      <c r="I309" s="69">
        <f t="shared" si="67"/>
        <v>46136</v>
      </c>
      <c r="J309" s="69" t="str">
        <f t="shared" si="59"/>
        <v>Feb</v>
      </c>
      <c r="K309" s="216" t="str">
        <f t="shared" ca="1" si="53"/>
        <v/>
      </c>
      <c r="L309" s="67" t="s">
        <v>10</v>
      </c>
      <c r="M309" s="67"/>
      <c r="N309" s="67">
        <v>46105</v>
      </c>
      <c r="O309" s="152">
        <f t="shared" si="54"/>
        <v>19</v>
      </c>
      <c r="P309" s="12" t="str">
        <f t="shared" si="55"/>
        <v>Yes</v>
      </c>
      <c r="Q309" s="75"/>
      <c r="R309" s="70" t="s">
        <v>39</v>
      </c>
      <c r="S309" s="68" t="s">
        <v>40</v>
      </c>
      <c r="T309" s="66"/>
      <c r="U309" s="75"/>
      <c r="V309" s="66"/>
      <c r="AV309" s="139" t="str">
        <v>Quarter 4</v>
      </c>
    </row>
    <row r="310" spans="1:48" ht="30" customHeight="1" x14ac:dyDescent="0.35">
      <c r="A310" s="214">
        <v>309</v>
      </c>
      <c r="B310" s="66" t="s">
        <v>1731</v>
      </c>
      <c r="C310" s="66" t="s">
        <v>12</v>
      </c>
      <c r="D310" s="66" t="s">
        <v>1732</v>
      </c>
      <c r="E310" s="69">
        <v>46080</v>
      </c>
      <c r="F310" s="69">
        <f t="shared" si="64"/>
        <v>46083</v>
      </c>
      <c r="G310" s="69">
        <f t="shared" si="65"/>
        <v>46094</v>
      </c>
      <c r="H310" s="69">
        <f t="shared" si="66"/>
        <v>46108</v>
      </c>
      <c r="I310" s="69">
        <f t="shared" si="67"/>
        <v>46140</v>
      </c>
      <c r="J310" s="69" t="str">
        <f t="shared" si="59"/>
        <v>Feb</v>
      </c>
      <c r="K310" s="216" t="str">
        <f t="shared" ca="1" si="53"/>
        <v/>
      </c>
      <c r="L310" s="67" t="s">
        <v>10</v>
      </c>
      <c r="M310" s="67"/>
      <c r="N310" s="67">
        <v>46097</v>
      </c>
      <c r="O310" s="152">
        <f t="shared" si="54"/>
        <v>11</v>
      </c>
      <c r="P310" s="12" t="str">
        <f t="shared" si="55"/>
        <v>Yes</v>
      </c>
      <c r="Q310" s="75"/>
      <c r="R310" s="70" t="s">
        <v>39</v>
      </c>
      <c r="S310" s="68" t="s">
        <v>40</v>
      </c>
      <c r="T310" s="66"/>
      <c r="U310" s="75"/>
      <c r="V310" s="66"/>
      <c r="AV310" s="139" t="str">
        <v>Quarter 4</v>
      </c>
    </row>
    <row r="311" spans="1:48" ht="30" customHeight="1" x14ac:dyDescent="0.35">
      <c r="A311" s="214">
        <v>310</v>
      </c>
      <c r="B311" s="66" t="s">
        <v>55</v>
      </c>
      <c r="C311" s="66" t="s">
        <v>13</v>
      </c>
      <c r="D311" s="66" t="s">
        <v>1233</v>
      </c>
      <c r="E311" s="69">
        <v>46083</v>
      </c>
      <c r="F311" s="69">
        <f t="shared" si="64"/>
        <v>46084</v>
      </c>
      <c r="G311" s="69">
        <f t="shared" si="65"/>
        <v>46097</v>
      </c>
      <c r="H311" s="69">
        <f t="shared" si="66"/>
        <v>46111</v>
      </c>
      <c r="I311" s="69">
        <f t="shared" si="67"/>
        <v>46141</v>
      </c>
      <c r="J311" s="69" t="str">
        <f t="shared" si="59"/>
        <v>Mar</v>
      </c>
      <c r="K311" s="216" t="str">
        <f t="shared" ca="1" si="53"/>
        <v/>
      </c>
      <c r="L311" s="67" t="s">
        <v>10</v>
      </c>
      <c r="M311" s="67"/>
      <c r="N311" s="67">
        <v>46097</v>
      </c>
      <c r="O311" s="152">
        <f t="shared" si="54"/>
        <v>10</v>
      </c>
      <c r="P311" s="12" t="str">
        <f t="shared" si="55"/>
        <v>Yes</v>
      </c>
      <c r="Q311" s="75"/>
      <c r="R311" s="70" t="s">
        <v>39</v>
      </c>
      <c r="S311" s="68" t="s">
        <v>40</v>
      </c>
      <c r="T311" s="66"/>
      <c r="U311" s="75"/>
      <c r="V311" s="66" t="s">
        <v>46</v>
      </c>
      <c r="AV311" s="139" t="str">
        <v>Quarter 4</v>
      </c>
    </row>
    <row r="312" spans="1:48" ht="30" customHeight="1" x14ac:dyDescent="0.35">
      <c r="A312" s="214">
        <v>311</v>
      </c>
      <c r="B312" s="66" t="s">
        <v>1148</v>
      </c>
      <c r="C312" s="66" t="s">
        <v>9</v>
      </c>
      <c r="D312" s="66" t="s">
        <v>1313</v>
      </c>
      <c r="E312" s="69">
        <v>46083</v>
      </c>
      <c r="F312" s="69">
        <f t="shared" si="64"/>
        <v>46084</v>
      </c>
      <c r="G312" s="69">
        <f t="shared" si="65"/>
        <v>46097</v>
      </c>
      <c r="H312" s="69">
        <f t="shared" si="66"/>
        <v>46111</v>
      </c>
      <c r="I312" s="69">
        <f t="shared" si="67"/>
        <v>46141</v>
      </c>
      <c r="J312" s="69" t="str">
        <f t="shared" si="59"/>
        <v>Mar</v>
      </c>
      <c r="K312" s="216" t="str">
        <f t="shared" ca="1" si="53"/>
        <v/>
      </c>
      <c r="L312" s="67" t="s">
        <v>10</v>
      </c>
      <c r="M312" s="67"/>
      <c r="N312" s="67">
        <v>46083</v>
      </c>
      <c r="O312" s="152">
        <f t="shared" si="54"/>
        <v>0</v>
      </c>
      <c r="P312" s="12" t="str">
        <f t="shared" si="55"/>
        <v>Yes</v>
      </c>
      <c r="Q312" s="75"/>
      <c r="R312" s="70" t="s">
        <v>39</v>
      </c>
      <c r="S312" s="68" t="s">
        <v>40</v>
      </c>
      <c r="T312" s="66"/>
      <c r="U312" s="75"/>
      <c r="V312" s="66"/>
      <c r="AV312" s="139" t="str">
        <v>Quarter 4</v>
      </c>
    </row>
    <row r="313" spans="1:48" ht="30" customHeight="1" x14ac:dyDescent="0.35">
      <c r="A313" s="214">
        <v>312</v>
      </c>
      <c r="B313" s="66" t="s">
        <v>1148</v>
      </c>
      <c r="C313" s="66" t="s">
        <v>9</v>
      </c>
      <c r="D313" s="66" t="s">
        <v>1314</v>
      </c>
      <c r="E313" s="69">
        <v>46083</v>
      </c>
      <c r="F313" s="69">
        <f t="shared" si="64"/>
        <v>46084</v>
      </c>
      <c r="G313" s="69">
        <f t="shared" si="65"/>
        <v>46097</v>
      </c>
      <c r="H313" s="69">
        <f t="shared" si="66"/>
        <v>46111</v>
      </c>
      <c r="I313" s="69">
        <f t="shared" si="67"/>
        <v>46141</v>
      </c>
      <c r="J313" s="69" t="str">
        <f t="shared" si="59"/>
        <v>Mar</v>
      </c>
      <c r="K313" s="216" t="str">
        <f t="shared" ca="1" si="53"/>
        <v/>
      </c>
      <c r="L313" s="67" t="s">
        <v>10</v>
      </c>
      <c r="M313" s="67"/>
      <c r="N313" s="67">
        <v>46083</v>
      </c>
      <c r="O313" s="152">
        <f t="shared" si="54"/>
        <v>0</v>
      </c>
      <c r="P313" s="12" t="str">
        <f t="shared" si="55"/>
        <v>Yes</v>
      </c>
      <c r="Q313" s="75"/>
      <c r="R313" s="70" t="s">
        <v>39</v>
      </c>
      <c r="S313" s="68" t="s">
        <v>40</v>
      </c>
      <c r="T313" s="66"/>
      <c r="U313" s="75"/>
      <c r="V313" s="66"/>
      <c r="AV313" s="139" t="str">
        <v>Quarter 4</v>
      </c>
    </row>
    <row r="314" spans="1:48" ht="30" customHeight="1" x14ac:dyDescent="0.35">
      <c r="A314" s="214">
        <v>313</v>
      </c>
      <c r="B314" s="66" t="s">
        <v>1745</v>
      </c>
      <c r="C314" s="66" t="s">
        <v>12</v>
      </c>
      <c r="D314" s="66" t="s">
        <v>1179</v>
      </c>
      <c r="E314" s="69">
        <v>46084</v>
      </c>
      <c r="F314" s="69">
        <f t="shared" si="64"/>
        <v>46085</v>
      </c>
      <c r="G314" s="69">
        <f t="shared" si="65"/>
        <v>46098</v>
      </c>
      <c r="H314" s="69">
        <f t="shared" si="66"/>
        <v>46112</v>
      </c>
      <c r="I314" s="69">
        <f t="shared" si="67"/>
        <v>46142</v>
      </c>
      <c r="J314" s="69" t="str">
        <f t="shared" si="59"/>
        <v>Mar</v>
      </c>
      <c r="K314" s="216" t="str">
        <f t="shared" ca="1" si="53"/>
        <v/>
      </c>
      <c r="L314" s="67" t="s">
        <v>10</v>
      </c>
      <c r="M314" s="67"/>
      <c r="N314" s="67">
        <v>46085</v>
      </c>
      <c r="O314" s="152">
        <f t="shared" si="54"/>
        <v>1</v>
      </c>
      <c r="P314" s="12" t="str">
        <f t="shared" si="55"/>
        <v>Yes</v>
      </c>
      <c r="Q314" s="75"/>
      <c r="R314" s="70" t="s">
        <v>39</v>
      </c>
      <c r="S314" s="68" t="s">
        <v>40</v>
      </c>
      <c r="T314" s="66"/>
      <c r="U314" s="75"/>
      <c r="V314" s="66"/>
      <c r="AV314" s="139" t="str">
        <v>Quarter 4</v>
      </c>
    </row>
    <row r="315" spans="1:48" ht="30" customHeight="1" x14ac:dyDescent="0.35">
      <c r="A315" s="214">
        <v>314</v>
      </c>
      <c r="B315" s="66" t="s">
        <v>1750</v>
      </c>
      <c r="C315" s="66" t="s">
        <v>11</v>
      </c>
      <c r="D315" s="66" t="s">
        <v>1732</v>
      </c>
      <c r="E315" s="69">
        <v>46084</v>
      </c>
      <c r="F315" s="69">
        <f t="shared" si="64"/>
        <v>46085</v>
      </c>
      <c r="G315" s="69">
        <f t="shared" si="65"/>
        <v>46098</v>
      </c>
      <c r="H315" s="69">
        <f t="shared" si="66"/>
        <v>46112</v>
      </c>
      <c r="I315" s="69">
        <f t="shared" si="67"/>
        <v>46142</v>
      </c>
      <c r="J315" s="69" t="str">
        <f t="shared" si="59"/>
        <v>Mar</v>
      </c>
      <c r="K315" s="216" t="str">
        <f t="shared" ca="1" si="53"/>
        <v/>
      </c>
      <c r="L315" s="67" t="s">
        <v>10</v>
      </c>
      <c r="M315" s="67"/>
      <c r="N315" s="67">
        <v>46098</v>
      </c>
      <c r="O315" s="152">
        <f t="shared" si="54"/>
        <v>10</v>
      </c>
      <c r="P315" s="12" t="str">
        <f t="shared" si="55"/>
        <v>Yes</v>
      </c>
      <c r="Q315" s="75"/>
      <c r="R315" s="70" t="s">
        <v>39</v>
      </c>
      <c r="S315" s="68" t="s">
        <v>40</v>
      </c>
      <c r="T315" s="66"/>
      <c r="U315" s="75"/>
      <c r="V315" s="66"/>
      <c r="AV315" s="139" t="str">
        <v>Quarter 4</v>
      </c>
    </row>
    <row r="316" spans="1:48" ht="30" customHeight="1" x14ac:dyDescent="0.35">
      <c r="A316" s="214">
        <v>315</v>
      </c>
      <c r="B316" s="66" t="s">
        <v>493</v>
      </c>
      <c r="C316" s="66" t="s">
        <v>5</v>
      </c>
      <c r="D316" s="66" t="s">
        <v>1170</v>
      </c>
      <c r="E316" s="69">
        <v>46085</v>
      </c>
      <c r="F316" s="69">
        <f t="shared" si="64"/>
        <v>46086</v>
      </c>
      <c r="G316" s="69">
        <f t="shared" si="65"/>
        <v>46099</v>
      </c>
      <c r="H316" s="69">
        <f t="shared" si="66"/>
        <v>46113</v>
      </c>
      <c r="I316" s="69">
        <f t="shared" si="67"/>
        <v>46143</v>
      </c>
      <c r="J316" s="69" t="str">
        <f t="shared" si="59"/>
        <v>Mar</v>
      </c>
      <c r="K316" s="216" t="str">
        <f t="shared" ca="1" si="53"/>
        <v/>
      </c>
      <c r="L316" s="67" t="s">
        <v>10</v>
      </c>
      <c r="M316" s="67"/>
      <c r="N316" s="67">
        <v>46085</v>
      </c>
      <c r="O316" s="152">
        <f t="shared" si="54"/>
        <v>0</v>
      </c>
      <c r="P316" s="12" t="str">
        <f t="shared" si="55"/>
        <v>Yes</v>
      </c>
      <c r="Q316" s="75"/>
      <c r="R316" s="70" t="s">
        <v>39</v>
      </c>
      <c r="S316" s="68" t="s">
        <v>40</v>
      </c>
      <c r="T316" s="66"/>
      <c r="U316" s="75"/>
      <c r="V316" s="66"/>
      <c r="AV316" s="139" t="str">
        <v>Quarter 4</v>
      </c>
    </row>
    <row r="317" spans="1:48" ht="30" customHeight="1" x14ac:dyDescent="0.35">
      <c r="A317" s="214">
        <v>316</v>
      </c>
      <c r="B317" s="66" t="s">
        <v>55</v>
      </c>
      <c r="C317" s="66" t="s">
        <v>13</v>
      </c>
      <c r="D317" s="66" t="s">
        <v>1757</v>
      </c>
      <c r="E317" s="69">
        <v>46086</v>
      </c>
      <c r="F317" s="69">
        <f t="shared" si="64"/>
        <v>46087</v>
      </c>
      <c r="G317" s="69">
        <f t="shared" si="65"/>
        <v>46100</v>
      </c>
      <c r="H317" s="69">
        <f t="shared" si="66"/>
        <v>46114</v>
      </c>
      <c r="I317" s="69">
        <f t="shared" si="67"/>
        <v>46147</v>
      </c>
      <c r="J317" s="69" t="str">
        <f t="shared" si="59"/>
        <v>Mar</v>
      </c>
      <c r="K317" s="216" t="str">
        <f t="shared" ca="1" si="53"/>
        <v/>
      </c>
      <c r="L317" s="67" t="s">
        <v>10</v>
      </c>
      <c r="M317" s="67"/>
      <c r="N317" s="67">
        <v>46091</v>
      </c>
      <c r="O317" s="152">
        <f t="shared" si="54"/>
        <v>3</v>
      </c>
      <c r="P317" s="12" t="str">
        <f t="shared" si="55"/>
        <v>Yes</v>
      </c>
      <c r="Q317" s="75"/>
      <c r="R317" s="70" t="s">
        <v>39</v>
      </c>
      <c r="S317" s="68" t="s">
        <v>40</v>
      </c>
      <c r="T317" s="66"/>
      <c r="U317" s="75"/>
      <c r="V317" s="66"/>
      <c r="AV317" s="139" t="str">
        <v>Quarter 4</v>
      </c>
    </row>
    <row r="318" spans="1:48" ht="30" customHeight="1" x14ac:dyDescent="0.35">
      <c r="A318" s="214">
        <v>317</v>
      </c>
      <c r="B318" s="66" t="s">
        <v>55</v>
      </c>
      <c r="C318" s="66" t="s">
        <v>13</v>
      </c>
      <c r="D318" s="66" t="s">
        <v>1184</v>
      </c>
      <c r="E318" s="69">
        <v>46087</v>
      </c>
      <c r="F318" s="69">
        <f t="shared" si="64"/>
        <v>46090</v>
      </c>
      <c r="G318" s="69">
        <f t="shared" si="65"/>
        <v>46101</v>
      </c>
      <c r="H318" s="69">
        <f t="shared" si="66"/>
        <v>46119</v>
      </c>
      <c r="I318" s="69">
        <f t="shared" si="67"/>
        <v>46148</v>
      </c>
      <c r="J318" s="69" t="str">
        <f t="shared" si="59"/>
        <v>Mar</v>
      </c>
      <c r="K318" s="216" t="str">
        <f t="shared" ca="1" si="53"/>
        <v/>
      </c>
      <c r="L318" s="67" t="s">
        <v>4</v>
      </c>
      <c r="M318" s="67"/>
      <c r="N318" s="67">
        <v>46119</v>
      </c>
      <c r="O318" s="152">
        <f t="shared" si="54"/>
        <v>20</v>
      </c>
      <c r="P318" s="12" t="str">
        <f t="shared" si="55"/>
        <v>Yes</v>
      </c>
      <c r="Q318" s="75"/>
      <c r="R318" s="70" t="s">
        <v>39</v>
      </c>
      <c r="S318" s="68" t="s">
        <v>45</v>
      </c>
      <c r="T318" s="66"/>
      <c r="U318" s="75" t="s">
        <v>1165</v>
      </c>
      <c r="V318" s="66"/>
      <c r="AV318" s="139" t="str">
        <v>Quarter 4</v>
      </c>
    </row>
    <row r="319" spans="1:48" ht="30" customHeight="1" x14ac:dyDescent="0.35">
      <c r="A319" s="214">
        <v>318</v>
      </c>
      <c r="B319" s="66" t="s">
        <v>6</v>
      </c>
      <c r="C319" s="66" t="s">
        <v>6</v>
      </c>
      <c r="D319" s="66" t="s">
        <v>1763</v>
      </c>
      <c r="E319" s="69">
        <v>46087</v>
      </c>
      <c r="F319" s="69">
        <f t="shared" si="64"/>
        <v>46090</v>
      </c>
      <c r="G319" s="69">
        <f t="shared" si="65"/>
        <v>46101</v>
      </c>
      <c r="H319" s="69">
        <f t="shared" si="66"/>
        <v>46119</v>
      </c>
      <c r="I319" s="69">
        <f t="shared" si="67"/>
        <v>46148</v>
      </c>
      <c r="J319" s="69" t="str">
        <f t="shared" si="59"/>
        <v>Mar</v>
      </c>
      <c r="K319" s="216" t="str">
        <f t="shared" ca="1" si="53"/>
        <v/>
      </c>
      <c r="L319" s="67" t="s">
        <v>10</v>
      </c>
      <c r="M319" s="67"/>
      <c r="N319" s="67">
        <v>46087</v>
      </c>
      <c r="O319" s="152">
        <f t="shared" si="54"/>
        <v>0</v>
      </c>
      <c r="P319" s="12" t="str">
        <f t="shared" si="55"/>
        <v>Yes</v>
      </c>
      <c r="Q319" s="75"/>
      <c r="R319" s="70" t="s">
        <v>39</v>
      </c>
      <c r="S319" s="68" t="s">
        <v>40</v>
      </c>
      <c r="T319" s="66"/>
      <c r="U319" s="75" t="s">
        <v>1147</v>
      </c>
      <c r="V319" s="66"/>
      <c r="AV319" s="139" t="str">
        <v>Quarter 4</v>
      </c>
    </row>
    <row r="320" spans="1:48" ht="30" customHeight="1" x14ac:dyDescent="0.35">
      <c r="A320" s="214">
        <v>319</v>
      </c>
      <c r="B320" s="66" t="s">
        <v>55</v>
      </c>
      <c r="C320" s="66" t="s">
        <v>13</v>
      </c>
      <c r="D320" s="66" t="s">
        <v>1370</v>
      </c>
      <c r="E320" s="69">
        <v>46087</v>
      </c>
      <c r="F320" s="69">
        <f t="shared" si="64"/>
        <v>46090</v>
      </c>
      <c r="G320" s="69">
        <f t="shared" si="65"/>
        <v>46101</v>
      </c>
      <c r="H320" s="69">
        <f t="shared" si="66"/>
        <v>46119</v>
      </c>
      <c r="I320" s="69">
        <f t="shared" si="67"/>
        <v>46148</v>
      </c>
      <c r="J320" s="69" t="str">
        <f t="shared" si="59"/>
        <v>Mar</v>
      </c>
      <c r="K320" s="216" t="str">
        <f t="shared" ca="1" si="53"/>
        <v/>
      </c>
      <c r="L320" s="67" t="s">
        <v>10</v>
      </c>
      <c r="M320" s="67"/>
      <c r="N320" s="67">
        <v>46090</v>
      </c>
      <c r="O320" s="152">
        <f t="shared" si="54"/>
        <v>1</v>
      </c>
      <c r="P320" s="12" t="str">
        <f t="shared" si="55"/>
        <v>Yes</v>
      </c>
      <c r="Q320" s="75"/>
      <c r="R320" s="70" t="s">
        <v>39</v>
      </c>
      <c r="S320" s="68" t="s">
        <v>40</v>
      </c>
      <c r="T320" s="66"/>
      <c r="U320" s="75"/>
      <c r="V320" s="66"/>
      <c r="AV320" s="139" t="str">
        <v>Quarter 4</v>
      </c>
    </row>
    <row r="321" spans="1:48" ht="30" customHeight="1" x14ac:dyDescent="0.35">
      <c r="A321" s="214">
        <v>320</v>
      </c>
      <c r="B321" s="66" t="s">
        <v>1772</v>
      </c>
      <c r="C321" s="66" t="s">
        <v>9</v>
      </c>
      <c r="D321" s="66" t="s">
        <v>1773</v>
      </c>
      <c r="E321" s="69">
        <v>46090</v>
      </c>
      <c r="F321" s="69">
        <f t="shared" si="64"/>
        <v>46091</v>
      </c>
      <c r="G321" s="69">
        <f t="shared" si="65"/>
        <v>46104</v>
      </c>
      <c r="H321" s="69">
        <f t="shared" si="66"/>
        <v>46120</v>
      </c>
      <c r="I321" s="69">
        <f t="shared" si="67"/>
        <v>46149</v>
      </c>
      <c r="J321" s="69" t="str">
        <f t="shared" si="59"/>
        <v>Mar</v>
      </c>
      <c r="K321" s="216" t="str">
        <f t="shared" ca="1" si="53"/>
        <v/>
      </c>
      <c r="L321" s="67" t="s">
        <v>10</v>
      </c>
      <c r="M321" s="67"/>
      <c r="N321" s="67">
        <v>46091</v>
      </c>
      <c r="O321" s="152">
        <f t="shared" si="54"/>
        <v>1</v>
      </c>
      <c r="P321" s="12" t="str">
        <f t="shared" si="55"/>
        <v>Yes</v>
      </c>
      <c r="Q321" s="75"/>
      <c r="R321" s="70" t="s">
        <v>39</v>
      </c>
      <c r="S321" s="68" t="s">
        <v>40</v>
      </c>
      <c r="T321" s="66"/>
      <c r="U321" s="75"/>
      <c r="V321" s="66" t="s">
        <v>1775</v>
      </c>
      <c r="AV321" s="139" t="str">
        <v>Quarter 4</v>
      </c>
    </row>
    <row r="322" spans="1:48" ht="30" customHeight="1" x14ac:dyDescent="0.35">
      <c r="A322" s="214">
        <v>321</v>
      </c>
      <c r="B322" s="66" t="s">
        <v>1223</v>
      </c>
      <c r="C322" s="66" t="s">
        <v>9</v>
      </c>
      <c r="D322" s="66" t="s">
        <v>1159</v>
      </c>
      <c r="E322" s="69">
        <v>46091</v>
      </c>
      <c r="F322" s="69">
        <f t="shared" si="64"/>
        <v>46092</v>
      </c>
      <c r="G322" s="69">
        <f t="shared" si="65"/>
        <v>46105</v>
      </c>
      <c r="H322" s="69">
        <f t="shared" si="66"/>
        <v>46121</v>
      </c>
      <c r="I322" s="69">
        <f t="shared" si="67"/>
        <v>46150</v>
      </c>
      <c r="J322" s="69" t="str">
        <f t="shared" si="59"/>
        <v>Mar</v>
      </c>
      <c r="K322" s="216" t="str">
        <f t="shared" ref="K322:K342" ca="1" si="68">IF($E322="","",IF($N322="",$H322-TODAY(),""))</f>
        <v/>
      </c>
      <c r="L322" s="67" t="s">
        <v>10</v>
      </c>
      <c r="M322" s="67"/>
      <c r="N322" s="67">
        <v>46091</v>
      </c>
      <c r="O322" s="152">
        <f t="shared" ref="O322:O342" si="69">IF($N322="","",NETWORKDAYS($E322,$N322,$Z$33:$Z$47)-1)</f>
        <v>0</v>
      </c>
      <c r="P322" s="12" t="str">
        <f t="shared" si="55"/>
        <v>Yes</v>
      </c>
      <c r="Q322" s="75"/>
      <c r="R322" s="70" t="s">
        <v>39</v>
      </c>
      <c r="S322" s="68" t="s">
        <v>40</v>
      </c>
      <c r="T322" s="66"/>
      <c r="U322" s="75"/>
      <c r="V322" s="66"/>
      <c r="AV322" s="139" t="str">
        <v>Quarter 4</v>
      </c>
    </row>
    <row r="323" spans="1:48" ht="30" customHeight="1" x14ac:dyDescent="0.35">
      <c r="A323" s="214">
        <v>322</v>
      </c>
      <c r="B323" s="66" t="s">
        <v>55</v>
      </c>
      <c r="C323" s="66" t="s">
        <v>13</v>
      </c>
      <c r="D323" s="66" t="s">
        <v>1778</v>
      </c>
      <c r="E323" s="69">
        <v>46091</v>
      </c>
      <c r="F323" s="69">
        <f t="shared" si="64"/>
        <v>46092</v>
      </c>
      <c r="G323" s="69">
        <f t="shared" si="65"/>
        <v>46105</v>
      </c>
      <c r="H323" s="69">
        <f t="shared" si="66"/>
        <v>46121</v>
      </c>
      <c r="I323" s="69">
        <f t="shared" si="67"/>
        <v>46150</v>
      </c>
      <c r="J323" s="69" t="str">
        <f t="shared" si="59"/>
        <v>Mar</v>
      </c>
      <c r="K323" s="216" t="str">
        <f t="shared" ca="1" si="68"/>
        <v/>
      </c>
      <c r="L323" s="67" t="s">
        <v>10</v>
      </c>
      <c r="M323" s="67"/>
      <c r="N323" s="67">
        <v>46092</v>
      </c>
      <c r="O323" s="152">
        <f t="shared" si="69"/>
        <v>1</v>
      </c>
      <c r="P323" s="12" t="str">
        <f t="shared" si="55"/>
        <v>Yes</v>
      </c>
      <c r="Q323" s="75"/>
      <c r="R323" s="70" t="s">
        <v>39</v>
      </c>
      <c r="S323" s="68" t="s">
        <v>40</v>
      </c>
      <c r="T323" s="66"/>
      <c r="U323" s="75"/>
      <c r="V323" s="66"/>
      <c r="AV323" s="139" t="str">
        <v>Quarter 4</v>
      </c>
    </row>
    <row r="324" spans="1:48" ht="30" customHeight="1" x14ac:dyDescent="0.35">
      <c r="A324" s="214">
        <v>323</v>
      </c>
      <c r="B324" s="66" t="s">
        <v>6</v>
      </c>
      <c r="C324" s="66" t="s">
        <v>6</v>
      </c>
      <c r="D324" s="66" t="s">
        <v>1184</v>
      </c>
      <c r="E324" s="69">
        <v>46091</v>
      </c>
      <c r="F324" s="69">
        <f t="shared" si="64"/>
        <v>46092</v>
      </c>
      <c r="G324" s="69">
        <f t="shared" si="65"/>
        <v>46105</v>
      </c>
      <c r="H324" s="69">
        <f t="shared" si="66"/>
        <v>46121</v>
      </c>
      <c r="I324" s="69">
        <f t="shared" si="67"/>
        <v>46150</v>
      </c>
      <c r="J324" s="69" t="str">
        <f t="shared" si="59"/>
        <v>Mar</v>
      </c>
      <c r="K324" s="216" t="str">
        <f t="shared" ca="1" si="68"/>
        <v/>
      </c>
      <c r="L324" s="67" t="s">
        <v>4</v>
      </c>
      <c r="M324" s="67"/>
      <c r="N324" s="67">
        <v>46120</v>
      </c>
      <c r="O324" s="152">
        <f t="shared" si="69"/>
        <v>19</v>
      </c>
      <c r="P324" s="12" t="str">
        <f t="shared" ref="P324:P342" si="70">IF(ISBLANK($N324),"",IF($O324&lt;21,"Yes","No"))</f>
        <v>Yes</v>
      </c>
      <c r="Q324" s="75"/>
      <c r="R324" s="70" t="s">
        <v>39</v>
      </c>
      <c r="S324" s="68" t="s">
        <v>40</v>
      </c>
      <c r="T324" s="66"/>
      <c r="U324" s="75" t="s">
        <v>1147</v>
      </c>
      <c r="V324" s="66"/>
      <c r="AV324" s="139" t="str">
        <v>Quarter 4</v>
      </c>
    </row>
    <row r="325" spans="1:48" ht="30" customHeight="1" x14ac:dyDescent="0.35">
      <c r="A325" s="214">
        <v>324</v>
      </c>
      <c r="B325" s="66" t="s">
        <v>6</v>
      </c>
      <c r="C325" s="66" t="s">
        <v>6</v>
      </c>
      <c r="D325" s="66" t="s">
        <v>1780</v>
      </c>
      <c r="E325" s="69">
        <v>46091</v>
      </c>
      <c r="F325" s="69">
        <f t="shared" si="64"/>
        <v>46092</v>
      </c>
      <c r="G325" s="69">
        <f t="shared" si="65"/>
        <v>46105</v>
      </c>
      <c r="H325" s="69">
        <f t="shared" si="66"/>
        <v>46121</v>
      </c>
      <c r="I325" s="69">
        <f t="shared" si="67"/>
        <v>46150</v>
      </c>
      <c r="J325" s="69" t="str">
        <f t="shared" si="59"/>
        <v>Mar</v>
      </c>
      <c r="K325" s="216" t="str">
        <f t="shared" ca="1" si="68"/>
        <v/>
      </c>
      <c r="L325" s="67" t="s">
        <v>10</v>
      </c>
      <c r="M325" s="67"/>
      <c r="N325" s="67">
        <v>46120</v>
      </c>
      <c r="O325" s="152">
        <f t="shared" si="69"/>
        <v>19</v>
      </c>
      <c r="P325" s="12" t="str">
        <f t="shared" si="70"/>
        <v>Yes</v>
      </c>
      <c r="Q325" s="75"/>
      <c r="R325" s="70" t="s">
        <v>39</v>
      </c>
      <c r="S325" s="68" t="s">
        <v>40</v>
      </c>
      <c r="T325" s="66"/>
      <c r="U325" s="75"/>
      <c r="V325" s="66"/>
      <c r="AV325" s="139" t="str">
        <v>Quarter 4</v>
      </c>
    </row>
    <row r="326" spans="1:48" ht="30" customHeight="1" x14ac:dyDescent="0.35">
      <c r="A326" s="214">
        <v>325</v>
      </c>
      <c r="B326" s="66" t="s">
        <v>1791</v>
      </c>
      <c r="C326" s="66" t="s">
        <v>9</v>
      </c>
      <c r="D326" s="66" t="s">
        <v>1792</v>
      </c>
      <c r="E326" s="69">
        <v>46094</v>
      </c>
      <c r="F326" s="69">
        <f t="shared" si="64"/>
        <v>46097</v>
      </c>
      <c r="G326" s="69">
        <f t="shared" si="65"/>
        <v>46108</v>
      </c>
      <c r="H326" s="69">
        <f t="shared" si="66"/>
        <v>46126</v>
      </c>
      <c r="I326" s="69">
        <f t="shared" si="67"/>
        <v>46155</v>
      </c>
      <c r="J326" s="69" t="str">
        <f t="shared" si="59"/>
        <v>Mar</v>
      </c>
      <c r="K326" s="216" t="str">
        <f t="shared" ca="1" si="68"/>
        <v/>
      </c>
      <c r="L326" s="67" t="s">
        <v>10</v>
      </c>
      <c r="M326" s="67"/>
      <c r="N326" s="67">
        <v>46111</v>
      </c>
      <c r="O326" s="152">
        <f t="shared" si="69"/>
        <v>11</v>
      </c>
      <c r="P326" s="12" t="str">
        <f t="shared" si="70"/>
        <v>Yes</v>
      </c>
      <c r="Q326" s="75"/>
      <c r="R326" s="70" t="s">
        <v>39</v>
      </c>
      <c r="S326" s="68" t="s">
        <v>40</v>
      </c>
      <c r="T326" s="66"/>
      <c r="U326" s="75" t="s">
        <v>1147</v>
      </c>
      <c r="V326" s="66" t="s">
        <v>46</v>
      </c>
      <c r="AV326" s="139" t="str">
        <v>Quarter 4</v>
      </c>
    </row>
    <row r="327" spans="1:48" ht="30" customHeight="1" x14ac:dyDescent="0.35">
      <c r="A327" s="214">
        <v>326</v>
      </c>
      <c r="B327" s="66" t="s">
        <v>6</v>
      </c>
      <c r="C327" s="66" t="s">
        <v>6</v>
      </c>
      <c r="D327" s="66" t="s">
        <v>1793</v>
      </c>
      <c r="E327" s="69">
        <v>46094</v>
      </c>
      <c r="F327" s="69">
        <f t="shared" si="64"/>
        <v>46097</v>
      </c>
      <c r="G327" s="69">
        <f t="shared" si="65"/>
        <v>46108</v>
      </c>
      <c r="H327" s="69">
        <f t="shared" si="66"/>
        <v>46126</v>
      </c>
      <c r="I327" s="69">
        <f t="shared" si="67"/>
        <v>46155</v>
      </c>
      <c r="J327" s="69" t="str">
        <f t="shared" si="59"/>
        <v>Mar</v>
      </c>
      <c r="K327" s="216" t="str">
        <f t="shared" ca="1" si="68"/>
        <v/>
      </c>
      <c r="L327" s="67" t="s">
        <v>10</v>
      </c>
      <c r="M327" s="67"/>
      <c r="N327" s="67">
        <v>46111</v>
      </c>
      <c r="O327" s="152">
        <f t="shared" si="69"/>
        <v>11</v>
      </c>
      <c r="P327" s="12" t="str">
        <f t="shared" si="70"/>
        <v>Yes</v>
      </c>
      <c r="Q327" s="75"/>
      <c r="R327" s="70" t="s">
        <v>39</v>
      </c>
      <c r="S327" s="68" t="s">
        <v>40</v>
      </c>
      <c r="T327" s="66"/>
      <c r="U327" s="75"/>
      <c r="V327" s="66" t="s">
        <v>46</v>
      </c>
      <c r="AV327" s="139" t="str">
        <v>Quarter 4</v>
      </c>
    </row>
    <row r="328" spans="1:48" ht="30" customHeight="1" x14ac:dyDescent="0.35">
      <c r="A328" s="214">
        <v>327</v>
      </c>
      <c r="B328" s="66" t="s">
        <v>55</v>
      </c>
      <c r="C328" s="66" t="s">
        <v>13</v>
      </c>
      <c r="D328" s="66" t="s">
        <v>1795</v>
      </c>
      <c r="E328" s="69">
        <v>46096</v>
      </c>
      <c r="F328" s="69">
        <f t="shared" si="64"/>
        <v>46097</v>
      </c>
      <c r="G328" s="69">
        <f t="shared" si="65"/>
        <v>46108</v>
      </c>
      <c r="H328" s="69">
        <f t="shared" si="66"/>
        <v>46126</v>
      </c>
      <c r="I328" s="69">
        <f t="shared" si="67"/>
        <v>46155</v>
      </c>
      <c r="J328" s="69" t="str">
        <f t="shared" si="59"/>
        <v>Mar</v>
      </c>
      <c r="K328" s="216" t="str">
        <f t="shared" ca="1" si="68"/>
        <v/>
      </c>
      <c r="L328" s="67" t="s">
        <v>10</v>
      </c>
      <c r="M328" s="67"/>
      <c r="N328" s="67">
        <v>46100</v>
      </c>
      <c r="O328" s="152">
        <f t="shared" si="69"/>
        <v>3</v>
      </c>
      <c r="P328" s="12" t="str">
        <f t="shared" si="70"/>
        <v>Yes</v>
      </c>
      <c r="Q328" s="75"/>
      <c r="R328" s="70" t="s">
        <v>39</v>
      </c>
      <c r="S328" s="68" t="s">
        <v>40</v>
      </c>
      <c r="T328" s="66"/>
      <c r="U328" s="75"/>
      <c r="V328" s="66"/>
      <c r="AV328" s="139" t="str">
        <v>Quarter 4</v>
      </c>
    </row>
    <row r="329" spans="1:48" ht="30" customHeight="1" x14ac:dyDescent="0.35">
      <c r="A329" s="214">
        <v>328</v>
      </c>
      <c r="B329" s="66" t="s">
        <v>6</v>
      </c>
      <c r="C329" s="66" t="s">
        <v>6</v>
      </c>
      <c r="D329" s="66" t="s">
        <v>1808</v>
      </c>
      <c r="E329" s="69">
        <v>46098</v>
      </c>
      <c r="F329" s="69">
        <f t="shared" si="64"/>
        <v>46099</v>
      </c>
      <c r="G329" s="69">
        <f t="shared" si="65"/>
        <v>46112</v>
      </c>
      <c r="H329" s="69">
        <f t="shared" si="66"/>
        <v>46128</v>
      </c>
      <c r="I329" s="69">
        <f t="shared" si="67"/>
        <v>46157</v>
      </c>
      <c r="J329" s="69" t="str">
        <f t="shared" si="59"/>
        <v>Mar</v>
      </c>
      <c r="K329" s="216" t="str">
        <f t="shared" ca="1" si="68"/>
        <v/>
      </c>
      <c r="L329" s="67" t="s">
        <v>10</v>
      </c>
      <c r="M329" s="67"/>
      <c r="N329" s="67">
        <v>46113</v>
      </c>
      <c r="O329" s="152">
        <f t="shared" si="69"/>
        <v>11</v>
      </c>
      <c r="P329" s="12" t="str">
        <f t="shared" si="70"/>
        <v>Yes</v>
      </c>
      <c r="Q329" s="75"/>
      <c r="R329" s="70" t="s">
        <v>39</v>
      </c>
      <c r="S329" s="68" t="s">
        <v>40</v>
      </c>
      <c r="T329" s="66"/>
      <c r="U329" s="75"/>
      <c r="V329" s="66"/>
      <c r="AV329" s="139" t="str">
        <v>Quarter 4</v>
      </c>
    </row>
    <row r="330" spans="1:48" ht="30" customHeight="1" x14ac:dyDescent="0.35">
      <c r="A330" s="214">
        <v>329</v>
      </c>
      <c r="B330" s="66" t="s">
        <v>6</v>
      </c>
      <c r="C330" s="66" t="s">
        <v>6</v>
      </c>
      <c r="D330" s="66" t="s">
        <v>1687</v>
      </c>
      <c r="E330" s="69">
        <v>46100</v>
      </c>
      <c r="F330" s="69">
        <f t="shared" si="64"/>
        <v>46101</v>
      </c>
      <c r="G330" s="69">
        <f t="shared" si="65"/>
        <v>46114</v>
      </c>
      <c r="H330" s="69">
        <f t="shared" si="66"/>
        <v>46132</v>
      </c>
      <c r="I330" s="69">
        <f t="shared" si="67"/>
        <v>46161</v>
      </c>
      <c r="J330" s="69" t="str">
        <f t="shared" si="59"/>
        <v>Mar</v>
      </c>
      <c r="K330" s="216" t="str">
        <f t="shared" ca="1" si="68"/>
        <v/>
      </c>
      <c r="L330" s="67" t="s">
        <v>10</v>
      </c>
      <c r="M330" s="67"/>
      <c r="N330" s="67">
        <v>46119</v>
      </c>
      <c r="O330" s="152">
        <f t="shared" si="69"/>
        <v>11</v>
      </c>
      <c r="P330" s="12" t="str">
        <f t="shared" si="70"/>
        <v>Yes</v>
      </c>
      <c r="Q330" s="75"/>
      <c r="R330" s="70" t="s">
        <v>39</v>
      </c>
      <c r="S330" s="68" t="s">
        <v>40</v>
      </c>
      <c r="T330" s="66"/>
      <c r="U330" s="75"/>
      <c r="V330" s="66" t="s">
        <v>46</v>
      </c>
      <c r="AV330" s="139" t="str">
        <v>Quarter 4</v>
      </c>
    </row>
    <row r="331" spans="1:48" ht="30" customHeight="1" x14ac:dyDescent="0.35">
      <c r="A331" s="214">
        <v>330</v>
      </c>
      <c r="B331" s="66" t="s">
        <v>6</v>
      </c>
      <c r="C331" s="66" t="s">
        <v>6</v>
      </c>
      <c r="D331" s="66" t="s">
        <v>1815</v>
      </c>
      <c r="E331" s="69">
        <v>46100</v>
      </c>
      <c r="F331" s="69">
        <f t="shared" si="64"/>
        <v>46101</v>
      </c>
      <c r="G331" s="69">
        <f t="shared" si="65"/>
        <v>46114</v>
      </c>
      <c r="H331" s="69">
        <f t="shared" si="66"/>
        <v>46132</v>
      </c>
      <c r="I331" s="69">
        <f t="shared" si="67"/>
        <v>46161</v>
      </c>
      <c r="J331" s="69" t="str">
        <f t="shared" si="59"/>
        <v>Mar</v>
      </c>
      <c r="K331" s="216" t="str">
        <f t="shared" ca="1" si="68"/>
        <v/>
      </c>
      <c r="L331" s="67" t="s">
        <v>10</v>
      </c>
      <c r="M331" s="67"/>
      <c r="N331" s="67">
        <v>46104</v>
      </c>
      <c r="O331" s="152">
        <f t="shared" si="69"/>
        <v>2</v>
      </c>
      <c r="P331" s="12" t="str">
        <f t="shared" si="70"/>
        <v>Yes</v>
      </c>
      <c r="Q331" s="75"/>
      <c r="R331" s="70" t="s">
        <v>39</v>
      </c>
      <c r="S331" s="68" t="s">
        <v>40</v>
      </c>
      <c r="T331" s="66"/>
      <c r="U331" s="75"/>
      <c r="V331" s="66"/>
      <c r="AV331" s="139" t="str">
        <v>Quarter 4</v>
      </c>
    </row>
    <row r="332" spans="1:48" ht="30" customHeight="1" x14ac:dyDescent="0.35">
      <c r="A332" s="214">
        <v>331</v>
      </c>
      <c r="B332" s="66" t="s">
        <v>55</v>
      </c>
      <c r="C332" s="66" t="s">
        <v>13</v>
      </c>
      <c r="D332" s="66" t="s">
        <v>1818</v>
      </c>
      <c r="E332" s="69">
        <v>46100</v>
      </c>
      <c r="F332" s="69">
        <f t="shared" si="64"/>
        <v>46101</v>
      </c>
      <c r="G332" s="69">
        <f t="shared" si="65"/>
        <v>46114</v>
      </c>
      <c r="H332" s="69">
        <f t="shared" si="66"/>
        <v>46132</v>
      </c>
      <c r="I332" s="69">
        <f t="shared" si="67"/>
        <v>46161</v>
      </c>
      <c r="J332" s="69" t="str">
        <f t="shared" si="59"/>
        <v>Mar</v>
      </c>
      <c r="K332" s="216" t="str">
        <f t="shared" ca="1" si="68"/>
        <v/>
      </c>
      <c r="L332" s="67" t="s">
        <v>10</v>
      </c>
      <c r="M332" s="67"/>
      <c r="N332" s="67">
        <v>46100</v>
      </c>
      <c r="O332" s="152">
        <f t="shared" si="69"/>
        <v>0</v>
      </c>
      <c r="P332" s="12" t="str">
        <f t="shared" si="70"/>
        <v>Yes</v>
      </c>
      <c r="Q332" s="75"/>
      <c r="R332" s="70" t="s">
        <v>39</v>
      </c>
      <c r="S332" s="68" t="s">
        <v>40</v>
      </c>
      <c r="T332" s="66"/>
      <c r="U332" s="75"/>
      <c r="V332" s="66"/>
      <c r="AV332" s="139" t="str">
        <v>Quarter 4</v>
      </c>
    </row>
    <row r="333" spans="1:48" ht="30" customHeight="1" x14ac:dyDescent="0.35">
      <c r="A333" s="214">
        <v>332</v>
      </c>
      <c r="B333" s="66" t="s">
        <v>6</v>
      </c>
      <c r="C333" s="66" t="s">
        <v>6</v>
      </c>
      <c r="D333" s="66" t="s">
        <v>1819</v>
      </c>
      <c r="E333" s="69">
        <v>46100</v>
      </c>
      <c r="F333" s="69">
        <f t="shared" si="64"/>
        <v>46101</v>
      </c>
      <c r="G333" s="69">
        <f t="shared" si="65"/>
        <v>46114</v>
      </c>
      <c r="H333" s="69">
        <f t="shared" si="66"/>
        <v>46132</v>
      </c>
      <c r="I333" s="69">
        <f t="shared" si="67"/>
        <v>46161</v>
      </c>
      <c r="J333" s="69" t="str">
        <f t="shared" si="59"/>
        <v>Mar</v>
      </c>
      <c r="K333" s="216" t="str">
        <f t="shared" ca="1" si="68"/>
        <v/>
      </c>
      <c r="L333" s="67" t="s">
        <v>10</v>
      </c>
      <c r="M333" s="67"/>
      <c r="N333" s="67">
        <v>46121</v>
      </c>
      <c r="O333" s="152">
        <f t="shared" si="69"/>
        <v>13</v>
      </c>
      <c r="P333" s="12" t="str">
        <f t="shared" si="70"/>
        <v>Yes</v>
      </c>
      <c r="Q333" s="75"/>
      <c r="R333" s="70" t="s">
        <v>39</v>
      </c>
      <c r="S333" s="68" t="s">
        <v>40</v>
      </c>
      <c r="T333" s="66"/>
      <c r="U333" s="75" t="s">
        <v>1151</v>
      </c>
      <c r="V333" s="66"/>
      <c r="AV333" s="139" t="str">
        <v>Quarter 4</v>
      </c>
    </row>
    <row r="334" spans="1:48" ht="30" customHeight="1" x14ac:dyDescent="0.35">
      <c r="A334" s="214">
        <v>333</v>
      </c>
      <c r="B334" s="66" t="s">
        <v>6</v>
      </c>
      <c r="C334" s="66" t="s">
        <v>6</v>
      </c>
      <c r="D334" s="66" t="s">
        <v>1687</v>
      </c>
      <c r="E334" s="69">
        <v>46105</v>
      </c>
      <c r="F334" s="69">
        <f t="shared" si="64"/>
        <v>46106</v>
      </c>
      <c r="G334" s="69">
        <f t="shared" si="65"/>
        <v>46121</v>
      </c>
      <c r="H334" s="69">
        <f t="shared" si="66"/>
        <v>46135</v>
      </c>
      <c r="I334" s="69">
        <f t="shared" si="67"/>
        <v>46164</v>
      </c>
      <c r="J334" s="69" t="str">
        <f t="shared" si="59"/>
        <v>Mar</v>
      </c>
      <c r="K334" s="216" t="str">
        <f t="shared" ca="1" si="68"/>
        <v/>
      </c>
      <c r="L334" s="67" t="s">
        <v>10</v>
      </c>
      <c r="M334" s="67"/>
      <c r="N334" s="67">
        <v>46114</v>
      </c>
      <c r="O334" s="152">
        <f t="shared" si="69"/>
        <v>7</v>
      </c>
      <c r="P334" s="12" t="str">
        <f t="shared" si="70"/>
        <v>Yes</v>
      </c>
      <c r="Q334" s="75"/>
      <c r="R334" s="70" t="s">
        <v>39</v>
      </c>
      <c r="S334" s="68" t="s">
        <v>40</v>
      </c>
      <c r="T334" s="66"/>
      <c r="U334" s="75"/>
      <c r="V334" s="66"/>
      <c r="AV334" s="139" t="str">
        <v>Quarter 4</v>
      </c>
    </row>
    <row r="335" spans="1:48" ht="30" customHeight="1" x14ac:dyDescent="0.35">
      <c r="A335" s="214">
        <v>334</v>
      </c>
      <c r="B335" s="66" t="s">
        <v>6</v>
      </c>
      <c r="C335" s="66" t="s">
        <v>6</v>
      </c>
      <c r="D335" s="66" t="s">
        <v>1834</v>
      </c>
      <c r="E335" s="69">
        <v>46105</v>
      </c>
      <c r="F335" s="69">
        <f t="shared" si="64"/>
        <v>46106</v>
      </c>
      <c r="G335" s="69">
        <f t="shared" si="65"/>
        <v>46121</v>
      </c>
      <c r="H335" s="69">
        <f t="shared" si="66"/>
        <v>46135</v>
      </c>
      <c r="I335" s="69">
        <f t="shared" si="67"/>
        <v>46164</v>
      </c>
      <c r="J335" s="69" t="str">
        <f t="shared" si="59"/>
        <v>Mar</v>
      </c>
      <c r="K335" s="216" t="str">
        <f t="shared" ca="1" si="68"/>
        <v/>
      </c>
      <c r="L335" s="67" t="s">
        <v>10</v>
      </c>
      <c r="M335" s="67"/>
      <c r="N335" s="67">
        <v>46113</v>
      </c>
      <c r="O335" s="152">
        <f t="shared" si="69"/>
        <v>6</v>
      </c>
      <c r="P335" s="12" t="str">
        <f t="shared" si="70"/>
        <v>Yes</v>
      </c>
      <c r="Q335" s="75"/>
      <c r="R335" s="70" t="s">
        <v>39</v>
      </c>
      <c r="S335" s="68" t="s">
        <v>40</v>
      </c>
      <c r="T335" s="66"/>
      <c r="U335" s="75" t="s">
        <v>1151</v>
      </c>
      <c r="V335" s="66"/>
      <c r="AV335" s="139" t="str">
        <v>Quarter 4</v>
      </c>
    </row>
    <row r="336" spans="1:48" ht="30" customHeight="1" x14ac:dyDescent="0.35">
      <c r="A336" s="214">
        <v>335</v>
      </c>
      <c r="B336" s="66" t="s">
        <v>1848</v>
      </c>
      <c r="C336" s="66" t="s">
        <v>9</v>
      </c>
      <c r="D336" s="66" t="s">
        <v>1849</v>
      </c>
      <c r="E336" s="69">
        <v>46106</v>
      </c>
      <c r="F336" s="69">
        <f t="shared" si="64"/>
        <v>46107</v>
      </c>
      <c r="G336" s="69">
        <f t="shared" si="65"/>
        <v>46122</v>
      </c>
      <c r="H336" s="69">
        <f t="shared" si="66"/>
        <v>46136</v>
      </c>
      <c r="I336" s="69">
        <f t="shared" si="67"/>
        <v>46168</v>
      </c>
      <c r="J336" s="69" t="str">
        <f t="shared" si="59"/>
        <v>Mar</v>
      </c>
      <c r="K336" s="216" t="str">
        <f t="shared" ca="1" si="68"/>
        <v/>
      </c>
      <c r="L336" s="67" t="s">
        <v>10</v>
      </c>
      <c r="M336" s="67"/>
      <c r="N336" s="67">
        <v>46113</v>
      </c>
      <c r="O336" s="152">
        <f t="shared" si="69"/>
        <v>5</v>
      </c>
      <c r="P336" s="12" t="str">
        <f t="shared" si="70"/>
        <v>Yes</v>
      </c>
      <c r="Q336" s="75"/>
      <c r="R336" s="70" t="s">
        <v>39</v>
      </c>
      <c r="S336" s="68" t="s">
        <v>40</v>
      </c>
      <c r="T336" s="66"/>
      <c r="U336" s="75"/>
      <c r="V336" s="66" t="s">
        <v>46</v>
      </c>
      <c r="AV336" s="139" t="str">
        <v>Quarter 4</v>
      </c>
    </row>
    <row r="337" spans="1:48" ht="30" customHeight="1" x14ac:dyDescent="0.35">
      <c r="A337" s="214">
        <v>336</v>
      </c>
      <c r="B337" s="66" t="s">
        <v>1172</v>
      </c>
      <c r="C337" s="66" t="s">
        <v>5</v>
      </c>
      <c r="D337" s="66" t="s">
        <v>1888</v>
      </c>
      <c r="E337" s="69">
        <v>46106</v>
      </c>
      <c r="F337" s="69">
        <f t="shared" si="64"/>
        <v>46107</v>
      </c>
      <c r="G337" s="69">
        <f t="shared" si="65"/>
        <v>46122</v>
      </c>
      <c r="H337" s="69">
        <f t="shared" si="66"/>
        <v>46136</v>
      </c>
      <c r="I337" s="69">
        <f t="shared" si="67"/>
        <v>46168</v>
      </c>
      <c r="J337" s="69" t="str">
        <f t="shared" si="59"/>
        <v>Mar</v>
      </c>
      <c r="K337" s="216" t="str">
        <f t="shared" ca="1" si="68"/>
        <v/>
      </c>
      <c r="L337" s="67" t="s">
        <v>10</v>
      </c>
      <c r="M337" s="67"/>
      <c r="N337" s="67">
        <v>46114</v>
      </c>
      <c r="O337" s="152">
        <f t="shared" si="69"/>
        <v>6</v>
      </c>
      <c r="P337" s="12" t="str">
        <f t="shared" si="70"/>
        <v>Yes</v>
      </c>
      <c r="Q337" s="75"/>
      <c r="R337" s="70" t="s">
        <v>39</v>
      </c>
      <c r="S337" s="68" t="s">
        <v>40</v>
      </c>
      <c r="T337" s="66"/>
      <c r="U337" s="75"/>
      <c r="V337" s="66"/>
      <c r="AV337" s="139" t="str">
        <v>Quarter 4</v>
      </c>
    </row>
    <row r="338" spans="1:48" ht="30" customHeight="1" x14ac:dyDescent="0.35">
      <c r="A338" s="214">
        <v>337</v>
      </c>
      <c r="B338" s="66" t="s">
        <v>6</v>
      </c>
      <c r="C338" s="66" t="s">
        <v>6</v>
      </c>
      <c r="D338" s="66" t="s">
        <v>1895</v>
      </c>
      <c r="E338" s="69">
        <v>46107</v>
      </c>
      <c r="F338" s="69">
        <f t="shared" si="64"/>
        <v>46108</v>
      </c>
      <c r="G338" s="69">
        <f t="shared" si="65"/>
        <v>46125</v>
      </c>
      <c r="H338" s="69">
        <f t="shared" si="66"/>
        <v>46139</v>
      </c>
      <c r="I338" s="69">
        <f t="shared" si="67"/>
        <v>46169</v>
      </c>
      <c r="J338" s="69" t="str">
        <f t="shared" si="59"/>
        <v>Mar</v>
      </c>
      <c r="K338" s="216" t="str">
        <f t="shared" ca="1" si="68"/>
        <v/>
      </c>
      <c r="L338" s="67" t="s">
        <v>10</v>
      </c>
      <c r="M338" s="67"/>
      <c r="N338" s="67">
        <v>46113</v>
      </c>
      <c r="O338" s="152">
        <f t="shared" si="69"/>
        <v>4</v>
      </c>
      <c r="P338" s="12" t="str">
        <f t="shared" si="70"/>
        <v>Yes</v>
      </c>
      <c r="Q338" s="75"/>
      <c r="R338" s="70" t="s">
        <v>39</v>
      </c>
      <c r="S338" s="68" t="s">
        <v>40</v>
      </c>
      <c r="T338" s="66"/>
      <c r="U338" s="75"/>
      <c r="V338" s="66" t="s">
        <v>46</v>
      </c>
      <c r="AV338" s="139" t="str">
        <v>Quarter 4</v>
      </c>
    </row>
    <row r="339" spans="1:48" ht="30" customHeight="1" x14ac:dyDescent="0.35">
      <c r="A339" s="214">
        <v>338</v>
      </c>
      <c r="B339" s="66" t="s">
        <v>55</v>
      </c>
      <c r="C339" s="66" t="s">
        <v>13</v>
      </c>
      <c r="D339" s="66" t="s">
        <v>1370</v>
      </c>
      <c r="E339" s="69">
        <v>46108</v>
      </c>
      <c r="F339" s="69">
        <f t="shared" si="64"/>
        <v>46111</v>
      </c>
      <c r="G339" s="69">
        <f t="shared" si="65"/>
        <v>46126</v>
      </c>
      <c r="H339" s="69">
        <f t="shared" si="66"/>
        <v>46140</v>
      </c>
      <c r="I339" s="69">
        <f t="shared" si="67"/>
        <v>46170</v>
      </c>
      <c r="J339" s="69" t="str">
        <f t="shared" si="59"/>
        <v>Mar</v>
      </c>
      <c r="K339" s="216" t="str">
        <f t="shared" ca="1" si="68"/>
        <v/>
      </c>
      <c r="L339" s="67" t="s">
        <v>10</v>
      </c>
      <c r="M339" s="67"/>
      <c r="N339" s="67">
        <v>46119</v>
      </c>
      <c r="O339" s="152">
        <f t="shared" si="69"/>
        <v>5</v>
      </c>
      <c r="P339" s="12" t="str">
        <f t="shared" si="70"/>
        <v>Yes</v>
      </c>
      <c r="Q339" s="75"/>
      <c r="R339" s="70" t="s">
        <v>39</v>
      </c>
      <c r="S339" s="68" t="s">
        <v>40</v>
      </c>
      <c r="T339" s="66"/>
      <c r="U339" s="75"/>
      <c r="V339" s="66" t="s">
        <v>46</v>
      </c>
      <c r="AV339" s="139" t="str">
        <v>Quarter 4</v>
      </c>
    </row>
    <row r="340" spans="1:48" ht="30" customHeight="1" x14ac:dyDescent="0.35">
      <c r="A340" s="214">
        <v>339</v>
      </c>
      <c r="B340" s="66" t="s">
        <v>6</v>
      </c>
      <c r="C340" s="66" t="s">
        <v>6</v>
      </c>
      <c r="D340" s="66" t="s">
        <v>1900</v>
      </c>
      <c r="E340" s="69">
        <v>46111</v>
      </c>
      <c r="F340" s="69">
        <f t="shared" si="64"/>
        <v>46112</v>
      </c>
      <c r="G340" s="69">
        <f t="shared" si="65"/>
        <v>46127</v>
      </c>
      <c r="H340" s="69">
        <f t="shared" si="66"/>
        <v>46141</v>
      </c>
      <c r="I340" s="69">
        <f t="shared" si="67"/>
        <v>46171</v>
      </c>
      <c r="J340" s="69" t="str">
        <f t="shared" si="59"/>
        <v>Mar</v>
      </c>
      <c r="K340" s="216" t="str">
        <f t="shared" ca="1" si="68"/>
        <v/>
      </c>
      <c r="L340" s="67" t="s">
        <v>10</v>
      </c>
      <c r="M340" s="67"/>
      <c r="N340" s="67">
        <v>46113</v>
      </c>
      <c r="O340" s="152">
        <f t="shared" si="69"/>
        <v>2</v>
      </c>
      <c r="P340" s="12" t="str">
        <f t="shared" si="70"/>
        <v>Yes</v>
      </c>
      <c r="Q340" s="75"/>
      <c r="R340" s="70" t="s">
        <v>39</v>
      </c>
      <c r="S340" s="68" t="s">
        <v>40</v>
      </c>
      <c r="T340" s="66"/>
      <c r="U340" s="75"/>
      <c r="V340" s="66" t="s">
        <v>46</v>
      </c>
      <c r="AV340" s="139" t="str">
        <v>Quarter 4</v>
      </c>
    </row>
    <row r="341" spans="1:48" ht="30" customHeight="1" x14ac:dyDescent="0.35">
      <c r="A341" s="214">
        <v>340</v>
      </c>
      <c r="B341" s="66" t="s">
        <v>6</v>
      </c>
      <c r="C341" s="66" t="s">
        <v>6</v>
      </c>
      <c r="D341" s="66" t="s">
        <v>1901</v>
      </c>
      <c r="E341" s="69">
        <v>46111</v>
      </c>
      <c r="F341" s="69">
        <f t="shared" si="64"/>
        <v>46112</v>
      </c>
      <c r="G341" s="69">
        <f t="shared" si="65"/>
        <v>46127</v>
      </c>
      <c r="H341" s="69">
        <f t="shared" si="66"/>
        <v>46141</v>
      </c>
      <c r="I341" s="69">
        <f t="shared" si="67"/>
        <v>46171</v>
      </c>
      <c r="J341" s="69" t="str">
        <f t="shared" si="59"/>
        <v>Mar</v>
      </c>
      <c r="K341" s="216" t="str">
        <f t="shared" ca="1" si="68"/>
        <v/>
      </c>
      <c r="L341" s="67" t="s">
        <v>10</v>
      </c>
      <c r="M341" s="67"/>
      <c r="N341" s="67">
        <v>46121</v>
      </c>
      <c r="O341" s="152">
        <f t="shared" si="69"/>
        <v>6</v>
      </c>
      <c r="P341" s="12" t="str">
        <f t="shared" si="70"/>
        <v>Yes</v>
      </c>
      <c r="Q341" s="75"/>
      <c r="R341" s="70" t="s">
        <v>39</v>
      </c>
      <c r="S341" s="68" t="s">
        <v>40</v>
      </c>
      <c r="T341" s="66"/>
      <c r="U341" s="75" t="s">
        <v>1151</v>
      </c>
      <c r="V341" s="66" t="s">
        <v>46</v>
      </c>
      <c r="AV341" s="139" t="str">
        <v>Quarter 4</v>
      </c>
    </row>
    <row r="342" spans="1:48" ht="30" customHeight="1" x14ac:dyDescent="0.35">
      <c r="A342" s="214">
        <v>341</v>
      </c>
      <c r="B342" s="66" t="s">
        <v>6</v>
      </c>
      <c r="C342" s="66" t="s">
        <v>6</v>
      </c>
      <c r="D342" s="66" t="s">
        <v>1687</v>
      </c>
      <c r="E342" s="69">
        <v>46112</v>
      </c>
      <c r="F342" s="69">
        <f t="shared" si="64"/>
        <v>46113</v>
      </c>
      <c r="G342" s="69">
        <f t="shared" si="65"/>
        <v>46128</v>
      </c>
      <c r="H342" s="69">
        <f t="shared" si="66"/>
        <v>46142</v>
      </c>
      <c r="I342" s="69">
        <f t="shared" si="67"/>
        <v>46174</v>
      </c>
      <c r="J342" s="69" t="str">
        <f t="shared" si="59"/>
        <v>Mar</v>
      </c>
      <c r="K342" s="216" t="str">
        <f t="shared" ca="1" si="68"/>
        <v/>
      </c>
      <c r="L342" s="67" t="s">
        <v>10</v>
      </c>
      <c r="M342" s="67"/>
      <c r="N342" s="67">
        <v>46119</v>
      </c>
      <c r="O342" s="152">
        <f t="shared" si="69"/>
        <v>3</v>
      </c>
      <c r="P342" s="12" t="str">
        <f t="shared" si="70"/>
        <v>Yes</v>
      </c>
      <c r="Q342" s="75"/>
      <c r="R342" s="70" t="s">
        <v>39</v>
      </c>
      <c r="S342" s="68" t="s">
        <v>40</v>
      </c>
      <c r="T342" s="66"/>
      <c r="U342" s="75"/>
      <c r="V342" s="66" t="s">
        <v>46</v>
      </c>
      <c r="AV342" s="139" t="str">
        <v>Quarter 4</v>
      </c>
    </row>
    <row r="343" spans="1:48" ht="15" customHeight="1" x14ac:dyDescent="0.35">
      <c r="AV343" s="139" t="e">
        <v>#N/A</v>
      </c>
    </row>
    <row r="344" spans="1:48" ht="15" customHeight="1" x14ac:dyDescent="0.35">
      <c r="AV344" s="139" t="e">
        <v>#N/A</v>
      </c>
    </row>
    <row r="345" spans="1:48" ht="15" customHeight="1" x14ac:dyDescent="0.35">
      <c r="AV345" s="139" t="e">
        <v>#N/A</v>
      </c>
    </row>
    <row r="346" spans="1:48" ht="15" customHeight="1" x14ac:dyDescent="0.35">
      <c r="AV346" s="139" t="e">
        <v>#N/A</v>
      </c>
    </row>
    <row r="347" spans="1:48" ht="15" customHeight="1" x14ac:dyDescent="0.35">
      <c r="AV347" s="139" t="e">
        <v>#N/A</v>
      </c>
    </row>
    <row r="348" spans="1:48" ht="15" customHeight="1" x14ac:dyDescent="0.35">
      <c r="AV348" s="139" t="e">
        <v>#N/A</v>
      </c>
    </row>
    <row r="349" spans="1:48" ht="15" customHeight="1" x14ac:dyDescent="0.35">
      <c r="AV349" s="139" t="e">
        <v>#N/A</v>
      </c>
    </row>
    <row r="350" spans="1:48" ht="15" customHeight="1" x14ac:dyDescent="0.35">
      <c r="AV350" s="139" t="e">
        <v>#N/A</v>
      </c>
    </row>
    <row r="351" spans="1:48" ht="15" customHeight="1" x14ac:dyDescent="0.35">
      <c r="AV351" s="139" t="e">
        <v>#N/A</v>
      </c>
    </row>
    <row r="352" spans="1:48" ht="15" customHeight="1" x14ac:dyDescent="0.35">
      <c r="AV352" s="139" t="e">
        <v>#N/A</v>
      </c>
    </row>
    <row r="353" spans="48:48" ht="15" customHeight="1" x14ac:dyDescent="0.35">
      <c r="AV353" s="139" t="e">
        <v>#N/A</v>
      </c>
    </row>
    <row r="354" spans="48:48" ht="15" customHeight="1" x14ac:dyDescent="0.35">
      <c r="AV354" s="139" t="e">
        <v>#N/A</v>
      </c>
    </row>
    <row r="355" spans="48:48" ht="15" customHeight="1" x14ac:dyDescent="0.35">
      <c r="AV355" s="139" t="e">
        <v>#N/A</v>
      </c>
    </row>
    <row r="356" spans="48:48" ht="15" customHeight="1" x14ac:dyDescent="0.35">
      <c r="AV356" s="139" t="e">
        <v>#N/A</v>
      </c>
    </row>
    <row r="357" spans="48:48" ht="15" customHeight="1" x14ac:dyDescent="0.35">
      <c r="AV357" s="139" t="e">
        <v>#N/A</v>
      </c>
    </row>
    <row r="358" spans="48:48" ht="15" customHeight="1" x14ac:dyDescent="0.35">
      <c r="AV358" s="139" t="e">
        <v>#N/A</v>
      </c>
    </row>
    <row r="359" spans="48:48" ht="15" customHeight="1" x14ac:dyDescent="0.35">
      <c r="AV359" s="139" t="e">
        <v>#N/A</v>
      </c>
    </row>
    <row r="360" spans="48:48" ht="15" customHeight="1" x14ac:dyDescent="0.35">
      <c r="AV360" s="139" t="e">
        <v>#N/A</v>
      </c>
    </row>
    <row r="361" spans="48:48" ht="15" customHeight="1" x14ac:dyDescent="0.35">
      <c r="AV361" s="139" t="e">
        <v>#N/A</v>
      </c>
    </row>
    <row r="362" spans="48:48" ht="15" customHeight="1" x14ac:dyDescent="0.35">
      <c r="AV362" s="139" t="e">
        <v>#N/A</v>
      </c>
    </row>
    <row r="363" spans="48:48" ht="15" customHeight="1" x14ac:dyDescent="0.35">
      <c r="AV363" s="139" t="e">
        <v>#N/A</v>
      </c>
    </row>
    <row r="364" spans="48:48" ht="15" customHeight="1" x14ac:dyDescent="0.35">
      <c r="AV364" s="139" t="e">
        <v>#N/A</v>
      </c>
    </row>
    <row r="365" spans="48:48" ht="15" customHeight="1" x14ac:dyDescent="0.35">
      <c r="AV365" s="139" t="e">
        <v>#N/A</v>
      </c>
    </row>
    <row r="366" spans="48:48" ht="15" customHeight="1" x14ac:dyDescent="0.35">
      <c r="AV366" s="139" t="e">
        <v>#N/A</v>
      </c>
    </row>
    <row r="367" spans="48:48" ht="15" customHeight="1" x14ac:dyDescent="0.35">
      <c r="AV367" s="139" t="e">
        <v>#N/A</v>
      </c>
    </row>
    <row r="368" spans="48:48" ht="15" customHeight="1" x14ac:dyDescent="0.35">
      <c r="AV368" s="139" t="e">
        <v>#N/A</v>
      </c>
    </row>
    <row r="369" spans="48:48" ht="15" customHeight="1" x14ac:dyDescent="0.35">
      <c r="AV369" s="139" t="e">
        <v>#N/A</v>
      </c>
    </row>
    <row r="370" spans="48:48" ht="15" customHeight="1" x14ac:dyDescent="0.35">
      <c r="AV370" s="139" t="e">
        <v>#N/A</v>
      </c>
    </row>
    <row r="371" spans="48:48" ht="15" customHeight="1" x14ac:dyDescent="0.35">
      <c r="AV371" s="139" t="e">
        <v>#N/A</v>
      </c>
    </row>
    <row r="372" spans="48:48" ht="15" customHeight="1" x14ac:dyDescent="0.35">
      <c r="AV372" s="139" t="e">
        <v>#N/A</v>
      </c>
    </row>
    <row r="373" spans="48:48" ht="15" customHeight="1" x14ac:dyDescent="0.35">
      <c r="AV373" s="139" t="e">
        <v>#N/A</v>
      </c>
    </row>
    <row r="374" spans="48:48" ht="15" customHeight="1" x14ac:dyDescent="0.35">
      <c r="AV374" s="139" t="e">
        <v>#N/A</v>
      </c>
    </row>
    <row r="375" spans="48:48" ht="15" customHeight="1" x14ac:dyDescent="0.35">
      <c r="AV375" s="139" t="e">
        <v>#N/A</v>
      </c>
    </row>
    <row r="376" spans="48:48" ht="15" customHeight="1" x14ac:dyDescent="0.35">
      <c r="AV376" s="139" t="e">
        <v>#N/A</v>
      </c>
    </row>
    <row r="377" spans="48:48" ht="15" customHeight="1" x14ac:dyDescent="0.35">
      <c r="AV377" s="139" t="e">
        <v>#N/A</v>
      </c>
    </row>
    <row r="378" spans="48:48" ht="15" customHeight="1" x14ac:dyDescent="0.35">
      <c r="AV378" s="139" t="e">
        <v>#N/A</v>
      </c>
    </row>
    <row r="379" spans="48:48" ht="15" customHeight="1" x14ac:dyDescent="0.35">
      <c r="AV379" s="139" t="e">
        <v>#N/A</v>
      </c>
    </row>
    <row r="380" spans="48:48" ht="15" customHeight="1" x14ac:dyDescent="0.35">
      <c r="AV380" s="139" t="e">
        <v>#N/A</v>
      </c>
    </row>
    <row r="381" spans="48:48" ht="15" customHeight="1" x14ac:dyDescent="0.35">
      <c r="AV381" s="139" t="e">
        <v>#N/A</v>
      </c>
    </row>
    <row r="382" spans="48:48" ht="15" customHeight="1" x14ac:dyDescent="0.35">
      <c r="AV382" s="139" t="e">
        <v>#N/A</v>
      </c>
    </row>
    <row r="383" spans="48:48" ht="15" customHeight="1" x14ac:dyDescent="0.35">
      <c r="AV383" s="139" t="e">
        <v>#N/A</v>
      </c>
    </row>
    <row r="384" spans="48:48" ht="15" customHeight="1" x14ac:dyDescent="0.35">
      <c r="AV384" s="139" t="e">
        <v>#N/A</v>
      </c>
    </row>
    <row r="385" spans="48:48" ht="15" customHeight="1" x14ac:dyDescent="0.35">
      <c r="AV385" s="139" t="e">
        <v>#N/A</v>
      </c>
    </row>
    <row r="386" spans="48:48" ht="15" customHeight="1" x14ac:dyDescent="0.35">
      <c r="AV386" s="139" t="e">
        <v>#N/A</v>
      </c>
    </row>
    <row r="387" spans="48:48" ht="15" customHeight="1" x14ac:dyDescent="0.35">
      <c r="AV387" s="139" t="e">
        <v>#N/A</v>
      </c>
    </row>
    <row r="388" spans="48:48" ht="15" customHeight="1" x14ac:dyDescent="0.35">
      <c r="AV388" s="139" t="e">
        <v>#N/A</v>
      </c>
    </row>
    <row r="389" spans="48:48" ht="15" customHeight="1" x14ac:dyDescent="0.35">
      <c r="AV389" s="139" t="e">
        <v>#N/A</v>
      </c>
    </row>
    <row r="390" spans="48:48" ht="15" customHeight="1" x14ac:dyDescent="0.35">
      <c r="AV390" s="139" t="e">
        <v>#N/A</v>
      </c>
    </row>
    <row r="391" spans="48:48" ht="15" customHeight="1" x14ac:dyDescent="0.35">
      <c r="AV391" s="139" t="e">
        <v>#N/A</v>
      </c>
    </row>
    <row r="392" spans="48:48" ht="15" customHeight="1" x14ac:dyDescent="0.35">
      <c r="AV392" s="139" t="e">
        <v>#N/A</v>
      </c>
    </row>
    <row r="393" spans="48:48" ht="15" customHeight="1" x14ac:dyDescent="0.35">
      <c r="AV393" s="139" t="e">
        <v>#N/A</v>
      </c>
    </row>
    <row r="394" spans="48:48" ht="15" customHeight="1" x14ac:dyDescent="0.35">
      <c r="AV394" s="139" t="e">
        <v>#N/A</v>
      </c>
    </row>
    <row r="395" spans="48:48" ht="15" customHeight="1" x14ac:dyDescent="0.35">
      <c r="AV395" s="139" t="e">
        <v>#N/A</v>
      </c>
    </row>
    <row r="396" spans="48:48" ht="15" customHeight="1" x14ac:dyDescent="0.35">
      <c r="AV396" s="139" t="e">
        <v>#N/A</v>
      </c>
    </row>
    <row r="397" spans="48:48" ht="15" customHeight="1" x14ac:dyDescent="0.35">
      <c r="AV397" s="139" t="e">
        <v>#N/A</v>
      </c>
    </row>
    <row r="398" spans="48:48" ht="15" customHeight="1" x14ac:dyDescent="0.35">
      <c r="AV398" s="139" t="e">
        <v>#N/A</v>
      </c>
    </row>
    <row r="399" spans="48:48" ht="15" customHeight="1" x14ac:dyDescent="0.35">
      <c r="AV399" s="139" t="e">
        <v>#N/A</v>
      </c>
    </row>
    <row r="400" spans="48:48" ht="15" customHeight="1" x14ac:dyDescent="0.35">
      <c r="AV400" s="139" t="e">
        <v>#N/A</v>
      </c>
    </row>
    <row r="401" spans="48:48" ht="15" customHeight="1" x14ac:dyDescent="0.35">
      <c r="AV401" s="139" t="e">
        <v>#N/A</v>
      </c>
    </row>
    <row r="402" spans="48:48" ht="15" customHeight="1" x14ac:dyDescent="0.35">
      <c r="AV402" s="139" t="e">
        <v>#N/A</v>
      </c>
    </row>
    <row r="403" spans="48:48" ht="15" customHeight="1" x14ac:dyDescent="0.35">
      <c r="AV403" s="139" t="e">
        <v>#N/A</v>
      </c>
    </row>
    <row r="404" spans="48:48" ht="15" customHeight="1" x14ac:dyDescent="0.35">
      <c r="AV404" s="139" t="e">
        <v>#N/A</v>
      </c>
    </row>
    <row r="405" spans="48:48" ht="15" customHeight="1" x14ac:dyDescent="0.35">
      <c r="AV405" s="139" t="e">
        <v>#N/A</v>
      </c>
    </row>
    <row r="406" spans="48:48" ht="15" customHeight="1" x14ac:dyDescent="0.35">
      <c r="AV406" s="139" t="e">
        <v>#N/A</v>
      </c>
    </row>
    <row r="407" spans="48:48" ht="15" customHeight="1" x14ac:dyDescent="0.35">
      <c r="AV407" s="139" t="e">
        <v>#N/A</v>
      </c>
    </row>
    <row r="408" spans="48:48" ht="15" customHeight="1" x14ac:dyDescent="0.35">
      <c r="AV408" s="139" t="e">
        <v>#N/A</v>
      </c>
    </row>
    <row r="409" spans="48:48" ht="15" customHeight="1" x14ac:dyDescent="0.35">
      <c r="AV409" s="139" t="e">
        <v>#N/A</v>
      </c>
    </row>
    <row r="410" spans="48:48" ht="15" customHeight="1" x14ac:dyDescent="0.35">
      <c r="AV410" s="139" t="e">
        <v>#N/A</v>
      </c>
    </row>
    <row r="411" spans="48:48" ht="15" customHeight="1" x14ac:dyDescent="0.35">
      <c r="AV411" s="139" t="e">
        <v>#N/A</v>
      </c>
    </row>
    <row r="412" spans="48:48" ht="15" customHeight="1" x14ac:dyDescent="0.35">
      <c r="AV412" s="139" t="e">
        <v>#N/A</v>
      </c>
    </row>
    <row r="413" spans="48:48" ht="15" customHeight="1" x14ac:dyDescent="0.35">
      <c r="AV413" s="139" t="e">
        <v>#N/A</v>
      </c>
    </row>
    <row r="414" spans="48:48" ht="15" customHeight="1" x14ac:dyDescent="0.35">
      <c r="AV414" s="139" t="e">
        <v>#N/A</v>
      </c>
    </row>
    <row r="415" spans="48:48" ht="15" customHeight="1" x14ac:dyDescent="0.35">
      <c r="AV415" s="139" t="e">
        <v>#N/A</v>
      </c>
    </row>
    <row r="416" spans="48:48" ht="15" customHeight="1" x14ac:dyDescent="0.35">
      <c r="AV416" s="139" t="e">
        <v>#N/A</v>
      </c>
    </row>
    <row r="417" spans="48:48" ht="15" customHeight="1" x14ac:dyDescent="0.35">
      <c r="AV417" s="139" t="e">
        <v>#N/A</v>
      </c>
    </row>
    <row r="418" spans="48:48" ht="15" customHeight="1" x14ac:dyDescent="0.35">
      <c r="AV418" s="139" t="e">
        <v>#N/A</v>
      </c>
    </row>
    <row r="419" spans="48:48" ht="15" customHeight="1" x14ac:dyDescent="0.35">
      <c r="AV419" s="139" t="e">
        <v>#N/A</v>
      </c>
    </row>
    <row r="420" spans="48:48" ht="15" customHeight="1" x14ac:dyDescent="0.35">
      <c r="AV420" s="139" t="e">
        <v>#N/A</v>
      </c>
    </row>
    <row r="421" spans="48:48" ht="15" customHeight="1" x14ac:dyDescent="0.35">
      <c r="AV421" s="139" t="e">
        <v>#N/A</v>
      </c>
    </row>
    <row r="422" spans="48:48" ht="15" customHeight="1" x14ac:dyDescent="0.35">
      <c r="AV422" s="139" t="e">
        <v>#N/A</v>
      </c>
    </row>
    <row r="423" spans="48:48" ht="15" customHeight="1" x14ac:dyDescent="0.35">
      <c r="AV423" s="139" t="e">
        <v>#N/A</v>
      </c>
    </row>
    <row r="424" spans="48:48" ht="15" customHeight="1" x14ac:dyDescent="0.35">
      <c r="AV424" s="139" t="e">
        <v>#N/A</v>
      </c>
    </row>
    <row r="425" spans="48:48" ht="15" customHeight="1" x14ac:dyDescent="0.35">
      <c r="AV425" s="139" t="e">
        <v>#N/A</v>
      </c>
    </row>
    <row r="426" spans="48:48" ht="15" customHeight="1" x14ac:dyDescent="0.35">
      <c r="AV426" s="139" t="e">
        <v>#N/A</v>
      </c>
    </row>
    <row r="427" spans="48:48" ht="15" customHeight="1" x14ac:dyDescent="0.35">
      <c r="AV427" s="139" t="e">
        <v>#N/A</v>
      </c>
    </row>
    <row r="428" spans="48:48" ht="15" customHeight="1" x14ac:dyDescent="0.35">
      <c r="AV428" s="139" t="e">
        <v>#N/A</v>
      </c>
    </row>
    <row r="429" spans="48:48" ht="15" customHeight="1" x14ac:dyDescent="0.35">
      <c r="AV429" s="139" t="e">
        <v>#N/A</v>
      </c>
    </row>
    <row r="430" spans="48:48" ht="15" customHeight="1" x14ac:dyDescent="0.35">
      <c r="AV430" s="139" t="e">
        <v>#N/A</v>
      </c>
    </row>
    <row r="431" spans="48:48" ht="15" customHeight="1" x14ac:dyDescent="0.35">
      <c r="AV431" s="139" t="e">
        <v>#N/A</v>
      </c>
    </row>
    <row r="432" spans="48:48" ht="15" customHeight="1" x14ac:dyDescent="0.35">
      <c r="AV432" s="139" t="e">
        <v>#N/A</v>
      </c>
    </row>
    <row r="433" spans="48:48" ht="15" customHeight="1" x14ac:dyDescent="0.35">
      <c r="AV433" s="139" t="e">
        <v>#N/A</v>
      </c>
    </row>
    <row r="434" spans="48:48" ht="15" customHeight="1" x14ac:dyDescent="0.35">
      <c r="AV434" s="139" t="e">
        <v>#N/A</v>
      </c>
    </row>
    <row r="435" spans="48:48" ht="15" customHeight="1" x14ac:dyDescent="0.35">
      <c r="AV435" s="139" t="e">
        <v>#N/A</v>
      </c>
    </row>
    <row r="436" spans="48:48" ht="15" customHeight="1" x14ac:dyDescent="0.35">
      <c r="AV436" s="139" t="e">
        <v>#N/A</v>
      </c>
    </row>
    <row r="437" spans="48:48" ht="15" customHeight="1" x14ac:dyDescent="0.35">
      <c r="AV437" s="139" t="e">
        <v>#N/A</v>
      </c>
    </row>
    <row r="438" spans="48:48" ht="15" customHeight="1" x14ac:dyDescent="0.35">
      <c r="AV438" s="139" t="e">
        <v>#N/A</v>
      </c>
    </row>
    <row r="439" spans="48:48" ht="15" customHeight="1" x14ac:dyDescent="0.35">
      <c r="AV439" s="139" t="e">
        <v>#N/A</v>
      </c>
    </row>
    <row r="440" spans="48:48" ht="15" customHeight="1" x14ac:dyDescent="0.35">
      <c r="AV440" s="139" t="e">
        <v>#N/A</v>
      </c>
    </row>
    <row r="441" spans="48:48" ht="15" customHeight="1" x14ac:dyDescent="0.35">
      <c r="AV441" s="139" t="e">
        <v>#N/A</v>
      </c>
    </row>
    <row r="442" spans="48:48" ht="15" customHeight="1" x14ac:dyDescent="0.35">
      <c r="AV442" s="139" t="e">
        <v>#N/A</v>
      </c>
    </row>
    <row r="443" spans="48:48" ht="15" customHeight="1" x14ac:dyDescent="0.35">
      <c r="AV443" s="139" t="e">
        <v>#N/A</v>
      </c>
    </row>
    <row r="444" spans="48:48" ht="15" customHeight="1" x14ac:dyDescent="0.35">
      <c r="AV444" s="139" t="e">
        <v>#N/A</v>
      </c>
    </row>
    <row r="445" spans="48:48" ht="15" customHeight="1" x14ac:dyDescent="0.35">
      <c r="AV445" s="139" t="e">
        <v>#N/A</v>
      </c>
    </row>
    <row r="446" spans="48:48" ht="15" customHeight="1" x14ac:dyDescent="0.35">
      <c r="AV446" s="139" t="e">
        <v>#N/A</v>
      </c>
    </row>
    <row r="447" spans="48:48" ht="15" customHeight="1" x14ac:dyDescent="0.35">
      <c r="AV447" s="139" t="e">
        <v>#N/A</v>
      </c>
    </row>
    <row r="448" spans="48:48" ht="15" customHeight="1" x14ac:dyDescent="0.35">
      <c r="AV448" s="139" t="e">
        <v>#N/A</v>
      </c>
    </row>
    <row r="449" spans="48:48" ht="15" customHeight="1" x14ac:dyDescent="0.35">
      <c r="AV449" s="139" t="e">
        <v>#N/A</v>
      </c>
    </row>
    <row r="450" spans="48:48" ht="15" customHeight="1" x14ac:dyDescent="0.35">
      <c r="AV450" s="139" t="e">
        <v>#N/A</v>
      </c>
    </row>
    <row r="451" spans="48:48" ht="15" customHeight="1" x14ac:dyDescent="0.35">
      <c r="AV451" s="139" t="e">
        <v>#N/A</v>
      </c>
    </row>
    <row r="452" spans="48:48" ht="15" customHeight="1" x14ac:dyDescent="0.35">
      <c r="AV452" s="139" t="e">
        <v>#N/A</v>
      </c>
    </row>
    <row r="453" spans="48:48" ht="15" customHeight="1" x14ac:dyDescent="0.35">
      <c r="AV453" s="139" t="e">
        <v>#N/A</v>
      </c>
    </row>
    <row r="454" spans="48:48" ht="15" customHeight="1" x14ac:dyDescent="0.35">
      <c r="AV454" s="139" t="e">
        <v>#N/A</v>
      </c>
    </row>
    <row r="455" spans="48:48" ht="15" customHeight="1" x14ac:dyDescent="0.35">
      <c r="AV455" s="139" t="e">
        <v>#N/A</v>
      </c>
    </row>
    <row r="456" spans="48:48" ht="15" customHeight="1" x14ac:dyDescent="0.35">
      <c r="AV456" s="139" t="e">
        <v>#N/A</v>
      </c>
    </row>
    <row r="457" spans="48:48" ht="15" customHeight="1" x14ac:dyDescent="0.35">
      <c r="AV457" s="139" t="e">
        <v>#N/A</v>
      </c>
    </row>
    <row r="458" spans="48:48" ht="15" customHeight="1" x14ac:dyDescent="0.35">
      <c r="AV458" s="139" t="e">
        <v>#N/A</v>
      </c>
    </row>
    <row r="459" spans="48:48" ht="15" customHeight="1" x14ac:dyDescent="0.35">
      <c r="AV459" s="139" t="e">
        <v>#N/A</v>
      </c>
    </row>
    <row r="460" spans="48:48" ht="15" customHeight="1" x14ac:dyDescent="0.35">
      <c r="AV460" s="139" t="e">
        <v>#N/A</v>
      </c>
    </row>
    <row r="461" spans="48:48" ht="15" customHeight="1" x14ac:dyDescent="0.35">
      <c r="AV461" s="139" t="e">
        <v>#N/A</v>
      </c>
    </row>
    <row r="462" spans="48:48" ht="15" customHeight="1" x14ac:dyDescent="0.35">
      <c r="AV462" s="139" t="e">
        <v>#N/A</v>
      </c>
    </row>
    <row r="463" spans="48:48" ht="15" customHeight="1" x14ac:dyDescent="0.35">
      <c r="AV463" s="139" t="e">
        <v>#N/A</v>
      </c>
    </row>
    <row r="464" spans="48:48" ht="15" customHeight="1" x14ac:dyDescent="0.35">
      <c r="AV464" s="139" t="e">
        <v>#N/A</v>
      </c>
    </row>
    <row r="465" spans="48:48" ht="15" customHeight="1" x14ac:dyDescent="0.35">
      <c r="AV465" s="139" t="e">
        <v>#N/A</v>
      </c>
    </row>
    <row r="466" spans="48:48" ht="15" customHeight="1" x14ac:dyDescent="0.35">
      <c r="AV466" s="139" t="e">
        <v>#N/A</v>
      </c>
    </row>
    <row r="467" spans="48:48" ht="15" customHeight="1" x14ac:dyDescent="0.35">
      <c r="AV467" s="139" t="e">
        <v>#N/A</v>
      </c>
    </row>
    <row r="468" spans="48:48" ht="15" customHeight="1" x14ac:dyDescent="0.35">
      <c r="AV468" s="139" t="e">
        <v>#N/A</v>
      </c>
    </row>
    <row r="469" spans="48:48" ht="15" customHeight="1" x14ac:dyDescent="0.35">
      <c r="AV469" s="139" t="e">
        <v>#N/A</v>
      </c>
    </row>
    <row r="470" spans="48:48" ht="15" customHeight="1" x14ac:dyDescent="0.35">
      <c r="AV470" s="139" t="e">
        <v>#N/A</v>
      </c>
    </row>
    <row r="471" spans="48:48" ht="15" customHeight="1" x14ac:dyDescent="0.35">
      <c r="AV471" s="139" t="e">
        <v>#N/A</v>
      </c>
    </row>
    <row r="472" spans="48:48" ht="15" customHeight="1" x14ac:dyDescent="0.35">
      <c r="AV472" s="139" t="e">
        <v>#N/A</v>
      </c>
    </row>
    <row r="473" spans="48:48" ht="15" customHeight="1" x14ac:dyDescent="0.35">
      <c r="AV473" s="139" t="e">
        <v>#N/A</v>
      </c>
    </row>
    <row r="474" spans="48:48" ht="15" customHeight="1" x14ac:dyDescent="0.35">
      <c r="AV474" s="139" t="e">
        <v>#N/A</v>
      </c>
    </row>
    <row r="475" spans="48:48" ht="15" customHeight="1" x14ac:dyDescent="0.35">
      <c r="AV475" s="139" t="e">
        <v>#N/A</v>
      </c>
    </row>
    <row r="476" spans="48:48" ht="15" customHeight="1" x14ac:dyDescent="0.35">
      <c r="AV476" s="139" t="e">
        <v>#N/A</v>
      </c>
    </row>
    <row r="477" spans="48:48" ht="15" customHeight="1" x14ac:dyDescent="0.35">
      <c r="AV477" s="139" t="e">
        <v>#N/A</v>
      </c>
    </row>
    <row r="478" spans="48:48" ht="15" customHeight="1" x14ac:dyDescent="0.35">
      <c r="AV478" s="139" t="e">
        <v>#N/A</v>
      </c>
    </row>
    <row r="479" spans="48:48" ht="15" customHeight="1" x14ac:dyDescent="0.35">
      <c r="AV479" s="139" t="e">
        <v>#N/A</v>
      </c>
    </row>
    <row r="480" spans="48:48" ht="15" customHeight="1" x14ac:dyDescent="0.35">
      <c r="AV480" s="139" t="e">
        <v>#N/A</v>
      </c>
    </row>
    <row r="481" spans="48:48" ht="15" customHeight="1" x14ac:dyDescent="0.35">
      <c r="AV481" s="139" t="e">
        <v>#N/A</v>
      </c>
    </row>
    <row r="482" spans="48:48" ht="15" customHeight="1" x14ac:dyDescent="0.35">
      <c r="AV482" s="139" t="e">
        <v>#N/A</v>
      </c>
    </row>
    <row r="483" spans="48:48" ht="15" customHeight="1" x14ac:dyDescent="0.35">
      <c r="AV483" s="139" t="e">
        <v>#N/A</v>
      </c>
    </row>
    <row r="484" spans="48:48" ht="15" customHeight="1" x14ac:dyDescent="0.35">
      <c r="AV484" s="139" t="e">
        <v>#N/A</v>
      </c>
    </row>
    <row r="485" spans="48:48" ht="15" customHeight="1" x14ac:dyDescent="0.35">
      <c r="AV485" s="139" t="e">
        <v>#N/A</v>
      </c>
    </row>
    <row r="486" spans="48:48" ht="15" customHeight="1" x14ac:dyDescent="0.35">
      <c r="AV486" s="139" t="e">
        <v>#N/A</v>
      </c>
    </row>
    <row r="487" spans="48:48" ht="15" customHeight="1" x14ac:dyDescent="0.35">
      <c r="AV487" s="139" t="e">
        <v>#N/A</v>
      </c>
    </row>
    <row r="488" spans="48:48" ht="15" customHeight="1" x14ac:dyDescent="0.35">
      <c r="AV488" s="139" t="e">
        <v>#N/A</v>
      </c>
    </row>
    <row r="489" spans="48:48" ht="15" customHeight="1" x14ac:dyDescent="0.35">
      <c r="AV489" s="139" t="e">
        <v>#N/A</v>
      </c>
    </row>
    <row r="490" spans="48:48" ht="15" customHeight="1" x14ac:dyDescent="0.35">
      <c r="AV490" s="139" t="e">
        <v>#N/A</v>
      </c>
    </row>
    <row r="491" spans="48:48" ht="15" customHeight="1" x14ac:dyDescent="0.35">
      <c r="AV491" s="139" t="e">
        <v>#N/A</v>
      </c>
    </row>
    <row r="492" spans="48:48" ht="15" customHeight="1" x14ac:dyDescent="0.35">
      <c r="AV492" s="139" t="e">
        <v>#N/A</v>
      </c>
    </row>
    <row r="493" spans="48:48" ht="15" customHeight="1" x14ac:dyDescent="0.35">
      <c r="AV493" s="139" t="e">
        <v>#N/A</v>
      </c>
    </row>
    <row r="494" spans="48:48" ht="15" customHeight="1" x14ac:dyDescent="0.35">
      <c r="AV494" s="139" t="e">
        <v>#N/A</v>
      </c>
    </row>
    <row r="495" spans="48:48" ht="15" customHeight="1" x14ac:dyDescent="0.35">
      <c r="AV495" s="139" t="e">
        <v>#N/A</v>
      </c>
    </row>
    <row r="496" spans="48:48" ht="15" customHeight="1" x14ac:dyDescent="0.35">
      <c r="AV496" s="139" t="e">
        <v>#N/A</v>
      </c>
    </row>
    <row r="497" spans="48:48" ht="15" customHeight="1" x14ac:dyDescent="0.35">
      <c r="AV497" s="139" t="e">
        <v>#N/A</v>
      </c>
    </row>
    <row r="498" spans="48:48" ht="15" customHeight="1" x14ac:dyDescent="0.35">
      <c r="AV498" s="139" t="e">
        <v>#N/A</v>
      </c>
    </row>
    <row r="499" spans="48:48" ht="15" customHeight="1" x14ac:dyDescent="0.35">
      <c r="AV499" s="139" t="e">
        <v>#N/A</v>
      </c>
    </row>
    <row r="500" spans="48:48" ht="15" customHeight="1" x14ac:dyDescent="0.35">
      <c r="AV500" s="139" t="e">
        <v>#N/A</v>
      </c>
    </row>
    <row r="501" spans="48:48" ht="15" customHeight="1" x14ac:dyDescent="0.35">
      <c r="AV501" s="139" t="e">
        <v>#N/A</v>
      </c>
    </row>
    <row r="502" spans="48:48" ht="15" customHeight="1" x14ac:dyDescent="0.35">
      <c r="AV502" s="139" t="e">
        <v>#N/A</v>
      </c>
    </row>
    <row r="503" spans="48:48" ht="15" customHeight="1" x14ac:dyDescent="0.35">
      <c r="AV503" s="139" t="e">
        <v>#N/A</v>
      </c>
    </row>
    <row r="504" spans="48:48" ht="15" customHeight="1" x14ac:dyDescent="0.35">
      <c r="AV504" s="139" t="e">
        <v>#N/A</v>
      </c>
    </row>
    <row r="505" spans="48:48" ht="15" customHeight="1" x14ac:dyDescent="0.35">
      <c r="AV505" s="139" t="e">
        <v>#N/A</v>
      </c>
    </row>
    <row r="506" spans="48:48" ht="15" customHeight="1" x14ac:dyDescent="0.35">
      <c r="AV506" s="139" t="e">
        <v>#N/A</v>
      </c>
    </row>
    <row r="507" spans="48:48" ht="15" customHeight="1" x14ac:dyDescent="0.35">
      <c r="AV507" s="139" t="e">
        <v>#N/A</v>
      </c>
    </row>
    <row r="508" spans="48:48" ht="15" customHeight="1" x14ac:dyDescent="0.35">
      <c r="AV508" s="139" t="e">
        <v>#N/A</v>
      </c>
    </row>
    <row r="509" spans="48:48" ht="15" customHeight="1" x14ac:dyDescent="0.35">
      <c r="AV509" s="139" t="e">
        <v>#N/A</v>
      </c>
    </row>
    <row r="510" spans="48:48" ht="15" customHeight="1" x14ac:dyDescent="0.35">
      <c r="AV510" s="139" t="e">
        <v>#N/A</v>
      </c>
    </row>
    <row r="511" spans="48:48" ht="15" customHeight="1" x14ac:dyDescent="0.35">
      <c r="AV511" s="139" t="e">
        <v>#N/A</v>
      </c>
    </row>
    <row r="512" spans="48:48" ht="15" customHeight="1" x14ac:dyDescent="0.35">
      <c r="AV512" s="139" t="e">
        <v>#N/A</v>
      </c>
    </row>
    <row r="513" spans="48:48" ht="15" customHeight="1" x14ac:dyDescent="0.35">
      <c r="AV513" s="139" t="e">
        <v>#N/A</v>
      </c>
    </row>
    <row r="514" spans="48:48" ht="15" customHeight="1" x14ac:dyDescent="0.35">
      <c r="AV514" s="139" t="e">
        <v>#N/A</v>
      </c>
    </row>
    <row r="515" spans="48:48" ht="15" customHeight="1" x14ac:dyDescent="0.35">
      <c r="AV515" s="139" t="e">
        <v>#N/A</v>
      </c>
    </row>
    <row r="516" spans="48:48" ht="15" customHeight="1" x14ac:dyDescent="0.35">
      <c r="AV516" s="139" t="e">
        <v>#N/A</v>
      </c>
    </row>
    <row r="517" spans="48:48" ht="15" customHeight="1" x14ac:dyDescent="0.35">
      <c r="AV517" s="139" t="e">
        <v>#N/A</v>
      </c>
    </row>
    <row r="518" spans="48:48" ht="15" customHeight="1" x14ac:dyDescent="0.35">
      <c r="AV518" s="139" t="e">
        <v>#N/A</v>
      </c>
    </row>
    <row r="519" spans="48:48" ht="15" customHeight="1" x14ac:dyDescent="0.35">
      <c r="AV519" s="139" t="e">
        <v>#N/A</v>
      </c>
    </row>
    <row r="520" spans="48:48" ht="15" customHeight="1" x14ac:dyDescent="0.35">
      <c r="AV520" s="139" t="e">
        <v>#N/A</v>
      </c>
    </row>
    <row r="521" spans="48:48" ht="15" customHeight="1" x14ac:dyDescent="0.35">
      <c r="AV521" s="139" t="e">
        <v>#N/A</v>
      </c>
    </row>
    <row r="522" spans="48:48" ht="15" customHeight="1" x14ac:dyDescent="0.35">
      <c r="AV522" s="139" t="e">
        <v>#N/A</v>
      </c>
    </row>
    <row r="523" spans="48:48" ht="15" customHeight="1" x14ac:dyDescent="0.35">
      <c r="AV523" s="139" t="e">
        <v>#N/A</v>
      </c>
    </row>
    <row r="524" spans="48:48" ht="15" customHeight="1" x14ac:dyDescent="0.35">
      <c r="AV524" s="139" t="e">
        <v>#N/A</v>
      </c>
    </row>
    <row r="525" spans="48:48" ht="15" customHeight="1" x14ac:dyDescent="0.35">
      <c r="AV525" s="139" t="e">
        <v>#N/A</v>
      </c>
    </row>
    <row r="526" spans="48:48" ht="15" customHeight="1" x14ac:dyDescent="0.35">
      <c r="AV526" s="139" t="e">
        <v>#N/A</v>
      </c>
    </row>
    <row r="527" spans="48:48" ht="15" customHeight="1" x14ac:dyDescent="0.35">
      <c r="AV527" s="139" t="e">
        <v>#N/A</v>
      </c>
    </row>
    <row r="528" spans="48:48" ht="15" customHeight="1" x14ac:dyDescent="0.35">
      <c r="AV528" s="139" t="e">
        <v>#N/A</v>
      </c>
    </row>
    <row r="529" spans="48:48" ht="15" customHeight="1" x14ac:dyDescent="0.35">
      <c r="AV529" s="139" t="e">
        <v>#N/A</v>
      </c>
    </row>
    <row r="530" spans="48:48" ht="15" customHeight="1" x14ac:dyDescent="0.35">
      <c r="AV530" s="139" t="e">
        <v>#N/A</v>
      </c>
    </row>
    <row r="531" spans="48:48" ht="15" customHeight="1" x14ac:dyDescent="0.35">
      <c r="AV531" s="139" t="e">
        <v>#N/A</v>
      </c>
    </row>
    <row r="532" spans="48:48" ht="15" customHeight="1" x14ac:dyDescent="0.35">
      <c r="AV532" s="139" t="e">
        <v>#N/A</v>
      </c>
    </row>
    <row r="533" spans="48:48" ht="15" customHeight="1" x14ac:dyDescent="0.35">
      <c r="AV533" s="139" t="e">
        <v>#N/A</v>
      </c>
    </row>
    <row r="534" spans="48:48" ht="15" customHeight="1" x14ac:dyDescent="0.35">
      <c r="AV534" s="139" t="e">
        <v>#N/A</v>
      </c>
    </row>
    <row r="535" spans="48:48" ht="15" customHeight="1" x14ac:dyDescent="0.35">
      <c r="AV535" s="139" t="e">
        <v>#N/A</v>
      </c>
    </row>
    <row r="536" spans="48:48" ht="15" customHeight="1" x14ac:dyDescent="0.35">
      <c r="AV536" s="139" t="e">
        <v>#N/A</v>
      </c>
    </row>
    <row r="537" spans="48:48" ht="15" customHeight="1" x14ac:dyDescent="0.35">
      <c r="AV537" s="139" t="e">
        <v>#N/A</v>
      </c>
    </row>
    <row r="538" spans="48:48" ht="15" customHeight="1" x14ac:dyDescent="0.35">
      <c r="AV538" s="139" t="e">
        <v>#N/A</v>
      </c>
    </row>
    <row r="539" spans="48:48" ht="15" customHeight="1" x14ac:dyDescent="0.35">
      <c r="AV539" s="139" t="e">
        <v>#N/A</v>
      </c>
    </row>
    <row r="540" spans="48:48" ht="15" customHeight="1" x14ac:dyDescent="0.35">
      <c r="AV540" s="139" t="e">
        <v>#N/A</v>
      </c>
    </row>
    <row r="541" spans="48:48" ht="15" customHeight="1" x14ac:dyDescent="0.35">
      <c r="AV541" s="139" t="e">
        <v>#N/A</v>
      </c>
    </row>
    <row r="542" spans="48:48" ht="15" customHeight="1" x14ac:dyDescent="0.35">
      <c r="AV542" s="139" t="e">
        <v>#N/A</v>
      </c>
    </row>
    <row r="543" spans="48:48" ht="15" customHeight="1" x14ac:dyDescent="0.35">
      <c r="AV543" s="139" t="e">
        <v>#N/A</v>
      </c>
    </row>
    <row r="544" spans="48:48" ht="15" customHeight="1" x14ac:dyDescent="0.35">
      <c r="AV544" s="139" t="e">
        <v>#N/A</v>
      </c>
    </row>
    <row r="545" spans="48:48" ht="15" customHeight="1" x14ac:dyDescent="0.35">
      <c r="AV545" s="139" t="e">
        <v>#N/A</v>
      </c>
    </row>
    <row r="546" spans="48:48" ht="15" customHeight="1" x14ac:dyDescent="0.35">
      <c r="AV546" s="139" t="e">
        <v>#N/A</v>
      </c>
    </row>
    <row r="547" spans="48:48" ht="15" customHeight="1" x14ac:dyDescent="0.35">
      <c r="AV547" s="139" t="e">
        <v>#N/A</v>
      </c>
    </row>
    <row r="548" spans="48:48" ht="15" customHeight="1" x14ac:dyDescent="0.35">
      <c r="AV548" s="139" t="e">
        <v>#N/A</v>
      </c>
    </row>
    <row r="549" spans="48:48" ht="15" customHeight="1" x14ac:dyDescent="0.35">
      <c r="AV549" s="139" t="e">
        <v>#N/A</v>
      </c>
    </row>
    <row r="550" spans="48:48" ht="15" customHeight="1" x14ac:dyDescent="0.35">
      <c r="AV550" s="139" t="e">
        <v>#N/A</v>
      </c>
    </row>
    <row r="551" spans="48:48" ht="15" customHeight="1" x14ac:dyDescent="0.35">
      <c r="AV551" s="139" t="e">
        <v>#N/A</v>
      </c>
    </row>
    <row r="552" spans="48:48" ht="15" customHeight="1" x14ac:dyDescent="0.35">
      <c r="AV552" s="139" t="e">
        <v>#N/A</v>
      </c>
    </row>
    <row r="553" spans="48:48" ht="15" customHeight="1" x14ac:dyDescent="0.35">
      <c r="AV553" s="139" t="e">
        <v>#N/A</v>
      </c>
    </row>
    <row r="554" spans="48:48" ht="15" customHeight="1" x14ac:dyDescent="0.35">
      <c r="AV554" s="139" t="e">
        <v>#N/A</v>
      </c>
    </row>
    <row r="555" spans="48:48" ht="15" customHeight="1" x14ac:dyDescent="0.35">
      <c r="AV555" s="139" t="e">
        <v>#N/A</v>
      </c>
    </row>
    <row r="556" spans="48:48" ht="15" customHeight="1" x14ac:dyDescent="0.35">
      <c r="AV556" s="139" t="e">
        <v>#N/A</v>
      </c>
    </row>
    <row r="557" spans="48:48" ht="15" customHeight="1" x14ac:dyDescent="0.35">
      <c r="AV557" s="139" t="e">
        <v>#N/A</v>
      </c>
    </row>
    <row r="558" spans="48:48" ht="15" customHeight="1" x14ac:dyDescent="0.35">
      <c r="AV558" s="139" t="e">
        <v>#N/A</v>
      </c>
    </row>
    <row r="559" spans="48:48" ht="15" customHeight="1" x14ac:dyDescent="0.35">
      <c r="AV559" s="139" t="e">
        <v>#N/A</v>
      </c>
    </row>
    <row r="560" spans="48:48" ht="15" customHeight="1" x14ac:dyDescent="0.35">
      <c r="AV560" s="139" t="e">
        <v>#N/A</v>
      </c>
    </row>
    <row r="561" spans="48:48" ht="15" customHeight="1" x14ac:dyDescent="0.35">
      <c r="AV561" s="139" t="e">
        <v>#N/A</v>
      </c>
    </row>
    <row r="562" spans="48:48" ht="15" customHeight="1" x14ac:dyDescent="0.35">
      <c r="AV562" s="139" t="e">
        <v>#N/A</v>
      </c>
    </row>
    <row r="563" spans="48:48" ht="15" customHeight="1" x14ac:dyDescent="0.35">
      <c r="AV563" s="139" t="e">
        <v>#N/A</v>
      </c>
    </row>
    <row r="564" spans="48:48" ht="15" customHeight="1" x14ac:dyDescent="0.35">
      <c r="AV564" s="139" t="e">
        <v>#N/A</v>
      </c>
    </row>
    <row r="565" spans="48:48" ht="15" customHeight="1" x14ac:dyDescent="0.35">
      <c r="AV565" s="139" t="e">
        <v>#N/A</v>
      </c>
    </row>
    <row r="566" spans="48:48" ht="15" customHeight="1" x14ac:dyDescent="0.35">
      <c r="AV566" s="139" t="e">
        <v>#N/A</v>
      </c>
    </row>
    <row r="567" spans="48:48" ht="15" customHeight="1" x14ac:dyDescent="0.35">
      <c r="AV567" s="139" t="e">
        <v>#N/A</v>
      </c>
    </row>
    <row r="568" spans="48:48" ht="15" customHeight="1" x14ac:dyDescent="0.35">
      <c r="AV568" s="139" t="e">
        <v>#N/A</v>
      </c>
    </row>
    <row r="569" spans="48:48" ht="15" customHeight="1" x14ac:dyDescent="0.35">
      <c r="AV569" s="139" t="e">
        <v>#N/A</v>
      </c>
    </row>
    <row r="570" spans="48:48" ht="15" customHeight="1" x14ac:dyDescent="0.35">
      <c r="AV570" s="139" t="e">
        <v>#N/A</v>
      </c>
    </row>
    <row r="571" spans="48:48" ht="15" customHeight="1" x14ac:dyDescent="0.35">
      <c r="AV571" s="139" t="e">
        <v>#N/A</v>
      </c>
    </row>
    <row r="572" spans="48:48" ht="15" customHeight="1" x14ac:dyDescent="0.35">
      <c r="AV572" s="139" t="e">
        <v>#N/A</v>
      </c>
    </row>
    <row r="573" spans="48:48" ht="15" customHeight="1" x14ac:dyDescent="0.35">
      <c r="AV573" s="139" t="e">
        <v>#N/A</v>
      </c>
    </row>
    <row r="574" spans="48:48" ht="15" customHeight="1" x14ac:dyDescent="0.35">
      <c r="AV574" s="139" t="e">
        <v>#N/A</v>
      </c>
    </row>
    <row r="575" spans="48:48" ht="15" customHeight="1" x14ac:dyDescent="0.35">
      <c r="AV575" s="139" t="e">
        <v>#N/A</v>
      </c>
    </row>
    <row r="576" spans="48:48" ht="15" customHeight="1" x14ac:dyDescent="0.35">
      <c r="AV576" s="139" t="e">
        <v>#N/A</v>
      </c>
    </row>
    <row r="577" spans="48:48" ht="15" customHeight="1" x14ac:dyDescent="0.35">
      <c r="AV577" s="139" t="e">
        <v>#N/A</v>
      </c>
    </row>
    <row r="578" spans="48:48" ht="15" customHeight="1" x14ac:dyDescent="0.35">
      <c r="AV578" s="139" t="e">
        <v>#N/A</v>
      </c>
    </row>
    <row r="579" spans="48:48" ht="15" customHeight="1" x14ac:dyDescent="0.35">
      <c r="AV579" s="139" t="e">
        <v>#N/A</v>
      </c>
    </row>
    <row r="580" spans="48:48" ht="15" customHeight="1" x14ac:dyDescent="0.35">
      <c r="AV580" s="139" t="e">
        <v>#N/A</v>
      </c>
    </row>
    <row r="581" spans="48:48" ht="15" customHeight="1" x14ac:dyDescent="0.35">
      <c r="AV581" s="139" t="e">
        <v>#N/A</v>
      </c>
    </row>
    <row r="582" spans="48:48" ht="15" customHeight="1" x14ac:dyDescent="0.35">
      <c r="AV582" s="139" t="e">
        <v>#N/A</v>
      </c>
    </row>
    <row r="583" spans="48:48" ht="15" customHeight="1" x14ac:dyDescent="0.35">
      <c r="AV583" s="139" t="e">
        <v>#N/A</v>
      </c>
    </row>
    <row r="584" spans="48:48" ht="15" customHeight="1" x14ac:dyDescent="0.35">
      <c r="AV584" s="139" t="e">
        <v>#N/A</v>
      </c>
    </row>
    <row r="585" spans="48:48" ht="15" customHeight="1" x14ac:dyDescent="0.35">
      <c r="AV585" s="139" t="e">
        <v>#N/A</v>
      </c>
    </row>
    <row r="586" spans="48:48" ht="15" customHeight="1" x14ac:dyDescent="0.35">
      <c r="AV586" s="139" t="e">
        <v>#N/A</v>
      </c>
    </row>
    <row r="587" spans="48:48" ht="15" customHeight="1" x14ac:dyDescent="0.35">
      <c r="AV587" s="139" t="e">
        <v>#N/A</v>
      </c>
    </row>
    <row r="588" spans="48:48" ht="15" customHeight="1" x14ac:dyDescent="0.35">
      <c r="AV588" s="139" t="e">
        <v>#N/A</v>
      </c>
    </row>
    <row r="589" spans="48:48" ht="15" customHeight="1" x14ac:dyDescent="0.35">
      <c r="AV589" s="139" t="e">
        <v>#N/A</v>
      </c>
    </row>
    <row r="590" spans="48:48" ht="15" customHeight="1" x14ac:dyDescent="0.35">
      <c r="AV590" s="139" t="e">
        <v>#N/A</v>
      </c>
    </row>
    <row r="591" spans="48:48" ht="15" customHeight="1" x14ac:dyDescent="0.35">
      <c r="AV591" s="139" t="e">
        <v>#N/A</v>
      </c>
    </row>
    <row r="592" spans="48:48" ht="15" customHeight="1" x14ac:dyDescent="0.35">
      <c r="AV592" s="139" t="e">
        <v>#N/A</v>
      </c>
    </row>
    <row r="593" spans="48:48" ht="15" customHeight="1" x14ac:dyDescent="0.35">
      <c r="AV593" s="139" t="e">
        <v>#N/A</v>
      </c>
    </row>
    <row r="594" spans="48:48" ht="15" customHeight="1" x14ac:dyDescent="0.35">
      <c r="AV594" s="139" t="e">
        <v>#N/A</v>
      </c>
    </row>
    <row r="595" spans="48:48" ht="15" customHeight="1" x14ac:dyDescent="0.35">
      <c r="AV595" s="139" t="e">
        <v>#N/A</v>
      </c>
    </row>
    <row r="596" spans="48:48" ht="15" customHeight="1" x14ac:dyDescent="0.35">
      <c r="AV596" s="139" t="e">
        <v>#N/A</v>
      </c>
    </row>
    <row r="597" spans="48:48" ht="15" customHeight="1" x14ac:dyDescent="0.35">
      <c r="AV597" s="139" t="e">
        <v>#N/A</v>
      </c>
    </row>
    <row r="598" spans="48:48" ht="15" customHeight="1" x14ac:dyDescent="0.35">
      <c r="AV598" s="139" t="e">
        <v>#N/A</v>
      </c>
    </row>
    <row r="599" spans="48:48" ht="15" customHeight="1" x14ac:dyDescent="0.35">
      <c r="AV599" s="139" t="e">
        <v>#N/A</v>
      </c>
    </row>
    <row r="600" spans="48:48" ht="15" customHeight="1" x14ac:dyDescent="0.35">
      <c r="AV600" s="139" t="e">
        <v>#N/A</v>
      </c>
    </row>
    <row r="601" spans="48:48" ht="15" customHeight="1" x14ac:dyDescent="0.35">
      <c r="AV601" s="139" t="e">
        <v>#N/A</v>
      </c>
    </row>
    <row r="602" spans="48:48" ht="15" customHeight="1" x14ac:dyDescent="0.35">
      <c r="AV602" s="139" t="e">
        <v>#N/A</v>
      </c>
    </row>
    <row r="603" spans="48:48" ht="15" customHeight="1" x14ac:dyDescent="0.35">
      <c r="AV603" s="139" t="e">
        <v>#N/A</v>
      </c>
    </row>
    <row r="604" spans="48:48" ht="15" customHeight="1" x14ac:dyDescent="0.35">
      <c r="AV604" s="139" t="e">
        <v>#N/A</v>
      </c>
    </row>
    <row r="605" spans="48:48" ht="15" customHeight="1" x14ac:dyDescent="0.35">
      <c r="AV605" s="139" t="e">
        <v>#N/A</v>
      </c>
    </row>
    <row r="606" spans="48:48" ht="15" customHeight="1" x14ac:dyDescent="0.35">
      <c r="AV606" s="139" t="e">
        <v>#N/A</v>
      </c>
    </row>
    <row r="607" spans="48:48" ht="15" customHeight="1" x14ac:dyDescent="0.35">
      <c r="AV607" s="139" t="e">
        <v>#N/A</v>
      </c>
    </row>
    <row r="608" spans="48:48" ht="15" customHeight="1" x14ac:dyDescent="0.35">
      <c r="AV608" s="139" t="e">
        <v>#N/A</v>
      </c>
    </row>
    <row r="609" spans="48:48" ht="15" customHeight="1" x14ac:dyDescent="0.35">
      <c r="AV609" s="139" t="e">
        <v>#N/A</v>
      </c>
    </row>
    <row r="610" spans="48:48" ht="15" customHeight="1" x14ac:dyDescent="0.35">
      <c r="AV610" s="139" t="e">
        <v>#N/A</v>
      </c>
    </row>
    <row r="611" spans="48:48" ht="15" customHeight="1" x14ac:dyDescent="0.35">
      <c r="AV611" s="139" t="e">
        <v>#N/A</v>
      </c>
    </row>
    <row r="612" spans="48:48" ht="15" customHeight="1" x14ac:dyDescent="0.35">
      <c r="AV612" s="139" t="e">
        <v>#N/A</v>
      </c>
    </row>
    <row r="613" spans="48:48" ht="15" customHeight="1" x14ac:dyDescent="0.35">
      <c r="AV613" s="139" t="e">
        <v>#N/A</v>
      </c>
    </row>
    <row r="614" spans="48:48" ht="15" customHeight="1" x14ac:dyDescent="0.35">
      <c r="AV614" s="139" t="e">
        <v>#N/A</v>
      </c>
    </row>
    <row r="615" spans="48:48" ht="15" customHeight="1" x14ac:dyDescent="0.35">
      <c r="AV615" s="139" t="e">
        <v>#N/A</v>
      </c>
    </row>
    <row r="616" spans="48:48" ht="15" customHeight="1" x14ac:dyDescent="0.35">
      <c r="AV616" s="139" t="e">
        <v>#N/A</v>
      </c>
    </row>
    <row r="617" spans="48:48" ht="15" customHeight="1" x14ac:dyDescent="0.35">
      <c r="AV617" s="139" t="e">
        <v>#N/A</v>
      </c>
    </row>
    <row r="618" spans="48:48" ht="15" customHeight="1" x14ac:dyDescent="0.35">
      <c r="AV618" s="139" t="e">
        <v>#N/A</v>
      </c>
    </row>
    <row r="619" spans="48:48" ht="15" customHeight="1" x14ac:dyDescent="0.35">
      <c r="AV619" s="139" t="e">
        <v>#N/A</v>
      </c>
    </row>
    <row r="620" spans="48:48" ht="15" customHeight="1" x14ac:dyDescent="0.35">
      <c r="AV620" s="139" t="e">
        <v>#N/A</v>
      </c>
    </row>
    <row r="621" spans="48:48" ht="15" customHeight="1" x14ac:dyDescent="0.35">
      <c r="AV621" s="139" t="e">
        <v>#N/A</v>
      </c>
    </row>
    <row r="622" spans="48:48" ht="15" customHeight="1" x14ac:dyDescent="0.35">
      <c r="AV622" s="139" t="e">
        <v>#N/A</v>
      </c>
    </row>
    <row r="623" spans="48:48" ht="15" customHeight="1" x14ac:dyDescent="0.35">
      <c r="AV623" s="139" t="e">
        <v>#N/A</v>
      </c>
    </row>
    <row r="624" spans="48:48" ht="15" customHeight="1" x14ac:dyDescent="0.35">
      <c r="AV624" s="139" t="e">
        <v>#N/A</v>
      </c>
    </row>
    <row r="625" spans="48:48" ht="15" customHeight="1" x14ac:dyDescent="0.35">
      <c r="AV625" s="139" t="e">
        <v>#N/A</v>
      </c>
    </row>
    <row r="626" spans="48:48" ht="15" customHeight="1" x14ac:dyDescent="0.35">
      <c r="AV626" s="139" t="e">
        <v>#N/A</v>
      </c>
    </row>
    <row r="627" spans="48:48" ht="15" customHeight="1" x14ac:dyDescent="0.35">
      <c r="AV627" s="139" t="e">
        <v>#N/A</v>
      </c>
    </row>
    <row r="628" spans="48:48" ht="15" customHeight="1" x14ac:dyDescent="0.35">
      <c r="AV628" s="139" t="e">
        <v>#N/A</v>
      </c>
    </row>
    <row r="629" spans="48:48" ht="15" customHeight="1" x14ac:dyDescent="0.35">
      <c r="AV629" s="139" t="e">
        <v>#N/A</v>
      </c>
    </row>
    <row r="630" spans="48:48" ht="15" customHeight="1" x14ac:dyDescent="0.35">
      <c r="AV630" s="139" t="e">
        <v>#N/A</v>
      </c>
    </row>
    <row r="631" spans="48:48" ht="15" customHeight="1" x14ac:dyDescent="0.35">
      <c r="AV631" s="139" t="e">
        <v>#N/A</v>
      </c>
    </row>
    <row r="632" spans="48:48" ht="15" customHeight="1" x14ac:dyDescent="0.35">
      <c r="AV632" s="139" t="e">
        <v>#N/A</v>
      </c>
    </row>
    <row r="633" spans="48:48" ht="15" customHeight="1" x14ac:dyDescent="0.35">
      <c r="AV633" s="139" t="e">
        <v>#N/A</v>
      </c>
    </row>
    <row r="634" spans="48:48" ht="15" customHeight="1" x14ac:dyDescent="0.35">
      <c r="AV634" s="139" t="e">
        <v>#N/A</v>
      </c>
    </row>
    <row r="635" spans="48:48" ht="15" customHeight="1" x14ac:dyDescent="0.35">
      <c r="AV635" s="139" t="e">
        <v>#N/A</v>
      </c>
    </row>
    <row r="636" spans="48:48" ht="15" customHeight="1" x14ac:dyDescent="0.35">
      <c r="AV636" s="139" t="e">
        <v>#N/A</v>
      </c>
    </row>
    <row r="637" spans="48:48" ht="15" customHeight="1" x14ac:dyDescent="0.35">
      <c r="AV637" s="139" t="e">
        <v>#N/A</v>
      </c>
    </row>
    <row r="638" spans="48:48" ht="15" customHeight="1" x14ac:dyDescent="0.35">
      <c r="AV638" s="139" t="e">
        <v>#N/A</v>
      </c>
    </row>
    <row r="639" spans="48:48" ht="15" customHeight="1" x14ac:dyDescent="0.35">
      <c r="AV639" s="139" t="e">
        <v>#N/A</v>
      </c>
    </row>
    <row r="640" spans="48:48" ht="15" customHeight="1" x14ac:dyDescent="0.35">
      <c r="AV640" s="139" t="e">
        <v>#N/A</v>
      </c>
    </row>
    <row r="641" spans="48:48" ht="15" customHeight="1" x14ac:dyDescent="0.35">
      <c r="AV641" s="139" t="e">
        <v>#N/A</v>
      </c>
    </row>
    <row r="642" spans="48:48" ht="15" customHeight="1" x14ac:dyDescent="0.35">
      <c r="AV642" s="139" t="e">
        <v>#N/A</v>
      </c>
    </row>
    <row r="643" spans="48:48" ht="15" customHeight="1" x14ac:dyDescent="0.35">
      <c r="AV643" s="139" t="e">
        <v>#N/A</v>
      </c>
    </row>
    <row r="644" spans="48:48" ht="15" customHeight="1" x14ac:dyDescent="0.35">
      <c r="AV644" s="139" t="e">
        <v>#N/A</v>
      </c>
    </row>
    <row r="645" spans="48:48" ht="15" customHeight="1" x14ac:dyDescent="0.35">
      <c r="AV645" s="139" t="e">
        <v>#N/A</v>
      </c>
    </row>
    <row r="646" spans="48:48" ht="15" customHeight="1" x14ac:dyDescent="0.35">
      <c r="AV646" s="139" t="e">
        <v>#N/A</v>
      </c>
    </row>
    <row r="647" spans="48:48" ht="15" customHeight="1" x14ac:dyDescent="0.35">
      <c r="AV647" s="139" t="e">
        <v>#N/A</v>
      </c>
    </row>
    <row r="648" spans="48:48" ht="15" customHeight="1" x14ac:dyDescent="0.35">
      <c r="AV648" s="139" t="e">
        <v>#N/A</v>
      </c>
    </row>
    <row r="649" spans="48:48" ht="15" customHeight="1" x14ac:dyDescent="0.35">
      <c r="AV649" s="139" t="e">
        <v>#N/A</v>
      </c>
    </row>
    <row r="650" spans="48:48" ht="15" customHeight="1" x14ac:dyDescent="0.35">
      <c r="AV650" s="139" t="e">
        <v>#N/A</v>
      </c>
    </row>
    <row r="651" spans="48:48" ht="15" customHeight="1" x14ac:dyDescent="0.35">
      <c r="AV651" s="139" t="e">
        <v>#N/A</v>
      </c>
    </row>
    <row r="652" spans="48:48" ht="15" customHeight="1" x14ac:dyDescent="0.35">
      <c r="AV652" s="139" t="e">
        <v>#N/A</v>
      </c>
    </row>
    <row r="653" spans="48:48" ht="15" customHeight="1" x14ac:dyDescent="0.35">
      <c r="AV653" s="139" t="e">
        <v>#N/A</v>
      </c>
    </row>
    <row r="654" spans="48:48" ht="15" customHeight="1" x14ac:dyDescent="0.35">
      <c r="AV654" s="139" t="e">
        <v>#N/A</v>
      </c>
    </row>
    <row r="655" spans="48:48" ht="15" customHeight="1" x14ac:dyDescent="0.35">
      <c r="AV655" s="139" t="e">
        <v>#N/A</v>
      </c>
    </row>
    <row r="656" spans="48:48" ht="15" customHeight="1" x14ac:dyDescent="0.35">
      <c r="AV656" s="139" t="e">
        <v>#N/A</v>
      </c>
    </row>
    <row r="657" spans="48:48" ht="15" customHeight="1" x14ac:dyDescent="0.35">
      <c r="AV657" s="139" t="e">
        <v>#N/A</v>
      </c>
    </row>
    <row r="658" spans="48:48" ht="15" customHeight="1" x14ac:dyDescent="0.35">
      <c r="AV658" s="139" t="e">
        <v>#N/A</v>
      </c>
    </row>
    <row r="659" spans="48:48" ht="15" customHeight="1" x14ac:dyDescent="0.35">
      <c r="AV659" s="139" t="e">
        <v>#N/A</v>
      </c>
    </row>
    <row r="660" spans="48:48" ht="15" customHeight="1" x14ac:dyDescent="0.35">
      <c r="AV660" s="139" t="e">
        <v>#N/A</v>
      </c>
    </row>
    <row r="661" spans="48:48" ht="15" customHeight="1" x14ac:dyDescent="0.35">
      <c r="AV661" s="139" t="e">
        <v>#N/A</v>
      </c>
    </row>
    <row r="662" spans="48:48" ht="15" customHeight="1" x14ac:dyDescent="0.35">
      <c r="AV662" s="139" t="e">
        <v>#N/A</v>
      </c>
    </row>
    <row r="663" spans="48:48" ht="15" customHeight="1" x14ac:dyDescent="0.35">
      <c r="AV663" s="139" t="e">
        <v>#N/A</v>
      </c>
    </row>
    <row r="664" spans="48:48" ht="15" customHeight="1" x14ac:dyDescent="0.35">
      <c r="AV664" s="139" t="e">
        <v>#N/A</v>
      </c>
    </row>
    <row r="665" spans="48:48" ht="15" customHeight="1" x14ac:dyDescent="0.35">
      <c r="AV665" s="139" t="e">
        <v>#N/A</v>
      </c>
    </row>
    <row r="666" spans="48:48" ht="15" customHeight="1" x14ac:dyDescent="0.35">
      <c r="AV666" s="139" t="e">
        <v>#N/A</v>
      </c>
    </row>
    <row r="667" spans="48:48" ht="15" customHeight="1" x14ac:dyDescent="0.35">
      <c r="AV667" s="139" t="e">
        <v>#N/A</v>
      </c>
    </row>
    <row r="668" spans="48:48" ht="15" customHeight="1" x14ac:dyDescent="0.35">
      <c r="AV668" s="139" t="e">
        <v>#N/A</v>
      </c>
    </row>
    <row r="669" spans="48:48" ht="15" customHeight="1" x14ac:dyDescent="0.35">
      <c r="AV669" s="139" t="e">
        <v>#N/A</v>
      </c>
    </row>
    <row r="670" spans="48:48" ht="15" customHeight="1" x14ac:dyDescent="0.35">
      <c r="AV670" s="139" t="e">
        <v>#N/A</v>
      </c>
    </row>
    <row r="671" spans="48:48" ht="15" customHeight="1" x14ac:dyDescent="0.35">
      <c r="AV671" s="139" t="e">
        <v>#N/A</v>
      </c>
    </row>
    <row r="672" spans="48:48" ht="15" customHeight="1" x14ac:dyDescent="0.35">
      <c r="AV672" s="139" t="e">
        <v>#N/A</v>
      </c>
    </row>
    <row r="673" spans="48:48" ht="15" customHeight="1" x14ac:dyDescent="0.35">
      <c r="AV673" s="139" t="e">
        <v>#N/A</v>
      </c>
    </row>
    <row r="674" spans="48:48" ht="15" customHeight="1" x14ac:dyDescent="0.35">
      <c r="AV674" s="139" t="e">
        <v>#N/A</v>
      </c>
    </row>
    <row r="675" spans="48:48" ht="15" customHeight="1" x14ac:dyDescent="0.35">
      <c r="AV675" s="139" t="e">
        <v>#N/A</v>
      </c>
    </row>
    <row r="676" spans="48:48" ht="15" customHeight="1" x14ac:dyDescent="0.35">
      <c r="AV676" s="139" t="e">
        <v>#N/A</v>
      </c>
    </row>
    <row r="677" spans="48:48" ht="15" customHeight="1" x14ac:dyDescent="0.35">
      <c r="AV677" s="139" t="e">
        <v>#N/A</v>
      </c>
    </row>
    <row r="678" spans="48:48" ht="15" customHeight="1" x14ac:dyDescent="0.35">
      <c r="AV678" s="139" t="e">
        <v>#N/A</v>
      </c>
    </row>
    <row r="679" spans="48:48" ht="15" customHeight="1" x14ac:dyDescent="0.35">
      <c r="AV679" s="139" t="e">
        <v>#N/A</v>
      </c>
    </row>
    <row r="680" spans="48:48" ht="15" customHeight="1" x14ac:dyDescent="0.35">
      <c r="AV680" s="139" t="e">
        <v>#N/A</v>
      </c>
    </row>
    <row r="681" spans="48:48" ht="15" customHeight="1" x14ac:dyDescent="0.35">
      <c r="AV681" s="139" t="e">
        <v>#N/A</v>
      </c>
    </row>
    <row r="682" spans="48:48" ht="15" customHeight="1" x14ac:dyDescent="0.35">
      <c r="AV682" s="139" t="e">
        <v>#N/A</v>
      </c>
    </row>
    <row r="683" spans="48:48" ht="15" customHeight="1" x14ac:dyDescent="0.35">
      <c r="AV683" s="139" t="e">
        <v>#N/A</v>
      </c>
    </row>
    <row r="684" spans="48:48" ht="15" customHeight="1" x14ac:dyDescent="0.35">
      <c r="AV684" s="139" t="e">
        <v>#N/A</v>
      </c>
    </row>
    <row r="685" spans="48:48" ht="15" customHeight="1" x14ac:dyDescent="0.35">
      <c r="AV685" s="139" t="e">
        <v>#N/A</v>
      </c>
    </row>
    <row r="686" spans="48:48" ht="15" customHeight="1" x14ac:dyDescent="0.35">
      <c r="AV686" s="139" t="e">
        <v>#N/A</v>
      </c>
    </row>
    <row r="687" spans="48:48" ht="15" customHeight="1" x14ac:dyDescent="0.35">
      <c r="AV687" s="139" t="e">
        <v>#N/A</v>
      </c>
    </row>
    <row r="688" spans="48:48" ht="15" customHeight="1" x14ac:dyDescent="0.35">
      <c r="AV688" s="139" t="e">
        <v>#N/A</v>
      </c>
    </row>
    <row r="689" spans="48:48" ht="15" customHeight="1" x14ac:dyDescent="0.35">
      <c r="AV689" s="139" t="e">
        <v>#N/A</v>
      </c>
    </row>
    <row r="690" spans="48:48" ht="15" customHeight="1" x14ac:dyDescent="0.35">
      <c r="AV690" s="139" t="e">
        <v>#N/A</v>
      </c>
    </row>
    <row r="691" spans="48:48" ht="15" customHeight="1" x14ac:dyDescent="0.35">
      <c r="AV691" s="139" t="e">
        <v>#N/A</v>
      </c>
    </row>
    <row r="692" spans="48:48" ht="15" customHeight="1" x14ac:dyDescent="0.35">
      <c r="AV692" s="139" t="e">
        <v>#N/A</v>
      </c>
    </row>
    <row r="693" spans="48:48" ht="15" customHeight="1" x14ac:dyDescent="0.35">
      <c r="AV693" s="139" t="e">
        <v>#N/A</v>
      </c>
    </row>
    <row r="694" spans="48:48" ht="15" customHeight="1" x14ac:dyDescent="0.35">
      <c r="AV694" s="139" t="e">
        <v>#N/A</v>
      </c>
    </row>
    <row r="695" spans="48:48" ht="15" customHeight="1" x14ac:dyDescent="0.35">
      <c r="AV695" s="139" t="e">
        <v>#N/A</v>
      </c>
    </row>
    <row r="696" spans="48:48" ht="15" customHeight="1" x14ac:dyDescent="0.35">
      <c r="AV696" s="139" t="e">
        <v>#N/A</v>
      </c>
    </row>
    <row r="697" spans="48:48" ht="15" customHeight="1" x14ac:dyDescent="0.35">
      <c r="AV697" s="139" t="e">
        <v>#N/A</v>
      </c>
    </row>
    <row r="698" spans="48:48" ht="15" customHeight="1" x14ac:dyDescent="0.35">
      <c r="AV698" s="139" t="e">
        <v>#N/A</v>
      </c>
    </row>
    <row r="699" spans="48:48" ht="15" customHeight="1" x14ac:dyDescent="0.35">
      <c r="AV699" s="139" t="e">
        <v>#N/A</v>
      </c>
    </row>
    <row r="700" spans="48:48" ht="15" customHeight="1" x14ac:dyDescent="0.35">
      <c r="AV700" s="139" t="e">
        <v>#N/A</v>
      </c>
    </row>
    <row r="701" spans="48:48" ht="15" customHeight="1" x14ac:dyDescent="0.35">
      <c r="AV701" s="139" t="e">
        <v>#N/A</v>
      </c>
    </row>
    <row r="702" spans="48:48" ht="15" customHeight="1" x14ac:dyDescent="0.35">
      <c r="AV702" s="139" t="e">
        <v>#N/A</v>
      </c>
    </row>
    <row r="703" spans="48:48" ht="15" customHeight="1" x14ac:dyDescent="0.35">
      <c r="AV703" s="139" t="e">
        <v>#N/A</v>
      </c>
    </row>
    <row r="704" spans="48:48" ht="15" customHeight="1" x14ac:dyDescent="0.35">
      <c r="AV704" s="139" t="e">
        <v>#N/A</v>
      </c>
    </row>
    <row r="705" spans="48:48" ht="15" customHeight="1" x14ac:dyDescent="0.35">
      <c r="AV705" s="139" t="e">
        <v>#N/A</v>
      </c>
    </row>
    <row r="706" spans="48:48" ht="15" customHeight="1" x14ac:dyDescent="0.35">
      <c r="AV706" s="139" t="e">
        <v>#N/A</v>
      </c>
    </row>
    <row r="707" spans="48:48" ht="15" customHeight="1" x14ac:dyDescent="0.35">
      <c r="AV707" s="139" t="e">
        <v>#N/A</v>
      </c>
    </row>
    <row r="708" spans="48:48" ht="15" customHeight="1" x14ac:dyDescent="0.35">
      <c r="AV708" s="139" t="e">
        <v>#N/A</v>
      </c>
    </row>
    <row r="709" spans="48:48" ht="15" customHeight="1" x14ac:dyDescent="0.35">
      <c r="AV709" s="139" t="e">
        <v>#N/A</v>
      </c>
    </row>
    <row r="710" spans="48:48" ht="15" customHeight="1" x14ac:dyDescent="0.35">
      <c r="AV710" s="139" t="e">
        <v>#N/A</v>
      </c>
    </row>
    <row r="711" spans="48:48" ht="15" customHeight="1" x14ac:dyDescent="0.35">
      <c r="AV711" s="139" t="e">
        <v>#N/A</v>
      </c>
    </row>
    <row r="712" spans="48:48" ht="15" customHeight="1" x14ac:dyDescent="0.35">
      <c r="AV712" s="139" t="e">
        <v>#N/A</v>
      </c>
    </row>
    <row r="713" spans="48:48" ht="15" customHeight="1" x14ac:dyDescent="0.35">
      <c r="AV713" s="139" t="e">
        <v>#N/A</v>
      </c>
    </row>
    <row r="714" spans="48:48" ht="15" customHeight="1" x14ac:dyDescent="0.35">
      <c r="AV714" s="139" t="e">
        <v>#N/A</v>
      </c>
    </row>
    <row r="715" spans="48:48" ht="15" customHeight="1" x14ac:dyDescent="0.35">
      <c r="AV715" s="139" t="e">
        <v>#N/A</v>
      </c>
    </row>
    <row r="716" spans="48:48" ht="15" customHeight="1" x14ac:dyDescent="0.35">
      <c r="AV716" s="139" t="e">
        <v>#N/A</v>
      </c>
    </row>
    <row r="717" spans="48:48" ht="15" customHeight="1" x14ac:dyDescent="0.35">
      <c r="AV717" s="139" t="e">
        <v>#N/A</v>
      </c>
    </row>
    <row r="718" spans="48:48" ht="15" customHeight="1" x14ac:dyDescent="0.35">
      <c r="AV718" s="139" t="e">
        <v>#N/A</v>
      </c>
    </row>
    <row r="719" spans="48:48" ht="15" customHeight="1" x14ac:dyDescent="0.35">
      <c r="AV719" s="139" t="e">
        <v>#N/A</v>
      </c>
    </row>
    <row r="720" spans="48:48" ht="15" customHeight="1" x14ac:dyDescent="0.35">
      <c r="AV720" s="139" t="e">
        <v>#N/A</v>
      </c>
    </row>
    <row r="721" spans="48:48" ht="15" customHeight="1" x14ac:dyDescent="0.35">
      <c r="AV721" s="139" t="e">
        <v>#N/A</v>
      </c>
    </row>
    <row r="722" spans="48:48" ht="15" customHeight="1" x14ac:dyDescent="0.35">
      <c r="AV722" s="139" t="e">
        <v>#N/A</v>
      </c>
    </row>
    <row r="723" spans="48:48" ht="15" customHeight="1" x14ac:dyDescent="0.35">
      <c r="AV723" s="139" t="e">
        <v>#N/A</v>
      </c>
    </row>
    <row r="724" spans="48:48" ht="15" customHeight="1" x14ac:dyDescent="0.35">
      <c r="AV724" s="139" t="e">
        <v>#N/A</v>
      </c>
    </row>
    <row r="725" spans="48:48" ht="15" customHeight="1" x14ac:dyDescent="0.35">
      <c r="AV725" s="139" t="e">
        <v>#N/A</v>
      </c>
    </row>
    <row r="726" spans="48:48" ht="15" customHeight="1" x14ac:dyDescent="0.35">
      <c r="AV726" s="139" t="e">
        <v>#N/A</v>
      </c>
    </row>
    <row r="727" spans="48:48" ht="15" customHeight="1" x14ac:dyDescent="0.35">
      <c r="AV727" s="139" t="e">
        <v>#N/A</v>
      </c>
    </row>
    <row r="728" spans="48:48" ht="15" customHeight="1" x14ac:dyDescent="0.35">
      <c r="AV728" s="139" t="e">
        <v>#N/A</v>
      </c>
    </row>
    <row r="729" spans="48:48" ht="15" customHeight="1" x14ac:dyDescent="0.35">
      <c r="AV729" s="139" t="e">
        <v>#N/A</v>
      </c>
    </row>
    <row r="730" spans="48:48" ht="15" customHeight="1" x14ac:dyDescent="0.35">
      <c r="AV730" s="139" t="e">
        <v>#N/A</v>
      </c>
    </row>
    <row r="731" spans="48:48" ht="15" customHeight="1" x14ac:dyDescent="0.35">
      <c r="AV731" s="139" t="e">
        <v>#N/A</v>
      </c>
    </row>
    <row r="732" spans="48:48" ht="15" customHeight="1" x14ac:dyDescent="0.35">
      <c r="AV732" s="139" t="e">
        <v>#N/A</v>
      </c>
    </row>
    <row r="733" spans="48:48" ht="15" customHeight="1" x14ac:dyDescent="0.35">
      <c r="AV733" s="139" t="e">
        <v>#N/A</v>
      </c>
    </row>
    <row r="734" spans="48:48" ht="15" customHeight="1" x14ac:dyDescent="0.35">
      <c r="AV734" s="139" t="e">
        <v>#N/A</v>
      </c>
    </row>
    <row r="735" spans="48:48" ht="15" customHeight="1" x14ac:dyDescent="0.35">
      <c r="AV735" s="139" t="e">
        <v>#N/A</v>
      </c>
    </row>
    <row r="736" spans="48:48" ht="15" customHeight="1" x14ac:dyDescent="0.35">
      <c r="AV736" s="139" t="e">
        <v>#N/A</v>
      </c>
    </row>
    <row r="737" spans="48:48" ht="15" customHeight="1" x14ac:dyDescent="0.35">
      <c r="AV737" s="139" t="e">
        <v>#N/A</v>
      </c>
    </row>
    <row r="738" spans="48:48" ht="15" customHeight="1" x14ac:dyDescent="0.35">
      <c r="AV738" s="139" t="e">
        <v>#N/A</v>
      </c>
    </row>
    <row r="739" spans="48:48" ht="15" customHeight="1" x14ac:dyDescent="0.35">
      <c r="AV739" s="139" t="e">
        <v>#N/A</v>
      </c>
    </row>
    <row r="740" spans="48:48" ht="15" customHeight="1" x14ac:dyDescent="0.35">
      <c r="AV740" s="139" t="e">
        <v>#N/A</v>
      </c>
    </row>
    <row r="741" spans="48:48" ht="15" customHeight="1" x14ac:dyDescent="0.35">
      <c r="AV741" s="139" t="e">
        <v>#N/A</v>
      </c>
    </row>
    <row r="742" spans="48:48" ht="15" customHeight="1" x14ac:dyDescent="0.35">
      <c r="AV742" s="139" t="e">
        <v>#N/A</v>
      </c>
    </row>
    <row r="743" spans="48:48" ht="15" customHeight="1" x14ac:dyDescent="0.35">
      <c r="AV743" s="139" t="e">
        <v>#N/A</v>
      </c>
    </row>
    <row r="744" spans="48:48" ht="15" customHeight="1" x14ac:dyDescent="0.35">
      <c r="AV744" s="139" t="e">
        <v>#N/A</v>
      </c>
    </row>
    <row r="745" spans="48:48" ht="15" customHeight="1" x14ac:dyDescent="0.35">
      <c r="AV745" s="139" t="e">
        <v>#N/A</v>
      </c>
    </row>
    <row r="746" spans="48:48" ht="15" customHeight="1" x14ac:dyDescent="0.35">
      <c r="AV746" s="139" t="e">
        <v>#N/A</v>
      </c>
    </row>
    <row r="747" spans="48:48" ht="15" customHeight="1" x14ac:dyDescent="0.35">
      <c r="AV747" s="139" t="e">
        <v>#N/A</v>
      </c>
    </row>
    <row r="748" spans="48:48" ht="15" customHeight="1" x14ac:dyDescent="0.35">
      <c r="AV748" s="139" t="e">
        <v>#N/A</v>
      </c>
    </row>
    <row r="749" spans="48:48" ht="15" customHeight="1" x14ac:dyDescent="0.35">
      <c r="AV749" s="139" t="e">
        <v>#N/A</v>
      </c>
    </row>
    <row r="750" spans="48:48" ht="15" customHeight="1" x14ac:dyDescent="0.35">
      <c r="AV750" s="139" t="e">
        <v>#N/A</v>
      </c>
    </row>
    <row r="751" spans="48:48" ht="15" customHeight="1" x14ac:dyDescent="0.35">
      <c r="AV751" s="139" t="e">
        <v>#N/A</v>
      </c>
    </row>
    <row r="752" spans="48:48" ht="15" customHeight="1" x14ac:dyDescent="0.35">
      <c r="AV752" s="139" t="e">
        <v>#N/A</v>
      </c>
    </row>
    <row r="753" spans="48:48" ht="15" customHeight="1" x14ac:dyDescent="0.35">
      <c r="AV753" s="139" t="e">
        <v>#N/A</v>
      </c>
    </row>
    <row r="754" spans="48:48" ht="15" customHeight="1" x14ac:dyDescent="0.35">
      <c r="AV754" s="139" t="e">
        <v>#N/A</v>
      </c>
    </row>
    <row r="755" spans="48:48" ht="15" customHeight="1" x14ac:dyDescent="0.35">
      <c r="AV755" s="139" t="e">
        <v>#N/A</v>
      </c>
    </row>
    <row r="756" spans="48:48" ht="15" customHeight="1" x14ac:dyDescent="0.35">
      <c r="AV756" s="139" t="e">
        <v>#N/A</v>
      </c>
    </row>
    <row r="757" spans="48:48" ht="15" customHeight="1" x14ac:dyDescent="0.35">
      <c r="AV757" s="139" t="e">
        <v>#N/A</v>
      </c>
    </row>
    <row r="758" spans="48:48" ht="15" customHeight="1" x14ac:dyDescent="0.35">
      <c r="AV758" s="139" t="e">
        <v>#N/A</v>
      </c>
    </row>
    <row r="759" spans="48:48" ht="15" customHeight="1" x14ac:dyDescent="0.35">
      <c r="AV759" s="139" t="e">
        <v>#N/A</v>
      </c>
    </row>
    <row r="760" spans="48:48" ht="15" customHeight="1" x14ac:dyDescent="0.35">
      <c r="AV760" s="139" t="e">
        <v>#N/A</v>
      </c>
    </row>
    <row r="761" spans="48:48" ht="15" customHeight="1" x14ac:dyDescent="0.35">
      <c r="AV761" s="139" t="e">
        <v>#N/A</v>
      </c>
    </row>
    <row r="762" spans="48:48" ht="15" customHeight="1" x14ac:dyDescent="0.35">
      <c r="AV762" s="139" t="e">
        <v>#N/A</v>
      </c>
    </row>
    <row r="763" spans="48:48" ht="15" customHeight="1" x14ac:dyDescent="0.35">
      <c r="AV763" s="139" t="e">
        <v>#N/A</v>
      </c>
    </row>
    <row r="764" spans="48:48" ht="15" customHeight="1" x14ac:dyDescent="0.35">
      <c r="AV764" s="139" t="e">
        <v>#N/A</v>
      </c>
    </row>
    <row r="765" spans="48:48" ht="15" customHeight="1" x14ac:dyDescent="0.35">
      <c r="AV765" s="139" t="e">
        <v>#N/A</v>
      </c>
    </row>
    <row r="766" spans="48:48" ht="15" customHeight="1" x14ac:dyDescent="0.35">
      <c r="AV766" s="139" t="e">
        <v>#N/A</v>
      </c>
    </row>
    <row r="767" spans="48:48" ht="15" customHeight="1" x14ac:dyDescent="0.35">
      <c r="AV767" s="139" t="e">
        <v>#N/A</v>
      </c>
    </row>
    <row r="768" spans="48:48" ht="15" customHeight="1" x14ac:dyDescent="0.35">
      <c r="AV768" s="139" t="e">
        <v>#N/A</v>
      </c>
    </row>
    <row r="769" spans="48:48" ht="15" customHeight="1" x14ac:dyDescent="0.35">
      <c r="AV769" s="139" t="e">
        <v>#N/A</v>
      </c>
    </row>
    <row r="770" spans="48:48" ht="15" customHeight="1" x14ac:dyDescent="0.35">
      <c r="AV770" s="139" t="e">
        <v>#N/A</v>
      </c>
    </row>
    <row r="771" spans="48:48" ht="15" customHeight="1" x14ac:dyDescent="0.35">
      <c r="AV771" s="139" t="e">
        <v>#N/A</v>
      </c>
    </row>
    <row r="772" spans="48:48" ht="15" customHeight="1" x14ac:dyDescent="0.35">
      <c r="AV772" s="139" t="e">
        <v>#N/A</v>
      </c>
    </row>
    <row r="773" spans="48:48" ht="15" customHeight="1" x14ac:dyDescent="0.35">
      <c r="AV773" s="139" t="e">
        <v>#N/A</v>
      </c>
    </row>
    <row r="774" spans="48:48" ht="15" customHeight="1" x14ac:dyDescent="0.35">
      <c r="AV774" s="139" t="e">
        <v>#N/A</v>
      </c>
    </row>
    <row r="775" spans="48:48" ht="15" customHeight="1" x14ac:dyDescent="0.35">
      <c r="AV775" s="139" t="e">
        <v>#N/A</v>
      </c>
    </row>
    <row r="776" spans="48:48" ht="15" customHeight="1" x14ac:dyDescent="0.35">
      <c r="AV776" s="139" t="e">
        <v>#N/A</v>
      </c>
    </row>
    <row r="777" spans="48:48" ht="15" customHeight="1" x14ac:dyDescent="0.35">
      <c r="AV777" s="139" t="e">
        <v>#N/A</v>
      </c>
    </row>
    <row r="778" spans="48:48" ht="15" customHeight="1" x14ac:dyDescent="0.35">
      <c r="AV778" s="139" t="e">
        <v>#N/A</v>
      </c>
    </row>
    <row r="779" spans="48:48" ht="15" customHeight="1" x14ac:dyDescent="0.35">
      <c r="AV779" s="139" t="e">
        <v>#N/A</v>
      </c>
    </row>
    <row r="780" spans="48:48" ht="15" customHeight="1" x14ac:dyDescent="0.35">
      <c r="AV780" s="139" t="e">
        <v>#N/A</v>
      </c>
    </row>
    <row r="781" spans="48:48" ht="15" customHeight="1" x14ac:dyDescent="0.35">
      <c r="AV781" s="139" t="e">
        <v>#N/A</v>
      </c>
    </row>
    <row r="782" spans="48:48" ht="15" customHeight="1" x14ac:dyDescent="0.35">
      <c r="AV782" s="139" t="e">
        <v>#N/A</v>
      </c>
    </row>
    <row r="783" spans="48:48" ht="15" customHeight="1" x14ac:dyDescent="0.35">
      <c r="AV783" s="139" t="e">
        <v>#N/A</v>
      </c>
    </row>
    <row r="784" spans="48:48" ht="15" customHeight="1" x14ac:dyDescent="0.35">
      <c r="AV784" s="139" t="e">
        <v>#N/A</v>
      </c>
    </row>
    <row r="785" spans="48:48" ht="15" customHeight="1" x14ac:dyDescent="0.35">
      <c r="AV785" s="139" t="e">
        <v>#N/A</v>
      </c>
    </row>
    <row r="786" spans="48:48" ht="15" customHeight="1" x14ac:dyDescent="0.35">
      <c r="AV786" s="139" t="e">
        <v>#N/A</v>
      </c>
    </row>
    <row r="787" spans="48:48" ht="15" customHeight="1" x14ac:dyDescent="0.35">
      <c r="AV787" s="139" t="e">
        <v>#N/A</v>
      </c>
    </row>
    <row r="788" spans="48:48" ht="15" customHeight="1" x14ac:dyDescent="0.35">
      <c r="AV788" s="139" t="e">
        <v>#N/A</v>
      </c>
    </row>
    <row r="789" spans="48:48" ht="15" customHeight="1" x14ac:dyDescent="0.35">
      <c r="AV789" s="139" t="e">
        <v>#N/A</v>
      </c>
    </row>
    <row r="790" spans="48:48" ht="15" customHeight="1" x14ac:dyDescent="0.35">
      <c r="AV790" s="139" t="e">
        <v>#N/A</v>
      </c>
    </row>
    <row r="791" spans="48:48" ht="15" customHeight="1" x14ac:dyDescent="0.35">
      <c r="AV791" s="139" t="e">
        <v>#N/A</v>
      </c>
    </row>
    <row r="792" spans="48:48" ht="15" customHeight="1" x14ac:dyDescent="0.35">
      <c r="AV792" s="139" t="e">
        <v>#N/A</v>
      </c>
    </row>
    <row r="793" spans="48:48" ht="15" customHeight="1" x14ac:dyDescent="0.35">
      <c r="AV793" s="139" t="e">
        <v>#N/A</v>
      </c>
    </row>
    <row r="794" spans="48:48" ht="15" customHeight="1" x14ac:dyDescent="0.35">
      <c r="AV794" s="139" t="e">
        <v>#N/A</v>
      </c>
    </row>
    <row r="795" spans="48:48" ht="15" customHeight="1" x14ac:dyDescent="0.35">
      <c r="AV795" s="139" t="e">
        <v>#N/A</v>
      </c>
    </row>
    <row r="796" spans="48:48" ht="15" customHeight="1" x14ac:dyDescent="0.35">
      <c r="AV796" s="139" t="e">
        <v>#N/A</v>
      </c>
    </row>
    <row r="797" spans="48:48" ht="15" customHeight="1" x14ac:dyDescent="0.35">
      <c r="AV797" s="139" t="e">
        <v>#N/A</v>
      </c>
    </row>
    <row r="798" spans="48:48" ht="15" customHeight="1" x14ac:dyDescent="0.35">
      <c r="AV798" s="139" t="e">
        <v>#N/A</v>
      </c>
    </row>
    <row r="799" spans="48:48" ht="15" customHeight="1" x14ac:dyDescent="0.35">
      <c r="AV799" s="139" t="e">
        <v>#N/A</v>
      </c>
    </row>
    <row r="800" spans="48:48" ht="15" customHeight="1" x14ac:dyDescent="0.35">
      <c r="AV800" s="139" t="e">
        <v>#N/A</v>
      </c>
    </row>
    <row r="801" spans="48:48" ht="15" customHeight="1" x14ac:dyDescent="0.35">
      <c r="AV801" s="139" t="e">
        <v>#N/A</v>
      </c>
    </row>
    <row r="802" spans="48:48" ht="15" customHeight="1" x14ac:dyDescent="0.35">
      <c r="AV802" s="139" t="e">
        <v>#N/A</v>
      </c>
    </row>
    <row r="803" spans="48:48" ht="15" customHeight="1" x14ac:dyDescent="0.35">
      <c r="AV803" s="139" t="e">
        <v>#N/A</v>
      </c>
    </row>
    <row r="804" spans="48:48" ht="15" customHeight="1" x14ac:dyDescent="0.35">
      <c r="AV804" s="139" t="e">
        <v>#N/A</v>
      </c>
    </row>
    <row r="805" spans="48:48" ht="15" customHeight="1" x14ac:dyDescent="0.35">
      <c r="AV805" s="139" t="e">
        <v>#N/A</v>
      </c>
    </row>
    <row r="806" spans="48:48" ht="15" customHeight="1" x14ac:dyDescent="0.35">
      <c r="AV806" s="139" t="e">
        <v>#N/A</v>
      </c>
    </row>
    <row r="807" spans="48:48" ht="15" customHeight="1" x14ac:dyDescent="0.35">
      <c r="AV807" s="139" t="e">
        <v>#N/A</v>
      </c>
    </row>
    <row r="808" spans="48:48" ht="15" customHeight="1" x14ac:dyDescent="0.35">
      <c r="AV808" s="139" t="e">
        <v>#N/A</v>
      </c>
    </row>
    <row r="809" spans="48:48" ht="15" customHeight="1" x14ac:dyDescent="0.35">
      <c r="AV809" s="139" t="e">
        <v>#N/A</v>
      </c>
    </row>
    <row r="810" spans="48:48" ht="15" customHeight="1" x14ac:dyDescent="0.35">
      <c r="AV810" s="139" t="e">
        <v>#N/A</v>
      </c>
    </row>
    <row r="811" spans="48:48" ht="15" customHeight="1" x14ac:dyDescent="0.35">
      <c r="AV811" s="139" t="e">
        <v>#N/A</v>
      </c>
    </row>
    <row r="812" spans="48:48" ht="15" customHeight="1" x14ac:dyDescent="0.35">
      <c r="AV812" s="139" t="e">
        <v>#N/A</v>
      </c>
    </row>
    <row r="813" spans="48:48" ht="15" customHeight="1" x14ac:dyDescent="0.35">
      <c r="AV813" s="139" t="e">
        <v>#N/A</v>
      </c>
    </row>
    <row r="814" spans="48:48" ht="15" customHeight="1" x14ac:dyDescent="0.35">
      <c r="AV814" s="139" t="e">
        <v>#N/A</v>
      </c>
    </row>
    <row r="815" spans="48:48" ht="15" customHeight="1" x14ac:dyDescent="0.35">
      <c r="AV815" s="139" t="e">
        <v>#N/A</v>
      </c>
    </row>
    <row r="816" spans="48:48" ht="15" customHeight="1" x14ac:dyDescent="0.35">
      <c r="AV816" s="139" t="e">
        <v>#N/A</v>
      </c>
    </row>
    <row r="817" spans="48:48" ht="15" customHeight="1" x14ac:dyDescent="0.35">
      <c r="AV817" s="139" t="e">
        <v>#N/A</v>
      </c>
    </row>
    <row r="818" spans="48:48" ht="15" customHeight="1" x14ac:dyDescent="0.35">
      <c r="AV818" s="139" t="e">
        <v>#N/A</v>
      </c>
    </row>
    <row r="819" spans="48:48" ht="15" customHeight="1" x14ac:dyDescent="0.35">
      <c r="AV819" s="139" t="e">
        <v>#N/A</v>
      </c>
    </row>
    <row r="820" spans="48:48" ht="15" customHeight="1" x14ac:dyDescent="0.35">
      <c r="AV820" s="139" t="e">
        <v>#N/A</v>
      </c>
    </row>
    <row r="821" spans="48:48" ht="15" customHeight="1" x14ac:dyDescent="0.35">
      <c r="AV821" s="139" t="e">
        <v>#N/A</v>
      </c>
    </row>
    <row r="822" spans="48:48" ht="15" customHeight="1" x14ac:dyDescent="0.35">
      <c r="AV822" s="139" t="e">
        <v>#N/A</v>
      </c>
    </row>
    <row r="823" spans="48:48" ht="15" customHeight="1" x14ac:dyDescent="0.35">
      <c r="AV823" s="139" t="e">
        <v>#N/A</v>
      </c>
    </row>
    <row r="824" spans="48:48" ht="15" customHeight="1" x14ac:dyDescent="0.35">
      <c r="AV824" s="139" t="e">
        <v>#N/A</v>
      </c>
    </row>
    <row r="825" spans="48:48" ht="15" customHeight="1" x14ac:dyDescent="0.35">
      <c r="AV825" s="139" t="e">
        <v>#N/A</v>
      </c>
    </row>
    <row r="826" spans="48:48" ht="15" customHeight="1" x14ac:dyDescent="0.35">
      <c r="AV826" s="139" t="e">
        <v>#N/A</v>
      </c>
    </row>
    <row r="827" spans="48:48" ht="15" customHeight="1" x14ac:dyDescent="0.35">
      <c r="AV827" s="139" t="e">
        <v>#N/A</v>
      </c>
    </row>
    <row r="828" spans="48:48" ht="15" customHeight="1" x14ac:dyDescent="0.35">
      <c r="AV828" s="139" t="e">
        <v>#N/A</v>
      </c>
    </row>
    <row r="829" spans="48:48" ht="15" customHeight="1" x14ac:dyDescent="0.35">
      <c r="AV829" s="139" t="e">
        <v>#N/A</v>
      </c>
    </row>
    <row r="830" spans="48:48" ht="15" customHeight="1" x14ac:dyDescent="0.35">
      <c r="AV830" s="139" t="e">
        <v>#N/A</v>
      </c>
    </row>
    <row r="831" spans="48:48" ht="15" customHeight="1" x14ac:dyDescent="0.35">
      <c r="AV831" s="139" t="e">
        <v>#N/A</v>
      </c>
    </row>
    <row r="832" spans="48:48" ht="15" customHeight="1" x14ac:dyDescent="0.35">
      <c r="AV832" s="139" t="e">
        <v>#N/A</v>
      </c>
    </row>
    <row r="833" spans="48:48" ht="15" customHeight="1" x14ac:dyDescent="0.35">
      <c r="AV833" s="139" t="e">
        <v>#N/A</v>
      </c>
    </row>
    <row r="834" spans="48:48" ht="15" customHeight="1" x14ac:dyDescent="0.35">
      <c r="AV834" s="139" t="e">
        <v>#N/A</v>
      </c>
    </row>
    <row r="835" spans="48:48" ht="15" customHeight="1" x14ac:dyDescent="0.35">
      <c r="AV835" s="139" t="e">
        <v>#N/A</v>
      </c>
    </row>
    <row r="836" spans="48:48" ht="15" customHeight="1" x14ac:dyDescent="0.35">
      <c r="AV836" s="139" t="e">
        <v>#N/A</v>
      </c>
    </row>
    <row r="837" spans="48:48" ht="15" customHeight="1" x14ac:dyDescent="0.35">
      <c r="AV837" s="139" t="e">
        <v>#N/A</v>
      </c>
    </row>
    <row r="838" spans="48:48" ht="15" customHeight="1" x14ac:dyDescent="0.35">
      <c r="AV838" s="139" t="e">
        <v>#N/A</v>
      </c>
    </row>
    <row r="839" spans="48:48" ht="15" customHeight="1" x14ac:dyDescent="0.35">
      <c r="AV839" s="139" t="e">
        <v>#N/A</v>
      </c>
    </row>
    <row r="840" spans="48:48" ht="15" customHeight="1" x14ac:dyDescent="0.35">
      <c r="AV840" s="139" t="e">
        <v>#N/A</v>
      </c>
    </row>
    <row r="841" spans="48:48" ht="15" customHeight="1" x14ac:dyDescent="0.35">
      <c r="AV841" s="139" t="e">
        <v>#N/A</v>
      </c>
    </row>
    <row r="842" spans="48:48" ht="15" customHeight="1" x14ac:dyDescent="0.35">
      <c r="AV842" s="139" t="e">
        <v>#N/A</v>
      </c>
    </row>
    <row r="843" spans="48:48" ht="15" customHeight="1" x14ac:dyDescent="0.35">
      <c r="AV843" s="139" t="e">
        <v>#N/A</v>
      </c>
    </row>
    <row r="844" spans="48:48" ht="15" customHeight="1" x14ac:dyDescent="0.35">
      <c r="AV844" s="139" t="e">
        <v>#N/A</v>
      </c>
    </row>
    <row r="845" spans="48:48" ht="15" customHeight="1" x14ac:dyDescent="0.35">
      <c r="AV845" s="139" t="e">
        <v>#N/A</v>
      </c>
    </row>
    <row r="846" spans="48:48" ht="15" customHeight="1" x14ac:dyDescent="0.35">
      <c r="AV846" s="139" t="e">
        <v>#N/A</v>
      </c>
    </row>
    <row r="847" spans="48:48" ht="15" customHeight="1" x14ac:dyDescent="0.35">
      <c r="AV847" s="139" t="e">
        <v>#N/A</v>
      </c>
    </row>
    <row r="848" spans="48:48" ht="15" customHeight="1" x14ac:dyDescent="0.35">
      <c r="AV848" s="139" t="e">
        <v>#N/A</v>
      </c>
    </row>
    <row r="849" spans="48:48" ht="15" customHeight="1" x14ac:dyDescent="0.35">
      <c r="AV849" s="139" t="e">
        <v>#N/A</v>
      </c>
    </row>
    <row r="850" spans="48:48" ht="15" customHeight="1" x14ac:dyDescent="0.35">
      <c r="AV850" s="139" t="e">
        <v>#N/A</v>
      </c>
    </row>
    <row r="851" spans="48:48" ht="15" customHeight="1" x14ac:dyDescent="0.35">
      <c r="AV851" s="139" t="e">
        <v>#N/A</v>
      </c>
    </row>
    <row r="852" spans="48:48" ht="15" customHeight="1" x14ac:dyDescent="0.35">
      <c r="AV852" s="139" t="e">
        <v>#N/A</v>
      </c>
    </row>
    <row r="853" spans="48:48" ht="15" customHeight="1" x14ac:dyDescent="0.35">
      <c r="AV853" s="139" t="e">
        <v>#N/A</v>
      </c>
    </row>
    <row r="854" spans="48:48" ht="15" customHeight="1" x14ac:dyDescent="0.35">
      <c r="AV854" s="139" t="e">
        <v>#N/A</v>
      </c>
    </row>
    <row r="855" spans="48:48" ht="15" customHeight="1" x14ac:dyDescent="0.35">
      <c r="AV855" s="139" t="e">
        <v>#N/A</v>
      </c>
    </row>
    <row r="856" spans="48:48" ht="15" customHeight="1" x14ac:dyDescent="0.35">
      <c r="AV856" s="139" t="e">
        <v>#N/A</v>
      </c>
    </row>
    <row r="857" spans="48:48" ht="15" customHeight="1" x14ac:dyDescent="0.35">
      <c r="AV857" s="139" t="e">
        <v>#N/A</v>
      </c>
    </row>
    <row r="858" spans="48:48" ht="15" customHeight="1" x14ac:dyDescent="0.35">
      <c r="AV858" s="139" t="e">
        <v>#N/A</v>
      </c>
    </row>
    <row r="859" spans="48:48" ht="15" customHeight="1" x14ac:dyDescent="0.35">
      <c r="AV859" s="139" t="e">
        <v>#N/A</v>
      </c>
    </row>
    <row r="860" spans="48:48" ht="15" customHeight="1" x14ac:dyDescent="0.35">
      <c r="AV860" s="139" t="e">
        <v>#N/A</v>
      </c>
    </row>
    <row r="861" spans="48:48" ht="15" customHeight="1" x14ac:dyDescent="0.35">
      <c r="AV861" s="139" t="e">
        <v>#N/A</v>
      </c>
    </row>
    <row r="862" spans="48:48" ht="15" customHeight="1" x14ac:dyDescent="0.35">
      <c r="AV862" s="139" t="e">
        <v>#N/A</v>
      </c>
    </row>
    <row r="863" spans="48:48" ht="15" customHeight="1" x14ac:dyDescent="0.35">
      <c r="AV863" s="139" t="e">
        <v>#N/A</v>
      </c>
    </row>
    <row r="864" spans="48:48" ht="15" customHeight="1" x14ac:dyDescent="0.35">
      <c r="AV864" s="139" t="e">
        <v>#N/A</v>
      </c>
    </row>
    <row r="865" spans="48:48" ht="15" customHeight="1" x14ac:dyDescent="0.35">
      <c r="AV865" s="139" t="e">
        <v>#N/A</v>
      </c>
    </row>
    <row r="866" spans="48:48" ht="15" customHeight="1" x14ac:dyDescent="0.35">
      <c r="AV866" s="139" t="e">
        <v>#N/A</v>
      </c>
    </row>
    <row r="867" spans="48:48" ht="15" customHeight="1" x14ac:dyDescent="0.35">
      <c r="AV867" s="139" t="e">
        <v>#N/A</v>
      </c>
    </row>
    <row r="868" spans="48:48" ht="15" customHeight="1" x14ac:dyDescent="0.35">
      <c r="AV868" s="139" t="e">
        <v>#N/A</v>
      </c>
    </row>
    <row r="869" spans="48:48" ht="15" customHeight="1" x14ac:dyDescent="0.35">
      <c r="AV869" s="139" t="e">
        <v>#N/A</v>
      </c>
    </row>
    <row r="870" spans="48:48" ht="15" customHeight="1" x14ac:dyDescent="0.35">
      <c r="AV870" s="139" t="e">
        <v>#N/A</v>
      </c>
    </row>
    <row r="871" spans="48:48" ht="15" customHeight="1" x14ac:dyDescent="0.35">
      <c r="AV871" s="139" t="e">
        <v>#N/A</v>
      </c>
    </row>
    <row r="872" spans="48:48" ht="15" customHeight="1" x14ac:dyDescent="0.35">
      <c r="AV872" s="139" t="e">
        <v>#N/A</v>
      </c>
    </row>
    <row r="873" spans="48:48" ht="15" customHeight="1" x14ac:dyDescent="0.35">
      <c r="AV873" s="139" t="e">
        <v>#N/A</v>
      </c>
    </row>
    <row r="874" spans="48:48" ht="15" customHeight="1" x14ac:dyDescent="0.35">
      <c r="AV874" s="139" t="e">
        <v>#N/A</v>
      </c>
    </row>
    <row r="875" spans="48:48" ht="15" customHeight="1" x14ac:dyDescent="0.35">
      <c r="AV875" s="139" t="e">
        <v>#N/A</v>
      </c>
    </row>
    <row r="876" spans="48:48" ht="15" customHeight="1" x14ac:dyDescent="0.35">
      <c r="AV876" s="139" t="e">
        <v>#N/A</v>
      </c>
    </row>
    <row r="877" spans="48:48" ht="15" customHeight="1" x14ac:dyDescent="0.35">
      <c r="AV877" s="139" t="e">
        <v>#N/A</v>
      </c>
    </row>
    <row r="878" spans="48:48" ht="15" customHeight="1" x14ac:dyDescent="0.35">
      <c r="AV878" s="139" t="e">
        <v>#N/A</v>
      </c>
    </row>
    <row r="879" spans="48:48" ht="15" customHeight="1" x14ac:dyDescent="0.35">
      <c r="AV879" s="139" t="e">
        <v>#N/A</v>
      </c>
    </row>
    <row r="880" spans="48:48" ht="15" customHeight="1" x14ac:dyDescent="0.35">
      <c r="AV880" s="139" t="e">
        <v>#N/A</v>
      </c>
    </row>
    <row r="881" spans="48:48" ht="15" customHeight="1" x14ac:dyDescent="0.35">
      <c r="AV881" s="139" t="e">
        <v>#N/A</v>
      </c>
    </row>
    <row r="882" spans="48:48" ht="15" customHeight="1" x14ac:dyDescent="0.35">
      <c r="AV882" s="139" t="e">
        <v>#N/A</v>
      </c>
    </row>
    <row r="883" spans="48:48" ht="15" customHeight="1" x14ac:dyDescent="0.35">
      <c r="AV883" s="139" t="e">
        <v>#N/A</v>
      </c>
    </row>
    <row r="884" spans="48:48" ht="15" customHeight="1" x14ac:dyDescent="0.35">
      <c r="AV884" s="139" t="e">
        <v>#N/A</v>
      </c>
    </row>
    <row r="885" spans="48:48" ht="15" customHeight="1" x14ac:dyDescent="0.35">
      <c r="AV885" s="139" t="e">
        <v>#N/A</v>
      </c>
    </row>
    <row r="886" spans="48:48" ht="15" customHeight="1" x14ac:dyDescent="0.35">
      <c r="AV886" s="139" t="e">
        <v>#N/A</v>
      </c>
    </row>
    <row r="887" spans="48:48" ht="15" customHeight="1" x14ac:dyDescent="0.35">
      <c r="AV887" s="139" t="e">
        <v>#N/A</v>
      </c>
    </row>
    <row r="888" spans="48:48" ht="15" customHeight="1" x14ac:dyDescent="0.35">
      <c r="AV888" s="139" t="e">
        <v>#N/A</v>
      </c>
    </row>
    <row r="889" spans="48:48" ht="15" customHeight="1" x14ac:dyDescent="0.35">
      <c r="AV889" s="139" t="e">
        <v>#N/A</v>
      </c>
    </row>
    <row r="890" spans="48:48" ht="15" customHeight="1" x14ac:dyDescent="0.35">
      <c r="AV890" s="139" t="e">
        <v>#N/A</v>
      </c>
    </row>
    <row r="891" spans="48:48" ht="15" customHeight="1" x14ac:dyDescent="0.35">
      <c r="AV891" s="139" t="e">
        <v>#N/A</v>
      </c>
    </row>
    <row r="892" spans="48:48" ht="15" customHeight="1" x14ac:dyDescent="0.35">
      <c r="AV892" s="139" t="e">
        <v>#N/A</v>
      </c>
    </row>
    <row r="893" spans="48:48" ht="15" customHeight="1" x14ac:dyDescent="0.35">
      <c r="AV893" s="139" t="e">
        <v>#N/A</v>
      </c>
    </row>
    <row r="894" spans="48:48" ht="15" customHeight="1" x14ac:dyDescent="0.35">
      <c r="AV894" s="139" t="e">
        <v>#N/A</v>
      </c>
    </row>
    <row r="895" spans="48:48" ht="15" customHeight="1" x14ac:dyDescent="0.35">
      <c r="AV895" s="139" t="e">
        <v>#N/A</v>
      </c>
    </row>
    <row r="896" spans="48:48" ht="15" customHeight="1" x14ac:dyDescent="0.35">
      <c r="AV896" s="139" t="e">
        <v>#N/A</v>
      </c>
    </row>
    <row r="897" spans="48:48" ht="15" customHeight="1" x14ac:dyDescent="0.35">
      <c r="AV897" s="139" t="e">
        <v>#N/A</v>
      </c>
    </row>
    <row r="898" spans="48:48" ht="15" customHeight="1" x14ac:dyDescent="0.35">
      <c r="AV898" s="139" t="e">
        <v>#N/A</v>
      </c>
    </row>
    <row r="899" spans="48:48" ht="15" customHeight="1" x14ac:dyDescent="0.35">
      <c r="AV899" s="139" t="e">
        <v>#N/A</v>
      </c>
    </row>
    <row r="900" spans="48:48" ht="15" customHeight="1" x14ac:dyDescent="0.35">
      <c r="AV900" s="139" t="e">
        <v>#N/A</v>
      </c>
    </row>
    <row r="901" spans="48:48" ht="15" customHeight="1" x14ac:dyDescent="0.35">
      <c r="AV901" s="139" t="e">
        <v>#N/A</v>
      </c>
    </row>
    <row r="902" spans="48:48" ht="15" customHeight="1" x14ac:dyDescent="0.35">
      <c r="AV902" s="139" t="e">
        <v>#N/A</v>
      </c>
    </row>
    <row r="903" spans="48:48" ht="15" customHeight="1" x14ac:dyDescent="0.35">
      <c r="AV903" s="139" t="e">
        <v>#N/A</v>
      </c>
    </row>
    <row r="904" spans="48:48" ht="15" customHeight="1" x14ac:dyDescent="0.35">
      <c r="AV904" s="139" t="e">
        <v>#N/A</v>
      </c>
    </row>
    <row r="905" spans="48:48" ht="15" customHeight="1" x14ac:dyDescent="0.35">
      <c r="AV905" s="139" t="e">
        <v>#N/A</v>
      </c>
    </row>
    <row r="906" spans="48:48" ht="15" customHeight="1" x14ac:dyDescent="0.35">
      <c r="AV906" s="139" t="e">
        <v>#N/A</v>
      </c>
    </row>
    <row r="907" spans="48:48" ht="15" customHeight="1" x14ac:dyDescent="0.35">
      <c r="AV907" s="139" t="e">
        <v>#N/A</v>
      </c>
    </row>
    <row r="908" spans="48:48" ht="15" customHeight="1" x14ac:dyDescent="0.35">
      <c r="AV908" s="139" t="e">
        <v>#N/A</v>
      </c>
    </row>
    <row r="909" spans="48:48" ht="15" customHeight="1" x14ac:dyDescent="0.35">
      <c r="AV909" s="139" t="e">
        <v>#N/A</v>
      </c>
    </row>
    <row r="910" spans="48:48" ht="15" customHeight="1" x14ac:dyDescent="0.35">
      <c r="AV910" s="139" t="e">
        <v>#N/A</v>
      </c>
    </row>
    <row r="911" spans="48:48" ht="15" customHeight="1" x14ac:dyDescent="0.35">
      <c r="AV911" s="139" t="e">
        <v>#N/A</v>
      </c>
    </row>
    <row r="912" spans="48:48" ht="15" customHeight="1" x14ac:dyDescent="0.35">
      <c r="AV912" s="139" t="e">
        <v>#N/A</v>
      </c>
    </row>
    <row r="913" spans="48:48" ht="15" customHeight="1" x14ac:dyDescent="0.35">
      <c r="AV913" s="139" t="e">
        <v>#N/A</v>
      </c>
    </row>
    <row r="914" spans="48:48" ht="15" customHeight="1" x14ac:dyDescent="0.35">
      <c r="AV914" s="139" t="e">
        <v>#N/A</v>
      </c>
    </row>
    <row r="915" spans="48:48" ht="15" customHeight="1" x14ac:dyDescent="0.35">
      <c r="AV915" s="139" t="e">
        <v>#N/A</v>
      </c>
    </row>
    <row r="916" spans="48:48" ht="15" customHeight="1" x14ac:dyDescent="0.35">
      <c r="AV916" s="139" t="e">
        <v>#N/A</v>
      </c>
    </row>
    <row r="917" spans="48:48" ht="15" customHeight="1" x14ac:dyDescent="0.35">
      <c r="AV917" s="139" t="e">
        <v>#N/A</v>
      </c>
    </row>
    <row r="918" spans="48:48" ht="15" customHeight="1" x14ac:dyDescent="0.35">
      <c r="AV918" s="139" t="e">
        <v>#N/A</v>
      </c>
    </row>
    <row r="919" spans="48:48" ht="15" customHeight="1" x14ac:dyDescent="0.35">
      <c r="AV919" s="139" t="e">
        <v>#N/A</v>
      </c>
    </row>
    <row r="920" spans="48:48" ht="15" customHeight="1" x14ac:dyDescent="0.35">
      <c r="AV920" s="139" t="e">
        <v>#N/A</v>
      </c>
    </row>
    <row r="921" spans="48:48" ht="15" customHeight="1" x14ac:dyDescent="0.35">
      <c r="AV921" s="139" t="e">
        <v>#N/A</v>
      </c>
    </row>
    <row r="922" spans="48:48" ht="15" customHeight="1" x14ac:dyDescent="0.35">
      <c r="AV922" s="139" t="e">
        <v>#N/A</v>
      </c>
    </row>
    <row r="923" spans="48:48" ht="15" customHeight="1" x14ac:dyDescent="0.35">
      <c r="AV923" s="139" t="e">
        <v>#N/A</v>
      </c>
    </row>
    <row r="924" spans="48:48" ht="15" customHeight="1" x14ac:dyDescent="0.35">
      <c r="AV924" s="139" t="e">
        <v>#N/A</v>
      </c>
    </row>
    <row r="925" spans="48:48" ht="15" customHeight="1" x14ac:dyDescent="0.35">
      <c r="AV925" s="139" t="e">
        <v>#N/A</v>
      </c>
    </row>
    <row r="926" spans="48:48" ht="15" customHeight="1" x14ac:dyDescent="0.35">
      <c r="AV926" s="139" t="e">
        <v>#N/A</v>
      </c>
    </row>
    <row r="927" spans="48:48" ht="15" customHeight="1" x14ac:dyDescent="0.35">
      <c r="AV927" s="139" t="e">
        <v>#N/A</v>
      </c>
    </row>
    <row r="928" spans="48:48" ht="15" customHeight="1" x14ac:dyDescent="0.35">
      <c r="AV928" s="139" t="e">
        <v>#N/A</v>
      </c>
    </row>
    <row r="929" spans="48:48" ht="15" customHeight="1" x14ac:dyDescent="0.35">
      <c r="AV929" s="139" t="e">
        <v>#N/A</v>
      </c>
    </row>
    <row r="930" spans="48:48" ht="15" customHeight="1" x14ac:dyDescent="0.35">
      <c r="AV930" s="139" t="e">
        <v>#N/A</v>
      </c>
    </row>
    <row r="931" spans="48:48" ht="15" customHeight="1" x14ac:dyDescent="0.35">
      <c r="AV931" s="139" t="e">
        <v>#N/A</v>
      </c>
    </row>
    <row r="932" spans="48:48" ht="15" customHeight="1" x14ac:dyDescent="0.35">
      <c r="AV932" s="139" t="e">
        <v>#N/A</v>
      </c>
    </row>
    <row r="933" spans="48:48" ht="15" customHeight="1" x14ac:dyDescent="0.35">
      <c r="AV933" s="139" t="e">
        <v>#N/A</v>
      </c>
    </row>
    <row r="934" spans="48:48" ht="15" customHeight="1" x14ac:dyDescent="0.35">
      <c r="AV934" s="139" t="e">
        <v>#N/A</v>
      </c>
    </row>
    <row r="935" spans="48:48" ht="15" customHeight="1" x14ac:dyDescent="0.35">
      <c r="AV935" s="139" t="e">
        <v>#N/A</v>
      </c>
    </row>
    <row r="936" spans="48:48" ht="15" customHeight="1" x14ac:dyDescent="0.35">
      <c r="AV936" s="139" t="e">
        <v>#N/A</v>
      </c>
    </row>
    <row r="937" spans="48:48" ht="15" customHeight="1" x14ac:dyDescent="0.35">
      <c r="AV937" s="139" t="e">
        <v>#N/A</v>
      </c>
    </row>
    <row r="938" spans="48:48" ht="15" customHeight="1" x14ac:dyDescent="0.35">
      <c r="AV938" s="139" t="e">
        <v>#N/A</v>
      </c>
    </row>
    <row r="939" spans="48:48" ht="15" customHeight="1" x14ac:dyDescent="0.35">
      <c r="AV939" s="139" t="e">
        <v>#N/A</v>
      </c>
    </row>
    <row r="940" spans="48:48" ht="15" customHeight="1" x14ac:dyDescent="0.35">
      <c r="AV940" s="139" t="e">
        <v>#N/A</v>
      </c>
    </row>
    <row r="941" spans="48:48" ht="15" customHeight="1" x14ac:dyDescent="0.35">
      <c r="AV941" s="139" t="e">
        <v>#N/A</v>
      </c>
    </row>
    <row r="942" spans="48:48" ht="15" customHeight="1" x14ac:dyDescent="0.35">
      <c r="AV942" s="139" t="e">
        <v>#N/A</v>
      </c>
    </row>
    <row r="943" spans="48:48" ht="15" customHeight="1" x14ac:dyDescent="0.35">
      <c r="AV943" s="139" t="e">
        <v>#N/A</v>
      </c>
    </row>
    <row r="944" spans="48:48" ht="15" customHeight="1" x14ac:dyDescent="0.35">
      <c r="AV944" s="139" t="e">
        <v>#N/A</v>
      </c>
    </row>
    <row r="945" spans="48:48" ht="15" customHeight="1" x14ac:dyDescent="0.35">
      <c r="AV945" s="139" t="e">
        <v>#N/A</v>
      </c>
    </row>
    <row r="946" spans="48:48" ht="15" customHeight="1" x14ac:dyDescent="0.35">
      <c r="AV946" s="139" t="e">
        <v>#N/A</v>
      </c>
    </row>
    <row r="947" spans="48:48" ht="15" customHeight="1" x14ac:dyDescent="0.35">
      <c r="AV947" s="139" t="e">
        <v>#N/A</v>
      </c>
    </row>
    <row r="948" spans="48:48" ht="15" customHeight="1" x14ac:dyDescent="0.35">
      <c r="AV948" s="139" t="e">
        <v>#N/A</v>
      </c>
    </row>
    <row r="949" spans="48:48" ht="15" customHeight="1" x14ac:dyDescent="0.35">
      <c r="AV949" s="139" t="e">
        <v>#N/A</v>
      </c>
    </row>
    <row r="950" spans="48:48" ht="15" customHeight="1" x14ac:dyDescent="0.35">
      <c r="AV950" s="139" t="e">
        <v>#N/A</v>
      </c>
    </row>
    <row r="951" spans="48:48" ht="15" customHeight="1" x14ac:dyDescent="0.35">
      <c r="AV951" s="139" t="e">
        <v>#N/A</v>
      </c>
    </row>
    <row r="952" spans="48:48" ht="15" customHeight="1" x14ac:dyDescent="0.35">
      <c r="AV952" s="139" t="e">
        <v>#N/A</v>
      </c>
    </row>
    <row r="953" spans="48:48" ht="15" customHeight="1" x14ac:dyDescent="0.35">
      <c r="AV953" s="139" t="e">
        <v>#N/A</v>
      </c>
    </row>
    <row r="954" spans="48:48" ht="15" customHeight="1" x14ac:dyDescent="0.35">
      <c r="AV954" s="139" t="e">
        <v>#N/A</v>
      </c>
    </row>
    <row r="955" spans="48:48" ht="15" customHeight="1" x14ac:dyDescent="0.35">
      <c r="AV955" s="139" t="e">
        <v>#N/A</v>
      </c>
    </row>
    <row r="956" spans="48:48" ht="15" customHeight="1" x14ac:dyDescent="0.35">
      <c r="AV956" s="139" t="e">
        <v>#N/A</v>
      </c>
    </row>
    <row r="957" spans="48:48" ht="15" customHeight="1" x14ac:dyDescent="0.35">
      <c r="AV957" s="139" t="e">
        <v>#N/A</v>
      </c>
    </row>
    <row r="958" spans="48:48" ht="15" customHeight="1" x14ac:dyDescent="0.35">
      <c r="AV958" s="139" t="e">
        <v>#N/A</v>
      </c>
    </row>
    <row r="959" spans="48:48" ht="15" customHeight="1" x14ac:dyDescent="0.35">
      <c r="AV959" s="139" t="e">
        <v>#N/A</v>
      </c>
    </row>
    <row r="960" spans="48:48" ht="15" customHeight="1" x14ac:dyDescent="0.35">
      <c r="AV960" s="139" t="e">
        <v>#N/A</v>
      </c>
    </row>
    <row r="961" spans="48:48" ht="15" customHeight="1" x14ac:dyDescent="0.35">
      <c r="AV961" s="139" t="e">
        <v>#N/A</v>
      </c>
    </row>
    <row r="962" spans="48:48" ht="15" customHeight="1" x14ac:dyDescent="0.35">
      <c r="AV962" s="139" t="e">
        <v>#N/A</v>
      </c>
    </row>
    <row r="963" spans="48:48" ht="15" customHeight="1" x14ac:dyDescent="0.35">
      <c r="AV963" s="139" t="e">
        <v>#N/A</v>
      </c>
    </row>
    <row r="964" spans="48:48" ht="15" customHeight="1" x14ac:dyDescent="0.35">
      <c r="AV964" s="139" t="e">
        <v>#N/A</v>
      </c>
    </row>
    <row r="965" spans="48:48" ht="15" customHeight="1" x14ac:dyDescent="0.35">
      <c r="AV965" s="139" t="e">
        <v>#N/A</v>
      </c>
    </row>
    <row r="966" spans="48:48" ht="15" customHeight="1" x14ac:dyDescent="0.35">
      <c r="AV966" s="139" t="e">
        <v>#N/A</v>
      </c>
    </row>
    <row r="967" spans="48:48" ht="15" customHeight="1" x14ac:dyDescent="0.35">
      <c r="AV967" s="139" t="e">
        <v>#N/A</v>
      </c>
    </row>
    <row r="968" spans="48:48" ht="15" customHeight="1" x14ac:dyDescent="0.35">
      <c r="AV968" s="139" t="e">
        <v>#N/A</v>
      </c>
    </row>
    <row r="969" spans="48:48" ht="15" customHeight="1" x14ac:dyDescent="0.35">
      <c r="AV969" s="139" t="e">
        <v>#N/A</v>
      </c>
    </row>
    <row r="970" spans="48:48" ht="15" customHeight="1" x14ac:dyDescent="0.35">
      <c r="AV970" s="139" t="e">
        <v>#N/A</v>
      </c>
    </row>
    <row r="971" spans="48:48" ht="15" customHeight="1" x14ac:dyDescent="0.35">
      <c r="AV971" s="139" t="e">
        <v>#N/A</v>
      </c>
    </row>
    <row r="972" spans="48:48" ht="15" customHeight="1" x14ac:dyDescent="0.35">
      <c r="AV972" s="139" t="e">
        <v>#N/A</v>
      </c>
    </row>
    <row r="973" spans="48:48" ht="15" customHeight="1" x14ac:dyDescent="0.35">
      <c r="AV973" s="139" t="e">
        <v>#N/A</v>
      </c>
    </row>
    <row r="974" spans="48:48" ht="15" customHeight="1" x14ac:dyDescent="0.35">
      <c r="AV974" s="139" t="e">
        <v>#N/A</v>
      </c>
    </row>
    <row r="975" spans="48:48" ht="15" customHeight="1" x14ac:dyDescent="0.35">
      <c r="AV975" s="139" t="e">
        <v>#N/A</v>
      </c>
    </row>
    <row r="976" spans="48:48" ht="15" customHeight="1" x14ac:dyDescent="0.35">
      <c r="AV976" s="139" t="e">
        <v>#N/A</v>
      </c>
    </row>
    <row r="977" spans="48:48" ht="15" customHeight="1" x14ac:dyDescent="0.35">
      <c r="AV977" s="139" t="e">
        <v>#N/A</v>
      </c>
    </row>
    <row r="978" spans="48:48" ht="15" customHeight="1" x14ac:dyDescent="0.35">
      <c r="AV978" s="139" t="e">
        <v>#N/A</v>
      </c>
    </row>
    <row r="979" spans="48:48" ht="15" customHeight="1" x14ac:dyDescent="0.35">
      <c r="AV979" s="139" t="e">
        <v>#N/A</v>
      </c>
    </row>
    <row r="980" spans="48:48" ht="15" customHeight="1" x14ac:dyDescent="0.35">
      <c r="AV980" s="139" t="e">
        <v>#N/A</v>
      </c>
    </row>
    <row r="981" spans="48:48" ht="15" customHeight="1" x14ac:dyDescent="0.35">
      <c r="AV981" s="139" t="e">
        <v>#N/A</v>
      </c>
    </row>
    <row r="982" spans="48:48" ht="15" customHeight="1" x14ac:dyDescent="0.35">
      <c r="AV982" s="139" t="e">
        <v>#N/A</v>
      </c>
    </row>
    <row r="983" spans="48:48" ht="15" customHeight="1" x14ac:dyDescent="0.35">
      <c r="AV983" s="139" t="e">
        <v>#N/A</v>
      </c>
    </row>
    <row r="984" spans="48:48" ht="15" customHeight="1" x14ac:dyDescent="0.35">
      <c r="AV984" s="139" t="e">
        <v>#N/A</v>
      </c>
    </row>
    <row r="985" spans="48:48" ht="15" customHeight="1" x14ac:dyDescent="0.35">
      <c r="AV985" s="139" t="e">
        <v>#N/A</v>
      </c>
    </row>
    <row r="986" spans="48:48" ht="15" customHeight="1" x14ac:dyDescent="0.35">
      <c r="AV986" s="139" t="e">
        <v>#N/A</v>
      </c>
    </row>
    <row r="987" spans="48:48" ht="15" customHeight="1" x14ac:dyDescent="0.35">
      <c r="AV987" s="139" t="e">
        <v>#N/A</v>
      </c>
    </row>
    <row r="988" spans="48:48" ht="15" customHeight="1" x14ac:dyDescent="0.35">
      <c r="AV988" s="139" t="e">
        <v>#N/A</v>
      </c>
    </row>
    <row r="989" spans="48:48" ht="15" customHeight="1" x14ac:dyDescent="0.35">
      <c r="AV989" s="139" t="e">
        <v>#N/A</v>
      </c>
    </row>
    <row r="990" spans="48:48" ht="15" customHeight="1" x14ac:dyDescent="0.35">
      <c r="AV990" s="139" t="e">
        <v>#N/A</v>
      </c>
    </row>
    <row r="991" spans="48:48" ht="15" customHeight="1" x14ac:dyDescent="0.35">
      <c r="AV991" s="139" t="e">
        <v>#N/A</v>
      </c>
    </row>
    <row r="992" spans="48:48" ht="15" customHeight="1" x14ac:dyDescent="0.35">
      <c r="AV992" s="139" t="e">
        <v>#N/A</v>
      </c>
    </row>
    <row r="993" spans="48:48" ht="15" customHeight="1" x14ac:dyDescent="0.35">
      <c r="AV993" s="139" t="e">
        <v>#N/A</v>
      </c>
    </row>
    <row r="994" spans="48:48" ht="15" customHeight="1" x14ac:dyDescent="0.35">
      <c r="AV994" s="139" t="e">
        <v>#N/A</v>
      </c>
    </row>
    <row r="995" spans="48:48" ht="15" customHeight="1" x14ac:dyDescent="0.35">
      <c r="AV995" s="139" t="e">
        <v>#N/A</v>
      </c>
    </row>
    <row r="996" spans="48:48" ht="15" customHeight="1" x14ac:dyDescent="0.35">
      <c r="AV996" s="139" t="e">
        <v>#N/A</v>
      </c>
    </row>
    <row r="997" spans="48:48" ht="15" customHeight="1" x14ac:dyDescent="0.35">
      <c r="AV997" s="139" t="e">
        <v>#N/A</v>
      </c>
    </row>
  </sheetData>
  <autoFilter ref="A1:AI342" xr:uid="{00000000-0009-0000-0000-000002000000}"/>
  <customSheetViews>
    <customSheetView guid="{13318ACA-4079-4744-89BF-3726E999225A}" scale="85" showAutoFilter="1" hiddenColumns="1">
      <pane ySplit="1" topLeftCell="A2" activePane="bottomLeft" state="frozen"/>
      <selection pane="bottomLeft" activeCell="G4" sqref="G4"/>
      <pageMargins left="0" right="0" top="0" bottom="0" header="0" footer="0"/>
      <pageSetup paperSize="9" orientation="portrait" r:id="rId1"/>
      <autoFilter ref="B1:AH1" xr:uid="{408B4CF5-4BA7-446A-8F44-04F3BB2FE666}"/>
    </customSheetView>
    <customSheetView guid="{EDEA0188-918A-4C73-A2B8-679F5F53E347}" scale="85" showAutoFilter="1" hiddenColumns="1">
      <pane ySplit="1" topLeftCell="A2" activePane="bottomLeft" state="frozen"/>
      <selection pane="bottomLeft" activeCell="G4" sqref="G4"/>
      <pageMargins left="0" right="0" top="0" bottom="0" header="0" footer="0"/>
      <pageSetup paperSize="9" orientation="portrait" r:id="rId2"/>
      <autoFilter ref="B1:AH1" xr:uid="{B89F9C3B-E1BE-47CE-B3C8-F479BB80F774}"/>
    </customSheetView>
  </customSheetViews>
  <mergeCells count="1">
    <mergeCell ref="AA14:AE14"/>
  </mergeCells>
  <phoneticPr fontId="7" type="noConversion"/>
  <conditionalFormatting sqref="P2:P342">
    <cfRule type="containsText" dxfId="6" priority="1" stopIfTrue="1" operator="containsText" text="No">
      <formula>NOT(ISERROR(SEARCH("No",P2)))</formula>
    </cfRule>
    <cfRule type="containsText" dxfId="5" priority="2" stopIfTrue="1" operator="containsText" text="Yes">
      <formula>NOT(ISERROR(SEARCH("Yes",P2)))</formula>
    </cfRule>
  </conditionalFormatting>
  <conditionalFormatting sqref="Q2">
    <cfRule type="containsText" dxfId="4" priority="8" stopIfTrue="1" operator="containsText" text="No">
      <formula>NOT(ISERROR(SEARCH("No",Q2)))</formula>
    </cfRule>
    <cfRule type="containsText" dxfId="3" priority="9" stopIfTrue="1" operator="containsText" text="Yes">
      <formula>NOT(ISERROR(SEARCH("Yes",Q2)))</formula>
    </cfRule>
  </conditionalFormatting>
  <conditionalFormatting sqref="Q20:Q342">
    <cfRule type="containsText" dxfId="2" priority="3" stopIfTrue="1" operator="containsText" text="N/A">
      <formula>NOT(ISERROR(SEARCH("N/A",Q20)))</formula>
    </cfRule>
    <cfRule type="containsText" dxfId="1" priority="4" stopIfTrue="1" operator="containsText" text="No">
      <formula>NOT(ISERROR(SEARCH("No",Q20)))</formula>
    </cfRule>
    <cfRule type="containsText" dxfId="0" priority="5" stopIfTrue="1" operator="containsText" text="Yes">
      <formula>NOT(ISERROR(SEARCH("Yes",Q20)))</formula>
    </cfRule>
  </conditionalFormatting>
  <dataValidations count="9">
    <dataValidation type="list" allowBlank="1" showInputMessage="1" showErrorMessage="1" sqref="P1 Q6:Q9" xr:uid="{00000000-0002-0000-0200-000001000000}">
      <formula1>$Q$2:$Q$3</formula1>
    </dataValidation>
    <dataValidation type="list" allowBlank="1" showInputMessage="1" showErrorMessage="1" sqref="Q5 J1 W23:W280 M17 C2:C1048576" xr:uid="{00000000-0002-0000-0200-000003000000}">
      <formula1>#REF!</formula1>
    </dataValidation>
    <dataValidation showDropDown="1" showInputMessage="1" showErrorMessage="1" sqref="N1:O1 N10:N15 P343:P65533" xr:uid="{00000000-0002-0000-0200-000004000000}"/>
    <dataValidation type="list" allowBlank="1" showInputMessage="1" showErrorMessage="1" sqref="T20 S1:S1048576 T22:T342" xr:uid="{00000000-0002-0000-0200-000007000000}">
      <formula1>$T$2:$T$7</formula1>
    </dataValidation>
    <dataValidation type="list" allowBlank="1" showInputMessage="1" showErrorMessage="1" sqref="M21" xr:uid="{00000000-0002-0000-0200-000009000000}">
      <formula1>$M$3:$M$9</formula1>
    </dataValidation>
    <dataValidation type="list" allowBlank="1" showInputMessage="1" showErrorMessage="1" sqref="M23:M342" xr:uid="{00000000-0002-0000-0200-000005000000}">
      <formula1>$M$3:$M$8</formula1>
    </dataValidation>
    <dataValidation type="list" allowBlank="1" showInputMessage="1" showErrorMessage="1" sqref="Q20:Q342" xr:uid="{00000000-0002-0000-0200-00000B000000}">
      <formula1>$Q$2:$Q$4</formula1>
    </dataValidation>
    <dataValidation type="list" allowBlank="1" showInputMessage="1" showErrorMessage="1" sqref="U1:U1048576" xr:uid="{00000000-0002-0000-0200-00000A000000}">
      <formula1>$W$2:$W$11</formula1>
    </dataValidation>
    <dataValidation type="list" allowBlank="1" showInputMessage="1" showErrorMessage="1" sqref="L1:L1048576" xr:uid="{58354036-14BB-4068-A741-D968A92F97F8}">
      <formula1>$M$2:$M$5</formula1>
    </dataValidation>
  </dataValidations>
  <pageMargins left="0.7" right="0.7" top="0.75" bottom="0.75" header="0.3" footer="0.3"/>
  <pageSetup paperSize="9" orientation="portrait" r:id="rId3"/>
  <extLst>
    <ext xmlns:x14="http://schemas.microsoft.com/office/spreadsheetml/2009/9/main" uri="{CCE6A557-97BC-4b89-ADB6-D9C93CAAB3DF}">
      <x14:dataValidations xmlns:xm="http://schemas.microsoft.com/office/excel/2006/main" count="1">
        <x14:dataValidation type="list" allowBlank="1" showInputMessage="1" showErrorMessage="1" xr:uid="{997D1C18-C725-4792-8375-58F1F317AEF9}">
          <x14:formula1>
            <xm:f>'FOI 2025-26'!$S$2:$S$6</xm:f>
          </x14:formula1>
          <xm:sqref>R1:R1048576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I41"/>
  <sheetViews>
    <sheetView workbookViewId="0">
      <selection activeCell="C1" sqref="C1:C1048576"/>
    </sheetView>
  </sheetViews>
  <sheetFormatPr defaultRowHeight="12.5" x14ac:dyDescent="0.25"/>
  <cols>
    <col min="1" max="2" width="17.453125" customWidth="1"/>
    <col min="3" max="3" width="11" style="1" customWidth="1"/>
    <col min="4" max="5" width="26.453125" style="224" customWidth="1"/>
    <col min="6" max="6" width="26" style="224" customWidth="1"/>
    <col min="7" max="7" width="26" style="98" customWidth="1"/>
    <col min="8" max="8" width="26" customWidth="1"/>
    <col min="9" max="9" width="40.54296875" customWidth="1"/>
  </cols>
  <sheetData>
    <row r="1" spans="1:9" ht="45" customHeight="1" x14ac:dyDescent="0.35">
      <c r="A1" s="2" t="s">
        <v>17</v>
      </c>
      <c r="B1" s="2" t="s">
        <v>0</v>
      </c>
      <c r="C1" s="2" t="s">
        <v>24</v>
      </c>
      <c r="D1" s="225" t="s">
        <v>1440</v>
      </c>
      <c r="E1" s="225" t="s">
        <v>1441</v>
      </c>
      <c r="F1" s="77" t="s">
        <v>1442</v>
      </c>
      <c r="G1" s="77" t="s">
        <v>1443</v>
      </c>
      <c r="H1" s="2" t="s">
        <v>1444</v>
      </c>
      <c r="I1" s="2" t="s">
        <v>1445</v>
      </c>
    </row>
    <row r="2" spans="1:9" ht="25.5" customHeight="1" x14ac:dyDescent="0.25">
      <c r="A2" s="23" t="s">
        <v>1446</v>
      </c>
      <c r="B2" s="23" t="s">
        <v>3</v>
      </c>
      <c r="C2" s="94" t="s">
        <v>158</v>
      </c>
      <c r="D2" s="226">
        <v>45775</v>
      </c>
      <c r="E2" s="226">
        <v>45804</v>
      </c>
      <c r="F2" s="82">
        <v>45778</v>
      </c>
      <c r="G2" s="97" t="str">
        <f t="shared" ref="G2:G18" si="0">IF(ISBLANK(F2),"",IF(F2&gt;E2,"No","Yes"))</f>
        <v>Yes</v>
      </c>
      <c r="H2" s="23" t="s">
        <v>1447</v>
      </c>
      <c r="I2" s="23"/>
    </row>
    <row r="3" spans="1:9" ht="25.5" customHeight="1" x14ac:dyDescent="0.25">
      <c r="A3" s="23" t="s">
        <v>1448</v>
      </c>
      <c r="B3" s="23" t="s">
        <v>4</v>
      </c>
      <c r="C3" s="94" t="s">
        <v>158</v>
      </c>
      <c r="D3" s="226">
        <v>45775</v>
      </c>
      <c r="E3" s="226">
        <v>45804</v>
      </c>
      <c r="F3" s="82">
        <v>45791</v>
      </c>
      <c r="G3" s="97" t="str">
        <f t="shared" si="0"/>
        <v>Yes</v>
      </c>
      <c r="H3" s="23" t="s">
        <v>1449</v>
      </c>
      <c r="I3" s="23" t="s">
        <v>1450</v>
      </c>
    </row>
    <row r="4" spans="1:9" ht="25.5" customHeight="1" x14ac:dyDescent="0.25">
      <c r="A4" s="23" t="s">
        <v>1451</v>
      </c>
      <c r="B4" s="23" t="s">
        <v>4</v>
      </c>
      <c r="C4" s="94" t="s">
        <v>158</v>
      </c>
      <c r="D4" s="226">
        <v>45775</v>
      </c>
      <c r="E4" s="226">
        <v>45804</v>
      </c>
      <c r="F4" s="82">
        <v>45777</v>
      </c>
      <c r="G4" s="97" t="str">
        <f t="shared" si="0"/>
        <v>Yes</v>
      </c>
      <c r="H4" s="23" t="s">
        <v>1449</v>
      </c>
      <c r="I4" s="23"/>
    </row>
    <row r="5" spans="1:9" ht="25.5" customHeight="1" x14ac:dyDescent="0.25">
      <c r="A5" s="23" t="s">
        <v>1452</v>
      </c>
      <c r="B5" s="23" t="s">
        <v>4</v>
      </c>
      <c r="C5" s="94" t="s">
        <v>158</v>
      </c>
      <c r="D5" s="226">
        <v>45776</v>
      </c>
      <c r="E5" s="226">
        <v>45805</v>
      </c>
      <c r="F5" s="82">
        <v>45786</v>
      </c>
      <c r="G5" s="97" t="str">
        <f t="shared" si="0"/>
        <v>Yes</v>
      </c>
      <c r="H5" s="23" t="s">
        <v>1449</v>
      </c>
      <c r="I5" s="23" t="s">
        <v>1450</v>
      </c>
    </row>
    <row r="6" spans="1:9" ht="26.15" customHeight="1" x14ac:dyDescent="0.25">
      <c r="A6" s="23" t="s">
        <v>1453</v>
      </c>
      <c r="B6" s="23" t="s">
        <v>1457</v>
      </c>
      <c r="C6" s="94" t="s">
        <v>98</v>
      </c>
      <c r="D6" s="226">
        <v>45790</v>
      </c>
      <c r="E6" s="226">
        <v>45819</v>
      </c>
      <c r="F6" s="82">
        <v>45797</v>
      </c>
      <c r="G6" s="97" t="str">
        <f t="shared" si="0"/>
        <v>Yes</v>
      </c>
      <c r="H6" s="23" t="s">
        <v>1449</v>
      </c>
      <c r="I6" s="23" t="s">
        <v>1450</v>
      </c>
    </row>
    <row r="7" spans="1:9" ht="26.15" customHeight="1" x14ac:dyDescent="0.25">
      <c r="A7" s="23" t="s">
        <v>1454</v>
      </c>
      <c r="B7" s="23" t="s">
        <v>4</v>
      </c>
      <c r="C7" s="94" t="s">
        <v>98</v>
      </c>
      <c r="D7" s="226">
        <v>45790</v>
      </c>
      <c r="E7" s="226">
        <v>45819</v>
      </c>
      <c r="F7" s="78">
        <v>45797</v>
      </c>
      <c r="G7" s="97" t="str">
        <f t="shared" si="0"/>
        <v>Yes</v>
      </c>
      <c r="H7" s="4" t="s">
        <v>1449</v>
      </c>
      <c r="I7" s="23"/>
    </row>
    <row r="8" spans="1:9" ht="26.15" customHeight="1" x14ac:dyDescent="0.25">
      <c r="A8" s="23" t="s">
        <v>1455</v>
      </c>
      <c r="B8" s="23" t="s">
        <v>4</v>
      </c>
      <c r="C8" s="94" t="s">
        <v>300</v>
      </c>
      <c r="D8" s="226">
        <v>45834</v>
      </c>
      <c r="E8" s="226">
        <v>45862</v>
      </c>
      <c r="F8" s="78">
        <v>45859</v>
      </c>
      <c r="G8" s="97" t="str">
        <f t="shared" si="0"/>
        <v>Yes</v>
      </c>
      <c r="H8" s="4" t="s">
        <v>1449</v>
      </c>
      <c r="I8" s="23"/>
    </row>
    <row r="9" spans="1:9" ht="24.65" customHeight="1" x14ac:dyDescent="0.25">
      <c r="A9" s="4" t="s">
        <v>1456</v>
      </c>
      <c r="B9" s="4" t="s">
        <v>1457</v>
      </c>
      <c r="C9" s="95" t="s">
        <v>484</v>
      </c>
      <c r="D9" s="227">
        <v>45839</v>
      </c>
      <c r="E9" s="227">
        <v>45867</v>
      </c>
      <c r="F9" s="78">
        <v>45859</v>
      </c>
      <c r="G9" s="97" t="str">
        <f t="shared" si="0"/>
        <v>Yes</v>
      </c>
      <c r="H9" s="4" t="s">
        <v>1449</v>
      </c>
      <c r="I9" s="23"/>
    </row>
    <row r="10" spans="1:9" ht="24.65" customHeight="1" x14ac:dyDescent="0.25">
      <c r="A10" s="4" t="s">
        <v>1458</v>
      </c>
      <c r="B10" s="4" t="s">
        <v>4</v>
      </c>
      <c r="C10" s="94" t="s">
        <v>484</v>
      </c>
      <c r="D10" s="227">
        <v>45847</v>
      </c>
      <c r="E10" s="227">
        <v>45875</v>
      </c>
      <c r="F10" s="78">
        <v>45859</v>
      </c>
      <c r="G10" s="97" t="str">
        <f t="shared" si="0"/>
        <v>Yes</v>
      </c>
      <c r="H10" s="4" t="s">
        <v>1449</v>
      </c>
      <c r="I10" s="23"/>
    </row>
    <row r="11" spans="1:9" ht="24.65" customHeight="1" x14ac:dyDescent="0.25">
      <c r="A11" s="23" t="s">
        <v>1459</v>
      </c>
      <c r="B11" s="23" t="s">
        <v>4</v>
      </c>
      <c r="C11" s="94" t="s">
        <v>484</v>
      </c>
      <c r="D11" s="227">
        <v>45849</v>
      </c>
      <c r="E11" s="227">
        <v>45877</v>
      </c>
      <c r="F11" s="78">
        <v>45859</v>
      </c>
      <c r="G11" s="97" t="str">
        <f t="shared" si="0"/>
        <v>Yes</v>
      </c>
      <c r="H11" s="4" t="s">
        <v>1449</v>
      </c>
      <c r="I11" s="23" t="s">
        <v>1460</v>
      </c>
    </row>
    <row r="12" spans="1:9" ht="24.65" customHeight="1" x14ac:dyDescent="0.25">
      <c r="A12" s="23" t="s">
        <v>1461</v>
      </c>
      <c r="B12" s="23" t="s">
        <v>1457</v>
      </c>
      <c r="C12" s="94" t="s">
        <v>484</v>
      </c>
      <c r="D12" s="227">
        <v>45854</v>
      </c>
      <c r="E12" s="227">
        <f>WORKDAY(D12,20)</f>
        <v>45882</v>
      </c>
      <c r="F12" s="78">
        <v>45859</v>
      </c>
      <c r="G12" s="97" t="str">
        <f t="shared" si="0"/>
        <v>Yes</v>
      </c>
      <c r="H12" s="4" t="s">
        <v>1449</v>
      </c>
      <c r="I12" s="23"/>
    </row>
    <row r="13" spans="1:9" ht="24.65" customHeight="1" x14ac:dyDescent="0.25">
      <c r="A13" s="4" t="s">
        <v>1462</v>
      </c>
      <c r="B13" s="23" t="s">
        <v>7</v>
      </c>
      <c r="C13" s="95" t="s">
        <v>484</v>
      </c>
      <c r="D13" s="227">
        <v>45862</v>
      </c>
      <c r="E13" s="227">
        <v>45890</v>
      </c>
      <c r="F13" s="78">
        <v>45888</v>
      </c>
      <c r="G13" s="97" t="str">
        <f t="shared" si="0"/>
        <v>Yes</v>
      </c>
      <c r="H13" s="23" t="s">
        <v>1449</v>
      </c>
      <c r="I13" s="23"/>
    </row>
    <row r="14" spans="1:9" ht="24.65" customHeight="1" x14ac:dyDescent="0.25">
      <c r="A14" s="4" t="s">
        <v>1463</v>
      </c>
      <c r="B14" s="23" t="s">
        <v>3</v>
      </c>
      <c r="C14" s="95" t="s">
        <v>563</v>
      </c>
      <c r="D14" s="227">
        <v>45874</v>
      </c>
      <c r="E14" s="227">
        <v>45903</v>
      </c>
      <c r="F14" s="78">
        <v>45888</v>
      </c>
      <c r="G14" s="97" t="str">
        <f t="shared" si="0"/>
        <v>Yes</v>
      </c>
      <c r="H14" s="4" t="s">
        <v>1449</v>
      </c>
      <c r="I14" s="23"/>
    </row>
    <row r="15" spans="1:9" ht="24.65" customHeight="1" x14ac:dyDescent="0.25">
      <c r="A15" s="221" t="s">
        <v>1464</v>
      </c>
      <c r="B15" s="221" t="s">
        <v>1457</v>
      </c>
      <c r="C15" s="220" t="s">
        <v>563</v>
      </c>
      <c r="D15" s="227">
        <v>45875</v>
      </c>
      <c r="E15" s="227">
        <v>45904</v>
      </c>
      <c r="F15" s="82">
        <v>45902</v>
      </c>
      <c r="G15" s="97" t="str">
        <f t="shared" si="0"/>
        <v>Yes</v>
      </c>
      <c r="H15" s="23" t="s">
        <v>1465</v>
      </c>
      <c r="I15" s="23" t="s">
        <v>1466</v>
      </c>
    </row>
    <row r="16" spans="1:9" s="204" customFormat="1" ht="24.65" customHeight="1" x14ac:dyDescent="0.25">
      <c r="A16" s="200" t="s">
        <v>1467</v>
      </c>
      <c r="B16" s="200" t="s">
        <v>4</v>
      </c>
      <c r="C16" s="201" t="s">
        <v>595</v>
      </c>
      <c r="D16" s="80">
        <v>45901</v>
      </c>
      <c r="E16" s="80">
        <v>45929</v>
      </c>
      <c r="F16" s="202">
        <v>45904</v>
      </c>
      <c r="G16" s="203" t="str">
        <f t="shared" si="0"/>
        <v>Yes</v>
      </c>
      <c r="H16" s="202" t="s">
        <v>1449</v>
      </c>
      <c r="I16" s="91"/>
    </row>
    <row r="17" spans="1:9" ht="24.65" customHeight="1" x14ac:dyDescent="0.25">
      <c r="A17" s="206" t="s">
        <v>1468</v>
      </c>
      <c r="B17" s="206" t="s">
        <v>4</v>
      </c>
      <c r="C17" s="207" t="s">
        <v>595</v>
      </c>
      <c r="D17" s="80">
        <v>45911</v>
      </c>
      <c r="E17" s="80">
        <v>45939</v>
      </c>
      <c r="F17" s="80">
        <v>45918</v>
      </c>
      <c r="G17" s="90" t="str">
        <f t="shared" si="0"/>
        <v>Yes</v>
      </c>
      <c r="H17" s="81" t="s">
        <v>1469</v>
      </c>
      <c r="I17" s="92" t="s">
        <v>1466</v>
      </c>
    </row>
    <row r="18" spans="1:9" ht="24.65" customHeight="1" x14ac:dyDescent="0.25">
      <c r="A18" s="81" t="s">
        <v>1470</v>
      </c>
      <c r="B18" s="230" t="s">
        <v>1457</v>
      </c>
      <c r="C18" s="96" t="s">
        <v>765</v>
      </c>
      <c r="D18" s="79">
        <v>45957</v>
      </c>
      <c r="E18" s="79">
        <v>45985</v>
      </c>
      <c r="F18" s="79">
        <v>45967</v>
      </c>
      <c r="G18" s="93" t="str">
        <f t="shared" si="0"/>
        <v>Yes</v>
      </c>
      <c r="H18" s="80" t="s">
        <v>1449</v>
      </c>
      <c r="I18" s="91"/>
    </row>
    <row r="19" spans="1:9" ht="24.65" customHeight="1" x14ac:dyDescent="0.25">
      <c r="A19" s="81" t="s">
        <v>1471</v>
      </c>
      <c r="B19" s="81" t="s">
        <v>4</v>
      </c>
      <c r="C19" s="96" t="s">
        <v>893</v>
      </c>
      <c r="D19" s="79">
        <v>45981</v>
      </c>
      <c r="E19" s="79">
        <f>WORKDAY(D19,20)</f>
        <v>46009</v>
      </c>
      <c r="F19" s="79">
        <v>46008</v>
      </c>
      <c r="G19" s="93" t="s">
        <v>1146</v>
      </c>
      <c r="H19" s="81" t="s">
        <v>1449</v>
      </c>
      <c r="I19" s="92"/>
    </row>
    <row r="20" spans="1:9" ht="24.65" customHeight="1" x14ac:dyDescent="0.25">
      <c r="A20" s="3" t="s">
        <v>1472</v>
      </c>
      <c r="B20" s="81" t="s">
        <v>4</v>
      </c>
      <c r="C20" s="96" t="s">
        <v>893</v>
      </c>
      <c r="D20" s="79">
        <v>45981</v>
      </c>
      <c r="E20" s="79">
        <f t="shared" ref="E20:E23" si="1">WORKDAY(D20,20)</f>
        <v>46009</v>
      </c>
      <c r="F20" s="79">
        <v>46008</v>
      </c>
      <c r="G20" s="93" t="s">
        <v>1146</v>
      </c>
      <c r="H20" s="3" t="s">
        <v>1449</v>
      </c>
      <c r="I20" s="3"/>
    </row>
    <row r="21" spans="1:9" ht="24.65" customHeight="1" x14ac:dyDescent="0.25">
      <c r="A21" s="3" t="s">
        <v>1473</v>
      </c>
      <c r="B21" s="81" t="s">
        <v>4</v>
      </c>
      <c r="C21" s="96" t="s">
        <v>893</v>
      </c>
      <c r="D21" s="79">
        <v>45981</v>
      </c>
      <c r="E21" s="79">
        <f t="shared" si="1"/>
        <v>46009</v>
      </c>
      <c r="F21" s="79">
        <v>46008</v>
      </c>
      <c r="G21" s="93" t="s">
        <v>1146</v>
      </c>
      <c r="H21" s="3" t="s">
        <v>1469</v>
      </c>
      <c r="I21" s="3" t="s">
        <v>1466</v>
      </c>
    </row>
    <row r="22" spans="1:9" ht="24.65" customHeight="1" x14ac:dyDescent="0.25">
      <c r="A22" s="3" t="s">
        <v>1474</v>
      </c>
      <c r="B22" s="81" t="s">
        <v>4</v>
      </c>
      <c r="C22" s="96" t="s">
        <v>893</v>
      </c>
      <c r="D22" s="79">
        <v>45981</v>
      </c>
      <c r="E22" s="79">
        <f t="shared" si="1"/>
        <v>46009</v>
      </c>
      <c r="F22" s="79">
        <v>46008</v>
      </c>
      <c r="G22" s="93" t="s">
        <v>1146</v>
      </c>
      <c r="H22" s="3" t="s">
        <v>1449</v>
      </c>
      <c r="I22" s="3"/>
    </row>
    <row r="23" spans="1:9" ht="24.65" customHeight="1" x14ac:dyDescent="0.25">
      <c r="A23" s="228" t="s">
        <v>1475</v>
      </c>
      <c r="B23" s="81" t="s">
        <v>4</v>
      </c>
      <c r="C23" s="207" t="s">
        <v>893</v>
      </c>
      <c r="D23" s="79">
        <v>45985</v>
      </c>
      <c r="E23" s="79">
        <f t="shared" si="1"/>
        <v>46013</v>
      </c>
      <c r="F23" s="79">
        <v>46008</v>
      </c>
      <c r="G23" s="93" t="s">
        <v>1146</v>
      </c>
      <c r="H23" s="3" t="s">
        <v>1449</v>
      </c>
      <c r="I23" s="3"/>
    </row>
    <row r="24" spans="1:9" ht="24.65" customHeight="1" x14ac:dyDescent="0.25">
      <c r="A24" s="3" t="s">
        <v>1476</v>
      </c>
      <c r="B24" s="81" t="s">
        <v>4</v>
      </c>
      <c r="C24" s="96" t="s">
        <v>893</v>
      </c>
      <c r="D24" s="79">
        <v>45985</v>
      </c>
      <c r="E24" s="79">
        <f>WORKDAY(D24,20)</f>
        <v>46013</v>
      </c>
      <c r="F24" s="79">
        <v>46008</v>
      </c>
      <c r="G24" s="93" t="s">
        <v>1146</v>
      </c>
      <c r="H24" s="3" t="s">
        <v>1449</v>
      </c>
      <c r="I24" s="3"/>
    </row>
    <row r="25" spans="1:9" ht="24.65" customHeight="1" x14ac:dyDescent="0.25">
      <c r="A25" s="3" t="s">
        <v>1477</v>
      </c>
      <c r="B25" s="3" t="s">
        <v>4</v>
      </c>
      <c r="C25" s="96" t="s">
        <v>893</v>
      </c>
      <c r="D25" s="79">
        <v>45986</v>
      </c>
      <c r="E25" s="79">
        <f>WORKDAY(D25,20)</f>
        <v>46014</v>
      </c>
      <c r="F25" s="79">
        <v>45992</v>
      </c>
      <c r="G25" s="93" t="s">
        <v>1146</v>
      </c>
      <c r="H25" s="3" t="s">
        <v>1449</v>
      </c>
      <c r="I25" s="3"/>
    </row>
    <row r="26" spans="1:9" ht="24.65" customHeight="1" x14ac:dyDescent="0.25">
      <c r="A26" s="3" t="s">
        <v>1478</v>
      </c>
      <c r="B26" s="3" t="s">
        <v>7</v>
      </c>
      <c r="C26" s="96" t="s">
        <v>1479</v>
      </c>
      <c r="D26" s="79">
        <v>45995</v>
      </c>
      <c r="E26" s="79">
        <v>46028</v>
      </c>
      <c r="F26" s="79">
        <v>46024</v>
      </c>
      <c r="G26" s="93" t="s">
        <v>1146</v>
      </c>
      <c r="H26" s="3" t="s">
        <v>1469</v>
      </c>
      <c r="I26" s="3" t="s">
        <v>1466</v>
      </c>
    </row>
    <row r="27" spans="1:9" ht="24.65" customHeight="1" x14ac:dyDescent="0.25">
      <c r="A27" s="3" t="s">
        <v>1480</v>
      </c>
      <c r="B27" s="3" t="s">
        <v>4</v>
      </c>
      <c r="C27" s="96" t="s">
        <v>1479</v>
      </c>
      <c r="D27" s="79">
        <v>45995</v>
      </c>
      <c r="E27" s="79">
        <v>46028</v>
      </c>
      <c r="F27" s="79">
        <v>46024</v>
      </c>
      <c r="G27" s="93" t="s">
        <v>1146</v>
      </c>
      <c r="H27" s="3" t="s">
        <v>1469</v>
      </c>
      <c r="I27" s="3" t="s">
        <v>1466</v>
      </c>
    </row>
    <row r="28" spans="1:9" ht="24.65" customHeight="1" x14ac:dyDescent="0.25">
      <c r="A28" s="3" t="s">
        <v>1481</v>
      </c>
      <c r="B28" s="231" t="s">
        <v>1457</v>
      </c>
      <c r="C28" s="96" t="s">
        <v>1479</v>
      </c>
      <c r="D28" s="79">
        <v>46000</v>
      </c>
      <c r="E28" s="79">
        <v>46031</v>
      </c>
      <c r="F28" s="79">
        <v>46027</v>
      </c>
      <c r="G28" s="93" t="s">
        <v>1146</v>
      </c>
      <c r="H28" s="3" t="s">
        <v>1449</v>
      </c>
      <c r="I28" s="3" t="s">
        <v>1466</v>
      </c>
    </row>
    <row r="29" spans="1:9" ht="24.65" customHeight="1" x14ac:dyDescent="0.25">
      <c r="A29" s="3" t="s">
        <v>1482</v>
      </c>
      <c r="B29" s="3" t="s">
        <v>4</v>
      </c>
      <c r="C29" s="96" t="s">
        <v>1479</v>
      </c>
      <c r="D29" s="79">
        <v>46018</v>
      </c>
      <c r="E29" s="79">
        <v>46048</v>
      </c>
      <c r="F29" s="79">
        <v>46048</v>
      </c>
      <c r="G29" s="93" t="s">
        <v>1146</v>
      </c>
      <c r="H29" s="3" t="s">
        <v>1449</v>
      </c>
      <c r="I29" s="3" t="s">
        <v>1466</v>
      </c>
    </row>
    <row r="30" spans="1:9" ht="24.65" customHeight="1" x14ac:dyDescent="0.25">
      <c r="A30" s="3" t="s">
        <v>1483</v>
      </c>
      <c r="B30" s="3" t="s">
        <v>4</v>
      </c>
      <c r="C30" s="96" t="s">
        <v>1479</v>
      </c>
      <c r="D30" s="79">
        <v>46021</v>
      </c>
      <c r="E30" s="79">
        <v>46050</v>
      </c>
      <c r="F30" s="79">
        <v>46031</v>
      </c>
      <c r="G30" s="93" t="s">
        <v>1146</v>
      </c>
      <c r="H30" s="228" t="s">
        <v>1449</v>
      </c>
      <c r="I30" s="3"/>
    </row>
    <row r="31" spans="1:9" ht="24.65" customHeight="1" x14ac:dyDescent="0.25">
      <c r="A31" s="3" t="s">
        <v>1484</v>
      </c>
      <c r="B31" s="3" t="s">
        <v>1457</v>
      </c>
      <c r="C31" s="96" t="s">
        <v>1485</v>
      </c>
      <c r="D31" s="79">
        <v>46029</v>
      </c>
      <c r="E31" s="79">
        <v>46057</v>
      </c>
      <c r="F31" s="79">
        <v>46035</v>
      </c>
      <c r="G31" s="93" t="s">
        <v>1146</v>
      </c>
      <c r="H31" s="3" t="s">
        <v>1465</v>
      </c>
      <c r="I31" s="3"/>
    </row>
    <row r="32" spans="1:9" ht="24.65" customHeight="1" x14ac:dyDescent="0.25">
      <c r="A32" s="228" t="s">
        <v>1486</v>
      </c>
      <c r="B32" s="228" t="s">
        <v>4</v>
      </c>
      <c r="C32" s="207" t="s">
        <v>1485</v>
      </c>
      <c r="D32" s="79">
        <v>46053</v>
      </c>
      <c r="E32" s="79">
        <v>46080</v>
      </c>
      <c r="F32" s="79">
        <v>46072</v>
      </c>
      <c r="G32" s="93" t="s">
        <v>1146</v>
      </c>
      <c r="H32" s="3" t="s">
        <v>1469</v>
      </c>
      <c r="I32" s="3" t="s">
        <v>1466</v>
      </c>
    </row>
    <row r="33" spans="1:9" ht="24.65" customHeight="1" x14ac:dyDescent="0.25">
      <c r="A33" s="3" t="s">
        <v>1632</v>
      </c>
      <c r="B33" s="3" t="s">
        <v>7</v>
      </c>
      <c r="C33" s="96" t="s">
        <v>1631</v>
      </c>
      <c r="D33" s="79">
        <v>46064</v>
      </c>
      <c r="E33" s="79">
        <v>46092</v>
      </c>
      <c r="F33" s="79">
        <v>46070</v>
      </c>
      <c r="G33" s="93" t="s">
        <v>1146</v>
      </c>
      <c r="H33" s="3" t="s">
        <v>1469</v>
      </c>
      <c r="I33" s="3" t="s">
        <v>1466</v>
      </c>
    </row>
    <row r="34" spans="1:9" ht="24.65" customHeight="1" x14ac:dyDescent="0.25">
      <c r="A34" s="228" t="s">
        <v>1640</v>
      </c>
      <c r="B34" s="228" t="s">
        <v>1457</v>
      </c>
      <c r="C34" s="207" t="s">
        <v>1631</v>
      </c>
      <c r="D34" s="79">
        <v>46065</v>
      </c>
      <c r="E34" s="79">
        <v>46093</v>
      </c>
      <c r="F34" s="79">
        <v>46076</v>
      </c>
      <c r="G34" s="93" t="s">
        <v>1146</v>
      </c>
      <c r="H34" s="3" t="s">
        <v>1465</v>
      </c>
      <c r="I34" s="3" t="s">
        <v>1466</v>
      </c>
    </row>
    <row r="35" spans="1:9" ht="24.65" customHeight="1" x14ac:dyDescent="0.25">
      <c r="A35" s="3" t="s">
        <v>1645</v>
      </c>
      <c r="B35" s="3" t="s">
        <v>4</v>
      </c>
      <c r="C35" s="96" t="s">
        <v>1631</v>
      </c>
      <c r="D35" s="79">
        <v>46066</v>
      </c>
      <c r="E35" s="79">
        <v>46094</v>
      </c>
      <c r="F35" s="79">
        <v>46069</v>
      </c>
      <c r="G35" s="232" t="s">
        <v>1146</v>
      </c>
      <c r="H35" s="3" t="s">
        <v>1469</v>
      </c>
      <c r="I35" s="228" t="s">
        <v>1664</v>
      </c>
    </row>
    <row r="36" spans="1:9" ht="24.65" customHeight="1" x14ac:dyDescent="0.25">
      <c r="A36" s="228" t="s">
        <v>1665</v>
      </c>
      <c r="B36" s="228" t="s">
        <v>4</v>
      </c>
      <c r="C36" s="207" t="s">
        <v>1631</v>
      </c>
      <c r="D36" s="79">
        <v>46069</v>
      </c>
      <c r="E36" s="79">
        <v>46097</v>
      </c>
      <c r="F36" s="79">
        <v>46076</v>
      </c>
      <c r="G36" s="93" t="s">
        <v>1146</v>
      </c>
      <c r="H36" s="3" t="s">
        <v>1449</v>
      </c>
      <c r="I36" s="3"/>
    </row>
    <row r="37" spans="1:9" ht="24.65" customHeight="1" x14ac:dyDescent="0.25">
      <c r="A37" s="228" t="s">
        <v>1715</v>
      </c>
      <c r="B37" s="228" t="s">
        <v>4</v>
      </c>
      <c r="C37" s="207" t="s">
        <v>1631</v>
      </c>
      <c r="D37" s="79">
        <v>46077</v>
      </c>
      <c r="E37" s="79">
        <v>46105</v>
      </c>
      <c r="F37" s="79">
        <v>46093</v>
      </c>
      <c r="G37" s="93" t="s">
        <v>1146</v>
      </c>
      <c r="H37" s="3" t="s">
        <v>1449</v>
      </c>
      <c r="I37" s="3" t="s">
        <v>1782</v>
      </c>
    </row>
    <row r="38" spans="1:9" ht="24.65" customHeight="1" x14ac:dyDescent="0.25">
      <c r="A38" s="228" t="s">
        <v>1718</v>
      </c>
      <c r="B38" s="228" t="s">
        <v>7</v>
      </c>
      <c r="C38" s="207" t="s">
        <v>1631</v>
      </c>
      <c r="D38" s="79">
        <v>46077</v>
      </c>
      <c r="E38" s="79">
        <v>46105</v>
      </c>
      <c r="F38" s="79">
        <v>46086</v>
      </c>
      <c r="G38" s="93" t="s">
        <v>1146</v>
      </c>
      <c r="H38" s="3" t="s">
        <v>1469</v>
      </c>
      <c r="I38" s="3" t="s">
        <v>1466</v>
      </c>
    </row>
    <row r="39" spans="1:9" ht="24.65" customHeight="1" x14ac:dyDescent="0.25">
      <c r="A39" s="228" t="s">
        <v>1733</v>
      </c>
      <c r="B39" s="228" t="s">
        <v>7</v>
      </c>
      <c r="C39" s="207" t="s">
        <v>1631</v>
      </c>
      <c r="D39" s="79">
        <v>46080</v>
      </c>
      <c r="E39" s="79">
        <v>46108</v>
      </c>
      <c r="F39" s="79">
        <v>46090</v>
      </c>
      <c r="G39" s="93" t="s">
        <v>1146</v>
      </c>
      <c r="H39" s="228" t="s">
        <v>1449</v>
      </c>
      <c r="I39" s="3"/>
    </row>
    <row r="40" spans="1:9" ht="24.65" customHeight="1" x14ac:dyDescent="0.25">
      <c r="A40" s="3" t="s">
        <v>1837</v>
      </c>
      <c r="B40" s="3" t="s">
        <v>7</v>
      </c>
      <c r="C40" s="96" t="s">
        <v>1804</v>
      </c>
      <c r="D40" s="79">
        <v>46105</v>
      </c>
      <c r="E40" s="79">
        <v>46134</v>
      </c>
      <c r="F40" s="79">
        <v>46111</v>
      </c>
      <c r="G40" s="93" t="s">
        <v>1146</v>
      </c>
      <c r="H40" s="3" t="s">
        <v>1469</v>
      </c>
      <c r="I40" s="3" t="s">
        <v>1903</v>
      </c>
    </row>
    <row r="41" spans="1:9" ht="24.65" customHeight="1" x14ac:dyDescent="0.25">
      <c r="A41" s="3" t="s">
        <v>1897</v>
      </c>
      <c r="B41" s="3" t="s">
        <v>1457</v>
      </c>
      <c r="C41" s="96" t="s">
        <v>1804</v>
      </c>
      <c r="D41" s="79">
        <v>46108</v>
      </c>
      <c r="E41" s="79">
        <v>46140</v>
      </c>
      <c r="F41" s="79">
        <v>46126</v>
      </c>
      <c r="G41" s="232" t="s">
        <v>1146</v>
      </c>
      <c r="H41" s="3" t="s">
        <v>1449</v>
      </c>
      <c r="I41" s="3"/>
    </row>
  </sheetData>
  <autoFilter ref="A1:I41" xr:uid="{00000000-0001-0000-0500-000000000000}"/>
  <customSheetViews>
    <customSheetView guid="{13318ACA-4079-4744-89BF-3726E999225A}">
      <selection activeCell="D8" sqref="D8:D9"/>
      <pageMargins left="0" right="0" top="0" bottom="0" header="0" footer="0"/>
      <pageSetup paperSize="9" orientation="portrait" r:id="rId1"/>
      <headerFooter alignWithMargins="0"/>
    </customSheetView>
    <customSheetView guid="{EDEA0188-918A-4C73-A2B8-679F5F53E347}">
      <selection activeCell="D8" sqref="D8:D9"/>
      <pageMargins left="0" right="0" top="0" bottom="0" header="0" footer="0"/>
      <pageSetup paperSize="9" orientation="portrait" r:id="rId2"/>
      <headerFooter alignWithMargins="0"/>
    </customSheetView>
  </customSheetViews>
  <phoneticPr fontId="1" type="noConversion"/>
  <pageMargins left="0.75" right="0.75" top="1" bottom="1" header="0.5" footer="0.5"/>
  <pageSetup paperSize="9" orientation="portrait" r:id="rId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C8842-44ED-42FE-ABF8-DC21B5266785}">
  <dimension ref="A1:AE84"/>
  <sheetViews>
    <sheetView zoomScale="60" zoomScaleNormal="60" zoomScaleSheetLayoutView="50" workbookViewId="0">
      <selection activeCell="L6" sqref="L6:M12"/>
    </sheetView>
  </sheetViews>
  <sheetFormatPr defaultColWidth="8.81640625" defaultRowHeight="13.5" x14ac:dyDescent="0.3"/>
  <cols>
    <col min="1" max="1" width="8.81640625" style="121"/>
    <col min="2" max="2" width="40.81640625" style="121" customWidth="1"/>
    <col min="3" max="7" width="16.453125" style="121" customWidth="1"/>
    <col min="8" max="8" width="8.81640625" style="121"/>
    <col min="9" max="9" width="40.81640625" style="121" customWidth="1"/>
    <col min="10" max="14" width="16.453125" style="121" customWidth="1"/>
    <col min="15" max="16384" width="8.81640625" style="121"/>
  </cols>
  <sheetData>
    <row r="1" spans="1:31" x14ac:dyDescent="0.3">
      <c r="A1" s="120"/>
      <c r="B1" s="120"/>
      <c r="C1" s="120"/>
      <c r="D1" s="120"/>
      <c r="E1" s="120"/>
      <c r="F1" s="120"/>
      <c r="G1" s="120"/>
      <c r="H1" s="120"/>
      <c r="I1" s="120"/>
      <c r="J1" s="120"/>
      <c r="K1" s="120"/>
      <c r="L1" s="120"/>
      <c r="M1" s="120"/>
      <c r="N1" s="120"/>
      <c r="O1" s="120"/>
      <c r="P1" s="120"/>
      <c r="Q1" s="120"/>
      <c r="R1" s="120"/>
      <c r="S1" s="120"/>
      <c r="T1" s="120"/>
      <c r="U1" s="120"/>
      <c r="V1" s="120"/>
      <c r="W1" s="120"/>
      <c r="X1" s="120"/>
      <c r="Y1" s="120"/>
      <c r="Z1" s="120"/>
      <c r="AA1" s="120"/>
      <c r="AB1" s="120"/>
      <c r="AC1" s="120"/>
      <c r="AD1" s="120"/>
      <c r="AE1" s="120"/>
    </row>
    <row r="2" spans="1:31" ht="18" thickBot="1" x14ac:dyDescent="0.35">
      <c r="A2" s="120"/>
      <c r="B2" s="252" t="s">
        <v>1572</v>
      </c>
      <c r="C2" s="252"/>
      <c r="D2" s="252"/>
      <c r="E2" s="252"/>
      <c r="F2" s="252"/>
      <c r="G2" s="252"/>
      <c r="H2" s="44"/>
      <c r="I2" s="252" t="s">
        <v>1573</v>
      </c>
      <c r="J2" s="252"/>
      <c r="K2" s="252"/>
      <c r="L2" s="252"/>
      <c r="M2" s="252"/>
      <c r="N2" s="252"/>
      <c r="O2" s="120"/>
      <c r="P2" s="120"/>
      <c r="Q2" s="120"/>
      <c r="R2" s="120"/>
      <c r="S2" s="120"/>
      <c r="T2" s="120"/>
      <c r="U2" s="120"/>
      <c r="V2" s="120"/>
      <c r="W2" s="120"/>
      <c r="X2" s="120"/>
      <c r="Y2" s="120"/>
      <c r="Z2" s="120"/>
      <c r="AA2" s="120"/>
      <c r="AB2" s="120"/>
      <c r="AC2" s="120"/>
      <c r="AD2" s="120"/>
      <c r="AE2" s="120"/>
    </row>
    <row r="3" spans="1:31" x14ac:dyDescent="0.3">
      <c r="A3" s="120"/>
      <c r="B3" s="120"/>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row>
    <row r="4" spans="1:31" ht="18" thickBot="1" x14ac:dyDescent="0.35">
      <c r="A4" s="120"/>
      <c r="B4" s="252" t="s">
        <v>1491</v>
      </c>
      <c r="C4" s="252"/>
      <c r="D4" s="252"/>
      <c r="E4" s="252"/>
      <c r="F4" s="252"/>
      <c r="G4" s="166"/>
      <c r="H4" s="44"/>
      <c r="I4" s="252" t="s">
        <v>1491</v>
      </c>
      <c r="J4" s="252"/>
      <c r="K4" s="252"/>
      <c r="L4" s="252"/>
      <c r="M4" s="252"/>
      <c r="N4" s="120"/>
      <c r="O4" s="120"/>
      <c r="P4" s="120"/>
      <c r="Q4" s="120"/>
      <c r="R4" s="120"/>
      <c r="S4" s="120"/>
      <c r="T4" s="120"/>
      <c r="U4" s="120"/>
      <c r="V4" s="120"/>
      <c r="W4" s="120"/>
      <c r="X4" s="120"/>
      <c r="Y4" s="120"/>
      <c r="Z4" s="120"/>
      <c r="AA4" s="120"/>
      <c r="AB4" s="120"/>
      <c r="AC4" s="120"/>
      <c r="AD4" s="120"/>
      <c r="AE4" s="120"/>
    </row>
    <row r="5" spans="1:31" s="123" customFormat="1" ht="55.5" customHeight="1" thickBot="1" x14ac:dyDescent="0.35">
      <c r="A5" s="122"/>
      <c r="B5" s="188" t="s">
        <v>1574</v>
      </c>
      <c r="C5" s="189" t="s">
        <v>4</v>
      </c>
      <c r="D5" s="190" t="s">
        <v>43</v>
      </c>
      <c r="E5" s="190" t="s">
        <v>3</v>
      </c>
      <c r="F5" s="191" t="s">
        <v>7</v>
      </c>
      <c r="G5" s="188" t="s">
        <v>1575</v>
      </c>
      <c r="H5" s="124"/>
      <c r="I5" s="188" t="s">
        <v>1576</v>
      </c>
      <c r="J5" s="193" t="s">
        <v>4</v>
      </c>
      <c r="K5" s="190" t="s">
        <v>43</v>
      </c>
      <c r="L5" s="190" t="s">
        <v>3</v>
      </c>
      <c r="M5" s="194" t="s">
        <v>7</v>
      </c>
      <c r="N5" s="194" t="s">
        <v>1575</v>
      </c>
      <c r="O5" s="122"/>
      <c r="P5" s="122"/>
      <c r="Q5" s="122"/>
      <c r="R5" s="122"/>
      <c r="S5" s="122"/>
      <c r="T5" s="122"/>
      <c r="U5" s="122"/>
      <c r="V5" s="122"/>
      <c r="W5" s="122"/>
      <c r="X5" s="122"/>
      <c r="Y5" s="122"/>
      <c r="Z5" s="122"/>
      <c r="AA5" s="122"/>
      <c r="AB5" s="122"/>
      <c r="AC5" s="122"/>
      <c r="AD5" s="122"/>
      <c r="AE5" s="122"/>
    </row>
    <row r="6" spans="1:31" ht="30" customHeight="1" x14ac:dyDescent="0.3">
      <c r="A6" s="120"/>
      <c r="B6" s="184" t="s">
        <v>1577</v>
      </c>
      <c r="C6" s="185">
        <f>COUNTIFS('FOI 2025-26'!$K$2:$K$1787, "Resources", 'FOI 2025-26'!$BB$2:$BB$1787, "Quarter 1", 'FOI 2025-26'!$N$2:$N$1787, "&lt;=5", 'FOI 2025-26'!$R$2:$R$1787, "Complete", 'FOI 2025-26'!$R$2:$R$1787, "Complete")</f>
        <v>59</v>
      </c>
      <c r="D6" s="186">
        <f>COUNTIFS('FOI 2025-26'!$K$2:$K$1787, "Growth Enterprise &amp; Environment", 'FOI 2025-26'!$BB$2:$BB$1787, "Quarter 1", 'FOI 2025-26'!$N$2:$N$1787, "&lt;=5", 'FOI 2025-26'!$R$2:$R$1787, "Complete")</f>
        <v>41</v>
      </c>
      <c r="E6" s="186">
        <f>COUNTIFS('FOI 2025-26'!$K$2:$K$1787, "Adults &amp; Communities", 'FOI 2025-26'!$BB$2:$BB$1787, "Quarter 1", 'FOI 2025-26'!$N$2:$N$1787, "&lt;=5", 'FOI 2025-26'!$R$2:$R$1787, "Complete")</f>
        <v>8</v>
      </c>
      <c r="F6" s="187">
        <f>COUNTIFS('FOI 2025-26'!$K$2:$K$1787, "Children &amp; Families", 'FOI 2025-26'!$BB$2:$BB$1787, "Quarter 1", 'FOI 2025-26'!$N$2:$N$1787, "&lt;=5", 'FOI 2025-26'!$R$2:$R$1787, "Complete")</f>
        <v>9</v>
      </c>
      <c r="G6" s="171">
        <f t="shared" ref="G6:G13" si="0">SUM(C6:F6)</f>
        <v>117</v>
      </c>
      <c r="H6" s="125"/>
      <c r="I6" s="184" t="s">
        <v>1578</v>
      </c>
      <c r="J6" s="185">
        <f>COUNTIFS('EIR 2025-26'!$L$2:$L$997, "Resources",'EIR 2025-26'!$AV$2:$AV$997, "Quarter 1", 'EIR 2025-26'!$O$2:$O$997, "&lt;=5", 'EIR 2025-26'!$R$2:$R$997, "Complete", 'EIR 2025-26'!$R$2:$R$997, "Complete")</f>
        <v>4</v>
      </c>
      <c r="K6" s="186">
        <f>COUNTIFS('EIR 2025-26'!$L$2:$L$997, "Growth, Enterprise and Environment",'EIR 2025-26'!$AV$2:$AV$997, "Quarter 1", 'EIR 2025-26'!$O$2:$O$997, "&lt;=5", 'EIR 2025-26'!$R$2:$R$997, "Complete")</f>
        <v>50</v>
      </c>
      <c r="L6" s="186"/>
      <c r="M6" s="192"/>
      <c r="N6" s="192">
        <f t="shared" ref="N6:N13" si="1">SUM(J6:M6)</f>
        <v>54</v>
      </c>
      <c r="O6" s="120"/>
      <c r="P6" s="120"/>
      <c r="Q6" s="120"/>
      <c r="R6" s="120"/>
      <c r="S6" s="120"/>
      <c r="T6" s="120"/>
      <c r="U6" s="120"/>
      <c r="V6" s="120"/>
      <c r="W6" s="120"/>
      <c r="X6" s="120"/>
      <c r="Y6" s="120"/>
      <c r="Z6" s="120"/>
      <c r="AA6" s="120"/>
      <c r="AB6" s="120"/>
      <c r="AC6" s="120"/>
      <c r="AD6" s="120"/>
      <c r="AE6" s="120"/>
    </row>
    <row r="7" spans="1:31" ht="30" customHeight="1" x14ac:dyDescent="0.3">
      <c r="A7" s="120"/>
      <c r="B7" s="182" t="s">
        <v>1579</v>
      </c>
      <c r="C7" s="178">
        <f>COUNTIFS('FOI 2025-26'!$K$2:$K$1787, "Resources", 'FOI 2025-26'!$BB$2:$BB$1787, "Quarter 1", 'FOI 2025-26'!$N$2:$N$1787, "&gt;5", 'FOI 2025-26'!$N$2:$N$1787, "&lt;=10", 'FOI 2025-26'!$R$2:$R$1787, "Complete")</f>
        <v>11</v>
      </c>
      <c r="D7" s="128">
        <f>COUNTIFS('FOI 2025-26'!$K$2:$K$1787, "Growth Enterprise &amp; Environment", 'FOI 2025-26'!$BB$2:$BB$1787, "Quarter 1", 'FOI 2025-26'!$N$2:$N$1787, "&gt;5", 'FOI 2025-26'!$N$2:$N$1787, "&lt;=10", 'FOI 2025-26'!$R$2:$R$1787, "Complete")</f>
        <v>11</v>
      </c>
      <c r="E7" s="128">
        <f>COUNTIFS('FOI 2025-26'!$K$2:$K$1787, "Adults &amp; Communities", 'FOI 2025-26'!$BB$2:$BB$1787, "Quarter 1", 'FOI 2025-26'!$N$2:$N$1787, "&gt;5", 'FOI 2025-26'!$N$2:$N$1787, "&lt;=10", 'FOI 2025-26'!$R$2:$R$1787, "Complete")</f>
        <v>10</v>
      </c>
      <c r="F7" s="168">
        <f>COUNTIFS('FOI 2025-26'!$K$2:$K$1787, "Children &amp; Families", 'FOI 2025-26'!$BB$2:$BB$1787, "Quarter 1", 'FOI 2025-26'!$N$2:$N$1787, "&gt;5", 'FOI 2025-26'!$N$2:$N$1787, "&lt;=10", 'FOI 2025-26'!$R$2:$R$1787, "Complete")</f>
        <v>14</v>
      </c>
      <c r="G7" s="175">
        <f t="shared" si="0"/>
        <v>46</v>
      </c>
      <c r="H7" s="125"/>
      <c r="I7" s="182" t="s">
        <v>1580</v>
      </c>
      <c r="J7" s="178">
        <f>COUNTIFS('EIR 2025-26'!$L$2:$L$997, "Resources",'EIR 2025-26'!$AV$2:$AV$997, "Quarter 1", 'EIR 2025-26'!$O$2:$O$997, "&gt;5", 'EIR 2025-26'!$O$2:$O$997, "&lt;=10", 'EIR 2025-26'!$R$2:$R$997, "Complete")</f>
        <v>3</v>
      </c>
      <c r="K7" s="128">
        <f>COUNTIFS('EIR 2025-26'!$L$2:$L$997, "Growth, Enterprise and Environment",'EIR 2025-26'!$AV$2:$AV$997, "Quarter 1", 'EIR 2025-26'!$O$2:$O$997, "&gt;5", 'EIR 2025-26'!$O$2:$O$997, "&lt;=10", 'EIR 2025-26'!$R$2:$R$997, "Complete")</f>
        <v>10</v>
      </c>
      <c r="L7" s="128"/>
      <c r="M7" s="129"/>
      <c r="N7" s="129">
        <f t="shared" si="1"/>
        <v>13</v>
      </c>
      <c r="O7" s="120"/>
      <c r="P7" s="120"/>
      <c r="Q7" s="120"/>
      <c r="R7" s="120"/>
      <c r="S7" s="120"/>
      <c r="T7" s="120"/>
      <c r="U7" s="120"/>
      <c r="V7" s="120"/>
      <c r="W7" s="120"/>
      <c r="X7" s="120"/>
      <c r="Y7" s="120"/>
      <c r="Z7" s="120"/>
      <c r="AA7" s="120"/>
      <c r="AB7" s="120"/>
      <c r="AC7" s="120"/>
      <c r="AD7" s="120"/>
      <c r="AE7" s="120"/>
    </row>
    <row r="8" spans="1:31" ht="30" customHeight="1" x14ac:dyDescent="0.3">
      <c r="A8" s="120"/>
      <c r="B8" s="181" t="s">
        <v>1581</v>
      </c>
      <c r="C8" s="177">
        <f>COUNTIFS('FOI 2025-26'!$K$2:$K$1787, "Resources", 'FOI 2025-26'!$BB$2:$BB$1787, "Quarter 1", 'FOI 2025-26'!$N$2:$N$1787, "&gt;10", 'FOI 2025-26'!$N$2:$N$1787, "&lt;=20", 'FOI 2025-26'!$R$2:$R$1787, "Complete")</f>
        <v>17</v>
      </c>
      <c r="D8" s="126">
        <f>COUNTIFS('FOI 2025-26'!$K$2:$K$1787, "Growth Enterprise &amp; Environment", 'FOI 2025-26'!$BB$2:$BB$1787, "Quarter 1", 'FOI 2025-26'!$N$2:$N$1787, "&gt;10", 'FOI 2025-26'!$N$2:$N$1787, "&lt;=20", 'FOI 2025-26'!$R$2:$R$1787, "Complete")</f>
        <v>6</v>
      </c>
      <c r="E8" s="126">
        <f>COUNTIFS('FOI 2025-26'!$K$2:$K$1787, "Adults &amp; Communities", 'FOI 2025-26'!$BB$2:$BB$1787, "Quarter 1", 'FOI 2025-26'!$N$2:$N$1787, "&gt;10", 'FOI 2025-26'!$N$2:$N$1787, "&lt;=20", 'FOI 2025-26'!$R$2:$R$1787, "Complete")</f>
        <v>13</v>
      </c>
      <c r="F8" s="167">
        <f>COUNTIFS('FOI 2025-26'!$K$2:$K$1787, "Children &amp; Families", 'FOI 2025-26'!$BB$2:$BB$1787, "Quarter 1", 'FOI 2025-26'!$N$2:$N$1787, "&gt;10", 'FOI 2025-26'!$N$2:$N$1787, "&lt;=20", 'FOI 2025-26'!$R$2:$R$1787, "Complete")</f>
        <v>14</v>
      </c>
      <c r="G8" s="174">
        <f t="shared" si="0"/>
        <v>50</v>
      </c>
      <c r="H8" s="120"/>
      <c r="I8" s="181" t="s">
        <v>1582</v>
      </c>
      <c r="J8" s="177">
        <f>COUNTIFS('EIR 2025-26'!$L$2:$L$997, "Resources",'EIR 2025-26'!$AV$2:$AV$997, "Quarter 1", 'EIR 2025-26'!$O$2:$O$997, "&gt;10", 'EIR 2025-26'!$O$2:$O$997, "&lt;=20", 'EIR 2025-26'!$R$2:$R$997, "Complete")</f>
        <v>11</v>
      </c>
      <c r="K8" s="126">
        <f>COUNTIFS('EIR 2025-26'!$L$2:$L$997, "Growth, Enterprise and Environment",'EIR 2025-26'!$AV$2:$AV$997, "Quarter 1", 'EIR 2025-26'!$O$2:$O$997, "&gt;10", 'EIR 2025-26'!$O$2:$O$997, "&lt;=20", 'EIR 2025-26'!$R$2:$R$997, "Complete")</f>
        <v>21</v>
      </c>
      <c r="L8" s="126"/>
      <c r="M8" s="127"/>
      <c r="N8" s="127">
        <f t="shared" si="1"/>
        <v>32</v>
      </c>
      <c r="O8" s="120"/>
      <c r="P8" s="120"/>
      <c r="Q8" s="120"/>
      <c r="R8" s="120"/>
      <c r="S8" s="120"/>
      <c r="T8" s="120"/>
      <c r="U8" s="120"/>
      <c r="V8" s="120"/>
      <c r="W8" s="120"/>
      <c r="X8" s="120"/>
      <c r="Y8" s="120"/>
      <c r="Z8" s="120"/>
      <c r="AA8" s="120"/>
      <c r="AB8" s="120"/>
      <c r="AC8" s="120"/>
      <c r="AD8" s="120"/>
      <c r="AE8" s="120"/>
    </row>
    <row r="9" spans="1:31" ht="30" customHeight="1" x14ac:dyDescent="0.3">
      <c r="A9" s="120"/>
      <c r="B9" s="182" t="s">
        <v>1583</v>
      </c>
      <c r="C9" s="178">
        <f>COUNTIFS('FOI 2025-26'!$K$2:$K$1787, "Resources", 'FOI 2025-26'!$BB$2:$BB$1787, "Quarter 1", 'FOI 2025-26'!$N$2:$N$1787, "&gt;20", 'FOI 2025-26'!$R$2:$R$1787, "Complete")</f>
        <v>2</v>
      </c>
      <c r="D9" s="128">
        <f>COUNTIFS('FOI 2025-26'!$K$2:$K$1787, "Growth Enterprise &amp; Environment", 'FOI 2025-26'!$BB$2:$BB$1787, "Quarter 1", 'FOI 2025-26'!$N$2:$N$1787, "&gt;20", 'FOI 2025-26'!$R$2:$R$1787, "Complete")</f>
        <v>0</v>
      </c>
      <c r="E9" s="128">
        <f>COUNTIFS('FOI 2025-26'!$K$2:$K$1787, "Adults &amp; Communities", 'FOI 2025-26'!$BB$2:$BB$1787, "Quarter 1", 'FOI 2025-26'!$N$2:$N$1787, "&gt;20", 'FOI 2025-26'!$R$2:$R$1787, "Complete")</f>
        <v>5</v>
      </c>
      <c r="F9" s="168">
        <f>COUNTIFS('FOI 2025-26'!$K$2:$K$1787, "Children &amp; Families", 'FOI 2025-26'!$BB$2:$BB$1787, "Quarter 1", 'FOI 2025-26'!$N$2:$N$1787, "&gt;20", 'FOI 2025-26'!$R$2:$R$1787, "Complete")</f>
        <v>0</v>
      </c>
      <c r="G9" s="175">
        <f t="shared" si="0"/>
        <v>7</v>
      </c>
      <c r="H9" s="120"/>
      <c r="I9" s="182" t="s">
        <v>1584</v>
      </c>
      <c r="J9" s="178">
        <f>COUNTIFS('EIR 2025-26'!$L$2:$L$997, "Resources",'EIR 2025-26'!$AV$2:$AV$997, "Quarter 1", 'EIR 2025-26'!$O$2:$O$997, "&gt;20", 'EIR 2025-26'!$R$2:$R$997, "Complete")</f>
        <v>0</v>
      </c>
      <c r="K9" s="128">
        <f>COUNTIFS('EIR 2025-26'!$L$2:$L$997, "Growth, Enterprise and Environment",'EIR 2025-26'!$AV$2:$AV$997, "Quarter 1", 'EIR 2025-26'!$O$2:$O$997, "&gt;20", 'EIR 2025-26'!$R$2:$R$997, "Complete")</f>
        <v>6</v>
      </c>
      <c r="L9" s="128"/>
      <c r="M9" s="129"/>
      <c r="N9" s="129">
        <f t="shared" si="1"/>
        <v>6</v>
      </c>
      <c r="O9" s="120"/>
      <c r="P9" s="120"/>
      <c r="Q9" s="120"/>
      <c r="R9" s="120"/>
      <c r="S9" s="120"/>
      <c r="T9" s="120"/>
      <c r="U9" s="120"/>
      <c r="V9" s="120"/>
      <c r="W9" s="120"/>
      <c r="X9" s="120"/>
      <c r="Y9" s="120"/>
      <c r="Z9" s="120"/>
      <c r="AA9" s="120"/>
      <c r="AB9" s="120"/>
      <c r="AC9" s="120"/>
      <c r="AD9" s="120"/>
      <c r="AE9" s="120"/>
    </row>
    <row r="10" spans="1:31" ht="30" customHeight="1" x14ac:dyDescent="0.3">
      <c r="A10" s="120"/>
      <c r="B10" s="181" t="s">
        <v>1585</v>
      </c>
      <c r="C10" s="177">
        <f>SUM(C6:C9)</f>
        <v>89</v>
      </c>
      <c r="D10" s="126">
        <f>SUM(D6:D9)</f>
        <v>58</v>
      </c>
      <c r="E10" s="126">
        <f>SUM(E6:E9)</f>
        <v>36</v>
      </c>
      <c r="F10" s="167">
        <f>SUM(F6:F9)</f>
        <v>37</v>
      </c>
      <c r="G10" s="174">
        <f t="shared" si="0"/>
        <v>220</v>
      </c>
      <c r="H10" s="120"/>
      <c r="I10" s="181" t="s">
        <v>1586</v>
      </c>
      <c r="J10" s="177">
        <f>SUM(J6:J9)</f>
        <v>18</v>
      </c>
      <c r="K10" s="126">
        <f>SUM(K6:K9)</f>
        <v>87</v>
      </c>
      <c r="L10" s="126"/>
      <c r="M10" s="127"/>
      <c r="N10" s="127">
        <f t="shared" si="1"/>
        <v>105</v>
      </c>
      <c r="O10" s="120"/>
      <c r="P10" s="120"/>
      <c r="Q10" s="120"/>
      <c r="R10" s="120"/>
      <c r="S10" s="120"/>
      <c r="T10" s="120"/>
      <c r="U10" s="120"/>
      <c r="V10" s="120"/>
      <c r="W10" s="120"/>
      <c r="X10" s="120"/>
      <c r="Y10" s="120"/>
      <c r="Z10" s="120"/>
      <c r="AA10" s="120"/>
      <c r="AB10" s="120"/>
      <c r="AC10" s="120"/>
      <c r="AD10" s="120"/>
      <c r="AE10" s="120"/>
    </row>
    <row r="11" spans="1:31" ht="30" customHeight="1" x14ac:dyDescent="0.3">
      <c r="A11" s="120"/>
      <c r="B11" s="182" t="s">
        <v>1587</v>
      </c>
      <c r="C11" s="178">
        <f>COUNTIFS('FOI 2025-26'!$R$2:$R$1787, "Elapsed", 'FOI 2025-26'!$BB$2:$BB$1787, "Quarter 1", 'FOI 2025-26'!$K$2:$K$1787, "Resources")</f>
        <v>1</v>
      </c>
      <c r="D11" s="128">
        <f>COUNTIFS('FOI 2025-26'!$R$2:$R$1787, "Elapsed", 'FOI 2025-26'!$BB$2:$BB$1787, "Quarter 1", 'FOI 2025-26'!$K$2:$K$1787, "Growth Enterprise &amp; Environment")</f>
        <v>2</v>
      </c>
      <c r="E11" s="128">
        <f>COUNTIFS('FOI 2025-26'!$R$2:$R$1787, "Elapsed", 'FOI 2025-26'!$BB$2:$BB$1787, "Quarter 1", 'FOI 2025-26'!$K$2:$K$1787, "Adults &amp; Communities")</f>
        <v>0</v>
      </c>
      <c r="F11" s="168">
        <f>COUNTIFS('FOI 2025-26'!$R$2:$R$1787, "Elapsed", 'FOI 2025-26'!$BB$2:$BB$1787, "Quarter 1", 'FOI 2025-26'!$K$2:$K$1787, "Children &amp; Families")</f>
        <v>2</v>
      </c>
      <c r="G11" s="175">
        <f t="shared" si="0"/>
        <v>5</v>
      </c>
      <c r="H11" s="120"/>
      <c r="I11" s="182" t="s">
        <v>1588</v>
      </c>
      <c r="J11" s="178">
        <f>COUNTIFS('EIR 2025-26'!$R$2:$R$1997, "Elapsed", 'EIR 2025-26'!$AV$2:$AV$1997, "Quarter 1", 'EIR 2025-26'!$L$2:$L$1997, "Resources")</f>
        <v>0</v>
      </c>
      <c r="K11" s="128">
        <f>COUNTIFS('EIR 2025-26'!$R$2:$R$1997, "Elapsed", 'EIR 2025-26'!$AV$2:$AV$1997, "Quarter 1", 'EIR 2025-26'!$L$2:$L$1997, "Growth, Enterprise and Environment")</f>
        <v>0</v>
      </c>
      <c r="L11" s="128"/>
      <c r="M11" s="129"/>
      <c r="N11" s="129">
        <f t="shared" si="1"/>
        <v>0</v>
      </c>
      <c r="O11" s="120"/>
      <c r="P11" s="120"/>
      <c r="Q11" s="120"/>
      <c r="R11" s="120"/>
      <c r="S11" s="120"/>
      <c r="T11" s="120"/>
      <c r="U11" s="120"/>
      <c r="V11" s="120"/>
      <c r="W11" s="120"/>
      <c r="X11" s="120"/>
      <c r="Y11" s="120"/>
      <c r="Z11" s="120"/>
      <c r="AA11" s="120"/>
      <c r="AB11" s="120"/>
      <c r="AC11" s="120"/>
      <c r="AD11" s="120"/>
      <c r="AE11" s="120"/>
    </row>
    <row r="12" spans="1:31" ht="30" customHeight="1" x14ac:dyDescent="0.3">
      <c r="A12" s="120"/>
      <c r="B12" s="181" t="s">
        <v>1589</v>
      </c>
      <c r="C12" s="177">
        <f>COUNTIFS('FOI 2025-26'!$R$2:$R$1787, "In Progress", 'FOI 2025-26'!$BB$2:$BB$1787, "Quarter 1", 'FOI 2025-26'!$K$2:$K$1787, "Resources")</f>
        <v>0</v>
      </c>
      <c r="D12" s="126">
        <f>COUNTIFS('FOI 2025-26'!$R$2:$R$1787, "In Progress", 'FOI 2025-26'!$BB$2:$BB$1787, "Quarter 1", 'FOI 2025-26'!$K$2:$K$1787, "Growth Enterprise &amp; Environment")</f>
        <v>0</v>
      </c>
      <c r="E12" s="126">
        <f>COUNTIFS('FOI 2025-26'!$R$2:$R$1787, "In Progress", 'FOI 2025-26'!$BB$2:$BB$1787, "Quarter 1", 'FOI 2025-26'!$K$2:$K$1787, "Adults &amp; Communities")</f>
        <v>0</v>
      </c>
      <c r="F12" s="167">
        <f>COUNTIFS('FOI 2025-26'!$R$2:$R$1787, "In Progress", 'FOI 2025-26'!$BB$2:$BB$1787, "Quarter 1", 'FOI 2025-26'!$K$2:$K$1787, "Children &amp; Families")</f>
        <v>0</v>
      </c>
      <c r="G12" s="174">
        <f t="shared" si="0"/>
        <v>0</v>
      </c>
      <c r="H12" s="120"/>
      <c r="I12" s="181" t="s">
        <v>1590</v>
      </c>
      <c r="J12" s="177">
        <f>COUNTIFS('EIR 2025-26'!$R$2:$R$1997, "In Progress", 'EIR 2025-26'!$AV$2:$AV$1997, "Quarter 1", 'EIR 2025-26'!$L$2:$L$1997, "Resources")</f>
        <v>0</v>
      </c>
      <c r="K12" s="126">
        <f>COUNTIFS('EIR 2025-26'!$R$2:$R$1997, "In Progress", 'EIR 2025-26'!$AV$2:$AV$1997, "Quarter 1", 'EIR 2025-26'!$L$2:$L$1997, "Growth, Enterprise and Environment")</f>
        <v>0</v>
      </c>
      <c r="L12" s="126"/>
      <c r="M12" s="127"/>
      <c r="N12" s="127">
        <f t="shared" si="1"/>
        <v>0</v>
      </c>
      <c r="O12" s="120"/>
      <c r="P12" s="120"/>
      <c r="Q12" s="120"/>
      <c r="R12" s="120"/>
      <c r="S12" s="120"/>
      <c r="T12" s="120"/>
      <c r="U12" s="120"/>
      <c r="V12" s="120"/>
      <c r="W12" s="120"/>
      <c r="X12" s="120"/>
      <c r="Y12" s="120"/>
      <c r="Z12" s="120"/>
      <c r="AA12" s="120"/>
      <c r="AB12" s="120"/>
      <c r="AC12" s="120"/>
      <c r="AD12" s="120"/>
      <c r="AE12" s="120"/>
    </row>
    <row r="13" spans="1:31" ht="30" customHeight="1" x14ac:dyDescent="0.3">
      <c r="A13" s="120"/>
      <c r="B13" s="182" t="s">
        <v>1439</v>
      </c>
      <c r="C13" s="178">
        <f>SUM(C10:C12)</f>
        <v>90</v>
      </c>
      <c r="D13" s="128">
        <f>SUM(D10:D12)</f>
        <v>60</v>
      </c>
      <c r="E13" s="128">
        <f>SUM(E10:E12)</f>
        <v>36</v>
      </c>
      <c r="F13" s="168">
        <f>SUM(F10:F12)</f>
        <v>39</v>
      </c>
      <c r="G13" s="176">
        <f t="shared" si="0"/>
        <v>225</v>
      </c>
      <c r="H13" s="120"/>
      <c r="I13" s="182" t="s">
        <v>1591</v>
      </c>
      <c r="J13" s="178">
        <f>SUM(J10:J12)</f>
        <v>18</v>
      </c>
      <c r="K13" s="128">
        <f>SUM(K10:K12)</f>
        <v>87</v>
      </c>
      <c r="L13" s="128">
        <f>SUM(L10:L12)</f>
        <v>0</v>
      </c>
      <c r="M13" s="129">
        <f>SUM(M10:M12)</f>
        <v>0</v>
      </c>
      <c r="N13" s="129">
        <f t="shared" si="1"/>
        <v>105</v>
      </c>
      <c r="O13" s="120"/>
      <c r="P13" s="120"/>
      <c r="Q13" s="120"/>
      <c r="R13" s="120"/>
      <c r="S13" s="120"/>
      <c r="T13" s="120"/>
      <c r="U13" s="120"/>
      <c r="V13" s="120"/>
      <c r="W13" s="120"/>
      <c r="X13" s="120"/>
      <c r="Y13" s="120"/>
      <c r="Z13" s="120"/>
      <c r="AA13" s="120"/>
      <c r="AB13" s="120"/>
      <c r="AC13" s="120"/>
      <c r="AD13" s="120"/>
      <c r="AE13" s="120"/>
    </row>
    <row r="14" spans="1:31" ht="30" customHeight="1" x14ac:dyDescent="0.3">
      <c r="A14" s="120"/>
      <c r="B14" s="181" t="s">
        <v>1592</v>
      </c>
      <c r="C14" s="179">
        <f>AVERAGEIFS('FOI 2025-26'!$N$2:$N$1787, 'FOI 2025-26'!$K$2:$K$1787, "Resources", 'FOI 2025-26'!$BB$2:$BB$1787, "Quarter 1")</f>
        <v>5.1460674157303368</v>
      </c>
      <c r="D14" s="133">
        <f>AVERAGEIFS('FOI 2025-26'!$N$2:$N$1787, 'FOI 2025-26'!$K$2:$K$1787, "Growth Enterprise &amp; Environment", 'FOI 2025-26'!$BB$2:$BB$1787, "Quarter 1")</f>
        <v>4.3793103448275863</v>
      </c>
      <c r="E14" s="133">
        <f>AVERAGEIFS('FOI 2025-26'!$N$2:$N$1787, 'FOI 2025-26'!$K$2:$K$1787, "Adults &amp; Communities", 'FOI 2025-26'!$BB$2:$BB$1787, "Quarter 1")</f>
        <v>16.222222222222221</v>
      </c>
      <c r="F14" s="169">
        <f>AVERAGEIFS('FOI 2025-26'!$N$2:$N$1787, 'FOI 2025-26'!$K$2:$K$1787, "Children &amp; Families", 'FOI 2025-26'!$BB$2:$BB$1787, "Quarter 1")</f>
        <v>9</v>
      </c>
      <c r="G14" s="172">
        <f>AVERAGEIFS('FOI 2025-26'!$N$2:$N$1787, 'FOI 2025-26'!$BB$2:$BB$1787, "Quarter 1")</f>
        <v>7.4045454545454543</v>
      </c>
      <c r="H14" s="120"/>
      <c r="I14" s="181" t="s">
        <v>1593</v>
      </c>
      <c r="J14" s="179">
        <f>AVERAGEIFS('EIR 2025-26'!$O$2:$O$997, 'EIR 2025-26'!$L$2:$L$997, "Resources", 'EIR 2025-26'!$AV$2:$AV$997, "Quarter 1")</f>
        <v>11.833333333333334</v>
      </c>
      <c r="K14" s="133">
        <f>AVERAGEIFS('EIR 2025-26'!$O$2:$O$997, 'EIR 2025-26'!$L$2:$L$997, "Growth, Enterprise and Environment", 'EIR 2025-26'!$AV$2:$AV$997, "Quarter 1")</f>
        <v>12.35632183908046</v>
      </c>
      <c r="L14" s="126"/>
      <c r="M14" s="127"/>
      <c r="N14" s="198">
        <f>AVERAGEIFS('EIR 2025-26'!$O$2:$O$997, 'EIR 2025-26'!$AV$2:$AV$997, "Quarter 1")</f>
        <v>12.266666666666667</v>
      </c>
      <c r="O14" s="120"/>
      <c r="P14" s="120"/>
      <c r="Q14" s="120"/>
      <c r="R14" s="120"/>
      <c r="S14" s="120"/>
      <c r="T14" s="120"/>
      <c r="U14" s="120"/>
      <c r="V14" s="120"/>
      <c r="W14" s="120"/>
      <c r="X14" s="120"/>
      <c r="Y14" s="120"/>
      <c r="Z14" s="120"/>
      <c r="AA14" s="120"/>
      <c r="AB14" s="120"/>
      <c r="AC14" s="120"/>
      <c r="AD14" s="120"/>
      <c r="AE14" s="120"/>
    </row>
    <row r="15" spans="1:31" ht="30" customHeight="1" thickBot="1" x14ac:dyDescent="0.35">
      <c r="A15" s="120"/>
      <c r="B15" s="183" t="s">
        <v>1594</v>
      </c>
      <c r="C15" s="180">
        <f>SUM(C6+C7+C8)/C10</f>
        <v>0.97752808988764039</v>
      </c>
      <c r="D15" s="132">
        <f>SUM(D6+D7+D8)/D10</f>
        <v>1</v>
      </c>
      <c r="E15" s="132">
        <f>SUM(E6+E7+E8)/E10</f>
        <v>0.86111111111111116</v>
      </c>
      <c r="F15" s="170">
        <f>SUM(F6+F7+F8)/F10</f>
        <v>1</v>
      </c>
      <c r="G15" s="173">
        <f>SUM(G6+G7+G8)/G10</f>
        <v>0.96818181818181814</v>
      </c>
      <c r="H15" s="120"/>
      <c r="I15" s="183" t="s">
        <v>1595</v>
      </c>
      <c r="J15" s="180">
        <f>SUM(J6+J7+J8)/J10</f>
        <v>1</v>
      </c>
      <c r="K15" s="132">
        <f>SUM(K6+K7+K8)/K10</f>
        <v>0.93103448275862066</v>
      </c>
      <c r="L15" s="132"/>
      <c r="M15" s="170"/>
      <c r="N15" s="173">
        <f>SUM(N6+N7+N8)/N10</f>
        <v>0.94285714285714284</v>
      </c>
      <c r="O15" s="120"/>
      <c r="P15" s="120"/>
      <c r="Q15" s="120"/>
      <c r="R15" s="120"/>
      <c r="S15" s="120"/>
      <c r="T15" s="120"/>
      <c r="U15" s="120"/>
      <c r="V15" s="120"/>
      <c r="W15" s="120"/>
      <c r="X15" s="120"/>
      <c r="Y15" s="120"/>
      <c r="Z15" s="120"/>
      <c r="AA15" s="120"/>
      <c r="AB15" s="120"/>
      <c r="AC15" s="120"/>
      <c r="AD15" s="120"/>
      <c r="AE15" s="120"/>
    </row>
    <row r="16" spans="1:31" x14ac:dyDescent="0.3">
      <c r="A16" s="120"/>
      <c r="B16" s="120"/>
      <c r="C16" s="120"/>
      <c r="D16" s="120"/>
      <c r="E16" s="120"/>
      <c r="F16" s="120"/>
      <c r="G16" s="120"/>
      <c r="H16" s="120"/>
      <c r="I16" s="120"/>
      <c r="J16" s="120"/>
      <c r="K16" s="120"/>
      <c r="L16" s="120"/>
      <c r="M16" s="120"/>
      <c r="N16" s="120"/>
      <c r="O16" s="120"/>
      <c r="P16" s="120"/>
      <c r="Q16" s="120"/>
      <c r="R16" s="120"/>
      <c r="S16" s="120"/>
      <c r="T16" s="120"/>
      <c r="U16" s="120"/>
      <c r="V16" s="120"/>
      <c r="W16" s="120"/>
      <c r="X16" s="120"/>
      <c r="Y16" s="120"/>
      <c r="Z16" s="120"/>
      <c r="AA16" s="120"/>
      <c r="AB16" s="120"/>
      <c r="AC16" s="120"/>
      <c r="AD16" s="120"/>
      <c r="AE16" s="120"/>
    </row>
    <row r="17" spans="1:31" ht="18" customHeight="1" thickBot="1" x14ac:dyDescent="0.35">
      <c r="A17" s="120"/>
      <c r="B17" s="252" t="s">
        <v>1492</v>
      </c>
      <c r="C17" s="252"/>
      <c r="D17" s="252"/>
      <c r="E17" s="252"/>
      <c r="F17" s="252"/>
      <c r="G17" s="166"/>
      <c r="H17" s="44"/>
      <c r="I17" s="252" t="s">
        <v>1492</v>
      </c>
      <c r="J17" s="252"/>
      <c r="K17" s="252"/>
      <c r="L17" s="252"/>
      <c r="M17" s="252"/>
      <c r="N17" s="120"/>
      <c r="O17" s="120"/>
      <c r="P17" s="120"/>
      <c r="Q17" s="120"/>
      <c r="R17" s="120"/>
      <c r="S17" s="120"/>
      <c r="T17" s="120"/>
      <c r="U17" s="120"/>
      <c r="V17" s="120"/>
      <c r="W17" s="120"/>
      <c r="X17" s="120"/>
      <c r="Y17" s="120"/>
      <c r="Z17" s="120"/>
      <c r="AA17" s="120"/>
      <c r="AB17" s="120"/>
      <c r="AC17" s="120"/>
      <c r="AD17" s="120"/>
      <c r="AE17" s="120"/>
    </row>
    <row r="18" spans="1:31" s="123" customFormat="1" ht="55.5" customHeight="1" thickBot="1" x14ac:dyDescent="0.35">
      <c r="A18" s="122"/>
      <c r="B18" s="188" t="s">
        <v>1574</v>
      </c>
      <c r="C18" s="189" t="s">
        <v>4</v>
      </c>
      <c r="D18" s="190" t="s">
        <v>43</v>
      </c>
      <c r="E18" s="190" t="s">
        <v>3</v>
      </c>
      <c r="F18" s="194" t="s">
        <v>7</v>
      </c>
      <c r="G18" s="188" t="s">
        <v>1575</v>
      </c>
      <c r="H18" s="124"/>
      <c r="I18" s="188" t="s">
        <v>1576</v>
      </c>
      <c r="J18" s="193" t="s">
        <v>4</v>
      </c>
      <c r="K18" s="190" t="s">
        <v>43</v>
      </c>
      <c r="L18" s="190" t="s">
        <v>3</v>
      </c>
      <c r="M18" s="194" t="s">
        <v>7</v>
      </c>
      <c r="N18" s="194" t="s">
        <v>1575</v>
      </c>
      <c r="O18" s="122"/>
      <c r="P18" s="122"/>
      <c r="Q18" s="122"/>
      <c r="R18" s="122"/>
      <c r="S18" s="122"/>
      <c r="T18" s="122"/>
      <c r="U18" s="122"/>
      <c r="V18" s="122"/>
      <c r="W18" s="122"/>
      <c r="X18" s="122"/>
      <c r="Y18" s="122"/>
      <c r="Z18" s="122"/>
      <c r="AA18" s="122"/>
      <c r="AB18" s="122"/>
      <c r="AC18" s="122"/>
      <c r="AD18" s="122"/>
      <c r="AE18" s="122"/>
    </row>
    <row r="19" spans="1:31" ht="30" customHeight="1" x14ac:dyDescent="0.3">
      <c r="A19" s="120"/>
      <c r="B19" s="184" t="s">
        <v>1577</v>
      </c>
      <c r="C19" s="185">
        <f>COUNTIFS('FOI 2025-26'!$K$2:$K$1787, "Resources", 'FOI 2025-26'!$BB$2:$BB$1787, "Quarter 2", 'FOI 2025-26'!$N$2:$N$1787, "&lt;=5", 'FOI 2025-26'!$R$2:$R$1787, "Complete")</f>
        <v>57</v>
      </c>
      <c r="D19" s="186">
        <f>COUNTIFS('FOI 2025-26'!$K$2:$K$1787, "Growth Enterprise &amp; Environment", 'FOI 2025-26'!$BB$2:$BB$1787, "Quarter 2", 'FOI 2025-26'!$N$2:$N$1787, "&lt;=5", 'FOI 2025-26'!$R$2:$R$1787, "Complete")</f>
        <v>38</v>
      </c>
      <c r="E19" s="186">
        <f>COUNTIFS('FOI 2025-26'!$K$2:$K$1787, "Adults &amp; Communities", 'FOI 2025-26'!$BB$2:$BB$1787, "Quarter 2", 'FOI 2025-26'!$N$2:$N$1787, "&lt;=5", 'FOI 2025-26'!$R$2:$R$1787, "Complete")</f>
        <v>9</v>
      </c>
      <c r="F19" s="192">
        <f>COUNTIFS('FOI 2025-26'!$K$2:$K$1787, "Children &amp; Families", 'FOI 2025-26'!$BB$2:$BB$1787, "Quarter 2", 'FOI 2025-26'!$N$2:$N$1787, "&lt;=5", 'FOI 2025-26'!$R$2:$R$1787, "Complete")</f>
        <v>16</v>
      </c>
      <c r="G19" s="171">
        <f t="shared" ref="G19:G26" si="2">SUM(C19:F19)</f>
        <v>120</v>
      </c>
      <c r="H19" s="125"/>
      <c r="I19" s="184" t="s">
        <v>1578</v>
      </c>
      <c r="J19" s="185">
        <f>COUNTIFS('EIR 2025-26'!$L$2:$L$997, "Resources",'EIR 2025-26'!$AV$2:$AV$997, "Quarter 2", 'EIR 2025-26'!$O$2:$O$997, "&lt;=5", 'EIR 2025-26'!$R$2:$R$997, "Complete")</f>
        <v>7</v>
      </c>
      <c r="K19" s="186">
        <f>COUNTIFS('EIR 2025-26'!$L$2:$L$997, "Growth, Enterprise and Environment",'EIR 2025-26'!$AV$2:$AV$997, "Quarter 2", 'EIR 2025-26'!$O$2:$O$997, "&lt;=5", 'EIR 2025-26'!$R$2:$R$997, "Complete")</f>
        <v>34</v>
      </c>
      <c r="L19" s="186"/>
      <c r="M19" s="192"/>
      <c r="N19" s="192">
        <f t="shared" ref="N19:N26" si="3">SUM(J19:M19)</f>
        <v>41</v>
      </c>
      <c r="O19" s="120"/>
      <c r="P19" s="120"/>
      <c r="Q19" s="120"/>
      <c r="R19" s="120"/>
      <c r="S19" s="120"/>
      <c r="T19" s="120"/>
      <c r="U19" s="120"/>
      <c r="V19" s="120"/>
      <c r="W19" s="120"/>
      <c r="X19" s="120"/>
      <c r="Y19" s="120"/>
      <c r="Z19" s="120"/>
      <c r="AA19" s="120"/>
      <c r="AB19" s="120"/>
      <c r="AC19" s="120"/>
      <c r="AD19" s="120"/>
      <c r="AE19" s="120"/>
    </row>
    <row r="20" spans="1:31" ht="30" customHeight="1" x14ac:dyDescent="0.3">
      <c r="A20" s="120"/>
      <c r="B20" s="182" t="s">
        <v>1579</v>
      </c>
      <c r="C20" s="178">
        <f>COUNTIFS('FOI 2025-26'!$K$2:$K$1787, "Resources", 'FOI 2025-26'!$BB$2:$BB$1787, "Quarter 2", 'FOI 2025-26'!$N$2:$N$1787, "&gt;5", 'FOI 2025-26'!$N$2:$N$1787, "&lt;=10", 'FOI 2025-26'!$R$2:$R$1787, "Complete")</f>
        <v>12</v>
      </c>
      <c r="D20" s="128">
        <f>COUNTIFS('FOI 2025-26'!$K$2:$K$1787, "Growth Enterprise &amp; Environment", 'FOI 2025-26'!$BB$2:$BB$1787, "Quarter 2", 'FOI 2025-26'!$N$2:$N$1787, "&gt;5", 'FOI 2025-26'!$N$2:$N$1787, "&lt;=10", 'FOI 2025-26'!$R$2:$R$1787, "Complete")</f>
        <v>17</v>
      </c>
      <c r="E20" s="128">
        <f>COUNTIFS('FOI 2025-26'!$K$2:$K$1787, "Adults &amp; Communities", 'FOI 2025-26'!$BB$2:$BB$1787, "Quarter 2", 'FOI 2025-26'!$N$2:$N$1787, "&gt;5", 'FOI 2025-26'!$N$2:$N$1787, "&lt;=10", 'FOI 2025-26'!$R$2:$R$1787, "Complete")</f>
        <v>5</v>
      </c>
      <c r="F20" s="129">
        <f>COUNTIFS('FOI 2025-26'!$K$2:$K$1787, "Children &amp; Families", 'FOI 2025-26'!$BB$2:$BB$1787, "Quarter 2", 'FOI 2025-26'!$N$2:$N$1787, "&gt;5", 'FOI 2025-26'!$N$2:$N$1787, "&lt;=10", 'FOI 2025-26'!$R$2:$R$1787, "Complete")</f>
        <v>18</v>
      </c>
      <c r="G20" s="175">
        <f t="shared" si="2"/>
        <v>52</v>
      </c>
      <c r="H20" s="125"/>
      <c r="I20" s="182" t="s">
        <v>1580</v>
      </c>
      <c r="J20" s="178">
        <f>COUNTIFS('EIR 2025-26'!$L$2:$L$997, "Resources",'EIR 2025-26'!$AV$2:$AV$997, "Quarter 2", 'EIR 2025-26'!$O$2:$O$997, "&gt;5", 'EIR 2025-26'!$O$2:$O$997, "&lt;=10", 'EIR 2025-26'!$R$2:$R$997, "Complete")</f>
        <v>1</v>
      </c>
      <c r="K20" s="128">
        <f>COUNTIFS('EIR 2025-26'!$L$2:$L$997, "Growth, Enterprise and Environment",'EIR 2025-26'!$AV$2:$AV$997, "Quarter 2", 'EIR 2025-26'!$O$2:$O$997, "&gt;5", 'EIR 2025-26'!$O$2:$O$997, "&lt;=10", 'EIR 2025-26'!$R$2:$R$997, "Complete")</f>
        <v>16</v>
      </c>
      <c r="L20" s="128"/>
      <c r="M20" s="129"/>
      <c r="N20" s="129">
        <f t="shared" si="3"/>
        <v>17</v>
      </c>
      <c r="O20" s="120"/>
      <c r="P20" s="120"/>
      <c r="Q20" s="120"/>
      <c r="R20" s="120"/>
      <c r="S20" s="120"/>
      <c r="T20" s="120"/>
      <c r="U20" s="120"/>
      <c r="V20" s="120"/>
      <c r="W20" s="120"/>
      <c r="X20" s="120"/>
      <c r="Y20" s="120"/>
      <c r="Z20" s="120"/>
      <c r="AA20" s="120"/>
      <c r="AB20" s="120"/>
      <c r="AC20" s="120"/>
      <c r="AD20" s="120"/>
      <c r="AE20" s="120"/>
    </row>
    <row r="21" spans="1:31" ht="30" customHeight="1" x14ac:dyDescent="0.3">
      <c r="A21" s="120"/>
      <c r="B21" s="181" t="s">
        <v>1581</v>
      </c>
      <c r="C21" s="177">
        <f>COUNTIFS('FOI 2025-26'!$K$2:$K$1787, "Resources", 'FOI 2025-26'!$BB$2:$BB$1787, "Quarter 2", 'FOI 2025-26'!$N$2:$N$1787, "&gt;10", 'FOI 2025-26'!$N$2:$N$1787, "&lt;=20", 'FOI 2025-26'!$R$2:$R$1787, "Complete")</f>
        <v>34</v>
      </c>
      <c r="D21" s="126">
        <f>COUNTIFS('FOI 2025-26'!$K$2:$K$1787, "Growth Enterprise &amp; Environment", 'FOI 2025-26'!$BB$2:$BB$1787, "Quarter 2", 'FOI 2025-26'!$N$2:$N$1787, "&gt;10", 'FOI 2025-26'!$N$2:$N$1787, "&lt;=20", 'FOI 2025-26'!$R$2:$R$1787, "Complete")</f>
        <v>14</v>
      </c>
      <c r="E21" s="126">
        <f>COUNTIFS('FOI 2025-26'!$K$2:$K$1787, "Adults &amp; Communities", 'FOI 2025-26'!$BB$2:$BB$1787, "Quarter 2", 'FOI 2025-26'!$N$2:$N$1787, "&gt;10", 'FOI 2025-26'!$N$2:$N$1787, "&lt;=20", 'FOI 2025-26'!$R$2:$R$1787, "Complete")</f>
        <v>9</v>
      </c>
      <c r="F21" s="127">
        <f>COUNTIFS('FOI 2025-26'!$K$2:$K$1787, "Children &amp; Families", 'FOI 2025-26'!$BB$2:$BB$1787, "Quarter 2", 'FOI 2025-26'!$N$2:$N$1787, "&gt;10", 'FOI 2025-26'!$N$2:$N$1787, "&lt;=20", 'FOI 2025-26'!$R$2:$R$1787, "Complete")</f>
        <v>15</v>
      </c>
      <c r="G21" s="174">
        <f t="shared" si="2"/>
        <v>72</v>
      </c>
      <c r="H21" s="120"/>
      <c r="I21" s="181" t="s">
        <v>1582</v>
      </c>
      <c r="J21" s="177">
        <f>COUNTIFS('EIR 2025-26'!$L$2:$L$997, "Resources",'EIR 2025-26'!$AV$2:$AV$997, "Quarter 2", 'EIR 2025-26'!$O$2:$O$997, "&gt;10", 'EIR 2025-26'!$O$2:$O$997, "&lt;=20", 'EIR 2025-26'!$R$2:$R$997, "Complete")</f>
        <v>5</v>
      </c>
      <c r="K21" s="126">
        <f>COUNTIFS('EIR 2025-26'!$L$2:$L$997, "Growth, Enterprise and Environment",'EIR 2025-26'!$AV$2:$AV$997, "Quarter 2", 'EIR 2025-26'!$O$2:$O$997, "&gt;10", 'EIR 2025-26'!$O$2:$O$997, "&lt;=20", 'EIR 2025-26'!$R$2:$R$997, "Complete")</f>
        <v>20</v>
      </c>
      <c r="L21" s="126"/>
      <c r="M21" s="127"/>
      <c r="N21" s="127">
        <f t="shared" si="3"/>
        <v>25</v>
      </c>
      <c r="O21" s="120"/>
      <c r="P21" s="120"/>
      <c r="Q21" s="120"/>
      <c r="R21" s="120"/>
      <c r="S21" s="120"/>
      <c r="T21" s="120"/>
      <c r="U21" s="120"/>
      <c r="V21" s="120"/>
      <c r="W21" s="120"/>
      <c r="X21" s="120"/>
      <c r="Y21" s="120"/>
      <c r="Z21" s="120"/>
      <c r="AA21" s="120"/>
      <c r="AB21" s="120"/>
      <c r="AC21" s="120"/>
      <c r="AD21" s="120"/>
      <c r="AE21" s="120"/>
    </row>
    <row r="22" spans="1:31" ht="30" customHeight="1" x14ac:dyDescent="0.3">
      <c r="A22" s="120"/>
      <c r="B22" s="182" t="s">
        <v>1583</v>
      </c>
      <c r="C22" s="178">
        <f>COUNTIFS('FOI 2025-26'!$K$2:$K$1787, "Resources", 'FOI 2025-26'!$BB$2:$BB$1787, "Quarter 2", 'FOI 2025-26'!$N$2:$N$1787, "&gt;20", 'FOI 2025-26'!$R$2:$R$1787, "Complete")</f>
        <v>4</v>
      </c>
      <c r="D22" s="128">
        <f>COUNTIFS('FOI 2025-26'!$K$2:$K$1787, "Growth Enterprise &amp; Environment", 'FOI 2025-26'!$BB$2:$BB$1787, "Quarter 2", 'FOI 2025-26'!$N$2:$N$1787, "&gt;20", 'FOI 2025-26'!$R$2:$R$1787, "Complete")</f>
        <v>8</v>
      </c>
      <c r="E22" s="128">
        <f>COUNTIFS('FOI 2025-26'!$K$2:$K$1787, "Adults &amp; Communities", 'FOI 2025-26'!$BB$2:$BB$1787, "Quarter 2", 'FOI 2025-26'!$N$2:$N$1787, "&gt;20", 'FOI 2025-26'!$R$2:$R$1787, "Complete")</f>
        <v>10</v>
      </c>
      <c r="F22" s="129">
        <f>COUNTIFS('FOI 2025-26'!$K$2:$K$1787, "Children &amp; Families", 'FOI 2025-26'!$BB$2:$BB$1787, "Quarter 2", 'FOI 2025-26'!$N$2:$N$1787, "&gt;20", 'FOI 2025-26'!$R$2:$R$1787, "Complete")</f>
        <v>2</v>
      </c>
      <c r="G22" s="175">
        <f t="shared" si="2"/>
        <v>24</v>
      </c>
      <c r="H22" s="120"/>
      <c r="I22" s="182" t="s">
        <v>1584</v>
      </c>
      <c r="J22" s="178">
        <f>COUNTIFS('EIR 2025-26'!$L$2:$L$997, "Resources",'EIR 2025-26'!$AV$2:$AV$997, "Quarter 2", 'EIR 2025-26'!$O$2:$O$997, "&gt;20", 'EIR 2025-26'!$R$2:$R$997, "Complete")</f>
        <v>1</v>
      </c>
      <c r="K22" s="128">
        <f>COUNTIFS('EIR 2025-26'!$L$2:$L$997, "Growth, Enterprise and Environment",'EIR 2025-26'!$AV$2:$AV$997, "Quarter 2", 'EIR 2025-26'!$O$2:$O$997, "&gt;20", 'EIR 2025-26'!$R$2:$R$997, "Complete")</f>
        <v>4</v>
      </c>
      <c r="L22" s="128"/>
      <c r="M22" s="129"/>
      <c r="N22" s="129">
        <f t="shared" si="3"/>
        <v>5</v>
      </c>
      <c r="O22" s="120"/>
      <c r="P22" s="120"/>
      <c r="Q22" s="120"/>
      <c r="R22" s="120"/>
      <c r="S22" s="120"/>
      <c r="T22" s="120"/>
      <c r="U22" s="120"/>
      <c r="V22" s="120"/>
      <c r="W22" s="120"/>
      <c r="X22" s="120"/>
      <c r="Y22" s="120"/>
      <c r="Z22" s="120"/>
      <c r="AA22" s="120"/>
      <c r="AB22" s="120"/>
      <c r="AC22" s="120"/>
      <c r="AD22" s="120"/>
      <c r="AE22" s="120"/>
    </row>
    <row r="23" spans="1:31" ht="30" customHeight="1" x14ac:dyDescent="0.3">
      <c r="A23" s="120"/>
      <c r="B23" s="181" t="s">
        <v>1585</v>
      </c>
      <c r="C23" s="177">
        <f>SUM(C19:C22)</f>
        <v>107</v>
      </c>
      <c r="D23" s="126">
        <f>SUM(D19:D22)</f>
        <v>77</v>
      </c>
      <c r="E23" s="126">
        <f>SUM(E19:E22)</f>
        <v>33</v>
      </c>
      <c r="F23" s="127">
        <f>SUM(F19:F22)</f>
        <v>51</v>
      </c>
      <c r="G23" s="174">
        <f t="shared" si="2"/>
        <v>268</v>
      </c>
      <c r="H23" s="120"/>
      <c r="I23" s="181" t="s">
        <v>1585</v>
      </c>
      <c r="J23" s="177">
        <f>SUM(J19:J22)</f>
        <v>14</v>
      </c>
      <c r="K23" s="126">
        <f>SUM(K19:K22)</f>
        <v>74</v>
      </c>
      <c r="L23" s="126"/>
      <c r="M23" s="127"/>
      <c r="N23" s="127">
        <f t="shared" si="3"/>
        <v>88</v>
      </c>
      <c r="O23" s="120"/>
      <c r="P23" s="120"/>
      <c r="Q23" s="120"/>
      <c r="R23" s="120"/>
      <c r="S23" s="120"/>
      <c r="T23" s="120"/>
      <c r="U23" s="120"/>
      <c r="V23" s="120"/>
      <c r="W23" s="120"/>
      <c r="X23" s="120"/>
      <c r="Y23" s="120"/>
      <c r="Z23" s="120"/>
      <c r="AA23" s="120"/>
      <c r="AB23" s="120"/>
      <c r="AC23" s="120"/>
      <c r="AD23" s="120"/>
      <c r="AE23" s="120"/>
    </row>
    <row r="24" spans="1:31" ht="30" customHeight="1" x14ac:dyDescent="0.3">
      <c r="A24" s="120"/>
      <c r="B24" s="182" t="s">
        <v>1587</v>
      </c>
      <c r="C24" s="178">
        <f>COUNTIFS('FOI 2025-26'!$R$2:$R$1787, "Elapsed", 'FOI 2025-26'!$BB$2:$BB$1787, "Quarter 2", 'FOI 2025-26'!$K$2:$K$1787, "Resources")</f>
        <v>1</v>
      </c>
      <c r="D24" s="128">
        <f>COUNTIFS('FOI 2025-26'!$R$2:$R$1787, "Elapsed", 'FOI 2025-26'!$BB$2:$BB$1787, "Quarter 2", 'FOI 2025-26'!$K$2:$K$1787, "Growth Enterprise &amp; Environment")</f>
        <v>0</v>
      </c>
      <c r="E24" s="128">
        <f>COUNTIFS('FOI 2025-26'!$R$2:$R$1787, "Elapsed", 'FOI 2025-26'!$BB$2:$BB$1787, "Quarter 2", 'FOI 2025-26'!$K$2:$K$1787, "Adults &amp; Communities")</f>
        <v>0</v>
      </c>
      <c r="F24" s="129">
        <f>COUNTIFS('FOI 2025-26'!$R$2:$R$1787, "Elapsed", 'FOI 2025-26'!$BB$2:$BB$1787, "Quarter 2", 'FOI 2025-26'!$K$2:$K$1787, "Children &amp; Families")</f>
        <v>0</v>
      </c>
      <c r="G24" s="175">
        <f t="shared" si="2"/>
        <v>1</v>
      </c>
      <c r="H24" s="120"/>
      <c r="I24" s="182" t="s">
        <v>1588</v>
      </c>
      <c r="J24" s="178">
        <f>COUNTIFS('EIR 2025-26'!$R$2:$R$1997, "Elapsed", 'EIR 2025-26'!$AV$2:$AV$1997, "Quarter 2", 'EIR 2025-26'!$L$2:$L$1997, "Resources")</f>
        <v>0</v>
      </c>
      <c r="K24" s="128">
        <f>COUNTIFS('EIR 2025-26'!$R$2:$R$1997, "Elapsed", 'EIR 2025-26'!$AV$2:$AV$1997, "Quarter 2", 'EIR 2025-26'!$L$2:$L$1997, "Growth, Enterprise and Environment")</f>
        <v>2</v>
      </c>
      <c r="L24" s="128"/>
      <c r="M24" s="129"/>
      <c r="N24" s="129">
        <f t="shared" si="3"/>
        <v>2</v>
      </c>
      <c r="O24" s="120"/>
      <c r="P24" s="120"/>
      <c r="Q24" s="120"/>
      <c r="R24" s="120"/>
      <c r="S24" s="120"/>
      <c r="T24" s="120"/>
      <c r="U24" s="120"/>
      <c r="V24" s="120"/>
      <c r="W24" s="120"/>
      <c r="X24" s="120"/>
      <c r="Y24" s="120"/>
      <c r="Z24" s="120"/>
      <c r="AA24" s="120"/>
      <c r="AB24" s="120"/>
      <c r="AC24" s="120"/>
      <c r="AD24" s="120"/>
      <c r="AE24" s="120"/>
    </row>
    <row r="25" spans="1:31" ht="30" customHeight="1" x14ac:dyDescent="0.3">
      <c r="A25" s="120"/>
      <c r="B25" s="181" t="s">
        <v>1589</v>
      </c>
      <c r="C25" s="177">
        <f>COUNTIFS('FOI 2025-26'!$R$2:$R$1787, "In Progress", 'FOI 2025-26'!$BB$2:$BB$1787, "Quarter 2", 'FOI 2025-26'!$K$2:$K$1787, "Resources")</f>
        <v>0</v>
      </c>
      <c r="D25" s="126">
        <f>COUNTIFS('FOI 2025-26'!$R$2:$R$1787, "In Progress", 'FOI 2025-26'!$BB$2:$BB$1787, "Quarter 2", 'FOI 2025-26'!$K$2:$K$1787, "Growth Enterprise &amp; Environment")</f>
        <v>0</v>
      </c>
      <c r="E25" s="126">
        <f>COUNTIFS('FOI 2025-26'!$R$2:$R$1787, "In Progress", 'FOI 2025-26'!$BB$2:$BB$1787, "Quarter 2", 'FOI 2025-26'!$K$2:$K$1787, "Adults &amp; Communities")</f>
        <v>0</v>
      </c>
      <c r="F25" s="127">
        <f>COUNTIFS('FOI 2025-26'!$R$2:$R$1787, "In Progress", 'FOI 2025-26'!$BB$2:$BB$1787, "Quarter 2", 'FOI 2025-26'!$K$2:$K$1787, "Children &amp; Families")</f>
        <v>0</v>
      </c>
      <c r="G25" s="174">
        <f t="shared" si="2"/>
        <v>0</v>
      </c>
      <c r="H25" s="120"/>
      <c r="I25" s="181" t="s">
        <v>1590</v>
      </c>
      <c r="J25" s="177">
        <f>COUNTIFS('EIR 2025-26'!$R$2:$R$1997, "In Progress", 'EIR 2025-26'!$AV$2:$AV$1997, "Quarter 2", 'EIR 2025-26'!$L$2:$L$1997, "Resources")</f>
        <v>0</v>
      </c>
      <c r="K25" s="126">
        <f>COUNTIFS('EIR 2025-26'!$R$2:$R$1997, "In Progress", 'EIR 2025-26'!$AV$2:$AV$1997, "Quarter 2", 'EIR 2025-26'!$L$2:$L$1997, "Growth, Enterprise and Environment")</f>
        <v>0</v>
      </c>
      <c r="L25" s="126"/>
      <c r="M25" s="127"/>
      <c r="N25" s="127">
        <f t="shared" si="3"/>
        <v>0</v>
      </c>
      <c r="O25" s="120"/>
      <c r="P25" s="120"/>
      <c r="Q25" s="120"/>
      <c r="R25" s="120"/>
      <c r="S25" s="120"/>
      <c r="T25" s="120"/>
      <c r="U25" s="120"/>
      <c r="V25" s="120"/>
      <c r="W25" s="120"/>
      <c r="X25" s="120"/>
      <c r="Y25" s="120"/>
      <c r="Z25" s="120"/>
      <c r="AA25" s="120"/>
      <c r="AB25" s="120"/>
      <c r="AC25" s="120"/>
      <c r="AD25" s="120"/>
      <c r="AE25" s="120"/>
    </row>
    <row r="26" spans="1:31" ht="30" customHeight="1" x14ac:dyDescent="0.3">
      <c r="A26" s="120"/>
      <c r="B26" s="195" t="s">
        <v>1439</v>
      </c>
      <c r="C26" s="178">
        <f>SUM(C23:C25)</f>
        <v>108</v>
      </c>
      <c r="D26" s="128">
        <f>SUM(D23:D25)</f>
        <v>77</v>
      </c>
      <c r="E26" s="128">
        <f>SUM(E23:E25)</f>
        <v>33</v>
      </c>
      <c r="F26" s="129">
        <f>SUM(F23:F25)</f>
        <v>51</v>
      </c>
      <c r="G26" s="176">
        <f t="shared" si="2"/>
        <v>269</v>
      </c>
      <c r="H26" s="120"/>
      <c r="I26" s="195" t="s">
        <v>1591</v>
      </c>
      <c r="J26" s="178">
        <f>SUM(J23:J25)</f>
        <v>14</v>
      </c>
      <c r="K26" s="128">
        <f>SUM(K23:K25)</f>
        <v>76</v>
      </c>
      <c r="L26" s="128">
        <f>SUM(L23:L25)</f>
        <v>0</v>
      </c>
      <c r="M26" s="129">
        <f>SUM(M23:M25)</f>
        <v>0</v>
      </c>
      <c r="N26" s="129">
        <f t="shared" si="3"/>
        <v>90</v>
      </c>
      <c r="O26" s="120"/>
      <c r="P26" s="120"/>
      <c r="Q26" s="120"/>
      <c r="R26" s="120"/>
      <c r="S26" s="120"/>
      <c r="T26" s="120"/>
      <c r="U26" s="120"/>
      <c r="V26" s="120"/>
      <c r="W26" s="120"/>
      <c r="X26" s="120"/>
      <c r="Y26" s="120"/>
      <c r="Z26" s="120"/>
      <c r="AA26" s="120"/>
      <c r="AB26" s="120"/>
      <c r="AC26" s="120"/>
      <c r="AD26" s="120"/>
      <c r="AE26" s="120"/>
    </row>
    <row r="27" spans="1:31" ht="30" customHeight="1" x14ac:dyDescent="0.3">
      <c r="A27" s="120"/>
      <c r="B27" s="181" t="s">
        <v>1592</v>
      </c>
      <c r="C27" s="179">
        <f>AVERAGEIFS('FOI 2025-26'!$N$2:$N$1787, 'FOI 2025-26'!$K$2:$K$1787, "Resources", 'FOI 2025-26'!$BB$2:$BB$1787, "Quarter 2")</f>
        <v>8.2990654205607477</v>
      </c>
      <c r="D27" s="133">
        <f>AVERAGEIFS('FOI 2025-26'!$N$2:$N$1787, 'FOI 2025-26'!$K$2:$K$1787, "Growth Enterprise &amp; Environment", 'FOI 2025-26'!$BB$2:$BB$1787, "Quarter 2")</f>
        <v>9.454545454545455</v>
      </c>
      <c r="E27" s="133">
        <f>AVERAGEIFS('FOI 2025-26'!$N$2:$N$1787, 'FOI 2025-26'!$K$2:$K$1787, "Adults &amp; Communities", 'FOI 2025-26'!$BB$2:$BB$1787, "Quarter 2")</f>
        <v>27.454545454545453</v>
      </c>
      <c r="F27" s="134">
        <f>AVERAGEIFS('FOI 2025-26'!$N$2:$N$1787, 'FOI 2025-26'!$K$2:$K$1787, "Children &amp; Families", 'FOI 2025-26'!$BB$2:$BB$1787, "Quarter 2")</f>
        <v>8.6274509803921564</v>
      </c>
      <c r="G27" s="172">
        <f>AVERAGEIFS('FOI 2025-26'!$N$2:$N$1787, 'FOI 2025-26'!$BB$2:$BB$1787, "Quarter 2")</f>
        <v>11.052238805970148</v>
      </c>
      <c r="H27" s="120"/>
      <c r="I27" s="181" t="s">
        <v>1593</v>
      </c>
      <c r="J27" s="179">
        <f>AVERAGEIFS('EIR 2025-26'!$O$2:$O$997, 'EIR 2025-26'!$L$2:$L$997, "Resources", 'EIR 2025-26'!$AV$2:$AV$997, "Quarter 2")</f>
        <v>8</v>
      </c>
      <c r="K27" s="133">
        <f>AVERAGEIFS('EIR 2025-26'!$O$2:$O$997, 'EIR 2025-26'!$L$2:$L$997, "Growth, Enterprise and Environment", 'EIR 2025-26'!$AV$2:$AV$997, "Quarter 2")</f>
        <v>8.7162162162162158</v>
      </c>
      <c r="L27" s="126"/>
      <c r="M27" s="127"/>
      <c r="N27" s="198">
        <f>AVERAGEIFS('EIR 2025-26'!$O$2:$O$997, 'EIR 2025-26'!$AV$2:$AV$997, "Quarter 2")</f>
        <v>8.6022727272727266</v>
      </c>
      <c r="O27" s="120"/>
      <c r="P27" s="120"/>
      <c r="Q27" s="120"/>
      <c r="R27" s="120"/>
      <c r="S27" s="120"/>
      <c r="T27" s="120"/>
      <c r="U27" s="120"/>
      <c r="V27" s="120"/>
      <c r="W27" s="120"/>
      <c r="X27" s="120"/>
      <c r="Y27" s="120"/>
      <c r="Z27" s="120"/>
      <c r="AA27" s="120"/>
      <c r="AB27" s="120"/>
      <c r="AC27" s="120"/>
      <c r="AD27" s="120"/>
      <c r="AE27" s="120"/>
    </row>
    <row r="28" spans="1:31" s="123" customFormat="1" ht="30" customHeight="1" thickBot="1" x14ac:dyDescent="0.35">
      <c r="A28" s="122"/>
      <c r="B28" s="196" t="s">
        <v>1594</v>
      </c>
      <c r="C28" s="180">
        <f>SUM(C19+C20+C21)/C23</f>
        <v>0.96261682242990654</v>
      </c>
      <c r="D28" s="132">
        <f>SUM(D19+D20+D21)/D23</f>
        <v>0.89610389610389607</v>
      </c>
      <c r="E28" s="132">
        <f>SUM(E19+E20+E21)/E23</f>
        <v>0.69696969696969702</v>
      </c>
      <c r="F28" s="132">
        <f>SUM(F19+F20+F21)/F23</f>
        <v>0.96078431372549022</v>
      </c>
      <c r="G28" s="173">
        <f>SUM(G19+G20+G21)/G23</f>
        <v>0.91044776119402981</v>
      </c>
      <c r="H28" s="120"/>
      <c r="I28" s="196" t="s">
        <v>1595</v>
      </c>
      <c r="J28" s="180">
        <f>SUM(J19+J20+J21)/J23</f>
        <v>0.9285714285714286</v>
      </c>
      <c r="K28" s="132">
        <f>SUM(K19+K20+K21)/K23</f>
        <v>0.94594594594594594</v>
      </c>
      <c r="L28" s="132"/>
      <c r="M28" s="170"/>
      <c r="N28" s="173">
        <f>SUM(N19+N20+N21)/N23</f>
        <v>0.94318181818181823</v>
      </c>
      <c r="O28" s="122"/>
      <c r="P28" s="122"/>
      <c r="Q28" s="122"/>
      <c r="R28" s="122"/>
      <c r="S28" s="122"/>
      <c r="T28" s="122"/>
      <c r="U28" s="122"/>
      <c r="V28" s="122"/>
      <c r="W28" s="122"/>
      <c r="X28" s="122"/>
      <c r="Y28" s="122"/>
      <c r="Z28" s="122"/>
      <c r="AA28" s="122"/>
      <c r="AB28" s="122"/>
      <c r="AC28" s="122"/>
      <c r="AD28" s="122"/>
      <c r="AE28" s="122"/>
    </row>
    <row r="29" spans="1:31" ht="13.5" customHeight="1" x14ac:dyDescent="0.3">
      <c r="A29" s="120"/>
      <c r="B29" s="135"/>
      <c r="C29" s="130"/>
      <c r="D29" s="130"/>
      <c r="E29" s="130"/>
      <c r="F29" s="130"/>
      <c r="G29" s="130"/>
      <c r="H29" s="125"/>
      <c r="I29" s="135"/>
      <c r="J29" s="130"/>
      <c r="K29" s="130"/>
      <c r="L29" s="130"/>
      <c r="M29" s="130"/>
      <c r="N29" s="120"/>
      <c r="O29" s="120"/>
      <c r="P29" s="120"/>
      <c r="Q29" s="120"/>
      <c r="R29" s="120"/>
      <c r="S29" s="120"/>
      <c r="T29" s="120"/>
      <c r="U29" s="120"/>
      <c r="V29" s="120"/>
      <c r="W29" s="120"/>
      <c r="X29" s="120"/>
      <c r="Y29" s="120"/>
      <c r="Z29" s="120"/>
      <c r="AA29" s="120"/>
      <c r="AB29" s="120"/>
      <c r="AC29" s="120"/>
      <c r="AD29" s="120"/>
      <c r="AE29" s="120"/>
    </row>
    <row r="30" spans="1:31" ht="18" customHeight="1" thickBot="1" x14ac:dyDescent="0.35">
      <c r="A30" s="120"/>
      <c r="B30" s="252" t="s">
        <v>1493</v>
      </c>
      <c r="C30" s="252"/>
      <c r="D30" s="252"/>
      <c r="E30" s="252"/>
      <c r="F30" s="252"/>
      <c r="G30" s="166"/>
      <c r="H30" s="44"/>
      <c r="I30" s="252" t="s">
        <v>1493</v>
      </c>
      <c r="J30" s="252"/>
      <c r="K30" s="252"/>
      <c r="L30" s="252"/>
      <c r="M30" s="252"/>
      <c r="N30" s="120"/>
      <c r="O30" s="120"/>
      <c r="P30" s="120"/>
      <c r="Q30" s="120"/>
      <c r="R30" s="120"/>
      <c r="S30" s="120"/>
      <c r="T30" s="120"/>
      <c r="U30" s="120"/>
      <c r="V30" s="120"/>
      <c r="W30" s="120"/>
      <c r="X30" s="120"/>
      <c r="Y30" s="120"/>
      <c r="Z30" s="120"/>
      <c r="AA30" s="120"/>
      <c r="AB30" s="120"/>
      <c r="AC30" s="120"/>
      <c r="AD30" s="120"/>
      <c r="AE30" s="120"/>
    </row>
    <row r="31" spans="1:31" ht="45.65" customHeight="1" thickBot="1" x14ac:dyDescent="0.35">
      <c r="A31" s="120"/>
      <c r="B31" s="188" t="s">
        <v>1574</v>
      </c>
      <c r="C31" s="189" t="s">
        <v>4</v>
      </c>
      <c r="D31" s="190" t="s">
        <v>43</v>
      </c>
      <c r="E31" s="190" t="s">
        <v>3</v>
      </c>
      <c r="F31" s="194" t="s">
        <v>7</v>
      </c>
      <c r="G31" s="188" t="s">
        <v>1575</v>
      </c>
      <c r="H31" s="124"/>
      <c r="I31" s="188" t="s">
        <v>1576</v>
      </c>
      <c r="J31" s="193" t="s">
        <v>4</v>
      </c>
      <c r="K31" s="190" t="s">
        <v>43</v>
      </c>
      <c r="L31" s="190" t="s">
        <v>3</v>
      </c>
      <c r="M31" s="194" t="s">
        <v>7</v>
      </c>
      <c r="N31" s="194" t="s">
        <v>1575</v>
      </c>
      <c r="O31" s="120"/>
      <c r="P31" s="120"/>
      <c r="Q31" s="120"/>
      <c r="R31" s="120"/>
      <c r="S31" s="120"/>
      <c r="T31" s="120"/>
      <c r="U31" s="120"/>
      <c r="V31" s="120"/>
      <c r="W31" s="120"/>
      <c r="X31" s="120"/>
      <c r="Y31" s="120"/>
      <c r="Z31" s="120"/>
      <c r="AA31" s="120"/>
      <c r="AB31" s="120"/>
      <c r="AC31" s="120"/>
      <c r="AD31" s="120"/>
      <c r="AE31" s="120"/>
    </row>
    <row r="32" spans="1:31" ht="30" customHeight="1" x14ac:dyDescent="0.3">
      <c r="A32" s="120"/>
      <c r="B32" s="184" t="s">
        <v>1577</v>
      </c>
      <c r="C32" s="185">
        <f>COUNTIFS('FOI 2025-26'!$K$2:$K$1787, "Resources", 'FOI 2025-26'!$BB$2:$BB$1787, "Quarter 3", 'FOI 2025-26'!$N$2:$N$1787, "&lt;=5", 'FOI 2025-26'!$R$2:$R$1787, "Complete")</f>
        <v>53</v>
      </c>
      <c r="D32" s="186">
        <f>COUNTIFS('FOI 2025-26'!$K$2:$K$1787, "Growth Enterprise &amp; Environment", 'FOI 2025-26'!$BB$2:$BB$1787, "Quarter 3", 'FOI 2025-26'!$N$2:$N$1787, "&lt;=5", 'FOI 2025-26'!$R$2:$R$1787, "Complete")</f>
        <v>44</v>
      </c>
      <c r="E32" s="186">
        <f>COUNTIFS('FOI 2025-26'!$K$2:$K$1787, "Adults &amp; Communities", 'FOI 2025-26'!$BB$2:$BB$1787, "Quarter 3", 'FOI 2025-26'!$N$2:$N$1787, "&lt;=5", 'FOI 2025-26'!$R$2:$R$1787, "Complete")</f>
        <v>7</v>
      </c>
      <c r="F32" s="192">
        <f>COUNTIFS('FOI 2025-26'!$K$2:$K$1787, "Children &amp; Families", 'FOI 2025-26'!$BB$2:$BB$1787, "Quarter 3", 'FOI 2025-26'!$N$2:$N$1787, "&lt;=5", 'FOI 2025-26'!$R$2:$R$1787, "Complete")</f>
        <v>15</v>
      </c>
      <c r="G32" s="171">
        <f t="shared" ref="G32:G38" si="4">SUM(C32:F32)</f>
        <v>119</v>
      </c>
      <c r="H32" s="125"/>
      <c r="I32" s="184" t="s">
        <v>1578</v>
      </c>
      <c r="J32" s="185">
        <f>COUNTIFS('EIR 2025-26'!$L$2:$L$997, "Resources",'EIR 2025-26'!$AV$2:$AV$997, "Quarter 3", 'EIR 2025-26'!$O$2:$O$997, "&lt;=5", 'EIR 2025-26'!$R$2:$R$997, "Complete")</f>
        <v>3</v>
      </c>
      <c r="K32" s="186">
        <f>COUNTIFS('EIR 2025-26'!$L$2:$L$997, "Growth, Enterprise and Environment",'EIR 2025-26'!$AV$2:$AV$997, "Quarter 3", 'EIR 2025-26'!$O$2:$O$997, "&lt;=5", 'EIR 2025-26'!$R$2:$R$997, "Complete")</f>
        <v>11</v>
      </c>
      <c r="L32" s="186"/>
      <c r="M32" s="192"/>
      <c r="N32" s="192">
        <f t="shared" ref="N32:N39" si="5">SUM(J32:M32)</f>
        <v>14</v>
      </c>
      <c r="O32" s="120"/>
      <c r="P32" s="120"/>
      <c r="Q32" s="120"/>
      <c r="R32" s="120"/>
      <c r="S32" s="120"/>
      <c r="T32" s="120"/>
      <c r="U32" s="120"/>
      <c r="V32" s="120"/>
      <c r="W32" s="120"/>
      <c r="X32" s="120"/>
      <c r="Y32" s="120"/>
      <c r="Z32" s="120"/>
      <c r="AA32" s="120"/>
      <c r="AB32" s="120"/>
      <c r="AC32" s="120"/>
      <c r="AD32" s="120"/>
      <c r="AE32" s="120"/>
    </row>
    <row r="33" spans="1:31" ht="27" x14ac:dyDescent="0.3">
      <c r="A33" s="120"/>
      <c r="B33" s="182" t="s">
        <v>1579</v>
      </c>
      <c r="C33" s="178">
        <f>COUNTIFS('FOI 2025-26'!$K$2:$K$1787, "Resources", 'FOI 2025-26'!$BB$2:$BB$1787, "Quarter 3", 'FOI 2025-26'!$N$2:$N$1787, "&gt;5", 'FOI 2025-26'!$N$2:$N$1787, "&lt;=10", 'FOI 2025-26'!$R$2:$R$1787, "Complete")</f>
        <v>12</v>
      </c>
      <c r="D33" s="128">
        <f>COUNTIFS('FOI 2025-26'!$K$2:$K$1787, "Growth Enterprise &amp; Environment", 'FOI 2025-26'!$BB$2:$BB$1787, "Quarter 3", 'FOI 2025-26'!$N$2:$N$1787, "&gt;5", 'FOI 2025-26'!$N$2:$N$1787, "&lt;=10", 'FOI 2025-26'!$R$2:$R$1787, "Complete")</f>
        <v>22</v>
      </c>
      <c r="E33" s="128">
        <f>COUNTIFS('FOI 2025-26'!$K$2:$K$1787, "Adults &amp; Communities", 'FOI 2025-26'!$BB$2:$BB$1787, "Quarter 3", 'FOI 2025-26'!$N$2:$N$1787, "&gt;5", 'FOI 2025-26'!$N$2:$N$1787, "&lt;=10", 'FOI 2025-26'!$R$2:$R$1787, "Complete")</f>
        <v>8</v>
      </c>
      <c r="F33" s="129">
        <f>COUNTIFS('FOI 2025-26'!$K$2:$K$1787, "Children &amp; Families", 'FOI 2025-26'!$BB$2:$BB$1787, "Quarter 3", 'FOI 2025-26'!$N$2:$N$1787, "&gt;5", 'FOI 2025-26'!$N$2:$N$1787, "&lt;=10", 'FOI 2025-26'!$R$2:$R$1787, "Complete")</f>
        <v>19</v>
      </c>
      <c r="G33" s="175">
        <f t="shared" si="4"/>
        <v>61</v>
      </c>
      <c r="H33" s="125"/>
      <c r="I33" s="182" t="s">
        <v>1580</v>
      </c>
      <c r="J33" s="178">
        <f>COUNTIFS('EIR 2025-26'!$L$2:$L$997, "Resources",'EIR 2025-26'!$AV$2:$AV$997, "Quarter 3", 'EIR 2025-26'!$O$2:$O$997, "&gt;5", 'EIR 2025-26'!$O$2:$O$997, "&lt;=10", 'EIR 2025-26'!$R$2:$R$997, "Complete")</f>
        <v>1</v>
      </c>
      <c r="K33" s="128">
        <f>COUNTIFS('EIR 2025-26'!$L$2:$L$997, "Growth, Enterprise and Environment",'EIR 2025-26'!$AV$2:$AV$997, "Quarter 3", 'EIR 2025-26'!$O$2:$O$997, "&gt;5", 'EIR 2025-26'!$O$2:$O$997, "&lt;=10", 'EIR 2025-26'!$R$2:$R$997, "Complete")</f>
        <v>14</v>
      </c>
      <c r="L33" s="128"/>
      <c r="M33" s="129"/>
      <c r="N33" s="129">
        <f t="shared" si="5"/>
        <v>15</v>
      </c>
      <c r="O33" s="120"/>
      <c r="P33" s="120"/>
      <c r="Q33" s="120"/>
      <c r="R33" s="120"/>
      <c r="S33" s="120"/>
      <c r="T33" s="120"/>
      <c r="U33" s="120"/>
      <c r="V33" s="120"/>
      <c r="W33" s="120"/>
      <c r="X33" s="120"/>
      <c r="Y33" s="120"/>
      <c r="Z33" s="120"/>
      <c r="AA33" s="120"/>
      <c r="AB33" s="120"/>
      <c r="AC33" s="120"/>
      <c r="AD33" s="120"/>
      <c r="AE33" s="120"/>
    </row>
    <row r="34" spans="1:31" ht="27" x14ac:dyDescent="0.3">
      <c r="A34" s="120"/>
      <c r="B34" s="181" t="s">
        <v>1581</v>
      </c>
      <c r="C34" s="177">
        <f>COUNTIFS('FOI 2025-26'!$K$2:$K$1787, "Resources", 'FOI 2025-26'!$BB$2:$BB$1787, "Quarter 3", 'FOI 2025-26'!$N$2:$N$1787, "&gt;10", 'FOI 2025-26'!$N$2:$N$1787, "&lt;=20", 'FOI 2025-26'!$R$2:$R$1787, "Complete")</f>
        <v>24</v>
      </c>
      <c r="D34" s="126">
        <f>COUNTIFS('FOI 2025-26'!$K$2:$K$1787, "Growth Enterprise &amp; Environment", 'FOI 2025-26'!$BB$2:$BB$1787, "Quarter 3", 'FOI 2025-26'!$N$2:$N$1787, "&gt;10", 'FOI 2025-26'!$N$2:$N$1787, "&lt;=20", 'FOI 2025-26'!$R$2:$R$1787, "Complete")</f>
        <v>18</v>
      </c>
      <c r="E34" s="126">
        <f>COUNTIFS('FOI 2025-26'!$K$2:$K$1787, "Adults &amp; Communities", 'FOI 2025-26'!$BB$2:$BB$1787, "Quarter 3", 'FOI 2025-26'!$N$2:$N$1787, "&gt;10", 'FOI 2025-26'!$N$2:$N$1787, "&lt;=20", 'FOI 2025-26'!$R$2:$R$1787, "Complete")</f>
        <v>11</v>
      </c>
      <c r="F34" s="127">
        <f>COUNTIFS('FOI 2025-26'!$K$2:$K$1787, "Children &amp; Families", 'FOI 2025-26'!$BB$2:$BB$1787, "Quarter 3", 'FOI 2025-26'!$N$2:$N$1787, "&gt;10", 'FOI 2025-26'!$N$2:$N$1787, "&lt;=20", 'FOI 2025-26'!$R$2:$R$1787, "Complete")</f>
        <v>22</v>
      </c>
      <c r="G34" s="174">
        <f t="shared" si="4"/>
        <v>75</v>
      </c>
      <c r="H34" s="120"/>
      <c r="I34" s="181" t="s">
        <v>1582</v>
      </c>
      <c r="J34" s="177">
        <f>COUNTIFS('EIR 2025-26'!$L$2:$L$997, "Resources",'EIR 2025-26'!$AV$2:$AV$997, "Quarter 3", 'EIR 2025-26'!$O$2:$O$997, "&gt;10", 'EIR 2025-26'!$O$2:$O$997, "&lt;=20", 'EIR 2025-26'!$R$2:$R$997, "Complete")</f>
        <v>3</v>
      </c>
      <c r="K34" s="126">
        <f>COUNTIFS('EIR 2025-26'!$L$2:$L$997, "Growth, Enterprise and Environment",'EIR 2025-26'!$AV$2:$AV$997, "Quarter 3", 'EIR 2025-26'!$O$2:$O$997, "&gt;10", 'EIR 2025-26'!$O$2:$O$997, "&lt;=20", 'EIR 2025-26'!$R$2:$R$997, "Complete")</f>
        <v>19</v>
      </c>
      <c r="L34" s="126"/>
      <c r="M34" s="127"/>
      <c r="N34" s="127">
        <f t="shared" si="5"/>
        <v>22</v>
      </c>
      <c r="O34" s="120"/>
      <c r="P34" s="120"/>
      <c r="Q34" s="120"/>
      <c r="R34" s="120"/>
      <c r="S34" s="120"/>
      <c r="T34" s="120"/>
      <c r="U34" s="120"/>
      <c r="V34" s="120"/>
      <c r="W34" s="120"/>
      <c r="X34" s="120"/>
      <c r="Y34" s="120"/>
      <c r="Z34" s="120"/>
      <c r="AA34" s="120"/>
      <c r="AB34" s="120"/>
      <c r="AC34" s="120"/>
      <c r="AD34" s="120"/>
      <c r="AE34" s="120"/>
    </row>
    <row r="35" spans="1:31" s="123" customFormat="1" ht="30" customHeight="1" x14ac:dyDescent="0.3">
      <c r="A35" s="122"/>
      <c r="B35" s="182" t="s">
        <v>1583</v>
      </c>
      <c r="C35" s="178">
        <f>COUNTIFS('FOI 2025-26'!$K$2:$K$1787, "Resources", 'FOI 2025-26'!$BB$2:$BB$1787, "Quarter 3", 'FOI 2025-26'!$N$2:$N$1787, "&gt;20", 'FOI 2025-26'!$R$2:$R$1787, "Complete")</f>
        <v>3</v>
      </c>
      <c r="D35" s="128">
        <f>COUNTIFS('FOI 2025-26'!$K$2:$K$1787, "Growth Enterprise &amp; Environment", 'FOI 2025-26'!$BB$2:$BB$1787, "Quarter 3", 'FOI 2025-26'!$N$2:$N$1787, "&gt;20", 'FOI 2025-26'!$R$2:$R$1787, "Complete")</f>
        <v>3</v>
      </c>
      <c r="E35" s="128">
        <f>COUNTIFS('FOI 2025-26'!$K$2:$K$1787, "Adults &amp; Communities", 'FOI 2025-26'!$BB$2:$BB$1787, "Quarter 3", 'FOI 2025-26'!$N$2:$N$1787, "&gt;20", 'FOI 2025-26'!$R$2:$R$1787, "Complete")</f>
        <v>6</v>
      </c>
      <c r="F35" s="129">
        <f>COUNTIFS('FOI 2025-26'!$K$2:$K$1787, "Children &amp; Families", 'FOI 2025-26'!$BB$2:$BB$1787, "Quarter 3", 'FOI 2025-26'!$N$2:$N$1787, "&gt;20", 'FOI 2025-26'!$R$2:$R$1787, "Complete")</f>
        <v>4</v>
      </c>
      <c r="G35" s="175">
        <f t="shared" si="4"/>
        <v>16</v>
      </c>
      <c r="H35" s="120"/>
      <c r="I35" s="182" t="s">
        <v>1584</v>
      </c>
      <c r="J35" s="178">
        <f>COUNTIFS('EIR 2025-26'!$L$2:$L$997, "Resources",'EIR 2025-26'!$AV$2:$AV$997, "Quarter 3", 'EIR 2025-26'!$O$2:$O$997, "&gt;20", 'EIR 2025-26'!$R$2:$R$997, "Complete")</f>
        <v>0</v>
      </c>
      <c r="K35" s="128">
        <f>COUNTIFS('EIR 2025-26'!$L$2:$L$997, "Growth, Enterprise and Environment",'EIR 2025-26'!$AV$2:$AV$997, "Quarter 3", 'EIR 2025-26'!$O$2:$O$997, "&gt;20", 'EIR 2025-26'!$R$2:$R$997, "Complete")</f>
        <v>8</v>
      </c>
      <c r="L35" s="128"/>
      <c r="M35" s="129"/>
      <c r="N35" s="129">
        <f t="shared" si="5"/>
        <v>8</v>
      </c>
      <c r="O35" s="122"/>
      <c r="P35" s="122"/>
      <c r="Q35" s="122"/>
      <c r="R35" s="122"/>
      <c r="S35" s="122"/>
      <c r="T35" s="122"/>
      <c r="U35" s="122"/>
      <c r="V35" s="122"/>
      <c r="W35" s="122"/>
      <c r="X35" s="122"/>
      <c r="Y35" s="122"/>
      <c r="Z35" s="122"/>
      <c r="AA35" s="122"/>
      <c r="AB35" s="122"/>
      <c r="AC35" s="122"/>
      <c r="AD35" s="122"/>
      <c r="AE35" s="122"/>
    </row>
    <row r="36" spans="1:31" s="123" customFormat="1" ht="30" customHeight="1" x14ac:dyDescent="0.3">
      <c r="A36" s="122"/>
      <c r="B36" s="181" t="s">
        <v>1585</v>
      </c>
      <c r="C36" s="177">
        <f>SUM(C32:C35)</f>
        <v>92</v>
      </c>
      <c r="D36" s="126">
        <f>SUM(D32:D35)</f>
        <v>87</v>
      </c>
      <c r="E36" s="126">
        <f>SUM(E32:E35)</f>
        <v>32</v>
      </c>
      <c r="F36" s="127">
        <f>SUM(F32:F35)</f>
        <v>60</v>
      </c>
      <c r="G36" s="174">
        <f t="shared" si="4"/>
        <v>271</v>
      </c>
      <c r="H36" s="120"/>
      <c r="I36" s="181" t="s">
        <v>1585</v>
      </c>
      <c r="J36" s="177">
        <f>SUM(J32:J35)</f>
        <v>7</v>
      </c>
      <c r="K36" s="126">
        <f>SUM(K32:K35)</f>
        <v>52</v>
      </c>
      <c r="L36" s="126"/>
      <c r="M36" s="127"/>
      <c r="N36" s="127">
        <f t="shared" si="5"/>
        <v>59</v>
      </c>
      <c r="O36" s="122"/>
      <c r="P36" s="122"/>
      <c r="Q36" s="122"/>
      <c r="R36" s="122"/>
      <c r="S36" s="122"/>
      <c r="T36" s="122"/>
      <c r="U36" s="122"/>
      <c r="V36" s="122"/>
      <c r="W36" s="122"/>
      <c r="X36" s="122"/>
      <c r="Y36" s="122"/>
      <c r="Z36" s="122"/>
      <c r="AA36" s="122"/>
      <c r="AB36" s="122"/>
      <c r="AC36" s="122"/>
      <c r="AD36" s="122"/>
      <c r="AE36" s="122"/>
    </row>
    <row r="37" spans="1:31" s="123" customFormat="1" ht="30" customHeight="1" x14ac:dyDescent="0.3">
      <c r="A37" s="122"/>
      <c r="B37" s="182" t="s">
        <v>1587</v>
      </c>
      <c r="C37" s="178">
        <f>COUNTIFS('FOI 2025-26'!$R$2:$R$1787, "Elapsed", 'FOI 2025-26'!$BB$2:$BB$1787, "Quarter 3", 'FOI 2025-26'!$K$2:$K$1787, "Resources")</f>
        <v>2</v>
      </c>
      <c r="D37" s="128">
        <f>COUNTIFS('FOI 2025-26'!$R$2:$R$1787, "Elapsed", 'FOI 2025-26'!$BB$2:$BB$1787, "Quarter 3", 'FOI 2025-26'!$K$2:$K$1787, "Growth Enterprise &amp; Environment")</f>
        <v>0</v>
      </c>
      <c r="E37" s="128">
        <f>COUNTIFS('FOI 2025-26'!$R$2:$R$1787, "Elapsed", 'FOI 2025-26'!$BB$2:$BB$1787, "Quarter 3", 'FOI 2025-26'!$K$2:$K$1787, "Adults &amp; Communities")</f>
        <v>1</v>
      </c>
      <c r="F37" s="129">
        <f>COUNTIFS('FOI 2025-26'!$R$2:$R$1787, "Elapsed", 'FOI 2025-26'!$BB$2:$BB$1787, "Quarter 3", 'FOI 2025-26'!$K$2:$K$1787, "Children &amp; Families")</f>
        <v>1</v>
      </c>
      <c r="G37" s="175">
        <f t="shared" si="4"/>
        <v>4</v>
      </c>
      <c r="H37" s="120"/>
      <c r="I37" s="182" t="s">
        <v>1588</v>
      </c>
      <c r="J37" s="178">
        <f>COUNTIFS('EIR 2025-26'!$R$2:$R$1997, "Elapsed", 'EIR 2025-26'!$AV$2:$AV$1997, "Quarter 3", 'EIR 2025-26'!$L$2:$L$1997, "Resources")</f>
        <v>0</v>
      </c>
      <c r="K37" s="128">
        <f>COUNTIFS('EIR 2025-26'!$R$2:$R$1997, "Elapsed", 'EIR 2025-26'!$AV$2:$AV$1997, "Quarter 3", 'EIR 2025-26'!$L$2:$L$1997, "Growth, Enterprise and Environment")</f>
        <v>0</v>
      </c>
      <c r="L37" s="128"/>
      <c r="M37" s="129"/>
      <c r="N37" s="129">
        <f t="shared" si="5"/>
        <v>0</v>
      </c>
      <c r="O37" s="122"/>
      <c r="P37" s="122"/>
      <c r="Q37" s="122"/>
      <c r="R37" s="122"/>
      <c r="S37" s="122"/>
      <c r="T37" s="122"/>
      <c r="U37" s="122"/>
      <c r="V37" s="122"/>
      <c r="W37" s="122"/>
      <c r="X37" s="122"/>
      <c r="Y37" s="122"/>
      <c r="Z37" s="122"/>
      <c r="AA37" s="122"/>
      <c r="AB37" s="122"/>
      <c r="AC37" s="122"/>
      <c r="AD37" s="122"/>
      <c r="AE37" s="122"/>
    </row>
    <row r="38" spans="1:31" s="123" customFormat="1" ht="30" customHeight="1" x14ac:dyDescent="0.3">
      <c r="A38" s="122"/>
      <c r="B38" s="181" t="s">
        <v>1589</v>
      </c>
      <c r="C38" s="177">
        <f>COUNTIFS('FOI 2025-26'!$R$2:$R$1787, "In Progress", 'FOI 2025-26'!$BB$2:$BB$1787, "Quarter 3", 'FOI 2025-26'!$K$2:$K$1787, "Resources")</f>
        <v>0</v>
      </c>
      <c r="D38" s="126">
        <f>COUNTIFS('FOI 2025-26'!$R$2:$R$1787, "In Progress", 'FOI 2025-26'!$BB$2:$BB$1787, "Quarter 3", 'FOI 2025-26'!$K$2:$K$1787, "Growth Enterprise &amp; Environment")</f>
        <v>4</v>
      </c>
      <c r="E38" s="126">
        <f>COUNTIFS('FOI 2025-26'!$R$2:$R$1787, "In Progress", 'FOI 2025-26'!$BB$2:$BB$1787, "Quarter 3", 'FOI 2025-26'!$K$2:$K$1787, "Adults &amp; Communities")</f>
        <v>0</v>
      </c>
      <c r="F38" s="127">
        <f>COUNTIFS('FOI 2025-26'!$R$2:$R$1787, "In Progress", 'FOI 2025-26'!$BB$2:$BB$1787, "Quarter 3", 'FOI 2025-26'!$K$2:$K$1787, "Children &amp; Families")</f>
        <v>0</v>
      </c>
      <c r="G38" s="174">
        <f t="shared" si="4"/>
        <v>4</v>
      </c>
      <c r="H38" s="120"/>
      <c r="I38" s="181" t="s">
        <v>1590</v>
      </c>
      <c r="J38" s="177">
        <f>COUNTIFS('EIR 2025-26'!$R$2:$R$1997, "In Progress", 'EIR 2025-26'!$AV$2:$AV$1997, "Quarter 3", 'EIR 2025-26'!$L$2:$L$1997, "Resources")</f>
        <v>0</v>
      </c>
      <c r="K38" s="126">
        <f>COUNTIFS('EIR 2025-26'!$R$2:$R$1997, "In Progress", 'EIR 2025-26'!$AV$2:$AV$1997, "Quarter 3", 'EIR 2025-26'!$L$2:$L$1997, "Growth, Enterprise and Environment")</f>
        <v>0</v>
      </c>
      <c r="L38" s="126"/>
      <c r="M38" s="127"/>
      <c r="N38" s="127">
        <f t="shared" si="5"/>
        <v>0</v>
      </c>
      <c r="O38" s="122"/>
      <c r="P38" s="122"/>
      <c r="Q38" s="122"/>
      <c r="R38" s="122"/>
      <c r="S38" s="122"/>
      <c r="T38" s="122"/>
      <c r="U38" s="122"/>
      <c r="V38" s="122"/>
      <c r="W38" s="122"/>
      <c r="X38" s="122"/>
      <c r="Y38" s="122"/>
      <c r="Z38" s="122"/>
      <c r="AA38" s="122"/>
      <c r="AB38" s="122"/>
      <c r="AC38" s="122"/>
      <c r="AD38" s="122"/>
      <c r="AE38" s="122"/>
    </row>
    <row r="39" spans="1:31" ht="30" customHeight="1" x14ac:dyDescent="0.3">
      <c r="A39" s="120"/>
      <c r="B39" s="182" t="s">
        <v>1439</v>
      </c>
      <c r="C39" s="178">
        <f>SUM(C36:C38)</f>
        <v>94</v>
      </c>
      <c r="D39" s="128">
        <f>SUM(D36:D38)</f>
        <v>91</v>
      </c>
      <c r="E39" s="128">
        <f>SUM(E36:E38)</f>
        <v>33</v>
      </c>
      <c r="F39" s="129">
        <f>SUM(F36:F38)</f>
        <v>61</v>
      </c>
      <c r="G39" s="176">
        <f>SUM(C39:F39)</f>
        <v>279</v>
      </c>
      <c r="H39" s="120"/>
      <c r="I39" s="182" t="s">
        <v>1591</v>
      </c>
      <c r="J39" s="178">
        <f>SUM(J36:J38)</f>
        <v>7</v>
      </c>
      <c r="K39" s="128">
        <f>SUM(K36:K38)</f>
        <v>52</v>
      </c>
      <c r="L39" s="128">
        <f>SUM(L36:L38)</f>
        <v>0</v>
      </c>
      <c r="M39" s="129">
        <f>SUM(M36:M38)</f>
        <v>0</v>
      </c>
      <c r="N39" s="129">
        <f t="shared" si="5"/>
        <v>59</v>
      </c>
      <c r="O39" s="120"/>
      <c r="P39" s="120"/>
      <c r="Q39" s="120"/>
      <c r="R39" s="120"/>
      <c r="S39" s="120"/>
      <c r="T39" s="120"/>
      <c r="U39" s="120"/>
      <c r="V39" s="120"/>
      <c r="W39" s="120"/>
      <c r="X39" s="120"/>
      <c r="Y39" s="120"/>
      <c r="Z39" s="120"/>
      <c r="AA39" s="120"/>
      <c r="AB39" s="120"/>
      <c r="AC39" s="120"/>
      <c r="AD39" s="120"/>
      <c r="AE39" s="120"/>
    </row>
    <row r="40" spans="1:31" ht="30" customHeight="1" x14ac:dyDescent="0.3">
      <c r="A40" s="120"/>
      <c r="B40" s="181" t="s">
        <v>1592</v>
      </c>
      <c r="C40" s="179">
        <f>AVERAGEIFS('FOI 2025-26'!$N$2:$N$1787, 'FOI 2025-26'!$K$2:$K$1787, "Resources", 'FOI 2025-26'!$BB$2:$BB$1787, "Quarter 3")</f>
        <v>6.7282608695652177</v>
      </c>
      <c r="D40" s="133">
        <f>AVERAGEIFS('FOI 2025-26'!$N$2:$N$1787, 'FOI 2025-26'!$K$2:$K$1787, "Growth Enterprise &amp; Environment", 'FOI 2025-26'!$BB$2:$BB$1787, "Quarter 3")</f>
        <v>8.2068965517241388</v>
      </c>
      <c r="E40" s="133">
        <f>AVERAGEIFS('FOI 2025-26'!$N$2:$N$1787, 'FOI 2025-26'!$K$2:$K$1787, "Adults &amp; Communities", 'FOI 2025-26'!$BB$2:$BB$1787, "Quarter 3")</f>
        <v>15.84375</v>
      </c>
      <c r="F40" s="134">
        <f>AVERAGEIFS('FOI 2025-26'!$N$2:$N$1787, 'FOI 2025-26'!$K$2:$K$1787, "Children &amp; Families", 'FOI 2025-26'!$BB$2:$BB$1787, "Quarter 3")</f>
        <v>10.633333333333333</v>
      </c>
      <c r="G40" s="172">
        <f>AVERAGEIFS('FOI 2025-26'!$N$2:$N$1787, 'FOI 2025-26'!$BB$2:$BB$1787, "Quarter 3")</f>
        <v>9.1439114391143903</v>
      </c>
      <c r="H40" s="120"/>
      <c r="I40" s="181" t="s">
        <v>1593</v>
      </c>
      <c r="J40" s="179">
        <f>AVERAGEIFS('EIR 2025-26'!$O$2:$O$997, 'EIR 2025-26'!$L$2:$L$997, "Resources", 'EIR 2025-26'!$AV$2:$AV$997, "Quarter 3")</f>
        <v>9.5714285714285712</v>
      </c>
      <c r="K40" s="133">
        <f>AVERAGEIFS('EIR 2025-26'!$O$2:$O$997, 'EIR 2025-26'!$L$2:$L$997, "Growth, Enterprise and Environment", 'EIR 2025-26'!$AV$2:$AV$997, "Quarter 3")</f>
        <v>13.942307692307692</v>
      </c>
      <c r="L40" s="126"/>
      <c r="M40" s="127"/>
      <c r="N40" s="198">
        <f>AVERAGEIFS('EIR 2025-26'!$O$2:$O$997, 'EIR 2025-26'!$AV$2:$AV$997, "Quarter 3")</f>
        <v>13.423728813559322</v>
      </c>
      <c r="O40" s="120"/>
      <c r="P40" s="120"/>
      <c r="Q40" s="120"/>
      <c r="R40" s="120"/>
      <c r="S40" s="120"/>
      <c r="T40" s="120"/>
      <c r="U40" s="120"/>
      <c r="V40" s="120"/>
      <c r="W40" s="120"/>
      <c r="X40" s="120"/>
      <c r="Y40" s="120"/>
      <c r="Z40" s="120"/>
      <c r="AA40" s="120"/>
      <c r="AB40" s="120"/>
      <c r="AC40" s="120"/>
      <c r="AD40" s="120"/>
      <c r="AE40" s="120"/>
    </row>
    <row r="41" spans="1:31" ht="30" customHeight="1" thickBot="1" x14ac:dyDescent="0.35">
      <c r="A41" s="120"/>
      <c r="B41" s="183" t="s">
        <v>1594</v>
      </c>
      <c r="C41" s="180">
        <f>SUM(C32+C33+C34)/C36</f>
        <v>0.96739130434782605</v>
      </c>
      <c r="D41" s="132">
        <f>SUM(D32+D33+D34)/D36</f>
        <v>0.96551724137931039</v>
      </c>
      <c r="E41" s="132">
        <f>SUM(E32+E33+E34)/E36</f>
        <v>0.8125</v>
      </c>
      <c r="F41" s="132">
        <f>SUM(F32+F33+F34)/F36</f>
        <v>0.93333333333333335</v>
      </c>
      <c r="G41" s="173">
        <f>SUM(G32+G33+G34)/G36</f>
        <v>0.94095940959409596</v>
      </c>
      <c r="H41" s="120"/>
      <c r="I41" s="183" t="s">
        <v>1595</v>
      </c>
      <c r="J41" s="180">
        <f>SUM(J32+J33+J34)/J36</f>
        <v>1</v>
      </c>
      <c r="K41" s="132">
        <f>SUM(K32+K33+K34)/K36</f>
        <v>0.84615384615384615</v>
      </c>
      <c r="L41" s="132"/>
      <c r="M41" s="170"/>
      <c r="N41" s="173">
        <f>SUM(N32+N33+N34)/N36</f>
        <v>0.86440677966101698</v>
      </c>
      <c r="O41" s="120"/>
      <c r="P41" s="120"/>
      <c r="Q41" s="120"/>
      <c r="R41" s="120"/>
      <c r="S41" s="120"/>
      <c r="T41" s="120"/>
      <c r="U41" s="120"/>
      <c r="V41" s="120"/>
      <c r="W41" s="120"/>
      <c r="X41" s="120"/>
      <c r="Y41" s="120"/>
      <c r="Z41" s="120"/>
      <c r="AA41" s="120"/>
      <c r="AB41" s="120"/>
      <c r="AC41" s="120"/>
      <c r="AD41" s="120"/>
      <c r="AE41" s="120"/>
    </row>
    <row r="42" spans="1:31" x14ac:dyDescent="0.3">
      <c r="A42" s="120"/>
      <c r="B42" s="120"/>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B42" s="120"/>
      <c r="AC42" s="120"/>
      <c r="AD42" s="120"/>
      <c r="AE42" s="120"/>
    </row>
    <row r="43" spans="1:31" ht="18" customHeight="1" thickBot="1" x14ac:dyDescent="0.35">
      <c r="A43" s="120"/>
      <c r="B43" s="252" t="s">
        <v>1494</v>
      </c>
      <c r="C43" s="252"/>
      <c r="D43" s="252"/>
      <c r="E43" s="252"/>
      <c r="F43" s="252"/>
      <c r="G43" s="166"/>
      <c r="H43" s="44"/>
      <c r="I43" s="252" t="s">
        <v>1494</v>
      </c>
      <c r="J43" s="252"/>
      <c r="K43" s="252"/>
      <c r="L43" s="252"/>
      <c r="M43" s="252"/>
      <c r="N43" s="120"/>
      <c r="O43" s="120"/>
      <c r="P43" s="120"/>
      <c r="Q43" s="120"/>
      <c r="R43" s="120"/>
      <c r="S43" s="120"/>
      <c r="T43" s="120"/>
      <c r="U43" s="120"/>
      <c r="V43" s="120"/>
      <c r="W43" s="120"/>
      <c r="X43" s="120"/>
      <c r="Y43" s="120"/>
      <c r="Z43" s="120"/>
      <c r="AA43" s="120"/>
      <c r="AB43" s="120"/>
      <c r="AC43" s="120"/>
      <c r="AD43" s="120"/>
      <c r="AE43" s="120"/>
    </row>
    <row r="44" spans="1:31" ht="45.65" customHeight="1" thickBot="1" x14ac:dyDescent="0.35">
      <c r="A44" s="120"/>
      <c r="B44" s="188" t="s">
        <v>1574</v>
      </c>
      <c r="C44" s="189" t="s">
        <v>4</v>
      </c>
      <c r="D44" s="190" t="s">
        <v>43</v>
      </c>
      <c r="E44" s="190" t="s">
        <v>3</v>
      </c>
      <c r="F44" s="194" t="s">
        <v>7</v>
      </c>
      <c r="G44" s="188" t="s">
        <v>1575</v>
      </c>
      <c r="H44" s="124"/>
      <c r="I44" s="188" t="s">
        <v>1576</v>
      </c>
      <c r="J44" s="193" t="s">
        <v>4</v>
      </c>
      <c r="K44" s="190" t="s">
        <v>43</v>
      </c>
      <c r="L44" s="190" t="s">
        <v>3</v>
      </c>
      <c r="M44" s="194" t="s">
        <v>7</v>
      </c>
      <c r="N44" s="194" t="s">
        <v>1575</v>
      </c>
      <c r="O44" s="120"/>
      <c r="P44" s="120"/>
      <c r="Q44" s="120"/>
      <c r="R44" s="120"/>
      <c r="S44" s="120"/>
      <c r="T44" s="120"/>
      <c r="U44" s="120"/>
      <c r="V44" s="120"/>
      <c r="W44" s="120"/>
      <c r="X44" s="120"/>
      <c r="Y44" s="120"/>
      <c r="Z44" s="120"/>
      <c r="AA44" s="120"/>
      <c r="AB44" s="120"/>
      <c r="AC44" s="120"/>
      <c r="AD44" s="120"/>
      <c r="AE44" s="120"/>
    </row>
    <row r="45" spans="1:31" ht="30" customHeight="1" x14ac:dyDescent="0.3">
      <c r="A45" s="120"/>
      <c r="B45" s="184" t="s">
        <v>1577</v>
      </c>
      <c r="C45" s="185">
        <f>COUNTIFS('FOI 2025-26'!$K$2:$K$1787, "Resources", 'FOI 2025-26'!$BB$2:$BB$1787, "Quarter 4", 'FOI 2025-26'!$N$2:$N$1787, "&lt;=5", 'FOI 2025-26'!$R$2:$R$1787, "Complete")</f>
        <v>63</v>
      </c>
      <c r="D45" s="186">
        <f>COUNTIFS('FOI 2025-26'!$K$2:$K$1787, "Growth Enterprise &amp; Environment", 'FOI 2025-26'!$BB$2:$BB$1787, "Quarter 4", 'FOI 2025-26'!$N$2:$N$1787, "&lt;=5", 'FOI 2025-26'!$R$2:$R$1787, "Complete")</f>
        <v>47</v>
      </c>
      <c r="E45" s="186">
        <f>COUNTIFS('FOI 2025-26'!$K$2:$K$1787, "Adults &amp; Communities", 'FOI 2025-26'!$BB$2:$BB$1787, "Quarter 4", 'FOI 2025-26'!$N$2:$N$1787, "&lt;=5", 'FOI 2025-26'!$R$2:$R$1787, "Complete")</f>
        <v>16</v>
      </c>
      <c r="F45" s="192">
        <f>COUNTIFS('FOI 2025-26'!$K$2:$K$1787, "Children &amp; Families", 'FOI 2025-26'!$BB$2:$BB$1787, "Quarter 4", 'FOI 2025-26'!$N$2:$N$1787, "&lt;=5", 'FOI 2025-26'!$R$2:$R$1787, "Complete")</f>
        <v>12</v>
      </c>
      <c r="G45" s="171">
        <f t="shared" ref="G45:G52" si="6">SUM(C45:F45)</f>
        <v>138</v>
      </c>
      <c r="H45" s="125"/>
      <c r="I45" s="184" t="s">
        <v>1578</v>
      </c>
      <c r="J45" s="185">
        <f>COUNTIFS('EIR 2025-26'!$L$2:$L$997, "Resources",'EIR 2025-26'!$AV$2:$AV$997, "Quarter 4", 'EIR 2025-26'!$O$2:$O$997, "&lt;=5", 'EIR 2025-26'!$R$2:$R$997, "Complete")</f>
        <v>1</v>
      </c>
      <c r="K45" s="186">
        <f>COUNTIFS('EIR 2025-26'!$L$2:$L$997, "Growth, Enterprise and Environment",'EIR 2025-26'!$AV$2:$AV$997, "Quarter 4", 'EIR 2025-26'!$O$2:$O$997, "&lt;=5", 'EIR 2025-26'!$R$2:$R$997, "Complete")</f>
        <v>39</v>
      </c>
      <c r="L45" s="186"/>
      <c r="M45" s="192"/>
      <c r="N45" s="192">
        <f t="shared" ref="N45:N52" si="7">SUM(J45:M45)</f>
        <v>40</v>
      </c>
      <c r="O45" s="120"/>
      <c r="P45" s="120"/>
      <c r="Q45" s="120"/>
      <c r="R45" s="120"/>
      <c r="S45" s="120"/>
      <c r="T45" s="120"/>
      <c r="U45" s="120"/>
      <c r="V45" s="120"/>
      <c r="W45" s="120"/>
      <c r="X45" s="120"/>
      <c r="Y45" s="120"/>
      <c r="Z45" s="120"/>
      <c r="AA45" s="120"/>
      <c r="AB45" s="120"/>
      <c r="AC45" s="120"/>
      <c r="AD45" s="120"/>
      <c r="AE45" s="120"/>
    </row>
    <row r="46" spans="1:31" ht="30" customHeight="1" x14ac:dyDescent="0.3">
      <c r="A46" s="120"/>
      <c r="B46" s="182" t="s">
        <v>1579</v>
      </c>
      <c r="C46" s="178">
        <f>COUNTIFS('FOI 2025-26'!$K$2:$K$1787, "Resources", 'FOI 2025-26'!$BB$2:$BB$1787, "Quarter 4", 'FOI 2025-26'!$N$2:$N$1787, "&gt;5", 'FOI 2025-26'!$N$2:$N$1787, "&lt;=10", 'FOI 2025-26'!$R$2:$R$1787, "Complete")</f>
        <v>15</v>
      </c>
      <c r="D46" s="128">
        <f>COUNTIFS('FOI 2025-26'!$K$2:$K$1787, "Growth Enterprise &amp; Environment", 'FOI 2025-26'!$BB$2:$BB$1787, "Quarter 4", 'FOI 2025-26'!$N$2:$N$1787, "&gt;5", 'FOI 2025-26'!$N$2:$N$1787, "&lt;=10", 'FOI 2025-26'!$R$2:$R$1787, "Complete")</f>
        <v>18</v>
      </c>
      <c r="E46" s="128">
        <f>COUNTIFS('FOI 2025-26'!$K$2:$K$1787, "Adults &amp; Communities", 'FOI 2025-26'!$BB$2:$BB$1787, "Quarter 4", 'FOI 2025-26'!$N$2:$N$1787, "&gt;5", 'FOI 2025-26'!$N$2:$N$1787, "&lt;=10", 'FOI 2025-26'!$R$2:$R$1787, "Complete")</f>
        <v>8</v>
      </c>
      <c r="F46" s="129">
        <f>COUNTIFS('FOI 2025-26'!$K$2:$K$1787, "Children &amp; Families", 'FOI 2025-26'!$BB$2:$BB$1787, "Quarter 4", 'FOI 2025-26'!$N$2:$N$1787, "&gt;5", 'FOI 2025-26'!$N$2:$N$1787, "&lt;=10", 'FOI 2025-26'!$R$2:$R$1787, "Complete")</f>
        <v>13</v>
      </c>
      <c r="G46" s="175">
        <f t="shared" si="6"/>
        <v>54</v>
      </c>
      <c r="H46" s="125"/>
      <c r="I46" s="182" t="s">
        <v>1580</v>
      </c>
      <c r="J46" s="178">
        <f>COUNTIFS('EIR 2025-26'!$L$2:$L$997, "Resources",'EIR 2025-26'!$AV$2:$AV$997, "Quarter 4", 'EIR 2025-26'!$O$2:$O$997, "&gt;5", 'EIR 2025-26'!$O$2:$O$997, "&lt;=10", 'EIR 2025-26'!$R$2:$R$997, "Complete")</f>
        <v>0</v>
      </c>
      <c r="K46" s="128">
        <f>COUNTIFS('EIR 2025-26'!$L$2:$L$997, "Growth, Enterprise and Environment",'EIR 2025-26'!$AV$2:$AV$997, "Quarter 4", 'EIR 2025-26'!$O$2:$O$997, "&gt;5", 'EIR 2025-26'!$O$2:$O$997, "&lt;=10", 'EIR 2025-26'!$R$2:$R$997, "Complete")</f>
        <v>18</v>
      </c>
      <c r="L46" s="128"/>
      <c r="M46" s="129"/>
      <c r="N46" s="129">
        <f t="shared" si="7"/>
        <v>18</v>
      </c>
      <c r="O46" s="120"/>
      <c r="P46" s="120"/>
      <c r="Q46" s="120"/>
      <c r="R46" s="120"/>
      <c r="S46" s="120"/>
      <c r="T46" s="120"/>
      <c r="U46" s="120"/>
      <c r="V46" s="120"/>
      <c r="W46" s="120"/>
      <c r="X46" s="120"/>
      <c r="Y46" s="120"/>
      <c r="Z46" s="120"/>
      <c r="AA46" s="120"/>
      <c r="AB46" s="120"/>
      <c r="AC46" s="120"/>
      <c r="AD46" s="120"/>
      <c r="AE46" s="120"/>
    </row>
    <row r="47" spans="1:31" ht="30" customHeight="1" x14ac:dyDescent="0.3">
      <c r="A47" s="120"/>
      <c r="B47" s="181" t="s">
        <v>1581</v>
      </c>
      <c r="C47" s="177">
        <f>COUNTIFS('FOI 2025-26'!$K$2:$K$1787, "Resources", 'FOI 2025-26'!$BB$2:$BB$1787, "Quarter 4", 'FOI 2025-26'!$N$2:$N$1787, "&gt;10", 'FOI 2025-26'!$N$2:$N$1787, "&lt;=20", 'FOI 2025-26'!$R$2:$R$1787, "Complete")</f>
        <v>29</v>
      </c>
      <c r="D47" s="126">
        <f>COUNTIFS('FOI 2025-26'!$K$2:$K$1787, "Growth Enterprise &amp; Environment", 'FOI 2025-26'!$BB$2:$BB$1787, "Quarter 4", 'FOI 2025-26'!$N$2:$N$1787, "&gt;10", 'FOI 2025-26'!$N$2:$N$1787, "&lt;=20", 'FOI 2025-26'!$R$2:$R$1787, "Complete")</f>
        <v>12</v>
      </c>
      <c r="E47" s="126">
        <f>COUNTIFS('FOI 2025-26'!$K$2:$K$1787, "Adults &amp; Communities", 'FOI 2025-26'!$BB$2:$BB$1787, "Quarter 4", 'FOI 2025-26'!$N$2:$N$1787, "&gt;10", 'FOI 2025-26'!$N$2:$N$1787, "&lt;=20", 'FOI 2025-26'!$R$2:$R$1787, "Complete")</f>
        <v>10</v>
      </c>
      <c r="F47" s="127">
        <f>COUNTIFS('FOI 2025-26'!$K$2:$K$1787, "Children &amp; Families", 'FOI 2025-26'!$BB$2:$BB$1787, "Quarter 4", 'FOI 2025-26'!$N$2:$N$1787, "&gt;10", 'FOI 2025-26'!$N$2:$N$1787, "&lt;=20", 'FOI 2025-26'!$R$2:$R$1787, "Complete")</f>
        <v>25</v>
      </c>
      <c r="G47" s="174">
        <f t="shared" si="6"/>
        <v>76</v>
      </c>
      <c r="H47" s="120"/>
      <c r="I47" s="181" t="s">
        <v>1582</v>
      </c>
      <c r="J47" s="177">
        <f>COUNTIFS('EIR 2025-26'!$L$2:$L$997, "Resources",'EIR 2025-26'!$AV$2:$AV$997, "Quarter 4", 'EIR 2025-26'!$O$2:$O$997, "&gt;10", 'EIR 2025-26'!$O$2:$O$997, "&lt;=20", 'EIR 2025-26'!$R$2:$R$997, "Complete")</f>
        <v>3</v>
      </c>
      <c r="K47" s="126">
        <f>COUNTIFS('EIR 2025-26'!$L$2:$L$997, "Growth, Enterprise and Environment",'EIR 2025-26'!$AV$2:$AV$997, "Quarter 4", 'EIR 2025-26'!$O$2:$O$997, "&gt;10", 'EIR 2025-26'!$O$2:$O$997, "&lt;=20", 'EIR 2025-26'!$R$2:$R$997, "Complete")</f>
        <v>17</v>
      </c>
      <c r="L47" s="126"/>
      <c r="M47" s="127"/>
      <c r="N47" s="127">
        <f t="shared" si="7"/>
        <v>20</v>
      </c>
      <c r="O47" s="120"/>
      <c r="P47" s="120"/>
      <c r="Q47" s="120"/>
      <c r="R47" s="120"/>
      <c r="S47" s="120"/>
      <c r="T47" s="120"/>
      <c r="U47" s="120"/>
      <c r="V47" s="120"/>
      <c r="W47" s="120"/>
      <c r="X47" s="120"/>
      <c r="Y47" s="120"/>
      <c r="Z47" s="120"/>
      <c r="AA47" s="120"/>
      <c r="AB47" s="120"/>
      <c r="AC47" s="120"/>
      <c r="AD47" s="120"/>
      <c r="AE47" s="120"/>
    </row>
    <row r="48" spans="1:31" ht="30" customHeight="1" x14ac:dyDescent="0.3">
      <c r="A48" s="120"/>
      <c r="B48" s="182" t="s">
        <v>1583</v>
      </c>
      <c r="C48" s="178">
        <f>COUNTIFS('FOI 2025-26'!$K$2:$K$1787, "Resources", 'FOI 2025-26'!$BB$2:$BB$1787, "Quarter 4", 'FOI 2025-26'!$N$2:$N$1787, "&gt;20", 'FOI 2025-26'!$R$2:$R$1787, "Complete")</f>
        <v>9</v>
      </c>
      <c r="D48" s="128">
        <f>COUNTIFS('FOI 2025-26'!$K$2:$K$1787, "Growth Enterprise &amp; Environment", 'FOI 2025-26'!$BB$2:$BB$1787, "Quarter 4", 'FOI 2025-26'!$N$2:$N$1787, "&gt;20", 'FOI 2025-26'!$R$2:$R$1787, "Complete")</f>
        <v>2</v>
      </c>
      <c r="E48" s="128">
        <f>COUNTIFS('FOI 2025-26'!$K$2:$K$1787, "Adults &amp; Communities", 'FOI 2025-26'!$BB$2:$BB$1787, "Quarter 4", 'FOI 2025-26'!$N$2:$N$1787, "&gt;20", 'FOI 2025-26'!$R$2:$R$1787, "Complete")</f>
        <v>7</v>
      </c>
      <c r="F48" s="129">
        <f>COUNTIFS('FOI 2025-26'!$K$2:$K$1787, "Children &amp; Families", 'FOI 2025-26'!$BB$2:$BB$1787, "Quarter 4", 'FOI 2025-26'!$N$2:$N$1787, "&gt;20", 'FOI 2025-26'!$R$2:$R$1787, "Complete")</f>
        <v>0</v>
      </c>
      <c r="G48" s="175">
        <f t="shared" si="6"/>
        <v>18</v>
      </c>
      <c r="H48" s="120"/>
      <c r="I48" s="182" t="s">
        <v>1584</v>
      </c>
      <c r="J48" s="178">
        <f>COUNTIFS('EIR 2025-26'!$L$2:$L$997, "Resources",'EIR 2025-26'!$AV$2:$AV$997, "Quarter 4", 'EIR 2025-26'!$O$2:$O$997, "&gt;20", 'EIR 2025-26'!$R$2:$R$997, "Complete")</f>
        <v>2</v>
      </c>
      <c r="K48" s="128">
        <f>COUNTIFS('EIR 2025-26'!$L$2:$L$997, "Growth, Enterprise and Environment",'EIR 2025-26'!$AV$2:$AV$997, "Quarter 4", 'EIR 2025-26'!$O$2:$O$997, "&gt;20", 'EIR 2025-26'!$R$2:$R$997, "Complete")</f>
        <v>5</v>
      </c>
      <c r="L48" s="128"/>
      <c r="M48" s="129"/>
      <c r="N48" s="129">
        <f t="shared" si="7"/>
        <v>7</v>
      </c>
      <c r="O48" s="120"/>
      <c r="P48" s="120"/>
      <c r="Q48" s="120"/>
      <c r="R48" s="120"/>
      <c r="S48" s="120"/>
      <c r="T48" s="120"/>
      <c r="U48" s="120"/>
      <c r="V48" s="120"/>
      <c r="W48" s="120"/>
      <c r="X48" s="120"/>
      <c r="Y48" s="120"/>
      <c r="Z48" s="120"/>
      <c r="AA48" s="120"/>
      <c r="AB48" s="120"/>
      <c r="AC48" s="120"/>
      <c r="AD48" s="120"/>
      <c r="AE48" s="120"/>
    </row>
    <row r="49" spans="1:31" ht="30" customHeight="1" x14ac:dyDescent="0.3">
      <c r="A49" s="120"/>
      <c r="B49" s="181" t="s">
        <v>1585</v>
      </c>
      <c r="C49" s="177">
        <f>SUM(C45:C48)</f>
        <v>116</v>
      </c>
      <c r="D49" s="126">
        <f>SUM(D45:D48)</f>
        <v>79</v>
      </c>
      <c r="E49" s="126">
        <f>SUM(E45:E48)</f>
        <v>41</v>
      </c>
      <c r="F49" s="127">
        <f>SUM(F45:F48)</f>
        <v>50</v>
      </c>
      <c r="G49" s="174">
        <f t="shared" si="6"/>
        <v>286</v>
      </c>
      <c r="H49" s="120"/>
      <c r="I49" s="181" t="s">
        <v>1585</v>
      </c>
      <c r="J49" s="177">
        <f>SUM(J45:J48)</f>
        <v>6</v>
      </c>
      <c r="K49" s="126">
        <f>SUM(K45:K48)</f>
        <v>79</v>
      </c>
      <c r="L49" s="126"/>
      <c r="M49" s="127"/>
      <c r="N49" s="127">
        <f t="shared" si="7"/>
        <v>85</v>
      </c>
      <c r="O49" s="120"/>
      <c r="P49" s="120"/>
      <c r="Q49" s="120"/>
      <c r="R49" s="120"/>
      <c r="S49" s="120"/>
      <c r="T49" s="120"/>
      <c r="U49" s="120"/>
      <c r="V49" s="120"/>
      <c r="W49" s="120"/>
      <c r="X49" s="120"/>
      <c r="Y49" s="120"/>
      <c r="Z49" s="120"/>
      <c r="AA49" s="120"/>
      <c r="AB49" s="120"/>
      <c r="AC49" s="120"/>
      <c r="AD49" s="120"/>
      <c r="AE49" s="120"/>
    </row>
    <row r="50" spans="1:31" ht="30" customHeight="1" x14ac:dyDescent="0.3">
      <c r="A50" s="120"/>
      <c r="B50" s="182" t="s">
        <v>1587</v>
      </c>
      <c r="C50" s="178">
        <f>COUNTIFS('FOI 2025-26'!$R$2:$R$1787, "Elapsed", 'FOI 2025-26'!$BB$2:$BB$1787, "Quarter 4", 'FOI 2025-26'!$K$2:$K$1787, "Resources")</f>
        <v>0</v>
      </c>
      <c r="D50" s="128">
        <f>COUNTIFS('FOI 2025-26'!$R$2:$R$1787, "Elapsed", 'FOI 2025-26'!$BB$2:$BB$1787, "Quarter 4", 'FOI 2025-26'!$K$2:$K$1787, "Growth Enterprise &amp; Environment")</f>
        <v>0</v>
      </c>
      <c r="E50" s="128">
        <f>COUNTIFS('FOI 2025-26'!$R$2:$R$1787, "Elapsed", 'FOI 2025-26'!$BB$2:$BB$1787, "Quarter 4", 'FOI 2025-26'!$K$2:$K$1787, "Adults &amp; Communities")</f>
        <v>0</v>
      </c>
      <c r="F50" s="129">
        <f>COUNTIFS('FOI 2025-26'!$R$2:$R$1787, "Elapsed", 'FOI 2025-26'!$BB$2:$BB$1787, "Quarter 4", 'FOI 2025-26'!$K$2:$K$1787, "Children &amp; Families")</f>
        <v>0</v>
      </c>
      <c r="G50" s="175">
        <f t="shared" si="6"/>
        <v>0</v>
      </c>
      <c r="H50" s="120"/>
      <c r="I50" s="182" t="s">
        <v>1588</v>
      </c>
      <c r="J50" s="178">
        <f>COUNTIFS('EIR 2025-26'!$R$2:$R$1997, "Elapsed", 'EIR 2025-26'!$AV$2:$AV$1997, "Quarter 4", 'EIR 2025-26'!$L$2:$L$1997, "Resources")</f>
        <v>0</v>
      </c>
      <c r="K50" s="128">
        <f>COUNTIFS('EIR 2025-26'!$R$2:$R$1997, "Elapsed", 'EIR 2025-26'!$AV$2:$AV$1997, "Quarter 4", 'EIR 2025-26'!$L$2:$L$1997, "Growth, Enterprise and Environment")</f>
        <v>0</v>
      </c>
      <c r="L50" s="128"/>
      <c r="M50" s="129"/>
      <c r="N50" s="129">
        <f t="shared" si="7"/>
        <v>0</v>
      </c>
      <c r="O50" s="120"/>
      <c r="P50" s="120"/>
      <c r="Q50" s="120"/>
      <c r="R50" s="120"/>
      <c r="S50" s="120"/>
      <c r="T50" s="120"/>
      <c r="U50" s="120"/>
      <c r="V50" s="120"/>
      <c r="W50" s="120"/>
      <c r="X50" s="120"/>
      <c r="Y50" s="120"/>
      <c r="Z50" s="120"/>
      <c r="AA50" s="120"/>
      <c r="AB50" s="120"/>
      <c r="AC50" s="120"/>
      <c r="AD50" s="120"/>
      <c r="AE50" s="120"/>
    </row>
    <row r="51" spans="1:31" ht="30" customHeight="1" x14ac:dyDescent="0.3">
      <c r="A51" s="120"/>
      <c r="B51" s="181" t="s">
        <v>1589</v>
      </c>
      <c r="C51" s="177">
        <f>COUNTIFS('FOI 2025-26'!$R$2:$R$1787, "In Progress", 'FOI 2025-26'!$BB$2:$BB$1787, "Quarter 4", 'FOI 2025-26'!$K$2:$K$1787, "Resources")</f>
        <v>2</v>
      </c>
      <c r="D51" s="126">
        <f>COUNTIFS('FOI 2025-26'!$R$2:$R$1787, "In Progress", 'FOI 2025-26'!$BB$2:$BB$1787, "Quarter 4", 'FOI 2025-26'!$K$2:$K$1787, "Growth Enterprise &amp; Environment")</f>
        <v>0</v>
      </c>
      <c r="E51" s="126">
        <f>COUNTIFS('FOI 2025-26'!$R$2:$R$1787, "In Progress", 'FOI 2025-26'!$BB$2:$BB$1787, "Quarter 4", 'FOI 2025-26'!$K$2:$K$1787, "Adults &amp; Communities")</f>
        <v>3</v>
      </c>
      <c r="F51" s="127">
        <f>COUNTIFS('FOI 2025-26'!$R$2:$R$1787, "In Progress", 'FOI 2025-26'!$BB$2:$BB$1787, "Quarter 4", 'FOI 2025-26'!$K$2:$K$1787, "Children &amp; Families")</f>
        <v>0</v>
      </c>
      <c r="G51" s="174">
        <f t="shared" si="6"/>
        <v>5</v>
      </c>
      <c r="H51" s="120"/>
      <c r="I51" s="181" t="s">
        <v>1590</v>
      </c>
      <c r="J51" s="177">
        <f>COUNTIFS('EIR 2025-26'!$R$2:$R$1997, "In Progress", 'EIR 2025-26'!$AV$2:$AV$1997, "Quarter 4", 'EIR 2025-26'!$L$2:$L$1997, "Resources")</f>
        <v>0</v>
      </c>
      <c r="K51" s="126">
        <f>COUNTIFS('EIR 2025-26'!$R$2:$R$1997, "In Progress", 'EIR 2025-26'!$AV$2:$AV$1997, "Quarter 4", 'EIR 2025-26'!$L$2:$L$1997, "Growth, Enterprise and Environment")</f>
        <v>0</v>
      </c>
      <c r="L51" s="126"/>
      <c r="M51" s="127"/>
      <c r="N51" s="127">
        <f t="shared" si="7"/>
        <v>0</v>
      </c>
      <c r="O51" s="120"/>
      <c r="P51" s="120"/>
      <c r="Q51" s="120"/>
      <c r="R51" s="120"/>
      <c r="S51" s="120"/>
      <c r="T51" s="120"/>
      <c r="U51" s="120"/>
      <c r="V51" s="120"/>
      <c r="W51" s="120"/>
      <c r="X51" s="120"/>
      <c r="Y51" s="120"/>
      <c r="Z51" s="120"/>
      <c r="AA51" s="120"/>
      <c r="AB51" s="120"/>
      <c r="AC51" s="120"/>
      <c r="AD51" s="120"/>
      <c r="AE51" s="120"/>
    </row>
    <row r="52" spans="1:31" ht="30" customHeight="1" x14ac:dyDescent="0.3">
      <c r="A52" s="120"/>
      <c r="B52" s="182" t="s">
        <v>1439</v>
      </c>
      <c r="C52" s="178">
        <f>SUM(C49:C51)</f>
        <v>118</v>
      </c>
      <c r="D52" s="128">
        <f>SUM(D49:D51)</f>
        <v>79</v>
      </c>
      <c r="E52" s="128">
        <f>SUM(E49:E51)</f>
        <v>44</v>
      </c>
      <c r="F52" s="129">
        <f>SUM(F49:F51)</f>
        <v>50</v>
      </c>
      <c r="G52" s="176">
        <f t="shared" si="6"/>
        <v>291</v>
      </c>
      <c r="H52" s="120"/>
      <c r="I52" s="182" t="s">
        <v>1591</v>
      </c>
      <c r="J52" s="178">
        <f>SUM(J49:J51)</f>
        <v>6</v>
      </c>
      <c r="K52" s="128">
        <f>SUM(K49:K51)</f>
        <v>79</v>
      </c>
      <c r="L52" s="128">
        <f>SUM(L49:L51)</f>
        <v>0</v>
      </c>
      <c r="M52" s="129">
        <f>SUM(M49:M51)</f>
        <v>0</v>
      </c>
      <c r="N52" s="129">
        <f t="shared" si="7"/>
        <v>85</v>
      </c>
      <c r="O52" s="120"/>
      <c r="P52" s="120"/>
      <c r="Q52" s="120"/>
      <c r="R52" s="120"/>
      <c r="S52" s="120"/>
      <c r="T52" s="120"/>
      <c r="U52" s="120"/>
      <c r="V52" s="120"/>
      <c r="W52" s="120"/>
      <c r="X52" s="120"/>
      <c r="Y52" s="120"/>
      <c r="Z52" s="120"/>
      <c r="AA52" s="120"/>
      <c r="AB52" s="120"/>
      <c r="AC52" s="120"/>
      <c r="AD52" s="120"/>
      <c r="AE52" s="120"/>
    </row>
    <row r="53" spans="1:31" ht="30" customHeight="1" x14ac:dyDescent="0.3">
      <c r="A53" s="120"/>
      <c r="B53" s="181" t="s">
        <v>1592</v>
      </c>
      <c r="C53" s="179">
        <f>AVERAGEIFS('FOI 2025-26'!$N$2:$N$1787, 'FOI 2025-26'!$K$2:$K$1787, "Resources", 'FOI 2025-26'!$BB$2:$BB$1787, "Quarter 4")</f>
        <v>7.4741379310344831</v>
      </c>
      <c r="D53" s="133">
        <f>AVERAGEIFS('FOI 2025-26'!$N$2:$N$1787, 'FOI 2025-26'!$K$2:$K$1787, "Growth Enterprise &amp; Environment", 'FOI 2025-26'!$BB$2:$BB$1787, "Quarter 4")</f>
        <v>6.443037974683544</v>
      </c>
      <c r="E53" s="133">
        <f>AVERAGEIFS('FOI 2025-26'!$N$2:$N$1787, 'FOI 2025-26'!$K$2:$K$1787, "Adults &amp; Communities", 'FOI 2025-26'!$BB$2:$BB$1787, "Quarter 4")</f>
        <v>10.951219512195122</v>
      </c>
      <c r="F53" s="134">
        <f>AVERAGEIFS('FOI 2025-26'!$N$2:$N$1787, 'FOI 2025-26'!$K$2:$K$1787, "Children &amp; Families", 'FOI 2025-26'!$BB$2:$BB$1787, "Quarter 4")</f>
        <v>10.18</v>
      </c>
      <c r="G53" s="172">
        <f>AVERAGEIFS('FOI 2025-26'!$N$2:$N$1787, 'FOI 2025-26'!$BB$2:$BB$1787, "Quarter 4")</f>
        <v>8.1608391608391617</v>
      </c>
      <c r="H53" s="120"/>
      <c r="I53" s="181" t="s">
        <v>1593</v>
      </c>
      <c r="J53" s="179">
        <f>AVERAGEIFS('EIR 2025-26'!$O$2:$O$997, 'EIR 2025-26'!$L$2:$L$997, "Resources", 'EIR 2025-26'!$AV$2:$AV$997, "Quarter 4")</f>
        <v>17.833333333333332</v>
      </c>
      <c r="K53" s="133">
        <f>AVERAGEIFS('EIR 2025-26'!$O$2:$O$997, 'EIR 2025-26'!$L$2:$L$997, "Growth, Enterprise and Environment", 'EIR 2025-26'!$AV$2:$AV$997, "Quarter 4")</f>
        <v>7.7468354430379751</v>
      </c>
      <c r="L53" s="126"/>
      <c r="M53" s="127"/>
      <c r="N53" s="198">
        <f>AVERAGEIFS('EIR 2025-26'!$O$2:$O$997, 'EIR 2025-26'!$AV$2:$AV$997, "Quarter 4")</f>
        <v>8.4588235294117649</v>
      </c>
      <c r="O53" s="120"/>
      <c r="P53" s="120"/>
      <c r="Q53" s="120"/>
      <c r="R53" s="120"/>
      <c r="S53" s="120"/>
      <c r="T53" s="120"/>
      <c r="U53" s="120"/>
      <c r="V53" s="120"/>
      <c r="W53" s="120"/>
      <c r="X53" s="120"/>
      <c r="Y53" s="120"/>
      <c r="Z53" s="120"/>
      <c r="AA53" s="120"/>
      <c r="AB53" s="120"/>
      <c r="AC53" s="120"/>
      <c r="AD53" s="120"/>
      <c r="AE53" s="120"/>
    </row>
    <row r="54" spans="1:31" ht="30" customHeight="1" thickBot="1" x14ac:dyDescent="0.35">
      <c r="A54" s="120"/>
      <c r="B54" s="183" t="s">
        <v>1594</v>
      </c>
      <c r="C54" s="180">
        <f>SUM(C45+C46+C47)/C49</f>
        <v>0.92241379310344829</v>
      </c>
      <c r="D54" s="132">
        <f>SUM(D45+D46+D47)/D49</f>
        <v>0.97468354430379744</v>
      </c>
      <c r="E54" s="132">
        <f>SUM(E45+E46+E47)/E49</f>
        <v>0.82926829268292679</v>
      </c>
      <c r="F54" s="132">
        <f>SUM(F45+F46+F47)/F49</f>
        <v>1</v>
      </c>
      <c r="G54" s="173">
        <f>SUM(G45+G46+G47)/G49</f>
        <v>0.93706293706293708</v>
      </c>
      <c r="H54" s="120"/>
      <c r="I54" s="183" t="s">
        <v>1595</v>
      </c>
      <c r="J54" s="180">
        <f>SUM(J45+J46+J47)/J49</f>
        <v>0.66666666666666663</v>
      </c>
      <c r="K54" s="132">
        <f>SUM(K45+K46+K47)/K49</f>
        <v>0.93670886075949367</v>
      </c>
      <c r="L54" s="132"/>
      <c r="M54" s="170"/>
      <c r="N54" s="173">
        <f>SUM(N45+N46+N47)/N49</f>
        <v>0.91764705882352937</v>
      </c>
      <c r="O54" s="120"/>
      <c r="P54" s="120"/>
      <c r="Q54" s="120"/>
      <c r="R54" s="120"/>
      <c r="S54" s="120"/>
      <c r="T54" s="120"/>
      <c r="U54" s="120"/>
      <c r="V54" s="120"/>
      <c r="W54" s="120"/>
      <c r="X54" s="120"/>
      <c r="Y54" s="120"/>
      <c r="Z54" s="120"/>
      <c r="AA54" s="120"/>
      <c r="AB54" s="120"/>
      <c r="AC54" s="120"/>
      <c r="AD54" s="120"/>
      <c r="AE54" s="120"/>
    </row>
    <row r="55" spans="1:31" x14ac:dyDescent="0.3">
      <c r="A55" s="120"/>
      <c r="B55" s="120"/>
      <c r="C55" s="120"/>
      <c r="D55" s="120"/>
      <c r="E55" s="120"/>
      <c r="F55" s="120"/>
      <c r="G55" s="120"/>
      <c r="H55" s="120"/>
      <c r="I55" s="120"/>
      <c r="J55" s="120"/>
      <c r="K55" s="120"/>
      <c r="L55" s="120"/>
      <c r="M55" s="120"/>
      <c r="N55" s="120"/>
      <c r="O55" s="120"/>
      <c r="P55" s="120"/>
      <c r="Q55" s="120"/>
      <c r="R55" s="120"/>
      <c r="S55" s="120"/>
      <c r="T55" s="120"/>
      <c r="U55" s="120"/>
      <c r="V55" s="120"/>
      <c r="W55" s="120"/>
      <c r="X55" s="120"/>
      <c r="Y55" s="120"/>
      <c r="Z55" s="120"/>
      <c r="AA55" s="120"/>
      <c r="AB55" s="120"/>
      <c r="AC55" s="120"/>
      <c r="AD55" s="120"/>
      <c r="AE55" s="120"/>
    </row>
    <row r="56" spans="1:31" ht="18" thickBot="1" x14ac:dyDescent="0.35">
      <c r="A56" s="120"/>
      <c r="B56" s="252" t="s">
        <v>1596</v>
      </c>
      <c r="C56" s="252"/>
      <c r="D56" s="252"/>
      <c r="E56" s="252"/>
      <c r="F56" s="252"/>
      <c r="G56" s="166"/>
      <c r="H56" s="125"/>
      <c r="I56" s="252" t="s">
        <v>1596</v>
      </c>
      <c r="J56" s="252"/>
      <c r="K56" s="252"/>
      <c r="L56" s="252"/>
      <c r="M56" s="252"/>
      <c r="N56" s="120"/>
      <c r="O56" s="120"/>
      <c r="P56" s="120"/>
      <c r="Q56" s="120"/>
      <c r="R56" s="120"/>
      <c r="S56" s="120"/>
      <c r="T56" s="120"/>
      <c r="U56" s="120"/>
      <c r="V56" s="120"/>
      <c r="W56" s="120"/>
      <c r="X56" s="120"/>
      <c r="Y56" s="120"/>
      <c r="Z56" s="120"/>
      <c r="AA56" s="120"/>
      <c r="AB56" s="120"/>
      <c r="AC56" s="120"/>
      <c r="AD56" s="120"/>
      <c r="AE56" s="120"/>
    </row>
    <row r="57" spans="1:31" ht="45.5" thickBot="1" x14ac:dyDescent="0.35">
      <c r="A57" s="120"/>
      <c r="B57" s="188" t="s">
        <v>1574</v>
      </c>
      <c r="C57" s="189" t="s">
        <v>4</v>
      </c>
      <c r="D57" s="190" t="s">
        <v>43</v>
      </c>
      <c r="E57" s="190" t="s">
        <v>3</v>
      </c>
      <c r="F57" s="194" t="s">
        <v>7</v>
      </c>
      <c r="G57" s="188" t="s">
        <v>1575</v>
      </c>
      <c r="H57" s="124"/>
      <c r="I57" s="188" t="s">
        <v>1576</v>
      </c>
      <c r="J57" s="193" t="s">
        <v>4</v>
      </c>
      <c r="K57" s="190" t="s">
        <v>43</v>
      </c>
      <c r="L57" s="190" t="s">
        <v>3</v>
      </c>
      <c r="M57" s="194" t="s">
        <v>7</v>
      </c>
      <c r="N57" s="194" t="s">
        <v>1575</v>
      </c>
      <c r="O57" s="120"/>
      <c r="P57" s="120"/>
      <c r="Q57" s="120"/>
      <c r="R57" s="120"/>
      <c r="S57" s="120"/>
      <c r="T57" s="120"/>
      <c r="U57" s="120"/>
      <c r="V57" s="120"/>
      <c r="W57" s="120"/>
      <c r="X57" s="120"/>
      <c r="Y57" s="120"/>
      <c r="Z57" s="120"/>
      <c r="AA57" s="120"/>
      <c r="AB57" s="120"/>
      <c r="AC57" s="120"/>
      <c r="AD57" s="120"/>
      <c r="AE57" s="120"/>
    </row>
    <row r="58" spans="1:31" ht="30" customHeight="1" x14ac:dyDescent="0.3">
      <c r="A58" s="120"/>
      <c r="B58" s="184" t="s">
        <v>1577</v>
      </c>
      <c r="C58" s="185">
        <f>COUNTIFS('FOI 2025-26'!$K$2:$K$1787, "Resources", 'FOI 2025-26'!$N$2:$N$1787, "&lt;=5", 'FOI 2025-26'!$R$2:$R$1787, "Complete")</f>
        <v>232</v>
      </c>
      <c r="D58" s="186">
        <f>COUNTIFS('FOI 2025-26'!$K$2:$K$1787, "Growth Enterprise &amp; Environment", 'FOI 2025-26'!$N$2:$N$1787, "&lt;=5", 'FOI 2025-26'!$R$2:$R$1787, "Complete")</f>
        <v>170</v>
      </c>
      <c r="E58" s="186">
        <f>COUNTIFS('FOI 2025-26'!$K$2:$K$1787, "Adults &amp; Communities", 'FOI 2025-26'!$N$2:$N$1787, "&lt;=5", 'FOI 2025-26'!$R$2:$R$1787, "Complete")</f>
        <v>40</v>
      </c>
      <c r="F58" s="192">
        <f>COUNTIFS('FOI 2025-26'!$K$2:$K$1787, "Children &amp; Families", 'FOI 2025-26'!$N$2:$N$1787, "&lt;=5", 'FOI 2025-26'!$R$2:$R$1787, "Complete")</f>
        <v>52</v>
      </c>
      <c r="G58" s="171">
        <f t="shared" ref="G58:G65" si="8">SUM(C58:F58)</f>
        <v>494</v>
      </c>
      <c r="H58" s="125"/>
      <c r="I58" s="184" t="s">
        <v>1578</v>
      </c>
      <c r="J58" s="185">
        <f>COUNTIFS('EIR 2025-26'!$L$2:$L$997, "Resources", 'EIR 2025-26'!$O$2:$O$997, "&lt;=5", 'EIR 2025-26'!$R$2:$R$997, "Complete")</f>
        <v>15</v>
      </c>
      <c r="K58" s="186">
        <f>COUNTIFS('EIR 2025-26'!$L$2:$L$997, "Growth, Enterprise and Environment", 'EIR 2025-26'!$O$2:$O$997, "&lt;=5", 'EIR 2025-26'!$R$2:$R$997, "Complete")</f>
        <v>134</v>
      </c>
      <c r="L58" s="186"/>
      <c r="M58" s="192"/>
      <c r="N58" s="192">
        <f t="shared" ref="N58:N65" si="9">SUM(J58:M58)</f>
        <v>149</v>
      </c>
      <c r="O58" s="120"/>
      <c r="P58" s="120"/>
      <c r="Q58" s="120"/>
      <c r="R58" s="120"/>
      <c r="S58" s="120"/>
      <c r="T58" s="120"/>
      <c r="U58" s="120"/>
      <c r="V58" s="120"/>
      <c r="W58" s="120"/>
      <c r="X58" s="120"/>
      <c r="Y58" s="120"/>
      <c r="Z58" s="120"/>
      <c r="AA58" s="120"/>
      <c r="AB58" s="120"/>
      <c r="AC58" s="120"/>
      <c r="AD58" s="120"/>
      <c r="AE58" s="120"/>
    </row>
    <row r="59" spans="1:31" ht="30" customHeight="1" x14ac:dyDescent="0.3">
      <c r="A59" s="120"/>
      <c r="B59" s="182" t="s">
        <v>1579</v>
      </c>
      <c r="C59" s="178">
        <f>COUNTIFS('FOI 2025-26'!$K$2:$K$1787, "Resources", 'FOI 2025-26'!$N$2:$N$1787, "&gt;5", 'FOI 2025-26'!$N$2:$N$1787, "&lt;=10", 'FOI 2025-26'!$R$2:$R$1787, "Complete")</f>
        <v>50</v>
      </c>
      <c r="D59" s="128">
        <f>COUNTIFS('FOI 2025-26'!$K$2:$K$1787, "Growth Enterprise &amp; Environment", 'FOI 2025-26'!$N$2:$N$1787, "&gt;5", 'FOI 2025-26'!$N$2:$N$1787, "&lt;=10", 'FOI 2025-26'!$R$2:$R$1787, "Complete")</f>
        <v>68</v>
      </c>
      <c r="E59" s="128">
        <f>COUNTIFS('FOI 2025-26'!$K$2:$K$1787, "Adults &amp; Communities", 'FOI 2025-26'!$N$2:$N$1787, "&gt;5", 'FOI 2025-26'!$N$2:$N$1787, "&lt;=10", 'FOI 2025-26'!$R$2:$R$1787, "Complete")</f>
        <v>31</v>
      </c>
      <c r="F59" s="129">
        <f>COUNTIFS('FOI 2025-26'!$K$2:$K$1787, "Children &amp; Families", 'FOI 2025-26'!$N$2:$N$1787, "&gt;5", 'FOI 2025-26'!$N$2:$N$1787, "&lt;=10", 'FOI 2025-26'!$R$2:$R$1787, "Complete")</f>
        <v>64</v>
      </c>
      <c r="G59" s="175">
        <f t="shared" si="8"/>
        <v>213</v>
      </c>
      <c r="H59" s="125"/>
      <c r="I59" s="182" t="s">
        <v>1580</v>
      </c>
      <c r="J59" s="178">
        <f>COUNTIFS('EIR 2025-26'!$L$2:$L$997, "Resources", 'EIR 2025-26'!$O$2:$O$997, "&gt;5", 'EIR 2025-26'!$O$2:$O$997, "&lt;=10", 'EIR 2025-26'!$R$2:$R$997, "Complete")</f>
        <v>5</v>
      </c>
      <c r="K59" s="128">
        <f>COUNTIFS('EIR 2025-26'!$L$2:$L$997, "Growth, Enterprise and Environment", 'EIR 2025-26'!$O$2:$O$997, "&gt;5", 'EIR 2025-26'!$O$2:$O$997, "&lt;=10", 'EIR 2025-26'!$R$2:$R$997, "Complete")</f>
        <v>58</v>
      </c>
      <c r="L59" s="128"/>
      <c r="M59" s="129"/>
      <c r="N59" s="129">
        <f t="shared" si="9"/>
        <v>63</v>
      </c>
      <c r="O59" s="120"/>
      <c r="P59" s="120"/>
      <c r="Q59" s="120"/>
      <c r="R59" s="120"/>
      <c r="S59" s="120"/>
      <c r="T59" s="120"/>
      <c r="U59" s="120"/>
      <c r="V59" s="120"/>
      <c r="W59" s="120"/>
      <c r="X59" s="120"/>
      <c r="Y59" s="120"/>
      <c r="Z59" s="120"/>
      <c r="AA59" s="120"/>
      <c r="AB59" s="120"/>
      <c r="AC59" s="120"/>
      <c r="AD59" s="120"/>
      <c r="AE59" s="120"/>
    </row>
    <row r="60" spans="1:31" ht="30" customHeight="1" x14ac:dyDescent="0.3">
      <c r="A60" s="120"/>
      <c r="B60" s="181" t="s">
        <v>1581</v>
      </c>
      <c r="C60" s="177">
        <f>COUNTIFS('FOI 2025-26'!$K$2:$K$1787, "Resources", 'FOI 2025-26'!$N$2:$N$1787, "&gt;10", 'FOI 2025-26'!$N$2:$N$1787, "&lt;=20", 'FOI 2025-26'!$R$2:$R$1787, "Complete")</f>
        <v>104</v>
      </c>
      <c r="D60" s="126">
        <f>COUNTIFS('FOI 2025-26'!$K$2:$K$1787, "Growth Enterprise &amp; Environment", 'FOI 2025-26'!$N$2:$N$1787, "&gt;10", 'FOI 2025-26'!$N$2:$N$1787, "&lt;=20", 'FOI 2025-26'!$R$2:$R$1787, "Complete")</f>
        <v>50</v>
      </c>
      <c r="E60" s="126">
        <f>COUNTIFS('FOI 2025-26'!$K$2:$K$1787, "Adults &amp; Communities", 'FOI 2025-26'!$N$2:$N$1787, "&gt;10", 'FOI 2025-26'!$N$2:$N$1787, "&lt;=20", 'FOI 2025-26'!$R$2:$R$1787, "Complete")</f>
        <v>43</v>
      </c>
      <c r="F60" s="127">
        <f>COUNTIFS('FOI 2025-26'!$K$2:$K$1787, "Children &amp; Families", 'FOI 2025-26'!$N$2:$N$1787, "&gt;10", 'FOI 2025-26'!$N$2:$N$1787, "&lt;=20", 'FOI 2025-26'!$R$2:$R$1787, "Complete")</f>
        <v>76</v>
      </c>
      <c r="G60" s="174">
        <f t="shared" si="8"/>
        <v>273</v>
      </c>
      <c r="H60" s="120"/>
      <c r="I60" s="181" t="s">
        <v>1582</v>
      </c>
      <c r="J60" s="177">
        <f>COUNTIFS('EIR 2025-26'!$L$2:$L$997, "Resources", 'EIR 2025-26'!$O$2:$O$997, "&gt;10", 'EIR 2025-26'!$O$2:$O$997, "&lt;=20", 'EIR 2025-26'!$R$2:$R$997, "Complete")</f>
        <v>22</v>
      </c>
      <c r="K60" s="126">
        <f>COUNTIFS('EIR 2025-26'!$L$2:$L$997, "Growth, Enterprise and Environment", 'EIR 2025-26'!$O$2:$O$997, "&gt;10", 'EIR 2025-26'!$O$2:$O$997, "&lt;=20", 'EIR 2025-26'!$R$2:$R$997, "Complete")</f>
        <v>77</v>
      </c>
      <c r="L60" s="126"/>
      <c r="M60" s="127"/>
      <c r="N60" s="127">
        <f t="shared" si="9"/>
        <v>99</v>
      </c>
      <c r="O60" s="120"/>
      <c r="P60" s="120"/>
      <c r="Q60" s="120"/>
      <c r="R60" s="120"/>
      <c r="S60" s="120"/>
      <c r="T60" s="120"/>
      <c r="U60" s="120"/>
      <c r="V60" s="120"/>
      <c r="W60" s="120"/>
      <c r="X60" s="120"/>
      <c r="Y60" s="120"/>
      <c r="Z60" s="120"/>
      <c r="AA60" s="120"/>
      <c r="AB60" s="120"/>
      <c r="AC60" s="120"/>
      <c r="AD60" s="120"/>
      <c r="AE60" s="120"/>
    </row>
    <row r="61" spans="1:31" ht="30" customHeight="1" x14ac:dyDescent="0.3">
      <c r="A61" s="120"/>
      <c r="B61" s="182" t="s">
        <v>1583</v>
      </c>
      <c r="C61" s="178">
        <f>COUNTIFS('FOI 2025-26'!$K$2:$K$1787, "Resources", 'FOI 2025-26'!$N$2:$N$1787, "&gt;20", 'FOI 2025-26'!$R$2:$R$1787, "Complete")</f>
        <v>18</v>
      </c>
      <c r="D61" s="128">
        <f>COUNTIFS('FOI 2025-26'!$K$2:$K$1787, "Growth Enterprise &amp; Environment", 'FOI 2025-26'!$N$2:$N$1787, "&gt;20", 'FOI 2025-26'!$R$2:$R$1787, "Complete")</f>
        <v>13</v>
      </c>
      <c r="E61" s="128">
        <f>COUNTIFS('FOI 2025-26'!$K$2:$K$1787, "Adults &amp; Communities", 'FOI 2025-26'!$N$2:$N$1787, "&gt;20", 'FOI 2025-26'!$R$2:$R$1787, "Complete")</f>
        <v>28</v>
      </c>
      <c r="F61" s="129">
        <f>COUNTIFS('FOI 2025-26'!$K$2:$K$1787, "Children &amp; Families", 'FOI 2025-26'!$N$2:$N$1787, "&gt;20", 'FOI 2025-26'!$R$2:$R$1787, "Complete")</f>
        <v>6</v>
      </c>
      <c r="G61" s="175">
        <f t="shared" si="8"/>
        <v>65</v>
      </c>
      <c r="H61" s="120"/>
      <c r="I61" s="182" t="s">
        <v>1584</v>
      </c>
      <c r="J61" s="178">
        <f>COUNTIFS('EIR 2025-26'!$L$2:$L$997, "Resources", 'EIR 2025-26'!$O$2:$O$997, "&gt;20", 'EIR 2025-26'!$R$2:$R$997, "Complete")</f>
        <v>3</v>
      </c>
      <c r="K61" s="128">
        <f>COUNTIFS('EIR 2025-26'!$L$2:$L$997, "Growth, Enterprise and Environment", 'EIR 2025-26'!$O$2:$O$997, "&gt;20", 'EIR 2025-26'!$R$2:$R$997, "Complete")</f>
        <v>23</v>
      </c>
      <c r="L61" s="128"/>
      <c r="M61" s="129"/>
      <c r="N61" s="129">
        <f t="shared" si="9"/>
        <v>26</v>
      </c>
      <c r="O61" s="120"/>
      <c r="P61" s="120"/>
      <c r="Q61" s="120"/>
      <c r="R61" s="120"/>
      <c r="S61" s="120"/>
      <c r="T61" s="120"/>
      <c r="U61" s="120"/>
      <c r="V61" s="120"/>
      <c r="W61" s="120"/>
      <c r="X61" s="120"/>
      <c r="Y61" s="120"/>
      <c r="Z61" s="120"/>
      <c r="AA61" s="120"/>
      <c r="AB61" s="120"/>
      <c r="AC61" s="120"/>
      <c r="AD61" s="120"/>
      <c r="AE61" s="120"/>
    </row>
    <row r="62" spans="1:31" ht="30" customHeight="1" x14ac:dyDescent="0.3">
      <c r="A62" s="120"/>
      <c r="B62" s="181" t="s">
        <v>1585</v>
      </c>
      <c r="C62" s="177">
        <f>SUM(C58:C61)</f>
        <v>404</v>
      </c>
      <c r="D62" s="126">
        <f>SUM(D58:D61)</f>
        <v>301</v>
      </c>
      <c r="E62" s="126">
        <f>SUM(E58:E61)</f>
        <v>142</v>
      </c>
      <c r="F62" s="127">
        <f>SUM(F58:F61)</f>
        <v>198</v>
      </c>
      <c r="G62" s="174">
        <f t="shared" si="8"/>
        <v>1045</v>
      </c>
      <c r="H62" s="120"/>
      <c r="I62" s="181" t="s">
        <v>1586</v>
      </c>
      <c r="J62" s="177">
        <f>SUM(J58:J61)</f>
        <v>45</v>
      </c>
      <c r="K62" s="126">
        <f>SUM(K58:K61)</f>
        <v>292</v>
      </c>
      <c r="L62" s="126"/>
      <c r="M62" s="127"/>
      <c r="N62" s="127">
        <f t="shared" si="9"/>
        <v>337</v>
      </c>
      <c r="O62" s="120"/>
      <c r="P62" s="120"/>
      <c r="Q62" s="120"/>
      <c r="R62" s="120"/>
      <c r="S62" s="120"/>
      <c r="T62" s="120"/>
      <c r="U62" s="120"/>
      <c r="V62" s="120"/>
      <c r="W62" s="120"/>
      <c r="X62" s="120"/>
      <c r="Y62" s="120"/>
      <c r="Z62" s="120"/>
      <c r="AA62" s="120"/>
      <c r="AB62" s="120"/>
      <c r="AC62" s="120"/>
      <c r="AD62" s="120"/>
      <c r="AE62" s="120"/>
    </row>
    <row r="63" spans="1:31" ht="30" customHeight="1" x14ac:dyDescent="0.3">
      <c r="A63" s="120"/>
      <c r="B63" s="182" t="s">
        <v>1587</v>
      </c>
      <c r="C63" s="178">
        <f>COUNTIFS('FOI 2025-26'!$R$2:$R$1787, "Elapsed", 'FOI 2025-26'!$K$2:$K$1787, "Resources")</f>
        <v>4</v>
      </c>
      <c r="D63" s="128">
        <f>COUNTIFS('FOI 2025-26'!$R$2:$R$1787, "Elapsed", 'FOI 2025-26'!$K$2:$K$1787, "Growth Enterprise &amp; Environment")</f>
        <v>2</v>
      </c>
      <c r="E63" s="128">
        <f>COUNTIFS('FOI 2025-26'!$R$2:$R$1787, "Elapsed", 'FOI 2025-26'!$K$2:$K$1787, "Adults &amp; Communities")</f>
        <v>1</v>
      </c>
      <c r="F63" s="129">
        <f>COUNTIFS('FOI 2025-26'!$R$2:$R$1787, "Elapsed", 'FOI 2025-26'!$K$2:$K$1787, "Children &amp; Families")</f>
        <v>3</v>
      </c>
      <c r="G63" s="175">
        <f t="shared" si="8"/>
        <v>10</v>
      </c>
      <c r="H63" s="120"/>
      <c r="I63" s="182" t="s">
        <v>1588</v>
      </c>
      <c r="J63" s="178">
        <f>COUNTIFS('EIR 2025-26'!$R$2:$R$1997, "Elapsed", 'EIR 2025-26'!$L$2:$L$1997, "Resources")</f>
        <v>0</v>
      </c>
      <c r="K63" s="128">
        <f>COUNTIFS('EIR 2025-26'!$R$2:$R$1997, "Elapsed", 'EIR 2025-26'!$L$2:$L$1997, "Growth, Enterprise and Environment")</f>
        <v>2</v>
      </c>
      <c r="L63" s="128"/>
      <c r="M63" s="129"/>
      <c r="N63" s="129">
        <f t="shared" si="9"/>
        <v>2</v>
      </c>
      <c r="O63" s="120"/>
      <c r="P63" s="120"/>
      <c r="Q63" s="120"/>
      <c r="R63" s="120"/>
      <c r="S63" s="120"/>
      <c r="T63" s="120"/>
      <c r="U63" s="120"/>
      <c r="V63" s="120"/>
      <c r="W63" s="120"/>
      <c r="X63" s="120"/>
      <c r="Y63" s="120"/>
      <c r="Z63" s="120"/>
      <c r="AA63" s="120"/>
      <c r="AB63" s="120"/>
      <c r="AC63" s="120"/>
      <c r="AD63" s="120"/>
      <c r="AE63" s="120"/>
    </row>
    <row r="64" spans="1:31" ht="30" customHeight="1" x14ac:dyDescent="0.3">
      <c r="A64" s="120"/>
      <c r="B64" s="181" t="s">
        <v>1589</v>
      </c>
      <c r="C64" s="177">
        <f>COUNTIFS('FOI 2025-26'!$R$2:$R$1787, "In Progress", 'FOI 2025-26'!$K$2:$K$1787, "Resources")</f>
        <v>2</v>
      </c>
      <c r="D64" s="126">
        <f>COUNTIFS('FOI 2025-26'!$R$2:$R$1787, "In Progress", 'FOI 2025-26'!$K$2:$K$1787, "Growth Enterprise &amp; Environment")</f>
        <v>4</v>
      </c>
      <c r="E64" s="126">
        <f>COUNTIFS('FOI 2025-26'!$R$2:$R$1787, "In Progress", 'FOI 2025-26'!$K$2:$K$1787, "Adults &amp; Communities")</f>
        <v>3</v>
      </c>
      <c r="F64" s="127">
        <f>COUNTIFS('FOI 2025-26'!$R$2:$R$1787, "In Progress", 'FOI 2025-26'!$K$2:$K$1787, "Children &amp; Families")</f>
        <v>0</v>
      </c>
      <c r="G64" s="174">
        <f t="shared" si="8"/>
        <v>9</v>
      </c>
      <c r="H64" s="120"/>
      <c r="I64" s="181" t="s">
        <v>1590</v>
      </c>
      <c r="J64" s="177">
        <f>COUNTIFS('EIR 2025-26'!$R$2:$R$1997, "In Progress", 'EIR 2025-26'!$L$2:$L$1997, "Resources")</f>
        <v>0</v>
      </c>
      <c r="K64" s="126">
        <f>COUNTIFS('EIR 2025-26'!$R$2:$R$1997, "In Progress", 'EIR 2025-26'!$L$2:$L$1997, "Growth, Enterprise and Environment")</f>
        <v>0</v>
      </c>
      <c r="L64" s="126"/>
      <c r="M64" s="127"/>
      <c r="N64" s="127">
        <f t="shared" si="9"/>
        <v>0</v>
      </c>
      <c r="O64" s="120"/>
      <c r="P64" s="120"/>
      <c r="Q64" s="120"/>
      <c r="R64" s="120"/>
      <c r="S64" s="120"/>
      <c r="T64" s="120"/>
      <c r="U64" s="120"/>
      <c r="V64" s="120"/>
      <c r="W64" s="120"/>
      <c r="X64" s="120"/>
      <c r="Y64" s="120"/>
      <c r="Z64" s="120"/>
      <c r="AA64" s="120"/>
      <c r="AB64" s="120"/>
      <c r="AC64" s="120"/>
      <c r="AD64" s="120"/>
      <c r="AE64" s="120"/>
    </row>
    <row r="65" spans="1:31" ht="30" customHeight="1" x14ac:dyDescent="0.3">
      <c r="A65" s="120"/>
      <c r="B65" s="182" t="s">
        <v>1439</v>
      </c>
      <c r="C65" s="178">
        <f>SUM(C62:C64)</f>
        <v>410</v>
      </c>
      <c r="D65" s="128">
        <f>SUM(D62:D64)</f>
        <v>307</v>
      </c>
      <c r="E65" s="128">
        <f>SUM(E62:E64)</f>
        <v>146</v>
      </c>
      <c r="F65" s="129">
        <f>SUM(F62:F64)</f>
        <v>201</v>
      </c>
      <c r="G65" s="176">
        <f t="shared" si="8"/>
        <v>1064</v>
      </c>
      <c r="H65" s="131"/>
      <c r="I65" s="197" t="s">
        <v>1591</v>
      </c>
      <c r="J65" s="178">
        <f>SUM(J62:J64)</f>
        <v>45</v>
      </c>
      <c r="K65" s="128">
        <f>SUM(K62:K64)</f>
        <v>294</v>
      </c>
      <c r="L65" s="128">
        <f>SUM(L62:L64)</f>
        <v>0</v>
      </c>
      <c r="M65" s="129">
        <f>SUM(M62:M64)</f>
        <v>0</v>
      </c>
      <c r="N65" s="129">
        <f t="shared" si="9"/>
        <v>339</v>
      </c>
      <c r="O65" s="120"/>
      <c r="P65" s="120"/>
      <c r="Q65" s="120"/>
      <c r="R65" s="120"/>
      <c r="S65" s="120"/>
      <c r="T65" s="120"/>
      <c r="U65" s="120"/>
      <c r="V65" s="120"/>
      <c r="W65" s="120"/>
      <c r="X65" s="120"/>
      <c r="Y65" s="120"/>
      <c r="Z65" s="120"/>
      <c r="AA65" s="120"/>
      <c r="AB65" s="120"/>
      <c r="AC65" s="120"/>
      <c r="AD65" s="120"/>
      <c r="AE65" s="120"/>
    </row>
    <row r="66" spans="1:31" ht="30" customHeight="1" x14ac:dyDescent="0.3">
      <c r="A66" s="120"/>
      <c r="B66" s="181" t="s">
        <v>1592</v>
      </c>
      <c r="C66" s="179">
        <f>AVERAGEIFS('FOI 2025-26'!$N$2:$N$1787, 'FOI 2025-26'!$K$2:$K$1787, "Resources")</f>
        <v>7.0099009900990099</v>
      </c>
      <c r="D66" s="133">
        <f>AVERAGEIFS('FOI 2025-26'!$N$2:$N$1787, 'FOI 2025-26'!$K$2:$K$1787, "Growth Enterprise &amp; Environment")</f>
        <v>7.3255813953488369</v>
      </c>
      <c r="E66" s="133">
        <f>AVERAGEIFS('FOI 2025-26'!$N$2:$N$1787, 'FOI 2025-26'!$K$2:$K$1787, "Adults &amp; Communities")</f>
        <v>17.225352112676056</v>
      </c>
      <c r="F66" s="134">
        <f>AVERAGEIFS('FOI 2025-26'!$N$2:$N$1787, 'FOI 2025-26'!$K$2:$K$1787, "Children &amp; Families")</f>
        <v>9.6969696969696972</v>
      </c>
      <c r="G66" s="172">
        <f>AVERAGE('FOI 2025-26'!$N$2:$N$1787)</f>
        <v>8.9980861244019135</v>
      </c>
      <c r="H66" s="120"/>
      <c r="I66" s="181" t="s">
        <v>1593</v>
      </c>
      <c r="J66" s="179">
        <f>AVERAGEIFS('EIR 2025-26'!$O$2:$O$997, 'EIR 2025-26'!$L$2:$L$997, "Resources")</f>
        <v>11.088888888888889</v>
      </c>
      <c r="K66" s="133">
        <f>AVERAGEIFS('EIR 2025-26'!$O$2:$O$997, 'EIR 2025-26'!$L$2:$L$997, "Growth, Enterprise and Environment")</f>
        <v>10.469178082191782</v>
      </c>
      <c r="L66" s="126"/>
      <c r="M66" s="127"/>
      <c r="N66" s="198">
        <f>AVERAGE('EIR 2025-26'!$O$2:$O$997)</f>
        <v>10.55192878338279</v>
      </c>
      <c r="O66" s="120"/>
      <c r="P66" s="120"/>
      <c r="Q66" s="120"/>
      <c r="R66" s="120"/>
      <c r="S66" s="120"/>
      <c r="T66" s="120"/>
      <c r="U66" s="120"/>
      <c r="V66" s="120"/>
      <c r="W66" s="120"/>
      <c r="X66" s="120"/>
      <c r="Y66" s="120"/>
      <c r="Z66" s="120"/>
      <c r="AA66" s="120"/>
      <c r="AB66" s="120"/>
      <c r="AC66" s="120"/>
      <c r="AD66" s="120"/>
      <c r="AE66" s="120"/>
    </row>
    <row r="67" spans="1:31" ht="27.5" thickBot="1" x14ac:dyDescent="0.35">
      <c r="A67" s="120"/>
      <c r="B67" s="183" t="s">
        <v>1594</v>
      </c>
      <c r="C67" s="180">
        <f>SUM(C58+C59+C60)/C62</f>
        <v>0.95544554455445541</v>
      </c>
      <c r="D67" s="132">
        <f>SUM(D58+D59+D60)/D62</f>
        <v>0.95681063122923593</v>
      </c>
      <c r="E67" s="132">
        <f>SUM(E58+E59+E60)/E62</f>
        <v>0.80281690140845074</v>
      </c>
      <c r="F67" s="132">
        <f>SUM(F58+F59+F60)/F62</f>
        <v>0.96969696969696972</v>
      </c>
      <c r="G67" s="173">
        <f>SUM(G58+G59+G60)/G62</f>
        <v>0.93779904306220097</v>
      </c>
      <c r="H67" s="120"/>
      <c r="I67" s="183" t="s">
        <v>1595</v>
      </c>
      <c r="J67" s="180">
        <f>SUM(J58+J59+J60)/J62</f>
        <v>0.93333333333333335</v>
      </c>
      <c r="K67" s="132">
        <f>SUM(K58+K59+K60)/K62</f>
        <v>0.92123287671232879</v>
      </c>
      <c r="L67" s="132"/>
      <c r="M67" s="170"/>
      <c r="N67" s="173">
        <f>SUM(N58+N59+N60)/N62</f>
        <v>0.9228486646884273</v>
      </c>
      <c r="O67" s="120"/>
      <c r="P67" s="120"/>
      <c r="Q67" s="120"/>
      <c r="R67" s="120"/>
      <c r="S67" s="120"/>
      <c r="T67" s="120"/>
      <c r="U67" s="120"/>
      <c r="V67" s="120"/>
      <c r="W67" s="120"/>
      <c r="X67" s="120"/>
      <c r="Y67" s="120"/>
      <c r="Z67" s="120"/>
      <c r="AA67" s="120"/>
      <c r="AB67" s="120"/>
      <c r="AC67" s="120"/>
      <c r="AD67" s="120"/>
      <c r="AE67" s="120"/>
    </row>
    <row r="68" spans="1:31" x14ac:dyDescent="0.3">
      <c r="A68" s="120"/>
      <c r="B68" s="120"/>
      <c r="C68" s="120"/>
      <c r="D68" s="120"/>
      <c r="E68" s="120"/>
      <c r="F68" s="120"/>
      <c r="G68" s="120"/>
      <c r="H68" s="120"/>
      <c r="I68" s="120"/>
      <c r="J68" s="120"/>
      <c r="K68" s="120"/>
      <c r="L68" s="120"/>
      <c r="M68" s="120"/>
      <c r="N68" s="120"/>
      <c r="O68" s="120"/>
      <c r="P68" s="120"/>
      <c r="Q68" s="120"/>
      <c r="R68" s="120"/>
      <c r="S68" s="120"/>
      <c r="T68" s="120"/>
      <c r="U68" s="120"/>
      <c r="V68" s="120"/>
      <c r="W68" s="120"/>
      <c r="X68" s="120"/>
      <c r="Y68" s="120"/>
      <c r="Z68" s="120"/>
      <c r="AA68" s="120"/>
      <c r="AB68" s="120"/>
      <c r="AC68" s="120"/>
      <c r="AD68" s="120"/>
      <c r="AE68" s="120"/>
    </row>
    <row r="69" spans="1:31" x14ac:dyDescent="0.3">
      <c r="A69" s="120"/>
      <c r="B69" s="120"/>
      <c r="C69" s="120"/>
      <c r="D69" s="120"/>
      <c r="E69" s="120"/>
      <c r="F69" s="120"/>
      <c r="G69" s="120"/>
      <c r="H69" s="120"/>
      <c r="I69" s="120"/>
      <c r="J69" s="120"/>
      <c r="K69" s="120"/>
      <c r="L69" s="120"/>
      <c r="M69" s="120"/>
      <c r="N69" s="120"/>
      <c r="O69" s="120"/>
      <c r="P69" s="120"/>
      <c r="Q69" s="120"/>
      <c r="R69" s="120"/>
      <c r="S69" s="120"/>
      <c r="T69" s="120"/>
      <c r="U69" s="120"/>
      <c r="V69" s="120"/>
      <c r="W69" s="120"/>
      <c r="X69" s="120"/>
      <c r="Y69" s="120"/>
      <c r="Z69" s="120"/>
      <c r="AA69" s="120"/>
      <c r="AB69" s="120"/>
      <c r="AC69" s="120"/>
      <c r="AD69" s="120"/>
      <c r="AE69" s="120"/>
    </row>
    <row r="70" spans="1:31" x14ac:dyDescent="0.3">
      <c r="A70" s="120"/>
      <c r="B70" s="120"/>
      <c r="C70" s="120"/>
      <c r="D70" s="120"/>
      <c r="E70" s="120"/>
      <c r="F70" s="120"/>
      <c r="G70" s="120"/>
      <c r="H70" s="120"/>
      <c r="I70" s="120"/>
      <c r="J70" s="120"/>
      <c r="K70" s="120"/>
      <c r="L70" s="120"/>
      <c r="M70" s="120"/>
      <c r="N70" s="120"/>
      <c r="O70" s="120"/>
      <c r="P70" s="120"/>
      <c r="Q70" s="120"/>
      <c r="R70" s="120"/>
      <c r="S70" s="120"/>
      <c r="T70" s="120"/>
      <c r="U70" s="120"/>
      <c r="V70" s="120"/>
      <c r="W70" s="120"/>
      <c r="X70" s="120"/>
      <c r="Y70" s="120"/>
      <c r="Z70" s="120"/>
      <c r="AA70" s="120"/>
      <c r="AB70" s="120"/>
      <c r="AC70" s="120"/>
      <c r="AD70" s="120"/>
      <c r="AE70" s="120"/>
    </row>
    <row r="71" spans="1:31" x14ac:dyDescent="0.3">
      <c r="A71" s="120"/>
      <c r="B71" s="120"/>
      <c r="C71" s="120"/>
      <c r="D71" s="120"/>
      <c r="E71" s="120"/>
      <c r="F71" s="120"/>
      <c r="G71" s="120"/>
      <c r="H71" s="120"/>
      <c r="I71" s="120"/>
      <c r="J71" s="120"/>
      <c r="K71" s="120"/>
      <c r="L71" s="120"/>
      <c r="M71" s="120"/>
      <c r="N71" s="120"/>
      <c r="O71" s="120"/>
      <c r="P71" s="120"/>
      <c r="Q71" s="120"/>
      <c r="R71" s="120"/>
      <c r="S71" s="120"/>
      <c r="T71" s="120"/>
      <c r="U71" s="120"/>
      <c r="V71" s="120"/>
      <c r="W71" s="120"/>
      <c r="X71" s="120"/>
      <c r="Y71" s="120"/>
      <c r="Z71" s="120"/>
      <c r="AA71" s="120"/>
      <c r="AB71" s="120"/>
      <c r="AC71" s="120"/>
      <c r="AD71" s="120"/>
      <c r="AE71" s="120"/>
    </row>
    <row r="72" spans="1:31" x14ac:dyDescent="0.3">
      <c r="A72" s="120"/>
      <c r="B72" s="120"/>
      <c r="C72" s="120"/>
      <c r="D72" s="120"/>
      <c r="E72" s="120"/>
      <c r="F72" s="120"/>
      <c r="G72" s="120"/>
      <c r="H72" s="120"/>
      <c r="I72" s="120"/>
      <c r="J72" s="120"/>
      <c r="K72" s="120"/>
      <c r="L72" s="120"/>
      <c r="M72" s="120"/>
      <c r="N72" s="120"/>
      <c r="O72" s="120"/>
      <c r="P72" s="120"/>
      <c r="Q72" s="120"/>
      <c r="R72" s="120"/>
      <c r="S72" s="120"/>
      <c r="T72" s="120"/>
      <c r="U72" s="120"/>
      <c r="V72" s="120"/>
      <c r="W72" s="120"/>
      <c r="X72" s="120"/>
      <c r="Y72" s="120"/>
      <c r="Z72" s="120"/>
      <c r="AA72" s="120"/>
      <c r="AB72" s="120"/>
      <c r="AC72" s="120"/>
      <c r="AD72" s="120"/>
      <c r="AE72" s="120"/>
    </row>
    <row r="73" spans="1:31" x14ac:dyDescent="0.3">
      <c r="A73" s="120"/>
      <c r="B73" s="120"/>
      <c r="C73" s="120"/>
      <c r="D73" s="120"/>
      <c r="E73" s="120"/>
      <c r="F73" s="120"/>
      <c r="G73" s="120"/>
      <c r="H73" s="120"/>
      <c r="I73" s="120"/>
      <c r="J73" s="120"/>
      <c r="K73" s="120"/>
      <c r="L73" s="120"/>
      <c r="M73" s="120"/>
      <c r="N73" s="120"/>
      <c r="O73" s="120"/>
      <c r="P73" s="120"/>
      <c r="Q73" s="120"/>
      <c r="R73" s="120"/>
      <c r="S73" s="120"/>
      <c r="T73" s="120"/>
      <c r="U73" s="120"/>
      <c r="V73" s="120"/>
      <c r="W73" s="120"/>
      <c r="X73" s="120"/>
      <c r="Y73" s="120"/>
      <c r="Z73" s="120"/>
      <c r="AA73" s="120"/>
      <c r="AB73" s="120"/>
      <c r="AC73" s="120"/>
      <c r="AD73" s="120"/>
      <c r="AE73" s="120"/>
    </row>
    <row r="74" spans="1:31" x14ac:dyDescent="0.3">
      <c r="A74" s="120"/>
      <c r="B74" s="120"/>
      <c r="C74" s="120"/>
      <c r="D74" s="120"/>
      <c r="E74" s="120"/>
      <c r="F74" s="120"/>
      <c r="G74" s="120"/>
      <c r="H74" s="120"/>
      <c r="I74" s="120"/>
      <c r="J74" s="120"/>
      <c r="K74" s="120"/>
      <c r="L74" s="120"/>
      <c r="M74" s="120"/>
      <c r="N74" s="120"/>
      <c r="O74" s="120"/>
      <c r="P74" s="120"/>
      <c r="Q74" s="120"/>
      <c r="R74" s="120"/>
      <c r="S74" s="120"/>
      <c r="T74" s="120"/>
      <c r="U74" s="120"/>
      <c r="V74" s="120"/>
      <c r="W74" s="120"/>
      <c r="X74" s="120"/>
      <c r="Y74" s="120"/>
      <c r="Z74" s="120"/>
      <c r="AA74" s="120"/>
      <c r="AB74" s="120"/>
      <c r="AC74" s="120"/>
      <c r="AD74" s="120"/>
      <c r="AE74" s="120"/>
    </row>
    <row r="75" spans="1:31" x14ac:dyDescent="0.3">
      <c r="A75" s="120"/>
      <c r="B75" s="120"/>
      <c r="C75" s="120"/>
      <c r="D75" s="120"/>
      <c r="E75" s="120"/>
      <c r="F75" s="120"/>
      <c r="G75" s="120"/>
      <c r="H75" s="120"/>
      <c r="I75" s="120"/>
      <c r="J75" s="120"/>
      <c r="K75" s="120"/>
      <c r="L75" s="120"/>
      <c r="M75" s="120"/>
      <c r="N75" s="120"/>
      <c r="O75" s="120"/>
      <c r="P75" s="120"/>
      <c r="Q75" s="120"/>
      <c r="R75" s="120"/>
      <c r="S75" s="120"/>
      <c r="T75" s="120"/>
      <c r="U75" s="120"/>
      <c r="V75" s="120"/>
      <c r="W75" s="120"/>
      <c r="X75" s="120"/>
      <c r="Y75" s="120"/>
      <c r="Z75" s="120"/>
      <c r="AA75" s="120"/>
      <c r="AB75" s="120"/>
      <c r="AC75" s="120"/>
      <c r="AD75" s="120"/>
      <c r="AE75" s="120"/>
    </row>
    <row r="76" spans="1:31" x14ac:dyDescent="0.3">
      <c r="A76" s="120"/>
      <c r="B76" s="120"/>
      <c r="C76" s="120"/>
      <c r="D76" s="120"/>
      <c r="E76" s="120"/>
      <c r="F76" s="120"/>
      <c r="G76" s="120"/>
      <c r="H76" s="120"/>
      <c r="I76" s="120"/>
      <c r="J76" s="120"/>
      <c r="K76" s="120"/>
      <c r="L76" s="120"/>
      <c r="M76" s="120"/>
      <c r="N76" s="120"/>
      <c r="O76" s="120"/>
      <c r="P76" s="120"/>
      <c r="Q76" s="120"/>
      <c r="R76" s="120"/>
      <c r="S76" s="120"/>
      <c r="T76" s="120"/>
      <c r="U76" s="120"/>
      <c r="V76" s="120"/>
      <c r="W76" s="120"/>
      <c r="X76" s="120"/>
      <c r="Y76" s="120"/>
      <c r="Z76" s="120"/>
      <c r="AA76" s="120"/>
      <c r="AB76" s="120"/>
      <c r="AC76" s="120"/>
      <c r="AD76" s="120"/>
      <c r="AE76" s="120"/>
    </row>
    <row r="77" spans="1:31" x14ac:dyDescent="0.3">
      <c r="A77" s="120"/>
      <c r="B77" s="120"/>
      <c r="C77" s="120"/>
      <c r="D77" s="120"/>
      <c r="E77" s="120"/>
      <c r="F77" s="120"/>
      <c r="G77" s="120"/>
      <c r="H77" s="120"/>
      <c r="I77" s="120"/>
      <c r="J77" s="120"/>
      <c r="K77" s="120"/>
      <c r="L77" s="120"/>
      <c r="M77" s="120"/>
      <c r="N77" s="120"/>
      <c r="O77" s="120"/>
      <c r="P77" s="120"/>
      <c r="Q77" s="120"/>
      <c r="R77" s="120"/>
      <c r="S77" s="120"/>
      <c r="T77" s="120"/>
      <c r="U77" s="120"/>
      <c r="V77" s="120"/>
      <c r="W77" s="120"/>
      <c r="X77" s="120"/>
      <c r="Y77" s="120"/>
      <c r="Z77" s="120"/>
      <c r="AA77" s="120"/>
      <c r="AB77" s="120"/>
      <c r="AC77" s="120"/>
      <c r="AD77" s="120"/>
      <c r="AE77" s="120"/>
    </row>
    <row r="78" spans="1:31" x14ac:dyDescent="0.3">
      <c r="A78" s="120"/>
      <c r="B78" s="120"/>
      <c r="C78" s="120"/>
      <c r="D78" s="120"/>
      <c r="E78" s="120"/>
      <c r="F78" s="120"/>
      <c r="G78" s="120"/>
      <c r="H78" s="120"/>
      <c r="I78" s="120"/>
      <c r="J78" s="120"/>
      <c r="K78" s="120"/>
      <c r="L78" s="120"/>
      <c r="M78" s="120"/>
      <c r="N78" s="120"/>
      <c r="O78" s="120"/>
      <c r="P78" s="120"/>
      <c r="Q78" s="120"/>
      <c r="R78" s="120"/>
      <c r="S78" s="120"/>
      <c r="T78" s="120"/>
      <c r="U78" s="120"/>
      <c r="V78" s="120"/>
      <c r="W78" s="120"/>
      <c r="X78" s="120"/>
      <c r="Y78" s="120"/>
      <c r="Z78" s="120"/>
      <c r="AA78" s="120"/>
      <c r="AB78" s="120"/>
      <c r="AC78" s="120"/>
      <c r="AD78" s="120"/>
      <c r="AE78" s="120"/>
    </row>
    <row r="79" spans="1:31" x14ac:dyDescent="0.3">
      <c r="A79" s="120"/>
      <c r="B79" s="120"/>
      <c r="C79" s="120"/>
      <c r="D79" s="120"/>
      <c r="E79" s="120"/>
      <c r="F79" s="120"/>
      <c r="G79" s="120"/>
      <c r="H79" s="120"/>
      <c r="I79" s="120"/>
      <c r="J79" s="120"/>
      <c r="K79" s="120"/>
      <c r="L79" s="120"/>
      <c r="M79" s="120"/>
      <c r="N79" s="120"/>
      <c r="O79" s="120"/>
      <c r="P79" s="120"/>
      <c r="Q79" s="120"/>
      <c r="R79" s="120"/>
      <c r="S79" s="120"/>
      <c r="T79" s="120"/>
      <c r="U79" s="120"/>
      <c r="V79" s="120"/>
      <c r="W79" s="120"/>
      <c r="X79" s="120"/>
      <c r="Y79" s="120"/>
      <c r="Z79" s="120"/>
      <c r="AA79" s="120"/>
      <c r="AB79" s="120"/>
      <c r="AC79" s="120"/>
      <c r="AD79" s="120"/>
      <c r="AE79" s="120"/>
    </row>
    <row r="80" spans="1:31" x14ac:dyDescent="0.3">
      <c r="A80" s="120"/>
      <c r="B80" s="120"/>
      <c r="C80" s="120"/>
      <c r="D80" s="120"/>
      <c r="E80" s="120"/>
      <c r="F80" s="120"/>
      <c r="G80" s="120"/>
      <c r="H80" s="120"/>
      <c r="I80" s="120"/>
      <c r="J80" s="120"/>
      <c r="K80" s="120"/>
      <c r="L80" s="120"/>
      <c r="M80" s="120"/>
      <c r="N80" s="120"/>
      <c r="O80" s="120"/>
      <c r="P80" s="120"/>
      <c r="Q80" s="120"/>
      <c r="R80" s="120"/>
      <c r="S80" s="120"/>
      <c r="T80" s="120"/>
      <c r="U80" s="120"/>
      <c r="V80" s="120"/>
      <c r="W80" s="120"/>
      <c r="X80" s="120"/>
      <c r="Y80" s="120"/>
      <c r="Z80" s="120"/>
      <c r="AA80" s="120"/>
      <c r="AB80" s="120"/>
      <c r="AC80" s="120"/>
      <c r="AD80" s="120"/>
      <c r="AE80" s="120"/>
    </row>
    <row r="81" spans="1:31" x14ac:dyDescent="0.3">
      <c r="A81" s="120"/>
      <c r="B81" s="120"/>
      <c r="C81" s="120"/>
      <c r="D81" s="120"/>
      <c r="E81" s="120"/>
      <c r="F81" s="120"/>
      <c r="G81" s="120"/>
      <c r="H81" s="120"/>
      <c r="I81" s="120"/>
      <c r="J81" s="120"/>
      <c r="K81" s="120"/>
      <c r="L81" s="120"/>
      <c r="M81" s="120"/>
      <c r="N81" s="120"/>
      <c r="O81" s="120"/>
      <c r="P81" s="120"/>
      <c r="Q81" s="120"/>
      <c r="R81" s="120"/>
      <c r="S81" s="120"/>
      <c r="T81" s="120"/>
      <c r="U81" s="120"/>
      <c r="V81" s="120"/>
      <c r="W81" s="120"/>
      <c r="X81" s="120"/>
      <c r="Y81" s="120"/>
      <c r="Z81" s="120"/>
      <c r="AA81" s="120"/>
      <c r="AB81" s="120"/>
      <c r="AC81" s="120"/>
      <c r="AD81" s="120"/>
      <c r="AE81" s="120"/>
    </row>
    <row r="82" spans="1:31" x14ac:dyDescent="0.3">
      <c r="A82" s="120"/>
      <c r="B82" s="120"/>
      <c r="C82" s="120"/>
      <c r="D82" s="120"/>
      <c r="E82" s="120"/>
      <c r="F82" s="120"/>
      <c r="G82" s="120"/>
      <c r="H82" s="120"/>
      <c r="I82" s="120"/>
      <c r="J82" s="120"/>
      <c r="K82" s="120"/>
      <c r="L82" s="120"/>
      <c r="M82" s="120"/>
      <c r="N82" s="120"/>
      <c r="O82" s="120"/>
      <c r="P82" s="120"/>
      <c r="Q82" s="120"/>
      <c r="R82" s="120"/>
      <c r="S82" s="120"/>
      <c r="T82" s="120"/>
      <c r="U82" s="120"/>
      <c r="V82" s="120"/>
      <c r="W82" s="120"/>
      <c r="X82" s="120"/>
      <c r="Y82" s="120"/>
      <c r="Z82" s="120"/>
      <c r="AA82" s="120"/>
      <c r="AB82" s="120"/>
      <c r="AC82" s="120"/>
      <c r="AD82" s="120"/>
      <c r="AE82" s="120"/>
    </row>
    <row r="83" spans="1:31" x14ac:dyDescent="0.3">
      <c r="A83" s="120"/>
      <c r="B83" s="120"/>
      <c r="C83" s="120"/>
      <c r="D83" s="120"/>
      <c r="E83" s="120"/>
      <c r="F83" s="120"/>
      <c r="G83" s="120"/>
      <c r="H83" s="120"/>
      <c r="I83" s="120"/>
      <c r="J83" s="120"/>
      <c r="K83" s="120"/>
      <c r="L83" s="120"/>
      <c r="M83" s="120"/>
      <c r="N83" s="120"/>
      <c r="O83" s="120"/>
      <c r="P83" s="120"/>
      <c r="Q83" s="120"/>
      <c r="R83" s="120"/>
      <c r="S83" s="120"/>
      <c r="T83" s="120"/>
      <c r="U83" s="120"/>
      <c r="V83" s="120"/>
      <c r="W83" s="120"/>
      <c r="X83" s="120"/>
      <c r="Y83" s="120"/>
      <c r="Z83" s="120"/>
      <c r="AA83" s="120"/>
      <c r="AB83" s="120"/>
      <c r="AC83" s="120"/>
      <c r="AD83" s="120"/>
      <c r="AE83" s="120"/>
    </row>
    <row r="84" spans="1:31" x14ac:dyDescent="0.3">
      <c r="A84" s="120"/>
      <c r="B84" s="120"/>
      <c r="C84" s="120"/>
      <c r="D84" s="120"/>
      <c r="E84" s="120"/>
      <c r="F84" s="120"/>
      <c r="G84" s="120"/>
      <c r="H84" s="120"/>
      <c r="I84" s="120"/>
      <c r="J84" s="120"/>
      <c r="K84" s="120"/>
      <c r="L84" s="120"/>
      <c r="M84" s="120"/>
      <c r="N84" s="120"/>
      <c r="O84" s="120"/>
      <c r="P84" s="120"/>
      <c r="Q84" s="120"/>
      <c r="R84" s="120"/>
      <c r="S84" s="120"/>
      <c r="T84" s="120"/>
      <c r="U84" s="120"/>
      <c r="V84" s="120"/>
      <c r="W84" s="120"/>
      <c r="X84" s="120"/>
      <c r="Y84" s="120"/>
      <c r="Z84" s="120"/>
      <c r="AA84" s="120"/>
      <c r="AB84" s="120"/>
      <c r="AC84" s="120"/>
      <c r="AD84" s="120"/>
      <c r="AE84" s="120"/>
    </row>
  </sheetData>
  <protectedRanges>
    <protectedRange sqref="J19:M29 C6:G15 C19:G29 C32:G41 C45:G54 C58:G67 J6:N15 N19:N28 J32:N41 J45:N54 J58:N67" name="Range1"/>
  </protectedRanges>
  <mergeCells count="12">
    <mergeCell ref="B2:G2"/>
    <mergeCell ref="I2:N2"/>
    <mergeCell ref="B56:F56"/>
    <mergeCell ref="I56:M56"/>
    <mergeCell ref="B30:F30"/>
    <mergeCell ref="I30:M30"/>
    <mergeCell ref="B4:F4"/>
    <mergeCell ref="I4:M4"/>
    <mergeCell ref="B17:F17"/>
    <mergeCell ref="I17:M17"/>
    <mergeCell ref="B43:F43"/>
    <mergeCell ref="I43:M43"/>
  </mergeCells>
  <dataValidations count="1">
    <dataValidation type="whole" operator="greaterThanOrEqual" allowBlank="1" showInputMessage="1" showErrorMessage="1" sqref="C32:F38 C29:G29 J14 J66 C14:F14 J19:M25 L66:M66 L53:M53 J53 L27:M27 G6:G13 L40:M40 C58:F64 L14:M14 J27 C53:F53 J29:M29 J40 G32:G39 J32:M38 G19:G26 J45:M51 J58:M64 G45:G52 G58:G65 C6:F12 C19:F25 C40:F40 C45:F51 C66:F66 J6:M12 N6:N13 N19:N26 N32:N39 N45:N52 N58:N65" xr:uid="{F9FB0E62-0FB3-4FA1-92AE-B4167ED497A3}">
      <formula1>0</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0FED8-EFF1-472E-958B-F5FEF34A5871}">
  <dimension ref="B1:F21"/>
  <sheetViews>
    <sheetView workbookViewId="0">
      <selection activeCell="C19" sqref="C19:F19"/>
    </sheetView>
  </sheetViews>
  <sheetFormatPr defaultColWidth="8.81640625" defaultRowHeight="12.5" x14ac:dyDescent="0.25"/>
  <cols>
    <col min="1" max="1" width="8.81640625" style="24"/>
    <col min="2" max="2" width="60" style="24" customWidth="1"/>
    <col min="3" max="6" width="17.453125" style="24" customWidth="1"/>
    <col min="7" max="16384" width="8.81640625" style="24"/>
  </cols>
  <sheetData>
    <row r="1" spans="2:6" x14ac:dyDescent="0.25">
      <c r="B1" s="253" t="s">
        <v>1487</v>
      </c>
      <c r="C1" s="253"/>
      <c r="D1" s="253"/>
      <c r="E1" s="253"/>
      <c r="F1" s="253"/>
    </row>
    <row r="2" spans="2:6" x14ac:dyDescent="0.25">
      <c r="B2" s="253"/>
      <c r="C2" s="253"/>
      <c r="D2" s="253"/>
      <c r="E2" s="253"/>
      <c r="F2" s="253"/>
    </row>
    <row r="3" spans="2:6" ht="15" x14ac:dyDescent="0.25">
      <c r="B3" s="25"/>
      <c r="C3" s="25"/>
      <c r="D3" s="25"/>
      <c r="E3" s="25"/>
      <c r="F3" s="25"/>
    </row>
    <row r="4" spans="2:6" ht="15" x14ac:dyDescent="0.25">
      <c r="B4" s="26" t="s">
        <v>1488</v>
      </c>
      <c r="C4" s="254" t="s">
        <v>1489</v>
      </c>
      <c r="D4" s="255"/>
      <c r="E4" s="255"/>
      <c r="F4" s="256"/>
    </row>
    <row r="5" spans="2:6" ht="15" x14ac:dyDescent="0.25">
      <c r="B5" s="26" t="s">
        <v>1490</v>
      </c>
      <c r="C5" s="257">
        <v>46143</v>
      </c>
      <c r="D5" s="258"/>
      <c r="E5" s="258"/>
      <c r="F5" s="258"/>
    </row>
    <row r="6" spans="2:6" ht="13" thickBot="1" x14ac:dyDescent="0.3"/>
    <row r="7" spans="2:6" ht="17.5" x14ac:dyDescent="0.25">
      <c r="B7" s="27" t="s">
        <v>1671</v>
      </c>
      <c r="C7" s="28" t="s">
        <v>1491</v>
      </c>
      <c r="D7" s="28" t="s">
        <v>1492</v>
      </c>
      <c r="E7" s="28" t="s">
        <v>1493</v>
      </c>
      <c r="F7" s="29" t="s">
        <v>1494</v>
      </c>
    </row>
    <row r="8" spans="2:6" ht="15" x14ac:dyDescent="0.25">
      <c r="B8" s="30" t="s">
        <v>1495</v>
      </c>
      <c r="C8" s="50">
        <f>COUNTIF('FOI 2025-26'!I2:I1787, "Apr")+COUNTIF('FOI 2025-26'!I2:I1787, "May")+COUNTIF('FOI 2025-26'!I2:I1787, "Jun")</f>
        <v>225</v>
      </c>
      <c r="D8" s="50">
        <f>COUNTIF('FOI 2025-26'!I2:I1787, "Jul")+COUNTIF('FOI 2025-26'!I2:I1787, "Aug")+COUNTIF('FOI 2025-26'!I2:I1787, "Sep")</f>
        <v>270</v>
      </c>
      <c r="E8" s="50">
        <f>COUNTIF('FOI 2025-26'!I2:I1787, "Oct")+COUNTIF('FOI 2025-26'!I2:I1787, "Nov")+COUNTIF('FOI 2025-26'!I2:I1787, "Dec")</f>
        <v>279</v>
      </c>
      <c r="F8" s="51">
        <f>COUNTIF('FOI 2025-26'!I2:I1787, "Jan")+COUNTIF('FOI 2025-26'!I2:I1787, "Feb")+COUNTIF('FOI 2025-26'!I2:I1787, "Mar")</f>
        <v>294</v>
      </c>
    </row>
    <row r="9" spans="2:6" ht="15" x14ac:dyDescent="0.25">
      <c r="B9" s="33" t="s">
        <v>1496</v>
      </c>
      <c r="C9" s="49">
        <f>COUNTIFS('FOI 2025-26'!R2:R1787, "In Progress", 'FOI 2025-26'!I2:I1787, "Apr")+COUNTIFS('FOI 2025-26'!R2:R1787, "In Progress", 'FOI 2025-26'!I2:I1787, "May")+COUNTIFS('FOI 2025-26'!R2:R1787, "In Progress", 'FOI 2025-26'!I2:I1787, "Jun")+COUNTIFS('FOI 2025-26'!R2:R1787, "Clarification Sought", 'FOI 2025-26'!I2:I1787, "Apr")+COUNTIFS('FOI 2025-26'!R2:R1787, "Clarification Sought", 'FOI 2025-26'!I2:I1787, "May")+COUNTIFS('FOI 2025-26'!R2:R1787, "Clarification Sought", 'FOI 2025-26'!I2:I1787, "Jun")</f>
        <v>0</v>
      </c>
      <c r="D9" s="49">
        <f>COUNTIFS('FOI 2025-26'!R2:R1787, "In Progress", 'FOI 2025-26'!I2:I1787, "Jul")+COUNTIFS('FOI 2025-26'!R2:R1787, "In Progress", 'FOI 2025-26'!I2:I1787, "Aug")+COUNTIFS('FOI 2025-26'!R2:R1787, "In Progress", 'FOI 2025-26'!I2:I1787, "Sep")+COUNTIFS('FOI 2025-26'!R2:R1787, "Clarification Sought", 'FOI 2025-26'!I2:I1787, "Jul")+COUNTIFS('FOI 2025-26'!R2:R1787, "Clarification Sought", 'FOI 2025-26'!I2:I1787, "Aug")+COUNTIFS('FOI 2025-26'!R2:R1787, "Clarification Sought", 'FOI 2025-26'!I2:I1787, "Sep")</f>
        <v>0</v>
      </c>
      <c r="E9" s="49">
        <f>COUNTIFS('FOI 2025-26'!R2:R1787, "In Progress", 'FOI 2025-26'!I2:I1787, "Oct")+COUNTIFS('FOI 2025-26'!R2:R1787, "In Progress", 'FOI 2025-26'!I2:I1787, "Nov")+COUNTIFS('FOI 2025-26'!R2:R1787, "In Progress", 'FOI 2025-26'!I2:I1787, "Dec")+COUNTIFS('FOI 2025-26'!R2:R1787, "Clarification Sought", 'FOI 2025-26'!I2:I1787, "Oct")+COUNTIFS('FOI 2025-26'!R2:R1787, "Clarification Sought", 'FOI 2025-26'!I2:I1787, "Nov")+COUNTIFS('FOI 2025-26'!R2:R1787, "Clarification Sought", 'FOI 2025-26'!I2:I1787, "Dec")</f>
        <v>4</v>
      </c>
      <c r="F9" s="83">
        <f>COUNTIFS('FOI 2025-26'!R2:R1787, "In Progress", 'FOI 2025-26'!I2:I1787, "Jan")+COUNTIFS('FOI 2025-26'!R2:R1787, "In Progress", 'FOI 2025-26'!I2:I1787, "Feb")+COUNTIFS('FOI 2025-26'!R2:R1787, "In Progress", 'FOI 2025-26'!I2:I1787, "Mar")+COUNTIFS('FOI 2025-26'!R2:R1787, "Clarification Sought", 'FOI 2025-26'!I2:I1787, "Jan")+COUNTIFS('FOI 2025-26'!R2:R1787, "Clarification Sought", 'FOI 2025-26'!I2:I1787, "Feb")+COUNTIFS('FOI 2025-26'!R2:R1787, "Clarification Sought", 'FOI 2025-26'!I2:I1787, "Mar")</f>
        <v>5</v>
      </c>
    </row>
    <row r="10" spans="2:6" ht="30" x14ac:dyDescent="0.25">
      <c r="B10" s="30" t="s">
        <v>1497</v>
      </c>
      <c r="C10" s="34">
        <v>0</v>
      </c>
      <c r="D10" s="34">
        <v>0</v>
      </c>
      <c r="E10" s="34">
        <v>0</v>
      </c>
      <c r="F10" s="35">
        <v>0</v>
      </c>
    </row>
    <row r="11" spans="2:6" ht="30" x14ac:dyDescent="0.25">
      <c r="B11" s="36" t="s">
        <v>1498</v>
      </c>
      <c r="C11" s="37">
        <v>0</v>
      </c>
      <c r="D11" s="37">
        <v>0</v>
      </c>
      <c r="E11" s="37">
        <v>0</v>
      </c>
      <c r="F11" s="38">
        <v>0</v>
      </c>
    </row>
    <row r="12" spans="2:6" ht="15" x14ac:dyDescent="0.25">
      <c r="B12" s="30" t="s">
        <v>1499</v>
      </c>
      <c r="C12" s="50">
        <f>COUNTIFS('FOI 2025-26'!R2:R1787, "Complete", 'FOI 2025-26'!I2:I1787, "Apr")+COUNTIFS('FOI 2025-26'!R2:R1787, "Complete", 'FOI 2025-26'!I2:I1787, "May")+COUNTIFS('FOI 2025-26'!R2:R1787, "Complete", 'FOI 2025-26'!I2:I1787, "Jun")</f>
        <v>220</v>
      </c>
      <c r="D12" s="50">
        <f>COUNTIFS('FOI 2025-26'!R2:R1787, "Complete", 'FOI 2025-26'!I2:I1787, "Jul")+COUNTIFS('FOI 2025-26'!R2:R1787, "Complete", 'FOI 2025-26'!I2:I1787, "Aug")+COUNTIFS('FOI 2025-26'!R2:R1787, "Complete", 'FOI 2025-26'!I2:I1787, "Sep")</f>
        <v>268</v>
      </c>
      <c r="E12" s="50">
        <f>COUNTIFS('FOI 2025-26'!R2:R1787, "Complete", 'FOI 2025-26'!I2:I1787, "Oct")+COUNTIFS('FOI 2025-26'!R2:R1787, "Complete", 'FOI 2025-26'!I2:I1787, "Nov")+COUNTIFS('FOI 2025-26'!R2:R1787, "Complete", 'FOI 2025-26'!I2:I1787, "Dec")</f>
        <v>271</v>
      </c>
      <c r="F12" s="51">
        <f>COUNTIFS('FOI 2025-26'!R2:R1787, "Complete", 'FOI 2025-26'!I2:I1787, "Jan")+COUNTIFS('FOI 2025-26'!R2:R1787, "Complete", 'FOI 2025-26'!I2:I1787, "Feb")+COUNTIFS('FOI 2025-26'!R2:R1787, "Complete", 'FOI 2025-26'!I2:I1787, "Mar")</f>
        <v>286</v>
      </c>
    </row>
    <row r="13" spans="2:6" ht="15" x14ac:dyDescent="0.25">
      <c r="B13" s="39" t="s">
        <v>1500</v>
      </c>
      <c r="C13" s="84">
        <f>COUNTIFS('FOI 2025-26'!O2:O1787, "Yes", 'FOI 2025-26'!I2:I1787, "Apr")+COUNTIFS('FOI 2025-26'!O2:O1787, "Yes", 'FOI 2025-26'!I2:I1787, "May")+COUNTIFS('FOI 2025-26'!O2:O1787, "Yes", 'FOI 2025-26'!I2:I1787, "Jun")</f>
        <v>213</v>
      </c>
      <c r="D13" s="84">
        <f>COUNTIFS('FOI 2025-26'!O2:O1787, "Yes", 'FOI 2025-26'!I2:I1787, "Jul")+COUNTIFS('FOI 2025-26'!O2:O1787, "Yes", 'FOI 2025-26'!I2:I1787, "Aug")+COUNTIFS('FOI 2025-26'!O2:O1787, "Yes", 'FOI 2025-26'!I2:I1787, "Sep")</f>
        <v>244</v>
      </c>
      <c r="E13" s="84">
        <f>COUNTIFS('FOI 2025-26'!O2:O1787, "Yes", 'FOI 2025-26'!I2:I1787, "Oct")+COUNTIFS('FOI 2025-26'!O2:O1787, "Yes", 'FOI 2025-26'!I2:I1787, "Nov")+COUNTIFS('FOI 2025-26'!O2:O1787, "Yes", 'FOI 2025-26'!I2:I1787, "Dec")</f>
        <v>255</v>
      </c>
      <c r="F13" s="85">
        <f>COUNTIFS('FOI 2025-26'!O2:O1787, "Yes", 'FOI 2025-26'!I2:I1787, "Jan")+COUNTIFS('FOI 2025-26'!O2:O1787, "Yes", 'FOI 2025-26'!I2:I1787, "Feb")+COUNTIFS('FOI 2025-26'!O2:O1787, "Yes", 'FOI 2025-26'!I2:I1787, "Mar")</f>
        <v>268</v>
      </c>
    </row>
    <row r="14" spans="2:6" ht="15" x14ac:dyDescent="0.25">
      <c r="B14" s="30" t="s">
        <v>1501</v>
      </c>
      <c r="C14" s="31">
        <v>0</v>
      </c>
      <c r="D14" s="31">
        <v>0</v>
      </c>
      <c r="E14" s="31">
        <v>0</v>
      </c>
      <c r="F14" s="32">
        <v>0</v>
      </c>
    </row>
    <row r="15" spans="2:6" ht="15" x14ac:dyDescent="0.25">
      <c r="B15" s="33" t="s">
        <v>1502</v>
      </c>
      <c r="C15" s="49">
        <f>COUNTIFS('FOI 2025-26'!O2:O1787, "No", 'FOI 2025-26'!I2:I1787, "Apr")+COUNTIFS('FOI 2025-26'!O2:O1787, "No", 'FOI 2025-26'!I2:I1787, "May")+COUNTIFS('FOI 2025-26'!O2:O1787, "No", 'FOI 2025-26'!I2:I1787, "Jun")</f>
        <v>7</v>
      </c>
      <c r="D15" s="49">
        <f>COUNTIFS('FOI 2025-26'!O2:O1787, "No", 'FOI 2025-26'!I2:I1787, "Jul")+COUNTIFS('FOI 2025-26'!O2:O1787, "No", 'FOI 2025-26'!I2:I1787, "Aug")+COUNTIFS('FOI 2025-26'!O2:O1787, "No", 'FOI 2025-26'!I2:I1787, "Sep")</f>
        <v>24</v>
      </c>
      <c r="E15" s="49">
        <f>COUNTIFS('FOI 2025-26'!O2:O1787, "No", 'FOI 2025-26'!I2:I1787, "Oct")+COUNTIFS('FOI 2025-26'!O2:O1787, "No", 'FOI 2025-26'!I2:I1787, "Nov")+COUNTIFS('FOI 2025-26'!O2:O1787, "No", 'FOI 2025-26'!I2:I1787, "Dec")</f>
        <v>16</v>
      </c>
      <c r="F15" s="83">
        <f>COUNTIFS('FOI 2025-26'!O2:O1787, "No", 'FOI 2025-26'!I2:I1787, "Jan")+COUNTIFS('FOI 2025-26'!O2:O1787, "No", 'FOI 2025-26'!I2:I1787, "Feb")+COUNTIFS('FOI 2025-26'!O2:O1787, "No", 'FOI 2025-26'!I2:I1787, "Mar")</f>
        <v>18</v>
      </c>
    </row>
    <row r="16" spans="2:6" ht="30" x14ac:dyDescent="0.25">
      <c r="B16" s="30" t="s">
        <v>1503</v>
      </c>
      <c r="C16" s="50">
        <f>COUNTIFS('FOI 2025-26'!T2:T1787, "Full disclosure", 'FOI 2025-26'!I2:I1787, "Apr")+COUNTIFS('FOI 2025-26'!T2:T1787, "Full disclosure", 'FOI 2025-26'!I2:I1787, "May")+COUNTIFS('FOI 2025-26'!T2:T1787, "Full disclosure", 'FOI 2025-26'!I2:I1787, "Jun")</f>
        <v>151</v>
      </c>
      <c r="D16" s="50">
        <f>COUNTIFS('FOI 2025-26'!T2:T1787, "Full disclosure", 'FOI 2025-26'!I2:I1787, "Jul")+COUNTIFS('FOI 2025-26'!T2:T1787, "Full disclosure", 'FOI 2025-26'!I2:I1787, "Aug")+COUNTIFS('FOI 2025-26'!T2:T1787, "Full disclosure", 'FOI 2025-26'!I2:I1787, "Sep")</f>
        <v>189</v>
      </c>
      <c r="E16" s="50">
        <f>COUNTIFS('FOI 2025-26'!T2:T1787, "Full disclosure", 'FOI 2025-26'!I2:I1787, "Oct")+COUNTIFS('FOI 2025-26'!T2:T1787, "Full disclosure", 'FOI 2025-26'!I2:I1787, "Nov")+COUNTIFS('FOI 2025-26'!T2:T1787, "Full disclosure", 'FOI 2025-26'!I2:I1787, "Dec")</f>
        <v>206</v>
      </c>
      <c r="F16" s="51">
        <f>COUNTIFS('FOI 2025-26'!T2:T1787, "Full disclosure", 'FOI 2025-26'!I2:I1787, "Jan")+COUNTIFS('FOI 2025-26'!T2:T1787, "Full disclosure", 'FOI 2025-26'!I2:I1787, "Feb")+COUNTIFS('FOI 2025-26'!T2:T1787, "Full disclosure", 'FOI 2025-26'!I2:I1787, "Mar")</f>
        <v>214</v>
      </c>
    </row>
    <row r="17" spans="2:6" ht="30" x14ac:dyDescent="0.25">
      <c r="B17" s="33" t="s">
        <v>1504</v>
      </c>
      <c r="C17" s="49">
        <f>COUNTIFS('FOI 2025-26'!T2:T1787, "Refused", 'FOI 2025-26'!I2:I1787, "Apr")+COUNTIFS('FOI 2025-26'!T2:T1787, "Refused", 'FOI 2025-26'!I2:I1787, "May")+COUNTIFS('FOI 2025-26'!T2:T1787, "Refused", 'FOI 2025-26'!I2:I1787, "Jun")</f>
        <v>10</v>
      </c>
      <c r="D17" s="49">
        <f>COUNTIFS('FOI 2025-26'!T2:T1787, "Refused", 'FOI 2025-26'!I2:I1787, "Jul")+COUNTIFS('FOI 2025-26'!T2:T1787, "Refused", 'FOI 2025-26'!I2:I1787, "Aug")+COUNTIFS('FOI 2025-26'!T2:T1787, "Refused", 'FOI 2025-26'!I2:I1787, "Sep")</f>
        <v>31</v>
      </c>
      <c r="E17" s="49">
        <f>COUNTIFS('FOI 2025-26'!T2:T1787, "Refused", 'FOI 2025-26'!I2:I1787, "Oct")+COUNTIFS('FOI 2025-26'!T2:T1787, "Refused", 'FOI 2025-26'!I2:I1787, "Nov")+COUNTIFS('FOI 2025-26'!T2:T1787, "Refused", 'FOI 2025-26'!I2:I1787, "Dec")</f>
        <v>24</v>
      </c>
      <c r="F17" s="83">
        <f>COUNTIFS('FOI 2025-26'!T2:T1787, "Refused", 'FOI 2025-26'!I2:I1787, "Jan")+COUNTIFS('FOI 2025-26'!T2:T1787, "Refused", 'FOI 2025-26'!I2:I1787, "Feb")+COUNTIFS('FOI 2025-26'!T2:T1787, "Refused", 'FOI 2025-26'!I2:I1787, "Mar")</f>
        <v>10</v>
      </c>
    </row>
    <row r="18" spans="2:6" ht="30" x14ac:dyDescent="0.25">
      <c r="B18" s="30" t="s">
        <v>1505</v>
      </c>
      <c r="C18" s="50">
        <f>COUNTIFS('FOI 2025-26'!T2:T1787, "Partial disclosure", 'FOI 2025-26'!I2:I1787, "Apr")+COUNTIFS('FOI 2025-26'!T2:T1787, "Partial disclosure", 'FOI 2025-26'!I2:I1787, "May")+COUNTIFS('FOI 2025-26'!T2:T1787, "Partial disclosure", 'FOI 2025-26'!I2:I1787, "Jun")</f>
        <v>46</v>
      </c>
      <c r="D18" s="50">
        <f>COUNTIFS('FOI 2025-26'!T2:T1787, "Partial disclosure", 'FOI 2025-26'!I2:I1787, "Jul")+COUNTIFS('FOI 2025-26'!T2:T1787, "Partial disclosure", 'FOI 2025-26'!I2:I1787, "Aug")+COUNTIFS('FOI 2025-26'!T2:T1787, "Partial disclosure", 'FOI 2025-26'!I2:I1787, "Sep")</f>
        <v>25</v>
      </c>
      <c r="E18" s="50">
        <f>COUNTIFS('FOI 2025-26'!T2:T1787, "Partial disclosure", 'FOI 2025-26'!I2:I1787, "Oct")+COUNTIFS('FOI 2025-26'!T2:T1787, "Partial disclosure", 'FOI 2025-26'!I2:I1787, "Nov")+COUNTIFS('FOI 2025-26'!T2:T1787, "Partial disclosure", 'FOI 2025-26'!I2:I1787, "Dec")</f>
        <v>21</v>
      </c>
      <c r="F18" s="51">
        <f>COUNTIFS('FOI 2025-26'!T2:T1787, "Partial disclosure", 'FOI 2025-26'!I2:I1787, "Jan")+COUNTIFS('FOI 2025-26'!T2:T1787, "Partial disclosure", 'FOI 2025-26'!I2:I1787, "Feb")+COUNTIFS('FOI 2025-26'!T2:T1787, "Partial disclosure", 'FOI 2025-26'!I2:I1787, "Mar")</f>
        <v>25</v>
      </c>
    </row>
    <row r="19" spans="2:6" ht="15" x14ac:dyDescent="0.25">
      <c r="B19" s="33" t="s">
        <v>1506</v>
      </c>
      <c r="C19" s="49">
        <f>COUNTIFS('Internal Review'!C2:C48, "Apr")+COUNTIFS('Internal Review'!C2:C48, "May")+COUNTIFS('Internal Review'!C2:C48, "Jun")</f>
        <v>7</v>
      </c>
      <c r="D19" s="49">
        <f>COUNTIFS('Internal Review'!C2:C48, "Jul")+COUNTIFS('Internal Review'!C2:C48, "Aug")+COUNTIFS('Internal Review'!C2:C48, "Sep")</f>
        <v>9</v>
      </c>
      <c r="E19" s="49">
        <f>COUNTIFS('Internal Review'!C2:C48, "Oct")+COUNTIFS('Internal Review'!C2:C48, "Nov")+COUNTIFS('Internal Review'!C2:C48, "Dec")</f>
        <v>13</v>
      </c>
      <c r="F19" s="83">
        <f>COUNTIFS('Internal Review'!C2:C48, "Jan")+COUNTIFS('Internal Review'!C2:C48, "Feb")+COUNTIFS('Internal Review'!C2:C48, "Mar")</f>
        <v>11</v>
      </c>
    </row>
    <row r="20" spans="2:6" ht="15" x14ac:dyDescent="0.25">
      <c r="B20" s="30" t="s">
        <v>1507</v>
      </c>
      <c r="C20" s="86">
        <f>COUNTIFS('FOI 2025-26'!R2:R1787, "Clarification Sought", 'FOI 2025-26'!I2:I1787, "Apr")+COUNTIFS('FOI 2025-26'!R2:R1787, "Clarification Sought", 'FOI 2025-26'!I2:I1787, "May")+COUNTIFS('FOI 2025-26'!R2:R1787, "Clarification Sought", 'FOI 2025-26'!I2:I1787, "Jun")</f>
        <v>0</v>
      </c>
      <c r="D20" s="86">
        <f>COUNTIFS('FOI 2025-26'!R2:R1787, "Clarification Sought", 'FOI 2025-26'!I2:I1787, "Jul")+COUNTIFS('FOI 2025-26'!R2:R1787, "Clarification Sought", 'FOI 2025-26'!I2:I1787, "Aug")+COUNTIFS('FOI 2025-26'!R2:R1787, "Clarification Sought", 'FOI 2025-26'!I2:I1787, "Sep")</f>
        <v>0</v>
      </c>
      <c r="E20" s="86">
        <f>COUNTIFS('FOI 2025-26'!R2:R1787, "Clarification Sought", 'FOI 2025-26'!I2:I1787, "Oct")+COUNTIFS('FOI 2025-26'!R2:R1787, "Clarification Sought", 'FOI 2025-26'!I2:I1787, "Nov")+COUNTIFS('FOI 2025-26'!R2:R1787, "Clarification Sought", 'FOI 2025-26'!I2:I1787, "Dec")</f>
        <v>0</v>
      </c>
      <c r="F20" s="87">
        <f>COUNTIFS('FOI 2025-26'!R2:R1787, "Clarification Sought", 'FOI 2025-26'!I2:I1787, "Jan")+COUNTIFS('FOI 2025-26'!R2:R1787, "Clarification Sought", 'FOI 2025-26'!I2:I1787, "Feb")+COUNTIFS('FOI 2025-26'!R2:R1787, "Clarification Sought", 'FOI 2025-26'!I2:I1787, "Mar")</f>
        <v>0</v>
      </c>
    </row>
    <row r="21" spans="2:6" ht="15.5" thickBot="1" x14ac:dyDescent="0.3">
      <c r="B21" s="40" t="s">
        <v>1508</v>
      </c>
      <c r="C21" s="41">
        <v>0</v>
      </c>
      <c r="D21" s="41">
        <v>0</v>
      </c>
      <c r="E21" s="41">
        <v>0</v>
      </c>
      <c r="F21" s="42">
        <v>0</v>
      </c>
    </row>
  </sheetData>
  <protectedRanges>
    <protectedRange sqref="C4:F5" name="Range2"/>
    <protectedRange sqref="C8:F21" name="Range1"/>
  </protectedRanges>
  <mergeCells count="3">
    <mergeCell ref="B1:F2"/>
    <mergeCell ref="C4:F4"/>
    <mergeCell ref="C5:F5"/>
  </mergeCells>
  <dataValidations count="18">
    <dataValidation allowBlank="1" showInputMessage="1" showErrorMessage="1" promptTitle="Definition" prompt="All requests that remain open because you applied the public interest test to extend the time limit. Inlcude requests received during or before the period" sqref="B10" xr:uid="{BFB6EDDF-E213-45C8-B39D-9E64120F8C4D}"/>
    <dataValidation allowBlank="1" showInputMessage="1" showErrorMessage="1" promptTitle="Definition" prompt="All requests that remain open, including any subject to a permitted extension. Include requests received during the period" sqref="B9" xr:uid="{7536A132-A6EB-4C09-B0F4-443DC4319F12}"/>
    <dataValidation type="whole" operator="greaterThanOrEqual" allowBlank="1" showInputMessage="1" showErrorMessage="1" sqref="C8:F21" xr:uid="{CB2BEBCC-698B-4FBC-B2CF-83675DBD7313}">
      <formula1>0</formula1>
    </dataValidation>
    <dataValidation allowBlank="1" showInputMessage="1" showErrorMessage="1" promptTitle="Definition" prompt="EIR only. All EIR requests which remain open at the end of the period due to the application of a permitted extension accounting for the complexity or volume of the request. This should include all requests received within and prior to the period." sqref="B11" xr:uid="{80370187-0295-424D-A619-FF9CDBED9772}"/>
    <dataValidation allowBlank="1" showInputMessage="1" showErrorMessage="1" promptTitle="Definition" prompt="EIR only. All EIR requests which remain open at the end of the period due to the application a permitted extension accounting for the complexity or volume of the request. This should include all requests received within and prior to the period." sqref="B11" xr:uid="{787BB881-D843-4194-9686-6855E62583D0}"/>
    <dataValidation allowBlank="1" showInputMessage="1" showErrorMessage="1" promptTitle="Definition" prompt="All requests you closed using a permitted extension. Include requests opened during and before the period" sqref="B14" xr:uid="{EE97B50F-3B3E-46E5-85C0-18A83229E725}"/>
    <dataValidation allowBlank="1" showInputMessage="1" showErrorMessage="1" promptTitle="Definition" prompt="All requests that remain open because the request is on hold, awaiting requestor clarification. Include requests received during and before the period" sqref="B20" xr:uid="{22059FC3-73F0-4053-8ABB-6C2B72CB7207}"/>
    <dataValidation allowBlank="1" showInputMessage="1" showErrorMessage="1" promptTitle="Definition" prompt="All requests that remain open because the request is on hold, awaiting payment of a fee. Include requests received during and before the period" sqref="B21" xr:uid="{8A0D2787-25CA-4570-BE21-6D9FC581E699}"/>
    <dataValidation allowBlank="1" showInputMessage="1" showErrorMessage="1" promptTitle="Definition" prompt="All requests that remain open because you applied the public interest test to extend the time limit. Include requests received during and before the period" sqref="B10" xr:uid="{9897D69B-5501-4E49-8A13-0C644190FD84}"/>
    <dataValidation allowBlank="1" showInputMessage="1" showErrorMessage="1" promptTitle="Definition" prompt="All requests that resulted in you opening an internal review. Include reviews received during the period" sqref="B19" xr:uid="{8F3234E2-4C20-410C-805F-E4B1D558EF44}"/>
    <dataValidation allowBlank="1" showInputMessage="1" showErrorMessage="1" promptTitle="Definition" prompt="All requests you closed and partially provided information. Include requests opened during or before the period" sqref="B18" xr:uid="{3F2D2ED1-82C8-4FB1-8B63-A91871158CB6}"/>
    <dataValidation allowBlank="1" showInputMessage="1" showErrorMessage="1" promptTitle="Definition" prompt="All requests you closed and provided all information. Include requests opened during and before the period" sqref="B16" xr:uid="{99A4D399-9D98-4A4D-9A5F-CD6661A11838}"/>
    <dataValidation allowBlank="1" showInputMessage="1" showErrorMessage="1" promptTitle="Definition" prompt="All requests you closed and withheld all information. Include requests opened during and before the period" sqref="B17" xr:uid="{73B6AB85-F2E5-4C7D-A5DA-ABC68CDEA18E}"/>
    <dataValidation allowBlank="1" showInputMessage="1" showErrorMessage="1" promptTitle="Definition" prompt="All requests you closed outside the statutory deadline, including all requests you closed in over 20 working days and beyond the reasonable limits of a permitted extension. Include requests opened during and before the period" sqref="B15" xr:uid="{05739AEF-695B-4874-8027-3FF836AEC4B9}"/>
    <dataValidation allowBlank="1" showInputMessage="1" showErrorMessage="1" promptTitle="Definition" prompt="All requests you closed within the statutory 20 working day deadline or those you completed under permitted extensions, where appropriate. Include requests opened during and before the period" sqref="B13" xr:uid="{75A93D9B-6CFA-4563-97B4-7F317E8C8579}"/>
    <dataValidation allowBlank="1" showInputMessage="1" showErrorMessage="1" promptTitle="Definition" prompt="All requests you closed, including withdrawn requests. Include requests opened during and before the period" sqref="B12" xr:uid="{0BB2C79E-D697-4907-A3A4-B2E16A54A768}"/>
    <dataValidation allowBlank="1" showInputMessage="1" showErrorMessage="1" promptTitle="Definition" prompt="All EIR requests that remain open because you applied a permitted extension due to the complexity or volume of the request. Include requests received during and before the period " sqref="B11" xr:uid="{B068C142-CEB0-466E-9FFB-EDE0B204AD18}"/>
    <dataValidation allowBlank="1" showInputMessage="1" showErrorMessage="1" promptTitle="Definition" prompt="All valid requests, including all processed and unprocessed requests. Do not include information requests that you have not responded to under FOIA (eg business as usual or subject access). Include requests received during the period" sqref="B8" xr:uid="{B2BCEBD7-A78B-4822-ACA7-418177B5B8DE}"/>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37A73-63EA-4BB5-8F42-B8CE0E3F8C96}">
  <dimension ref="B1:I35"/>
  <sheetViews>
    <sheetView showGridLines="0" workbookViewId="0">
      <selection activeCell="G7" sqref="G7:G8"/>
    </sheetView>
  </sheetViews>
  <sheetFormatPr defaultColWidth="8.81640625" defaultRowHeight="12.5" x14ac:dyDescent="0.25"/>
  <cols>
    <col min="1" max="1" width="8.81640625" style="44"/>
    <col min="2" max="2" width="48.81640625" style="44" customWidth="1"/>
    <col min="3" max="4" width="17.453125" style="44" customWidth="1"/>
    <col min="5" max="5" width="17.453125" style="56" customWidth="1"/>
    <col min="6" max="6" width="17.453125" style="44" customWidth="1"/>
    <col min="7" max="7" width="11.08984375" style="44" customWidth="1"/>
    <col min="8" max="9" width="41.453125" style="44" customWidth="1"/>
    <col min="10" max="16384" width="8.81640625" style="44"/>
  </cols>
  <sheetData>
    <row r="1" spans="2:9" ht="20" x14ac:dyDescent="0.25">
      <c r="B1" s="259" t="s">
        <v>1509</v>
      </c>
      <c r="C1" s="259"/>
      <c r="D1" s="259"/>
      <c r="E1" s="259"/>
      <c r="F1" s="259"/>
      <c r="G1" s="43"/>
      <c r="H1" s="43"/>
      <c r="I1" s="43"/>
    </row>
    <row r="2" spans="2:9" ht="20" x14ac:dyDescent="0.25">
      <c r="B2" s="259"/>
      <c r="C2" s="259"/>
      <c r="D2" s="259"/>
      <c r="E2" s="259"/>
      <c r="F2" s="259"/>
      <c r="G2" s="43"/>
      <c r="H2" s="43"/>
      <c r="I2" s="43"/>
    </row>
    <row r="3" spans="2:9" ht="20" x14ac:dyDescent="0.25">
      <c r="B3" s="45"/>
      <c r="C3" s="45"/>
      <c r="D3" s="45"/>
      <c r="E3" s="45"/>
      <c r="F3" s="45"/>
      <c r="G3" s="43"/>
      <c r="H3" s="43"/>
      <c r="I3" s="43"/>
    </row>
    <row r="4" spans="2:9" ht="20" x14ac:dyDescent="0.25">
      <c r="B4" s="26" t="s">
        <v>1488</v>
      </c>
      <c r="C4" s="254" t="s">
        <v>1489</v>
      </c>
      <c r="D4" s="255"/>
      <c r="E4" s="255"/>
      <c r="F4" s="256"/>
      <c r="G4" s="43"/>
      <c r="H4" s="43"/>
      <c r="I4" s="43"/>
    </row>
    <row r="5" spans="2:9" ht="20" x14ac:dyDescent="0.25">
      <c r="B5" s="26" t="s">
        <v>1490</v>
      </c>
      <c r="C5" s="257">
        <v>46143</v>
      </c>
      <c r="D5" s="258"/>
      <c r="E5" s="258"/>
      <c r="F5" s="258"/>
      <c r="G5" s="43"/>
      <c r="H5" s="43"/>
      <c r="I5" s="43"/>
    </row>
    <row r="6" spans="2:9" ht="20.5" thickBot="1" x14ac:dyDescent="0.3">
      <c r="B6" s="45"/>
      <c r="C6" s="45"/>
      <c r="D6" s="45"/>
      <c r="E6" s="45"/>
      <c r="F6" s="45"/>
      <c r="G6" s="43"/>
      <c r="H6" s="43"/>
      <c r="I6" s="43"/>
    </row>
    <row r="7" spans="2:9" ht="17.5" x14ac:dyDescent="0.25">
      <c r="B7" s="46" t="s">
        <v>1671</v>
      </c>
      <c r="C7" s="47" t="s">
        <v>1491</v>
      </c>
      <c r="D7" s="47" t="s">
        <v>1492</v>
      </c>
      <c r="E7" s="47" t="s">
        <v>1493</v>
      </c>
      <c r="F7" s="239" t="s">
        <v>1494</v>
      </c>
      <c r="G7" s="241" t="s">
        <v>1910</v>
      </c>
      <c r="H7" s="48"/>
      <c r="I7" s="48"/>
    </row>
    <row r="8" spans="2:9" ht="17.5" x14ac:dyDescent="0.25">
      <c r="B8" s="30" t="s">
        <v>1510</v>
      </c>
      <c r="C8" s="119">
        <f>'Key data collection'!C13/'Key data collection'!C12*100%</f>
        <v>0.96818181818181814</v>
      </c>
      <c r="D8" s="119">
        <f>'Key data collection'!D13/'Key data collection'!D12*100%</f>
        <v>0.91044776119402981</v>
      </c>
      <c r="E8" s="119">
        <f>'Key data collection'!E13/'Key data collection'!E12*100%</f>
        <v>0.94095940959409596</v>
      </c>
      <c r="F8" s="240">
        <f>'Key data collection'!F13/'Key data collection'!F12*100%</f>
        <v>0.93706293706293708</v>
      </c>
      <c r="G8" s="242">
        <f>AVERAGE(C8:F8)</f>
        <v>0.9391629815082202</v>
      </c>
      <c r="H8" s="233">
        <f>AVERAGE(C8:G8)</f>
        <v>0.93916298150822031</v>
      </c>
      <c r="I8" s="48"/>
    </row>
    <row r="9" spans="2:9" ht="17.5" x14ac:dyDescent="0.25">
      <c r="B9" s="33" t="s">
        <v>1495</v>
      </c>
      <c r="C9" s="49">
        <f>'Key data collection'!C8</f>
        <v>225</v>
      </c>
      <c r="D9" s="49">
        <f>'Key data collection'!D8</f>
        <v>270</v>
      </c>
      <c r="E9" s="49">
        <f>'Key data collection'!E8</f>
        <v>279</v>
      </c>
      <c r="F9" s="49">
        <f>'Key data collection'!F8</f>
        <v>294</v>
      </c>
      <c r="H9" s="48"/>
      <c r="I9" s="48"/>
    </row>
    <row r="10" spans="2:9" ht="17.5" x14ac:dyDescent="0.25">
      <c r="B10" s="30" t="s">
        <v>1511</v>
      </c>
      <c r="C10" s="50">
        <f>COUNTIF('EIR 2025-26'!J2:J1997, "Apr")+COUNTIF('EIR 2025-26'!J2:J1997, "May")+COUNTIF('EIR 2025-26'!J2:J1997, "Jun")</f>
        <v>106</v>
      </c>
      <c r="D10" s="50">
        <f>COUNTIF('EIR 2025-26'!J2:J1997, "Jul")+COUNTIF('EIR 2025-26'!J2:J1997, "Aug")+COUNTIF('EIR 2025-26'!J2:J1997, "Sep")</f>
        <v>90</v>
      </c>
      <c r="E10" s="50">
        <f>COUNTIF('EIR 2025-26'!J2:J1997, "Oct")+COUNTIF('EIR 2025-26'!J2:J1997, "Nov")+COUNTIF('EIR 2025-26'!J2:J1997, "Dec")</f>
        <v>59</v>
      </c>
      <c r="F10" s="51">
        <f>COUNTIF('EIR 2025-26'!J2:J1997, "Jan")+COUNTIF('EIR 2025-26'!J2:J1997, "Feb")+COUNTIF('EIR 2025-26'!J2:J1997, "Mar")</f>
        <v>86</v>
      </c>
      <c r="H10" s="48"/>
      <c r="I10" s="48"/>
    </row>
    <row r="11" spans="2:9" ht="15" x14ac:dyDescent="0.25">
      <c r="B11" s="33" t="s">
        <v>1512</v>
      </c>
      <c r="C11" s="88">
        <f ca="1">COUNTIFS('EIR 2025-26'!K2:K1997, "&lt;0", 'EIR 2025-26'!J2:J1997, "Apr")+COUNTIFS('EIR 2025-26'!K2:K1997, "&lt;0", 'EIR 2025-26'!J2:J1997, "May")+COUNTIFS('EIR 2025-26'!K2:K1997, "&lt;0", 'EIR 2025-26'!J2:J1997, "Jun")+COUNTIFS('FOI 2025-26'!J2:J1787, "&lt;0", 'FOI 2025-26'!I2:I1787, "Apr")+COUNTIFS('FOI 2025-26'!J2:J1787, "&lt;0", 'FOI 2025-26'!I2:I1787, "May")+COUNTIFS('FOI 2025-26'!J2:J1787, "&lt;0", 'FOI 2025-26'!I2:I1787, "Jun")</f>
        <v>0</v>
      </c>
      <c r="D11" s="88">
        <f ca="1">COUNTIFS('EIR 2025-26'!K2:K1997, "&lt;0", 'EIR 2025-26'!J2:J1997, "Jul")+COUNTIFS('EIR 2025-26'!K2:K1997, "&lt;0", 'EIR 2025-26'!J2:J1997, "Aug")+COUNTIFS('EIR 2025-26'!K2:K1997, "&lt;0", 'EIR 2025-26'!J2:J1997, "Sep")+COUNTIFS('FOI 2025-26'!J2:J1787, "&lt;0", 'FOI 2025-26'!I2:I1787, "Jul")+COUNTIFS('FOI 2025-26'!J2:J1787, "&lt;0", 'FOI 2025-26'!I2:I1787, "Aug")+COUNTIFS('FOI 2025-26'!J2:J1787, "&lt;0", 'FOI 2025-26'!I2:I1787, "Sep")</f>
        <v>0</v>
      </c>
      <c r="E11" s="88">
        <f ca="1">COUNTIFS('EIR 2025-26'!K2:K1997, "&lt;0", 'EIR 2025-26'!J2:J1997, "Oct")+COUNTIFS('EIR 2025-26'!K2:K1997, "&lt;0", 'EIR 2025-26'!J2:J1997, "Nov")+COUNTIFS('EIR 2025-26'!K2:K1997, "&lt;0", 'EIR 2025-26'!J2:J1997, "Dec")+COUNTIFS('FOI 2025-26'!J2:J1787, "&lt;0", 'FOI 2025-26'!I2:I1787, "Oct")+COUNTIFS('FOI 2025-26'!J2:J1787, "&lt;0", 'FOI 2025-26'!I2:I1787, "Nov")+COUNTIFS('FOI 2025-26'!J2:J1787, "&lt;0", 'FOI 2025-26'!I2:I1787, "Dec")</f>
        <v>4</v>
      </c>
      <c r="F11" s="89">
        <f ca="1">COUNTIFS('EIR 2025-26'!K2:K1997, "&lt;0", 'EIR 2025-26'!J2:J1997, "Jan")+COUNTIFS('EIR 2025-26'!K2:K1997, "&lt;0", 'EIR 2025-26'!J2:J1997, "Feb")+COUNTIFS('EIR 2025-26'!K2:K1997, "&lt;0", 'EIR 2025-26'!J2:J1997, "Mar")+COUNTIFS('FOI 2025-26'!J2:J1787, "&lt;0", 'FOI 2025-26'!I2:I1787, "Jan")+COUNTIFS('FOI 2025-26'!J2:J1787, "&lt;0", 'FOI 2025-26'!I2:I1787, "Feb")+COUNTIFS('FOI 2025-26'!J2:J1787, "&lt;0", 'FOI 2025-26'!I2:I1787, "Mar")</f>
        <v>5</v>
      </c>
      <c r="H11" s="52"/>
      <c r="I11" s="53"/>
    </row>
    <row r="12" spans="2:9" ht="30" x14ac:dyDescent="0.25">
      <c r="B12" s="30" t="s">
        <v>1513</v>
      </c>
      <c r="C12" s="86">
        <f ca="1">COUNTIFS('EIR 2025-26'!K2:K1997, "&lt;-30", 'EIR 2025-26'!J2:J1997, "Apr")+COUNTIFS('EIR 2025-26'!K2:K1997, "&lt;-30", 'EIR 2025-26'!J2:J1997, "May")+COUNTIFS('EIR 2025-26'!K2:K1997, "&lt;-30", 'EIR 2025-26'!J2:J1997, "Jun")+COUNTIFS('FOI 2025-26'!J2:J1787, "&lt;-30", 'FOI 2025-26'!I2:I1787, "Apr")+COUNTIFS('FOI 2025-26'!J2:J1787, "&lt;-30", 'FOI 2025-26'!I2:I1787, "May")+COUNTIFS('FOI 2025-26'!J2:J1787, "&lt;-30", 'FOI 2025-26'!I2:I1787, "Jun")</f>
        <v>0</v>
      </c>
      <c r="D12" s="86">
        <f ca="1">COUNTIFS('EIR 2025-26'!K2:K1997, "&lt;-30", 'EIR 2025-26'!J2:J1997, "Jul")+COUNTIFS('EIR 2025-26'!K2:K1997, "&lt;-30", 'EIR 2025-26'!J2:J1997, "Aug")+COUNTIFS('EIR 2025-26'!K2:K1997, "&lt;-30", 'EIR 2025-26'!J2:J1997, "Sep")+COUNTIFS('FOI 2025-26'!J2:J1787, "&lt;-30", 'FOI 2025-26'!I2:I1787, "Jul")+COUNTIFS('FOI 2025-26'!J2:J1787, "&lt;-30", 'FOI 2025-26'!I2:I1787, "Aug")+COUNTIFS('FOI 2025-26'!J2:J1787, "&lt;-30", 'FOI 2025-26'!I2:I1787, "Sep")</f>
        <v>0</v>
      </c>
      <c r="E12" s="86">
        <f ca="1">COUNTIFS('EIR 2025-26'!K2:K1997, "&lt;-30", 'EIR 2025-26'!J2:J1997, "Oct")+COUNTIFS('EIR 2025-26'!K2:K1997, "&lt;-30", 'EIR 2025-26'!J2:J1997, "Nov")+COUNTIFS('EIR 2025-26'!K2:K1997, "&lt;-30", 'EIR 2025-26'!J2:J1997, "Dec")+COUNTIFS('FOI 2025-26'!J2:J1787, "&lt;-30", 'FOI 2025-26'!I2:I1787, "Jul")+COUNTIFS('FOI 2025-26'!J2:J1787, "&lt;-30", 'FOI 2025-26'!I2:I1787, "Aug")+COUNTIFS('FOI 2025-26'!J2:J1787, "&lt;-30", 'FOI 2025-26'!I2:I1787, "Sep")</f>
        <v>0</v>
      </c>
      <c r="F12" s="87">
        <f ca="1">COUNTIFS('EIR 2025-26'!K2:K1997, "&lt;-30", 'EIR 2025-26'!J2:J1997, "Jan")+COUNTIFS('EIR 2025-26'!K2:K1997, "&lt;-30", 'EIR 2025-26'!J2:J1997, "Feb")+COUNTIFS('EIR 2025-26'!K2:K1997, "&lt;-30", 'EIR 2025-26'!J2:J1997, "Mar")+COUNTIFS('FOI 2025-26'!J2:J1787, "&lt;-30", 'FOI 2025-26'!I2:I1787, "Jan")+COUNTIFS('FOI 2025-26'!J2:J1787, "&lt;-30", 'FOI 2025-26'!I2:I1787, "Feb")+COUNTIFS('FOI 2025-26'!J2:J1787, "&lt;-30", 'FOI 2025-26'!I2:I1787, "Mar")</f>
        <v>1</v>
      </c>
      <c r="H12" s="52"/>
      <c r="I12" s="53"/>
    </row>
    <row r="13" spans="2:9" ht="30" x14ac:dyDescent="0.25">
      <c r="B13" s="33" t="s">
        <v>1514</v>
      </c>
      <c r="C13" s="88">
        <f ca="1">COUNTIFS('EIR 2025-26'!K2:K1997, "&lt;-90", 'EIR 2025-26'!J2:J1997, "Apr")+COUNTIFS('EIR 2025-26'!K2:K1997, "&lt;-90", 'EIR 2025-26'!J2:J1997, "May")+COUNTIFS('EIR 2025-26'!K2:K1997, "&lt;-90", 'EIR 2025-26'!J2:J1997, "Jun")+COUNTIFS('FOI 2025-26'!J2:J1787, "&lt;-90", 'FOI 2025-26'!I2:I1787, "Apr")+COUNTIFS('FOI 2025-26'!J2:J1787, "&lt;-90", 'FOI 2025-26'!I2:I1787, "May")+COUNTIFS('FOI 2025-26'!J2:J1787, "&lt;-90", 'FOI 2025-26'!I2:I1787, "Jun")</f>
        <v>0</v>
      </c>
      <c r="D13" s="88">
        <f ca="1">COUNTIFS('EIR 2025-26'!K2:K1997, "&lt;-90", 'EIR 2025-26'!J2:J1997, "Jul")+COUNTIFS('EIR 2025-26'!K2:K1997, "&lt;-90", 'EIR 2025-26'!J2:J1997, "Aug")+COUNTIFS('EIR 2025-26'!K2:K1997, "&lt;-90", 'EIR 2025-26'!J2:J1997, "Sep")+COUNTIFS('FOI 2025-26'!J2:J1787, "&lt;-90", 'FOI 2025-26'!I2:I1787, "Jul")+COUNTIFS('FOI 2025-26'!J2:J1787, "&lt;-90", 'FOI 2025-26'!I2:I1787, "Aug")+COUNTIFS('FOI 2025-26'!J2:J1787, "&lt;-90", 'FOI 2025-26'!I2:I1787, "Sep")</f>
        <v>0</v>
      </c>
      <c r="E13" s="88">
        <f ca="1">COUNTIFS('EIR 2025-26'!K2:K1997, "&lt;-90", 'EIR 2025-26'!J2:J1997, "Oct")+COUNTIFS('EIR 2025-26'!K2:K1997, "&lt;-90", 'EIR 2025-26'!J2:J1997, "Nov")+COUNTIFS('EIR 2025-26'!K2:K1997, "&lt;-90", 'EIR 2025-26'!J2:J1997, "Dec")+COUNTIFS('FOI 2025-26'!J2:J1787, "&lt;-90", 'FOI 2025-26'!I2:I1787, "Jul")+COUNTIFS('FOI 2025-26'!J2:J1787, "&lt;-90", 'FOI 2025-26'!I2:I1787, "Aug")+COUNTIFS('FOI 2025-26'!J2:J1787, "&lt;-90", 'FOI 2025-26'!I2:I1787, "Sep")</f>
        <v>0</v>
      </c>
      <c r="F13" s="89">
        <f ca="1">COUNTIFS('EIR 2025-26'!K2:K1997, "&lt;-90", 'EIR 2025-26'!J2:J1997, "Jan")+COUNTIFS('EIR 2025-26'!K2:K1997, "&lt;-90", 'EIR 2025-26'!J2:J1997, "Feb")+COUNTIFS('EIR 2025-26'!K2:K1997, "&lt;-90", 'EIR 2025-26'!J2:J1997, "Mar")+COUNTIFS('FOI 2025-26'!J2:J1787, "&lt;-90", 'FOI 2025-26'!I2:I1787, "Jan")+COUNTIFS('FOI 2025-26'!J2:J1787, "&lt;-90", 'FOI 2025-26'!I2:I1787, "Feb")+COUNTIFS('FOI 2025-26'!J2:J1787, "&lt;-90", 'FOI 2025-26'!I2:I1787, "Mar")</f>
        <v>0</v>
      </c>
      <c r="H13" s="52"/>
      <c r="I13" s="53"/>
    </row>
    <row r="14" spans="2:9" ht="30" x14ac:dyDescent="0.25">
      <c r="B14" s="30" t="s">
        <v>1515</v>
      </c>
      <c r="C14" s="86">
        <f ca="1">COUNTIFS('EIR 2025-26'!K2:K1997, "&lt;-180", 'EIR 2025-26'!J2:J1997, "Apr")+COUNTIFS('EIR 2025-26'!K2:K1997, "&lt;-180", 'EIR 2025-26'!J2:J1997, "May")+COUNTIFS('EIR 2025-26'!K2:K1997, "&lt;-180", 'EIR 2025-26'!J2:J1997, "Jun")+COUNTIFS('FOI 2025-26'!J2:J1787, "&lt;-180", 'FOI 2025-26'!I2:I1787, "Apr")+COUNTIFS('FOI 2025-26'!J2:J1787, "&lt;-180", 'FOI 2025-26'!I2:I1787, "May")+COUNTIFS('FOI 2025-26'!J2:J1787, "&lt;-180", 'FOI 2025-26'!I2:I1787, "Jun")</f>
        <v>0</v>
      </c>
      <c r="D14" s="86">
        <f ca="1">COUNTIFS('EIR 2025-26'!K2:K1997, "&lt;-180", 'EIR 2025-26'!J2:J1997, "Jul")+COUNTIFS('EIR 2025-26'!K2:K1997, "&lt;-180", 'EIR 2025-26'!J2:J1997, "Aug")+COUNTIFS('EIR 2025-26'!K2:K1997, "&lt;-180", 'EIR 2025-26'!J2:J1997, "Sep")+COUNTIFS('FOI 2025-26'!J2:J1787, "&lt;-180", 'FOI 2025-26'!I2:I1787, "Jul")+COUNTIFS('FOI 2025-26'!J2:J1787, "&lt;-180", 'FOI 2025-26'!I2:I1787, "Aug")+COUNTIFS('FOI 2025-26'!J2:J1787, "&lt;-180", 'FOI 2025-26'!I2:I1787, "Sep")</f>
        <v>0</v>
      </c>
      <c r="E14" s="86">
        <f ca="1">COUNTIFS('EIR 2025-26'!K2:K1997, "&lt;-180", 'EIR 2025-26'!J2:J1997, "Oct")+COUNTIFS('EIR 2025-26'!K2:K1997, "&lt;-180", 'EIR 2025-26'!J2:J1997, "Nov")+COUNTIFS('EIR 2025-26'!K2:K1997, "&lt;-180", 'EIR 2025-26'!J2:J1997, "Dec")+COUNTIFS('FOI 2025-26'!J2:J1787, "&lt;-180", 'FOI 2025-26'!I2:I1787, "Jul")+COUNTIFS('FOI 2025-26'!J2:J1787, "&lt;-180", 'FOI 2025-26'!I2:I1787, "Aug")+COUNTIFS('FOI 2025-26'!J2:J1787, "&lt;-180", 'FOI 2025-26'!I2:I1787, "Sep")</f>
        <v>0</v>
      </c>
      <c r="F14" s="87">
        <f ca="1">COUNTIFS('EIR 2025-26'!K2:K1997, "&lt;-180", 'EIR 2025-26'!J2:J1997, "Jan")+COUNTIFS('EIR 2025-26'!K2:K1997, "&lt;-180", 'EIR 2025-26'!J2:J1997, "Feb")+COUNTIFS('EIR 2025-26'!K2:K1997, "&lt;-180", 'EIR 2025-26'!J2:J1997, "Mar")+COUNTIFS('FOI 2025-26'!J2:J1787, "&lt;-180", 'FOI 2025-26'!I2:I1787, "Jan")+COUNTIFS('FOI 2025-26'!J2:J1787, "&lt;-180", 'FOI 2025-26'!I2:I1787, "Feb")+COUNTIFS('FOI 2025-26'!J2:J1787, "&lt;-180", 'FOI 2025-26'!I2:I1787, "Mar")</f>
        <v>0</v>
      </c>
      <c r="H14" s="52"/>
      <c r="I14" s="53"/>
    </row>
    <row r="15" spans="2:9" ht="30" x14ac:dyDescent="0.25">
      <c r="B15" s="33" t="s">
        <v>1516</v>
      </c>
      <c r="C15" s="88">
        <f ca="1">COUNTIFS('EIR 2025-26'!K2:K1997, "&lt;-270", 'EIR 2025-26'!J2:J1997, "Apr")+COUNTIFS('EIR 2025-26'!K2:K1997, "&lt;-270", 'EIR 2025-26'!J2:J1997, "May")+COUNTIFS('EIR 2025-26'!K2:K1997, "&lt;-270", 'EIR 2025-26'!J2:J1997, "Jun")+COUNTIFS('FOI 2025-26'!J2:J1787, "&lt;-270", 'FOI 2025-26'!I2:I1787, "Apr")+COUNTIFS('FOI 2025-26'!J2:J1787, "&lt;-270", 'FOI 2025-26'!I2:I1787, "May")+COUNTIFS('FOI 2025-26'!J2:J1787, "&lt;-270", 'FOI 2025-26'!I2:I1787, "Jun")</f>
        <v>0</v>
      </c>
      <c r="D15" s="88">
        <f ca="1">COUNTIFS('EIR 2025-26'!K2:K1997, "&lt;-270", 'EIR 2025-26'!J2:J1997, "Jul")+COUNTIFS('EIR 2025-26'!K2:K1997, "&lt;-270", 'EIR 2025-26'!J2:J1997, "Aug")+COUNTIFS('EIR 2025-26'!K2:K1997, "&lt;-270", 'EIR 2025-26'!J2:J1997, "Sep")+COUNTIFS('FOI 2025-26'!J2:J1787, "&lt;-270", 'FOI 2025-26'!I2:I1787, "Jul")+COUNTIFS('FOI 2025-26'!J2:J1787, "&lt;-270", 'FOI 2025-26'!I2:I1787, "Aug")+COUNTIFS('FOI 2025-26'!J2:J1787, "&lt;-270", 'FOI 2025-26'!I2:I1787, "Sep")</f>
        <v>0</v>
      </c>
      <c r="E15" s="88">
        <f ca="1">COUNTIFS('EIR 2025-26'!K2:K1997, "&lt;-270", 'EIR 2025-26'!J2:J1997, "Oct")+COUNTIFS('EIR 2025-26'!K2:K1997, "&lt;-270", 'EIR 2025-26'!J2:J1997, "Nov")+COUNTIFS('EIR 2025-26'!K2:K1997, "&lt;-270", 'EIR 2025-26'!J2:J1997, "Dec")+COUNTIFS('FOI 2025-26'!J2:J1787, "&lt;-270", 'FOI 2025-26'!I2:I1787, "Jul")+COUNTIFS('FOI 2025-26'!J2:J1787, "&lt;-270", 'FOI 2025-26'!I2:I1787, "Aug")+COUNTIFS('FOI 2025-26'!J2:J1787, "&lt;-270", 'FOI 2025-26'!I2:I1787, "Sep")</f>
        <v>0</v>
      </c>
      <c r="F15" s="89">
        <f ca="1">COUNTIFS('EIR 2025-26'!K2:K1997, "&lt;-270", 'EIR 2025-26'!J2:J1997, "Jan")+COUNTIFS('EIR 2025-26'!K2:K1997, "&lt;-270", 'EIR 2025-26'!J2:J1997, "Feb")+COUNTIFS('EIR 2025-26'!K2:K1997, "&lt;-270", 'EIR 2025-26'!J2:J1997, "Mar")+COUNTIFS('FOI 2025-26'!J2:J1787, "&lt;-270", 'FOI 2025-26'!I2:I1787, "Jan")+COUNTIFS('FOI 2025-26'!J2:J1787, "&lt;-270", 'FOI 2025-26'!I2:I1787, "Feb")+COUNTIFS('FOI 2025-26'!J2:J1787, "&lt;-270", 'FOI 2025-26'!I2:I1787, "Mar")</f>
        <v>0</v>
      </c>
      <c r="H15" s="52"/>
      <c r="I15" s="53"/>
    </row>
    <row r="16" spans="2:9" ht="30" x14ac:dyDescent="0.25">
      <c r="B16" s="30" t="s">
        <v>1517</v>
      </c>
      <c r="C16" s="86">
        <f ca="1">COUNTIFS('EIR 2025-26'!K2:K1997, "&lt;-365", 'EIR 2025-26'!J2:J1997, "Apr")+COUNTIFS('EIR 2025-26'!K2:K1997, "&lt;-365", 'EIR 2025-26'!J2:J1997, "May")+COUNTIFS('EIR 2025-26'!K2:K1997, "&lt;-365", 'EIR 2025-26'!J2:J1997, "Jun")+COUNTIFS('FOI 2025-26'!J2:J1787, "&lt;-365", 'FOI 2025-26'!I2:I1787, "Apr")+COUNTIFS('FOI 2025-26'!J2:J1787, "&lt;-365", 'FOI 2025-26'!I2:I1787, "May")+COUNTIFS('FOI 2025-26'!J2:J1787, "&lt;-365", 'FOI 2025-26'!I2:I1787, "Jun")</f>
        <v>0</v>
      </c>
      <c r="D16" s="86">
        <f ca="1">COUNTIFS('EIR 2025-26'!K2:K1997, "&lt;-365", 'EIR 2025-26'!J2:J1997, "Jul")+COUNTIFS('EIR 2025-26'!K2:K1997, "&lt;-365", 'EIR 2025-26'!J2:J1997, "Aug")+COUNTIFS('EIR 2025-26'!K2:K1997, "&lt;-365", 'EIR 2025-26'!J2:J1997, "Sep")+COUNTIFS('FOI 2025-26'!J2:J1787, "&lt;-365", 'FOI 2025-26'!I2:I1787, "Jul")+COUNTIFS('FOI 2025-26'!J2:J1787, "&lt;-365", 'FOI 2025-26'!I2:I1787, "Aug")+COUNTIFS('FOI 2025-26'!J2:J1787, "&lt;-365", 'FOI 2025-26'!I2:I1787, "Sep")</f>
        <v>0</v>
      </c>
      <c r="E16" s="86">
        <f ca="1">COUNTIFS('EIR 2025-26'!K2:K1997, "&lt;-365", 'EIR 2025-26'!J2:J1997, "Oct")+COUNTIFS('EIR 2025-26'!K2:K1997, "&lt;-365", 'EIR 2025-26'!J2:J1997, "Nov")+COUNTIFS('EIR 2025-26'!K2:K1997, "&lt;-365", 'EIR 2025-26'!J2:J1997, "Dec")+COUNTIFS('FOI 2025-26'!J2:J1787, "&lt;-365", 'FOI 2025-26'!I2:I1787, "Jul")+COUNTIFS('FOI 2025-26'!J2:J1787, "&lt;-365", 'FOI 2025-26'!I2:I1787, "Aug")+COUNTIFS('FOI 2025-26'!J2:J1787, "&lt;-365", 'FOI 2025-26'!I2:I1787, "Sep")</f>
        <v>0</v>
      </c>
      <c r="F16" s="87">
        <f ca="1">COUNTIFS('EIR 2025-26'!K2:K1997, "&lt;-365", 'EIR 2025-26'!J2:J1997, "Jan")+COUNTIFS('EIR 2025-26'!K2:K1997, "&lt;-365", 'EIR 2025-26'!J2:J1997, "Feb")+COUNTIFS('EIR 2025-26'!K2:K1997, "&lt;-365", 'EIR 2025-26'!J2:J1997, "Mar")+COUNTIFS('FOI 2025-26'!J2:J1787, "&lt;-365", 'FOI 2025-26'!I2:I1787, "Jan")+COUNTIFS('FOI 2025-26'!J2:J1787, "&lt;-365", 'FOI 2025-26'!I2:I1787, "Feb")+COUNTIFS('FOI 2025-26'!J2:J1787, "&lt;-365", 'FOI 2025-26'!I2:I1787, "Mar")</f>
        <v>0</v>
      </c>
      <c r="H16" s="52"/>
      <c r="I16" s="53"/>
    </row>
    <row r="17" spans="2:9" ht="15" x14ac:dyDescent="0.25">
      <c r="B17" s="33" t="s">
        <v>1518</v>
      </c>
      <c r="C17" s="260" t="s">
        <v>1519</v>
      </c>
      <c r="D17" s="261"/>
      <c r="E17" s="261"/>
      <c r="F17" s="262"/>
      <c r="H17" s="52"/>
      <c r="I17" s="53"/>
    </row>
    <row r="18" spans="2:9" ht="45" x14ac:dyDescent="0.25">
      <c r="B18" s="30" t="s">
        <v>1520</v>
      </c>
      <c r="C18" s="86">
        <f>COUNTIFS('FOI 2025-26'!V2:V1787, "*S12*", 'FOI 2025-26'!I2:I1787, "Apr")+COUNTIFS('FOI 2025-26'!V2:V1787, "*S12*", 'FOI 2025-26'!I2:I1787, "May")+COUNTIFS('FOI 2025-26'!V2:V1787, "*S12*", 'FOI 2025-26'!I2:I1787, "Jun")</f>
        <v>4</v>
      </c>
      <c r="D18" s="86">
        <f>COUNTIFS('FOI 2025-26'!V2:V1787, "*S12*", 'FOI 2025-26'!I2:I1787, "Jul")+COUNTIFS('FOI 2025-26'!V2:V1787, "*S12*", 'FOI 2025-26'!I2:I1787, "Aug")+COUNTIFS('FOI 2025-26'!V2:V1787, "*S12*", 'FOI 2025-26'!I2:I1787, "Sep")</f>
        <v>5</v>
      </c>
      <c r="E18" s="86">
        <f>COUNTIFS('FOI 2025-26'!V2:V1787, "*S12*", 'FOI 2025-26'!I2:I1787, "Oct")+COUNTIFS('FOI 2025-26'!V2:V1787, "*S12*", 'FOI 2025-26'!I2:I1787, "Nov")+COUNTIFS('FOI 2025-26'!V2:V1787, "*S12*", 'FOI 2025-26'!I2:I1787, "Dec")</f>
        <v>11</v>
      </c>
      <c r="F18" s="87">
        <f>COUNTIFS('FOI 2025-26'!V2:V1787, "*S12*", 'FOI 2025-26'!I2:I1787, "Jan")+COUNTIFS('FOI 2025-26'!V2:V1787, "*S12*", 'FOI 2025-26'!I2:I1787, "Feb")+COUNTIFS('FOI 2025-26'!V2:V1787, "*S12*", 'FOI 2025-26'!I2:I1787, "Mar")</f>
        <v>9</v>
      </c>
      <c r="H18" s="52"/>
      <c r="I18" s="53"/>
    </row>
    <row r="19" spans="2:9" ht="45" x14ac:dyDescent="0.25">
      <c r="B19" s="33" t="s">
        <v>1521</v>
      </c>
      <c r="C19" s="88">
        <f>COUNTIFS('FOI 2025-26'!V2:V1787, "*S14*", 'FOI 2025-26'!I2:I1787, "Apr")+COUNTIFS('FOI 2025-26'!V2:V1787, "*S14*", 'FOI 2025-26'!I2:I1787, "May")+COUNTIFS('FOI 2025-26'!V2:V1787, "*S14*", 'FOI 2025-26'!I2:I1787, "Jun")</f>
        <v>0</v>
      </c>
      <c r="D19" s="88">
        <f>COUNTIFS('FOI 2025-26'!V2:V1787, "*S14*", 'FOI 2025-26'!I2:I1787, "Jul")+COUNTIFS('FOI 2025-26'!V2:V1787, "*S14*", 'FOI 2025-26'!I2:I1787, "Aug")+COUNTIFS('FOI 2025-26'!V2:V1787, "*S14*", 'FOI 2025-26'!I2:I1787, "Sep")</f>
        <v>0</v>
      </c>
      <c r="E19" s="88">
        <f>COUNTIFS('FOI 2025-26'!V2:V1787, "*S14*", 'FOI 2025-26'!I2:I1787, "Oct")+COUNTIFS('FOI 2025-26'!V2:V1787, "*S14*", 'FOI 2025-26'!I2:I1787, "Nov")+COUNTIFS('FOI 2025-26'!V2:V1787, "*S14*", 'FOI 2025-26'!I2:I1787, "Dec")</f>
        <v>0</v>
      </c>
      <c r="F19" s="89">
        <f>COUNTIFS('FOI 2025-26'!V2:V1787, "*S14*", 'FOI 2025-26'!I2:I1787, "Jan")+COUNTIFS('FOI 2025-26'!V2:V1787, "*S14*", 'FOI 2025-26'!I2:I1787, "Feb")+COUNTIFS('FOI 2025-26'!V2:V1787, "*S14*", 'FOI 2025-26'!I2:I1787, "Mar")</f>
        <v>0</v>
      </c>
      <c r="H19" s="52"/>
      <c r="I19" s="53"/>
    </row>
    <row r="20" spans="2:9" ht="15" x14ac:dyDescent="0.25">
      <c r="B20" s="30" t="s">
        <v>1522</v>
      </c>
      <c r="C20" s="86">
        <f>COUNTIFS('Internal Review'!$D$2:$D$34,"&gt;=01/04/2024", 'Internal Review'!$D$2:$D$34,"&lt;=30/06/2024", 'Internal Review'!$H$2:$H$34, "*")</f>
        <v>0</v>
      </c>
      <c r="D20" s="86">
        <f>COUNTIFS('Internal Review'!$D$2:$D$34,"&gt;=01/07/2024", 'Internal Review'!$D$2:$D$34,"&lt;=30/09/2024", 'Internal Review'!$H$2:$H$34, "*")</f>
        <v>0</v>
      </c>
      <c r="E20" s="86">
        <f>COUNTIFS('Internal Review'!$D$2:$D$34,"&gt;=01/10/2024", 'Internal Review'!$D$2:$D$34,"&lt;=31/12/2024", 'Internal Review'!$H$2:$H$34, "*")</f>
        <v>0</v>
      </c>
      <c r="F20" s="87">
        <f>COUNTIFS('Internal Review'!$D$2:$D$34,"&gt;=01/01/2025", 'Internal Review'!$D$2:$D$34,"&lt;=31/03/2025", 'Internal Review'!$H$2:$H$34, "*")</f>
        <v>0</v>
      </c>
      <c r="H20" s="52"/>
      <c r="I20" s="53"/>
    </row>
    <row r="21" spans="2:9" ht="30" x14ac:dyDescent="0.25">
      <c r="B21" s="36" t="s">
        <v>1523</v>
      </c>
      <c r="C21" s="99">
        <f>COUNTIFS('Internal Review'!G2:G48, "Yes", 'Internal Review'!C2:C48, "Apr")+COUNTIFS('Internal Review'!G2:G48, "Yes", 'Internal Review'!C2:C48, "May")+COUNTIFS('Internal Review'!G2:G48, "Yes", 'Internal Review'!C2:C48, "Jun")</f>
        <v>7</v>
      </c>
      <c r="D21" s="88">
        <f>COUNTIFS('Internal Review'!G2:G48, "Yes", 'Internal Review'!C2:C48, "Jul")+COUNTIFS('Internal Review'!G2:G48, "Yes", 'Internal Review'!C2:C48, "Aug")+COUNTIFS('Internal Review'!G2:G48, "Yes", 'Internal Review'!C2:C48, "Sep")</f>
        <v>9</v>
      </c>
      <c r="E21" s="88">
        <f>COUNTIFS('Internal Review'!G2:G48, "Yes", 'Internal Review'!C2:C48, "Oct")+COUNTIFS('Internal Review'!G2:G48, "Yes", 'Internal Review'!C2:C48, "Nov")+COUNTIFS('Internal Review'!G2:G48, "Yes", 'Internal Review'!C2:C48, "Dec")</f>
        <v>13</v>
      </c>
      <c r="F21" s="89">
        <f>COUNTIFS('Internal Review'!G2:G48, "Yes", 'Internal Review'!C2:C48, "Jan")+COUNTIFS('Internal Review'!G2:G48, "Yes", 'Internal Review'!C2:C48, "Feb")+COUNTIFS('Internal Review'!G2:G48, "Yes", 'Internal Review'!C2:C48, "Mar")</f>
        <v>11</v>
      </c>
      <c r="H21" s="52"/>
      <c r="I21" s="53"/>
    </row>
    <row r="22" spans="2:9" ht="30" x14ac:dyDescent="0.25">
      <c r="B22" s="30" t="s">
        <v>1524</v>
      </c>
      <c r="C22" s="86">
        <f>COUNTIFS('Internal Review'!G2:G48, "No", 'Internal Review'!C2:C48, "Apr")+COUNTIFS('Internal Review'!G2:G48, "No", 'Internal Review'!C2:C48, "May")+COUNTIFS('Internal Review'!G2:G48, "No", 'Internal Review'!C2:C48, "Jun")</f>
        <v>0</v>
      </c>
      <c r="D22" s="86">
        <f>COUNTIFS('Internal Review'!G2:G48, "No", 'Internal Review'!C2:C48, "Jul")+COUNTIFS('Internal Review'!G2:G48, "No", 'Internal Review'!C2:C48, "Aug")+COUNTIFS('Internal Review'!G2:G48, "No", 'Internal Review'!C2:C48, "Sep")</f>
        <v>0</v>
      </c>
      <c r="E22" s="86">
        <f>COUNTIFS('Internal Review'!G2:G48, "No", 'Internal Review'!C2:C48, "Oct")+COUNTIFS('Internal Review'!G2:G48, "No", 'Internal Review'!C2:C48, "Nov")+COUNTIFS('Internal Review'!G2:G48, "No", 'Internal Review'!C2:C48, "Mar")</f>
        <v>0</v>
      </c>
      <c r="F22" s="87">
        <f>COUNTIFS('Internal Review'!G2:G48, "No", 'Internal Review'!C2:C48, "Jan")+COUNTIFS('Internal Review'!G2:G48, "No", 'Internal Review'!C2:C48, "Feb")+COUNTIFS('Internal Review'!G2:G48, "No", 'Internal Review'!C2:C48, "Mar")</f>
        <v>0</v>
      </c>
      <c r="H22" s="52"/>
      <c r="I22" s="53"/>
    </row>
    <row r="23" spans="2:9" ht="30" x14ac:dyDescent="0.25">
      <c r="B23" s="33" t="s">
        <v>1525</v>
      </c>
      <c r="C23" s="100">
        <f>COUNTIFS('Internal Review'!H2:H48, "Original response upheld", 'Internal Review'!C2:C48, "Apr")+COUNTIFS('Internal Review'!H2:H48, "Original response upheld", 'Internal Review'!C2:C48, "May")+COUNTIFS('Internal Review'!H2:H48, "Original response upheld", 'Internal Review'!C2:C48, "Jun")</f>
        <v>6</v>
      </c>
      <c r="D23" s="100">
        <f>COUNTIFS('Internal Review'!H2:H48, "Original response upheld", 'Internal Review'!C2:C48, "Jul")+COUNTIFS('Internal Review'!H2:H48, "Original response upheld", 'Internal Review'!C2:C48, "Aug")+COUNTIFS('Internal Review'!H2:H48, "Original response upheld", 'Internal Review'!C2:C48, "Sep")</f>
        <v>7</v>
      </c>
      <c r="E23" s="49">
        <f>COUNTIFS('Internal Review'!H2:H48, "Original response upheld", 'Internal Review'!C2:C48, "Oct")+COUNTIFS('Internal Review'!H2:H48, "Original response upheld", 'Internal Review'!C2:C48, "Nov")+COUNTIFS('Internal Review'!H2:H48, "Original response upheld", 'Internal Review'!C2:C48, "Dec")</f>
        <v>10</v>
      </c>
      <c r="F23" s="101">
        <f>COUNTIFS('Internal Review'!H2:H48, "Original response upheld", 'Internal Review'!C2:C48, "Jan")+COUNTIFS('Internal Review'!H2:H48, "Original response upheld", 'Internal Review'!C2:C48, "Feb")+COUNTIFS('Internal Review'!H2:H48, "Original response upheld", 'Internal Review'!C2:C48, "Mar")</f>
        <v>4</v>
      </c>
      <c r="H23" s="52"/>
      <c r="I23" s="53"/>
    </row>
    <row r="24" spans="2:9" ht="30" x14ac:dyDescent="0.25">
      <c r="B24" s="30" t="s">
        <v>1526</v>
      </c>
      <c r="C24" s="102">
        <f>COUNTIFS('Internal Review'!H2:H48, "Original response partially upheld", 'Internal Review'!C2:C48, "Apr")+COUNTIFS('Internal Review'!H2:H48, "Original response partially upheld", 'Internal Review'!C2:C48, "May")+COUNTIFS('Internal Review'!H2:H48, "Original response partially upheld", 'Internal Review'!C2:C48, "Jun")</f>
        <v>0</v>
      </c>
      <c r="D24" s="102">
        <f>COUNTIFS('Internal Review'!H2:H48, "Original response partially upheld", 'Internal Review'!C2:C48, "Jul")+COUNTIFS('Internal Review'!H2:H48, "Original response partially upheld", 'Internal Review'!C2:C48, "Aug")+COUNTIFS('Internal Review'!H2:H48, "Original response partially upheld", 'Internal Review'!C2:C48, "Sep")</f>
        <v>1</v>
      </c>
      <c r="E24" s="50">
        <f>COUNTIFS('Internal Review'!H2:H48, "Original response partially upheld", 'Internal Review'!C2:C48, "Oct")+COUNTIFS('Internal Review'!H2:H48, "Original response partially upheld", 'Internal Review'!C2:C48, "Nov")+COUNTIFS('Internal Review'!H2:H48, "Original response partially upheld", 'Internal Review'!C2:C48, "Dec")</f>
        <v>3</v>
      </c>
      <c r="F24" s="103">
        <f>COUNTIFS('Internal Review'!H2:H48, "Original response partially upheld", 'Internal Review'!C2:C48, "Jan")+COUNTIFS('Internal Review'!H2:H48, "Original response partially upheld", 'Internal Review'!C2:C48, "Feb")+COUNTIFS('Internal Review'!H2:H48, "Original response partially upheld", 'Internal Review'!C2:C48, "Mar")</f>
        <v>5</v>
      </c>
      <c r="H24" s="52"/>
      <c r="I24" s="53"/>
    </row>
    <row r="25" spans="2:9" ht="30" x14ac:dyDescent="0.25">
      <c r="B25" s="33" t="s">
        <v>1527</v>
      </c>
      <c r="C25" s="100">
        <f>COUNTIFS('Internal Review'!H2:H48, "Original response not upheld", 'Internal Review'!C2:C48, "Apr")+COUNTIFS('Internal Review'!H2:H48, "Original response not upheld", 'Internal Review'!C2:C48, "May")+COUNTIFS('Internal Review'!H2:H48, "Original response not upheld", 'Internal Review'!C2:C48, "Jun")</f>
        <v>0</v>
      </c>
      <c r="D25" s="100">
        <f>COUNTIFS('Internal Review'!H2:H48, "Original response not upheld", 'Internal Review'!C2:C48, "Jul")+COUNTIFS('Internal Review'!H2:H48, "Original response not upheld", 'Internal Review'!C2:C48, "Aug")+COUNTIFS('Internal Review'!H2:H48, "Original response not upheld", 'Internal Review'!C2:C48, "Sep")</f>
        <v>1</v>
      </c>
      <c r="E25" s="49">
        <f>COUNTIFS('Internal Review'!H2:H48, "Original response not upheld", 'Internal Review'!C2:C48, "Oct")+COUNTIFS('Internal Review'!H2:H48, "Original response not upheld", 'Internal Review'!C2:C48, "Nov")+COUNTIFS('Internal Review'!H2:H48, "Original response not upheld", 'Internal Review'!C2:C48, "Dec")</f>
        <v>0</v>
      </c>
      <c r="F25" s="101">
        <f>COUNTIFS('Internal Review'!H2:H48, "Original response not upheld", 'Internal Review'!C2:C48, "Jan")+COUNTIFS('Internal Review'!H2:H48, "Original response not upheld", 'Internal Review'!C2:C48, "Feb")+COUNTIFS('Internal Review'!H2:H48, "Original response not upheld", 'Internal Review'!C2:C48, "Mar")</f>
        <v>2</v>
      </c>
      <c r="H25" s="52"/>
      <c r="I25" s="53"/>
    </row>
    <row r="26" spans="2:9" ht="15.5" thickBot="1" x14ac:dyDescent="0.3">
      <c r="B26" s="54" t="s">
        <v>1528</v>
      </c>
      <c r="C26" s="104">
        <f>COUNTIFS('Internal Review'!F2:F48, "", 'Internal Review'!C2:C48, "Apr")+COUNTIFS('Internal Review'!F2:F48, "", 'Internal Review'!C2:C48, "May")+COUNTIFS('Internal Review'!F2:F48, "", 'Internal Review'!C2:C48, "Jun")</f>
        <v>0</v>
      </c>
      <c r="D26" s="104">
        <f>COUNTIFS('Internal Review'!F2:F48, "", 'Internal Review'!C2:C48, "Jul")+COUNTIFS('Internal Review'!F2:F48, "", 'Internal Review'!C2:C48, "Aug")+COUNTIFS('Internal Review'!F2:F48, "", 'Internal Review'!C2:C48, "Sep")</f>
        <v>0</v>
      </c>
      <c r="E26" s="104">
        <f>COUNTIFS('Internal Review'!F2:F48, "", 'Internal Review'!C2:C48, "Oct")+COUNTIFS('Internal Review'!F2:F48, "", 'Internal Review'!C2:C48, "Nov")+COUNTIFS('Internal Review'!F2:F48, "", 'Internal Review'!C2:C48, "Dec")</f>
        <v>0</v>
      </c>
      <c r="F26" s="105">
        <f>COUNTIFS('Internal Review'!F2:F48, "", 'Internal Review'!C2:C48, "Jan")+COUNTIFS('Internal Review'!F2:F48, "", 'Internal Review'!C2:C48, "Feb")+COUNTIFS('Internal Review'!F2:F48, "", 'Internal Review'!C2:C48, "Mar")</f>
        <v>0</v>
      </c>
      <c r="H26" s="52"/>
      <c r="I26" s="53"/>
    </row>
    <row r="27" spans="2:9" ht="15" x14ac:dyDescent="0.25">
      <c r="E27" s="44"/>
      <c r="H27" s="52"/>
      <c r="I27" s="53"/>
    </row>
    <row r="28" spans="2:9" ht="15" x14ac:dyDescent="0.25">
      <c r="E28" s="44"/>
      <c r="H28" s="52"/>
      <c r="I28" s="53"/>
    </row>
    <row r="29" spans="2:9" ht="15" x14ac:dyDescent="0.25">
      <c r="E29" s="44"/>
      <c r="H29" s="52"/>
      <c r="I29" s="53"/>
    </row>
    <row r="30" spans="2:9" ht="15" x14ac:dyDescent="0.25">
      <c r="E30" s="52"/>
      <c r="F30" s="55"/>
      <c r="H30" s="52"/>
      <c r="I30" s="53"/>
    </row>
    <row r="31" spans="2:9" ht="15" x14ac:dyDescent="0.25">
      <c r="E31" s="52"/>
      <c r="F31" s="55"/>
      <c r="H31" s="52"/>
      <c r="I31" s="53"/>
    </row>
    <row r="32" spans="2:9" ht="15" x14ac:dyDescent="0.25">
      <c r="E32" s="52"/>
      <c r="F32" s="55"/>
      <c r="H32" s="52"/>
      <c r="I32" s="53"/>
    </row>
    <row r="33" spans="5:9" ht="15" x14ac:dyDescent="0.25">
      <c r="E33" s="52"/>
      <c r="F33" s="55"/>
      <c r="H33" s="52"/>
      <c r="I33" s="53"/>
    </row>
    <row r="34" spans="5:9" ht="15" x14ac:dyDescent="0.25">
      <c r="E34" s="52"/>
      <c r="F34" s="55"/>
      <c r="H34" s="52"/>
      <c r="I34" s="53"/>
    </row>
    <row r="35" spans="5:9" x14ac:dyDescent="0.25">
      <c r="E35" s="44"/>
    </row>
  </sheetData>
  <protectedRanges>
    <protectedRange sqref="C4:C5 D18:F26 C22:C26 C9:F16 C18:C20" name="Range1"/>
  </protectedRanges>
  <mergeCells count="4">
    <mergeCell ref="B1:F2"/>
    <mergeCell ref="C4:F4"/>
    <mergeCell ref="C5:F5"/>
    <mergeCell ref="C17:F17"/>
  </mergeCells>
  <dataValidations count="20">
    <dataValidation allowBlank="1" showInputMessage="1" showErrorMessage="1" promptTitle="Definition" prompt="All internal reviews you closed where the original decision on information disclosure was overturned. Include reviews closed during the period" sqref="B25" xr:uid="{11353261-2F1C-450A-9177-88268BD0BB3E}"/>
    <dataValidation allowBlank="1" showInputMessage="1" showErrorMessage="1" promptTitle="Definition" prompt="All internal reviews you closed because where the original decision on information disclosure was partially upheld. Include reviews closed during the period" sqref="B24" xr:uid="{15AC1A15-E8CB-4F8C-85F3-7095A72EBBDE}"/>
    <dataValidation allowBlank="1" showInputMessage="1" showErrorMessage="1" promptTitle="Definition" prompt="All internal reviews you closed where the original decision on information disclosure was fully upheld. Include reviews closed during the period" sqref="B23" xr:uid="{D777DFC4-7BAB-46A3-8024-D219C21FDC34}"/>
    <dataValidation allowBlank="1" showInputMessage="1" showErrorMessage="1" promptTitle="Definition" prompt="Valid EIR requests you received, including all processed and unprocessed requests. Do not include information requests you have not responded to under FOIA (eg business as usual or subject access). Include requests received during the period" sqref="B10" xr:uid="{2D9E030A-8BAA-4A2B-BAD8-9476AEB0DF58}"/>
    <dataValidation allowBlank="1" showInputMessage="1" showErrorMessage="1" promptTitle="Definition" prompt="Valid FOI requests you received, including all processed and unprocessed requests. Do not include information requests that you have not responded to under FOIA (eg business as usual or subject access). Include requests received during the period" sqref="B9" xr:uid="{2C51E4F7-9A9E-4AAA-A810-899A812CC6BA}"/>
    <dataValidation allowBlank="1" showInputMessage="1" showErrorMessage="1" promptTitle="Definition" prompt="The percentage of requests you closed within the statutory deadline or those you completed under permitted extensions. Include requests received during or before the period. The template will automatically populate this value from the Key data tab" sqref="B8" xr:uid="{5E5C3DF5-9BA0-49C3-B554-D8ADAD1F217E}"/>
    <dataValidation allowBlank="1" showInputMessage="1" showErrorMessage="1" promptTitle="Definition" prompt="All requests you closed as not complied with under the provisions of section 14. Include requests closed during the period" sqref="B19" xr:uid="{AA879530-EE78-4232-BE3D-14521C114C56}"/>
    <dataValidation allowBlank="1" showInputMessage="1" showErrorMessage="1" promptTitle="Definition" prompt="All requests you closed as not complied with under the provisions of section 12. Include requests closed during the period" sqref="B18" xr:uid="{D7F1F173-0AA8-4C8B-A31C-CE6CEE68693D}"/>
    <dataValidation allowBlank="1" showInputMessage="1" showErrorMessage="1" promptTitle="Definition" prompt="All internal reviews that remain open. Include reviews opened during or before the period" sqref="B26" xr:uid="{20B01690-B16C-40B3-B581-3EE29D427B28}"/>
    <dataValidation allowBlank="1" showInputMessage="1" showErrorMessage="1" promptTitle="Definition" prompt="All internal reviews you closed exceeding the code of practice (FOI) or statutory (EIR) deadline received during and before the period. Include reviews closed during the period" sqref="B22" xr:uid="{769393B5-AA0A-4680-AD4B-0AE8A0AD1EB6}"/>
    <dataValidation allowBlank="1" showInputMessage="1" showErrorMessage="1" promptTitle="Definition" prompt="All internal reviews you closed within the code of practice (FOI) or statutory (EIR) deadline. Include reviews closed during the period" sqref="B21" xr:uid="{B1A33194-A32F-4E3D-9EC1-F73E41110153}"/>
    <dataValidation allowBlank="1" showInputMessage="1" showErrorMessage="1" promptTitle="Definition" prompt="All internal reviews you closed. Include reviews closed during the period" sqref="B20" xr:uid="{A4CC76B1-5BBB-4BC9-BF13-3C34F7DF8C82}"/>
    <dataValidation allowBlank="1" showInputMessage="1" showErrorMessage="1" promptTitle="Definition" prompt="Record the number of times you applied each exemption or exception. You should apply each exemption or exception only once per request. Include requests closed during the period. Use the tables provided in the 'Exemptions and exceptions' tab" sqref="B17" xr:uid="{1AE6FDBD-39AA-42BB-80ED-5EE7EFF27F4A}"/>
    <dataValidation type="whole" operator="greaterThanOrEqual" allowBlank="1" showInputMessage="1" showErrorMessage="1" sqref="D20:F21 C20 C22:F26 C9:F16" xr:uid="{D6328C58-22A0-45FB-AABB-A7FAB87622D7}">
      <formula1>0</formula1>
    </dataValidation>
    <dataValidation allowBlank="1" showInputMessage="1" showErrorMessage="1" promptTitle="Definition" prompt="All requests which remain open, which have exceeded the statutory 20 working days or are beyond the reasonable limits of a permitted extension, which are more than one year old." sqref="B16" xr:uid="{2E3C0EE0-67B3-4E14-961E-DAD69792F52D}"/>
    <dataValidation allowBlank="1" showInputMessage="1" showErrorMessage="1" promptTitle="Definition" prompt="All requests that remain open which have exceeded the statutory 20 working days or are more than nine months old and beyond the reasonable limits of a permitted extension. Include requests opened during and before the period" sqref="B15" xr:uid="{887F2B5E-6135-44AA-8B1D-184071332FF5}"/>
    <dataValidation allowBlank="1" showInputMessage="1" showErrorMessage="1" promptTitle="Definition" prompt="All requests that remain open which have exceeded the statutory 20 working days or are more than six months old and beyond the reasonable limits of a permitted extension. Include requests opened during and before the period" sqref="B14" xr:uid="{DA8939FE-81ED-40D7-B042-8CEE53374895}"/>
    <dataValidation allowBlank="1" showInputMessage="1" showErrorMessage="1" promptTitle="Definition" prompt="All requests that remain open which have exceeded the statutory 20 working days or are more than three months old and beyond the reasonable limits of a permitted extension. Include requests opened during and before the period" sqref="B13" xr:uid="{7A30FC2C-649C-400D-BA21-32734AF3CEBB}"/>
    <dataValidation allowBlank="1" showInputMessage="1" showErrorMessage="1" promptTitle="Definition" prompt="All requests that remain open which have exceeded the statutory 20 working days or are more than a month old and beyond the reasonable limits of a permitted extension. Include requests opened during and before the period" sqref="B12" xr:uid="{B36DD19B-5E60-48E1-A87B-9FAECFA27C4A}"/>
    <dataValidation allowBlank="1" showInputMessage="1" showErrorMessage="1" promptTitle="Definition" prompt="All requests that remain open which have exceeded the statutory 20 working days or are beyond the reasonable limits of a permitted extension. Include requests opened during and before the period" sqref="B11" xr:uid="{88C5C037-69D8-4993-88B5-17730D761FA5}"/>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F2EFE-92E0-490A-BC6C-BB0546B6D346}">
  <dimension ref="B1:L33"/>
  <sheetViews>
    <sheetView workbookViewId="0">
      <selection activeCell="C5" sqref="C5:F5"/>
    </sheetView>
  </sheetViews>
  <sheetFormatPr defaultColWidth="9.1796875" defaultRowHeight="12.5" x14ac:dyDescent="0.25"/>
  <cols>
    <col min="1" max="1" width="9.1796875" style="24"/>
    <col min="2" max="2" width="41.453125" style="58" customWidth="1"/>
    <col min="3" max="3" width="14.1796875" style="58" customWidth="1"/>
    <col min="4" max="6" width="14.1796875" style="24" customWidth="1"/>
    <col min="7" max="7" width="9.1796875" style="24"/>
    <col min="8" max="8" width="41.453125" style="61" customWidth="1"/>
    <col min="9" max="12" width="14.1796875" style="24" customWidth="1"/>
    <col min="13" max="16384" width="9.1796875" style="24"/>
  </cols>
  <sheetData>
    <row r="1" spans="2:12" x14ac:dyDescent="0.25">
      <c r="B1" s="259" t="s">
        <v>1529</v>
      </c>
      <c r="C1" s="259"/>
      <c r="D1" s="259"/>
      <c r="E1" s="259"/>
      <c r="F1" s="259"/>
      <c r="G1" s="259"/>
      <c r="H1" s="259"/>
      <c r="I1" s="259"/>
      <c r="J1" s="259"/>
      <c r="K1" s="259"/>
      <c r="L1" s="259"/>
    </row>
    <row r="2" spans="2:12" x14ac:dyDescent="0.25">
      <c r="B2" s="259"/>
      <c r="C2" s="259"/>
      <c r="D2" s="259"/>
      <c r="E2" s="259"/>
      <c r="F2" s="259"/>
      <c r="G2" s="259"/>
      <c r="H2" s="259"/>
      <c r="I2" s="259"/>
      <c r="J2" s="259"/>
      <c r="K2" s="259"/>
      <c r="L2" s="259"/>
    </row>
    <row r="3" spans="2:12" ht="20" x14ac:dyDescent="0.25">
      <c r="B3" s="57"/>
      <c r="C3" s="45"/>
      <c r="D3" s="45"/>
      <c r="E3" s="45"/>
      <c r="F3" s="45"/>
      <c r="G3" s="45"/>
      <c r="H3" s="45"/>
      <c r="I3" s="45"/>
      <c r="J3" s="45"/>
      <c r="K3" s="45"/>
      <c r="L3" s="45"/>
    </row>
    <row r="4" spans="2:12" ht="20" x14ac:dyDescent="0.25">
      <c r="B4" s="26" t="s">
        <v>1488</v>
      </c>
      <c r="C4" s="254" t="s">
        <v>1489</v>
      </c>
      <c r="D4" s="255"/>
      <c r="E4" s="255"/>
      <c r="F4" s="256"/>
      <c r="G4" s="45"/>
      <c r="H4" s="45"/>
      <c r="I4" s="45"/>
      <c r="J4" s="45"/>
      <c r="K4" s="45"/>
      <c r="L4" s="45"/>
    </row>
    <row r="5" spans="2:12" ht="30" x14ac:dyDescent="0.25">
      <c r="B5" s="26" t="s">
        <v>1490</v>
      </c>
      <c r="C5" s="257">
        <v>46143</v>
      </c>
      <c r="D5" s="258"/>
      <c r="E5" s="258"/>
      <c r="F5" s="258"/>
      <c r="G5" s="45"/>
      <c r="H5" s="45"/>
      <c r="I5" s="45"/>
      <c r="J5" s="45"/>
      <c r="K5" s="45"/>
      <c r="L5" s="45"/>
    </row>
    <row r="6" spans="2:12" x14ac:dyDescent="0.25">
      <c r="D6" s="44"/>
      <c r="E6" s="44"/>
      <c r="F6" s="44"/>
      <c r="G6" s="44"/>
      <c r="H6" s="56"/>
      <c r="I6" s="44"/>
      <c r="J6" s="44"/>
      <c r="K6" s="44"/>
      <c r="L6" s="44"/>
    </row>
    <row r="7" spans="2:12" ht="18" thickBot="1" x14ac:dyDescent="0.3">
      <c r="B7" s="263" t="s">
        <v>1530</v>
      </c>
      <c r="C7" s="263"/>
      <c r="D7" s="263"/>
      <c r="E7" s="263"/>
      <c r="F7" s="263"/>
      <c r="G7" s="44"/>
      <c r="H7" s="263" t="s">
        <v>1531</v>
      </c>
      <c r="I7" s="263"/>
      <c r="J7" s="263"/>
      <c r="K7" s="263"/>
      <c r="L7" s="263"/>
    </row>
    <row r="8" spans="2:12" ht="17.5" x14ac:dyDescent="0.25">
      <c r="B8" s="46" t="s">
        <v>1532</v>
      </c>
      <c r="C8" s="47" t="s">
        <v>1491</v>
      </c>
      <c r="D8" s="28" t="s">
        <v>1492</v>
      </c>
      <c r="E8" s="28" t="s">
        <v>1493</v>
      </c>
      <c r="F8" s="29" t="s">
        <v>1494</v>
      </c>
      <c r="G8" s="44"/>
      <c r="H8" s="46" t="s">
        <v>1533</v>
      </c>
      <c r="I8" s="28" t="s">
        <v>1491</v>
      </c>
      <c r="J8" s="28" t="s">
        <v>1492</v>
      </c>
      <c r="K8" s="28" t="s">
        <v>1493</v>
      </c>
      <c r="L8" s="29" t="s">
        <v>1494</v>
      </c>
    </row>
    <row r="9" spans="2:12" ht="30" x14ac:dyDescent="0.25">
      <c r="B9" s="59" t="s">
        <v>1534</v>
      </c>
      <c r="C9" s="106">
        <f>COUNTIFS('FOI 2025-26'!V2:V1787, "*Accessible by other means*", 'FOI 2025-26'!I2:I1787, "Apr")+COUNTIFS('FOI 2025-26'!V2:V1787, "*Accessible by other means*", 'FOI 2025-26'!I2:I1787, "May")+COUNTIFS('FOI 2025-26'!V2:V1787, "*Accessible by other means*", 'FOI 2025-26'!I2:I1787, "Jun")+COUNTIFS('FOI 2025-26'!W2:W1787, "*S21*", 'FOI 2025-26'!I2:I1787, "Apr")+COUNTIFS('FOI 2025-26'!W2:W1787, "*S21*", 'FOI 2025-26'!I2:I1787, "May")+COUNTIFS('FOI 2025-26'!W2:W1787, "*S21*", 'FOI 2025-26'!I2:I1787, "Jun")</f>
        <v>26</v>
      </c>
      <c r="D9" s="106">
        <f>COUNTIFS('FOI 2025-26'!V2:V1787, "*Accessible by other means*", 'FOI 2025-26'!I2:I1787, "Jul")+COUNTIFS('FOI 2025-26'!V2:V1787, "*Accessible by other means*", 'FOI 2025-26'!I2:I1787, "Aug")+COUNTIFS('FOI 2025-26'!V2:V1787, "*Accessible by other means*", 'FOI 2025-26'!I2:I1787, "Sep")+COUNTIFS('FOI 2025-26'!W2:W1787, "*S21*", 'FOI 2025-26'!I2:I1787, "Jul")+COUNTIFS('FOI 2025-26'!W2:W1787, "*S21*", 'FOI 2025-26'!I2:I1787, "Aug")+COUNTIFS('FOI 2025-26'!W2:W1787, "*S21*", 'FOI 2025-26'!I2:I1787, "Sep")</f>
        <v>41</v>
      </c>
      <c r="E9" s="106">
        <f>COUNTIFS('FOI 2025-26'!V2:V1787, "*Accessible by other means*", 'FOI 2025-26'!I2:I1787, "Oct")+COUNTIFS('FOI 2025-26'!V2:V1787, "*Accessible by other means*", 'FOI 2025-26'!I2:I1787, "Nov")+COUNTIFS('FOI 2025-26'!V2:V1787, "*Accessible by other means*", 'FOI 2025-26'!I2:I1787, "Dec")+COUNTIFS('FOI 2025-26'!W2:W1787, "*S21*", 'FOI 2025-26'!I2:I1787, "Oct")+COUNTIFS('FOI 2025-26'!W2:W1787, "*S21*", 'FOI 2025-26'!I2:I1787, "Nov")+COUNTIFS('FOI 2025-26'!W2:W1787, "*S21*", 'FOI 2025-26'!I2:I1787, "Dec")</f>
        <v>40</v>
      </c>
      <c r="F9" s="107">
        <f>COUNTIFS('FOI 2025-26'!V2:V1787, "*Accessible by other means*", 'FOI 2025-26'!I2:I1787, "Jan")+COUNTIFS('FOI 2025-26'!V2:V1787, "*Accessible by other means*", 'FOI 2025-26'!I2:I1787, "Feb")+COUNTIFS('FOI 2025-26'!V2:V1787, "*Accessible by other means*", 'FOI 2025-26'!I2:I1787, "Mar")+COUNTIFS('FOI 2025-26'!W2:W1787, "*S21*", 'FOI 2025-26'!I2:I1787, "Jan")+COUNTIFS('FOI 2025-26'!W2:W1787, "*S21*", 'FOI 2025-26'!I2:I1787, "Feb")+COUNTIFS('FOI 2025-26'!W2:W1787, "*S21*", 'FOI 2025-26'!I2:I1787, "Mar")</f>
        <v>50</v>
      </c>
      <c r="G9" s="44"/>
      <c r="H9" s="30" t="s">
        <v>1535</v>
      </c>
      <c r="I9" s="102">
        <f>COUNTIFS('EIR 2025-26'!U2:U997, "*Information not held*", 'EIR 2025-26'!J2:J997, "Apr")+COUNTIFS('EIR 2025-26'!U2:U997, "*Information not held*", 'EIR 2025-26'!J2:J997, "May")+COUNTIFS('EIR 2025-26'!U2:U997, "*Information not held*", 'EIR 2025-26'!J2:J997, "Jun")+COUNTIFS('EIR 2025-26'!V2:V997, "*S12(4)(A)*", 'EIR 2025-26'!J2:J997, "Apr")+COUNTIFS('EIR 2025-26'!V2:V997, "*S12(4)(A)*", 'EIR 2025-26'!J2:J997, "May")+COUNTIFS('EIR 2025-26'!V2:V997, "*S12(4)(A)*", 'EIR 2025-26'!J2:J997, "Jun")</f>
        <v>0</v>
      </c>
      <c r="J9" s="102">
        <f>COUNTIFS('EIR 2025-26'!U2:U997, "*Information not held*", 'EIR 2025-26'!J2:J997, "Jul")+COUNTIFS('EIR 2025-26'!U2:U997, "*Information not held*", 'EIR 2025-26'!J2:J997, "Aug")+COUNTIFS('EIR 2025-26'!U2:U997, "*Information not held*", 'EIR 2025-26'!J2:J997, "Sep")+COUNTIFS('EIR 2025-26'!V2:V997, "*S12(4)(A)*", 'EIR 2025-26'!J2:J997, "Jul")+COUNTIFS('EIR 2025-26'!V2:V997, "*S12(4)(A)*", 'EIR 2025-26'!J2:J997, "Aug")+COUNTIFS('EIR 2025-26'!V2:V997, "*S12(4)(A)*", 'EIR 2025-26'!J2:J997, "Sep")</f>
        <v>0</v>
      </c>
      <c r="K9" s="102">
        <f>COUNTIFS('EIR 2025-26'!U2:U997, "*Information not held*", 'EIR 2025-26'!J2:J997, "Oct")+COUNTIFS('EIR 2025-26'!U2:U997, "*Information not held*", 'EIR 2025-26'!J2:J997, "Nov")+COUNTIFS('EIR 2025-26'!U2:U997, "*Information not held*", 'EIR 2025-26'!J2:J997, "Dec")+COUNTIFS('EIR 2025-26'!V2:V997, "*S12(4)(A)*", 'EIR 2025-26'!J2:J997, "Oct")+COUNTIFS('EIR 2025-26'!V2:V997, "*S12(4)(A)*", 'EIR 2025-26'!J2:J997, "Nov")+COUNTIFS('EIR 2025-26'!V2:V997, "*S12(4)(A)*", 'EIR 2025-26'!J2:J997, "Dec")</f>
        <v>0</v>
      </c>
      <c r="L9" s="108">
        <f>COUNTIFS('EIR 2025-26'!U2:U997, "*Information not held*", 'EIR 2025-26'!J2:J997, "Jan")+COUNTIFS('EIR 2025-26'!U2:U997, "*Information not held*", 'EIR 2025-26'!J2:J997, "Feb")+COUNTIFS('EIR 2025-26'!U2:U997, "*Information not held*", 'EIR 2025-26'!J2:J997, "Mar")+COUNTIFS('EIR 2025-26'!V2:V997, "*S12(4)(A)*", 'EIR 2025-26'!J2:J997, "Jan")+COUNTIFS('EIR 2025-26'!V2:V997, "*S12(4)(A)*", 'EIR 2025-26'!J2:J997, "Feb")+COUNTIFS('EIR 2025-26'!V2:V997, "*S12(4)(A)*", 'EIR 2025-26'!J2:J997, "Mar")</f>
        <v>0</v>
      </c>
    </row>
    <row r="10" spans="2:12" ht="30" x14ac:dyDescent="0.25">
      <c r="B10" s="60" t="s">
        <v>1536</v>
      </c>
      <c r="C10" s="110">
        <f>COUNTIFS('FOI 2025-26'!V2:V1787, "*Intended for Future Publication*", 'FOI 2025-26'!I2:I1787, "Apr")+COUNTIFS('FOI 2025-26'!V2:V1787, "*Intended for Future Publication*", 'FOI 2025-26'!I2:I1787, "May")+COUNTIFS('FOI 2025-26'!V2:V1787, "*Intended for Future Publication*", 'FOI 2025-26'!I2:I1787, "Jun")+COUNTIFS('FOI 2025-26'!W2:W1787, "*S22*", 'FOI 2025-26'!I2:I1787, "Apr")+COUNTIFS('FOI 2025-26'!W2:W1787, "*S22*", 'FOI 2025-26'!I2:I1787, "May")+COUNTIFS('FOI 2025-26'!W2:W1787, "*S22*", 'FOI 2025-26'!I2:I1787, "Jun")</f>
        <v>1</v>
      </c>
      <c r="D10" s="110">
        <f>COUNTIFS('FOI 2025-26'!V2:V1787, "*Intended for Future Publication*", 'FOI 2025-26'!I2:I1787, "Jul")+COUNTIFS('FOI 2025-26'!V2:V1787, "*Intended for Future Publication*", 'FOI 2025-26'!I2:I1787, "Aug")+COUNTIFS('FOI 2025-26'!V2:V1787, "*Intended for Future Publication*", 'FOI 2025-26'!I2:I1787, "Sep")+COUNTIFS('FOI 2025-26'!W2:W1787, "*S22*", 'FOI 2025-26'!I2:I1787, "Jul")+COUNTIFS('FOI 2025-26'!W2:W1787, "*S22*", 'FOI 2025-26'!I2:I1787, "Aug")+COUNTIFS('FOI 2025-26'!W2:W1787, "*S22*", 'FOI 2025-26'!I2:I1787, "Sep")</f>
        <v>1</v>
      </c>
      <c r="E10" s="110">
        <f>COUNTIFS('FOI 2025-26'!V2:V1787, "*Intended for Future Publication*", 'FOI 2025-26'!I2:I1787, "Oct")+COUNTIFS('FOI 2025-26'!V2:V1787, "*Intended for Future Publication*", 'FOI 2025-26'!I2:I1787, "Nov")+COUNTIFS('FOI 2025-26'!V2:V1787, "*Intended for Future Publication*", 'FOI 2025-26'!I2:I1787, "Dec")+COUNTIFS('FOI 2025-26'!W2:W1787, "*S22*", 'FOI 2025-26'!I2:I1787, "Oct")+COUNTIFS('FOI 2025-26'!W2:W1787, "*S22*", 'FOI 2025-26'!I2:I1787, "Nov")+COUNTIFS('FOI 2025-26'!W2:W1787, "*S22*", 'FOI 2025-26'!I2:I1787, "Dec")</f>
        <v>1</v>
      </c>
      <c r="F10" s="111">
        <f>COUNTIFS('FOI 2025-26'!V2:V1787, "*Intended for Future Publication*", 'FOI 2025-26'!I2:I1787, "Jan")+COUNTIFS('FOI 2025-26'!V2:V1787, "*Intended for Future Publication*", 'FOI 2025-26'!I2:I1787, "Feb")+COUNTIFS('FOI 2025-26'!V2:V1787, "*Intended for Future Publication*", 'FOI 2025-26'!I2:I1787, "Mar")+COUNTIFS('FOI 2025-26'!W2:W1787, "*S22*", 'FOI 2025-26'!I2:I1787, "Jan")+COUNTIFS('FOI 2025-26'!W2:W1787, "*S22*", 'FOI 2025-26'!I2:I1787, "Feb")+COUNTIFS('FOI 2025-26'!W2:W1787, "*S22*", 'FOI 2025-26'!I2:I1787, "Mar")</f>
        <v>2</v>
      </c>
      <c r="G10" s="44"/>
      <c r="H10" s="33" t="s">
        <v>1153</v>
      </c>
      <c r="I10" s="100">
        <f>COUNTIFS('EIR 2025-26'!U2:U997, "*Unreasonable Request*", 'EIR 2025-26'!J2:J997, "Apr")+COUNTIFS('EIR 2025-26'!U2:U997, "*Unreasonable Request*", 'EIR 2025-26'!J2:J997, "May")+COUNTIFS('EIR 2025-26'!U2:U997, "*Unreasonable Request*", 'EIR 2025-26'!J2:J997, "Jun")+COUNTIFS('EIR 2025-26'!V2:V997, "*S12(4)(b)*", 'EIR 2025-26'!J2:J997, "Apr")+COUNTIFS('EIR 2025-26'!V2:V997, "*S12(4)(b)*", 'EIR 2025-26'!J2:J997, "May")+COUNTIFS('EIR 2025-26'!V2:V997, "*S12(4)(b)*", 'EIR 2025-26'!J2:J997, "Jun")</f>
        <v>4</v>
      </c>
      <c r="J10" s="100">
        <f>COUNTIFS('EIR 2025-26'!U2:U997, "*Unreasonable Request*", 'EIR 2025-26'!J2:J997, "Jul")+COUNTIFS('EIR 2025-26'!U2:U997, "*Unreasonable Request*", 'EIR 2025-26'!J2:J997, "Aug")+COUNTIFS('EIR 2025-26'!U2:U997, "*Unreasonable Request*", 'EIR 2025-26'!J2:J997, "Sep")+COUNTIFS('EIR 2025-26'!V2:V997, "*S12(4)(b)*", 'EIR 2025-26'!J2:J997, "Jul")+COUNTIFS('EIR 2025-26'!V2:V997, "*S12(4)(b)*", 'EIR 2025-26'!J2:J997, "Aug")+COUNTIFS('EIR 2025-26'!V2:V997, "*S12(4)(b)*", 'EIR 2025-26'!J2:J997, "Sep")</f>
        <v>0</v>
      </c>
      <c r="K10" s="100">
        <f>COUNTIFS('EIR 2025-26'!U2:U997, "*Unreasonable Request*", 'EIR 2025-26'!J2:J997, "Oct")+COUNTIFS('EIR 2025-26'!U2:U997, "*Unreasonable Request*", 'EIR 2025-26'!J2:J997, "Nov")+COUNTIFS('EIR 2025-26'!U2:U997, "*Unreasonable Request*", 'EIR 2025-26'!J2:J997, "Dec")+COUNTIFS('EIR 2025-26'!V2:V997, "*S12(4)(b)*", 'EIR 2025-26'!J2:J997, "Oct")+COUNTIFS('EIR 2025-26'!V2:V997, "*S12(4)(b)*", 'EIR 2025-26'!J2:J997, "Nov")+COUNTIFS('EIR 2025-26'!V2:V997, "*S12(4)(b)*", 'EIR 2025-26'!J2:J997, "Dec")</f>
        <v>1</v>
      </c>
      <c r="L10" s="109">
        <f>COUNTIFS('EIR 2025-26'!U2:U997, "*Unreasonable Request*", 'EIR 2025-26'!J2:J997, "Jan")+COUNTIFS('EIR 2025-26'!U2:U997, "*Unreasonable Request*", 'EIR 2025-26'!J2:J997, "Feb")+COUNTIFS('EIR 2025-26'!U2:U997, "*Unreasonable Request*", 'EIR 2025-26'!J2:J997, "Mar")+COUNTIFS('EIR 2025-26'!V2:V997, "*S12(4)(b)*", 'EIR 2025-26'!J2:J997, "Jan")+COUNTIFS('EIR 2025-26'!V2:V997, "*S12(4)(b)*", 'EIR 2025-26'!J2:J997, "Feb")+COUNTIFS('EIR 2025-26'!V2:V997, "*S12(4)(b)*", 'EIR 2025-26'!J2:J997, "Mar")</f>
        <v>1</v>
      </c>
    </row>
    <row r="11" spans="2:12" ht="30" x14ac:dyDescent="0.25">
      <c r="B11" s="59" t="s">
        <v>1537</v>
      </c>
      <c r="C11" s="106">
        <f>COUNTIFS('FOI 2025-26'!V2:V1787, "*Research Information*", 'FOI 2025-26'!I2:I1787, "Apr")+COUNTIFS('FOI 2025-26'!V2:V1787, "*Research Information*", 'FOI 2025-26'!I2:I1787, "May")+COUNTIFS('FOI 2025-26'!V2:V1787, "*Research Information*", 'FOI 2025-26'!I2:I1787, "Jun")+COUNTIFS('FOI 2025-26'!W2:W1787, "*S22a*", 'FOI 2025-26'!I2:I1787, "Apr")+COUNTIFS('FOI 2025-26'!W2:W1787, "*S22a*", 'FOI 2025-26'!I2:I1787, "May")+COUNTIFS('FOI 2025-26'!W2:W1787, "*S22a*", 'FOI 2025-26'!I2:I1787, "Jun")</f>
        <v>0</v>
      </c>
      <c r="D11" s="106">
        <f>COUNTIFS('FOI 2025-26'!V2:V1787, "*Research Information*", 'FOI 2025-26'!I2:I1787, "Jul")+COUNTIFS('FOI 2025-26'!V2:V1787, "*Research Information*", 'FOI 2025-26'!I2:I1787, "Aug")+COUNTIFS('FOI 2025-26'!V2:V1787, "*Research Information*", 'FOI 2025-26'!I2:I1787, "Sep")+COUNTIFS('FOI 2025-26'!W2:W1787, "*S22a*", 'FOI 2025-26'!I2:I1787, "Jul")+COUNTIFS('FOI 2025-26'!W2:W1787, "*S22a*", 'FOI 2025-26'!I2:I1787, "Aug")+COUNTIFS('FOI 2025-26'!W2:W1787, "*S22a*", 'FOI 2025-26'!I2:I1787, "Sep")</f>
        <v>0</v>
      </c>
      <c r="E11" s="106">
        <f>COUNTIFS('FOI 2025-26'!V2:V1787, "*Research Information*", 'FOI 2025-26'!I2:I1787, "Oct")+COUNTIFS('FOI 2025-26'!V2:V1787, "*Research Information*", 'FOI 2025-26'!I2:I1787, "Nov")+COUNTIFS('FOI 2025-26'!V2:V1787, "*Research Information*", 'FOI 2025-26'!I2:I1787, "Dec")+COUNTIFS('FOI 2025-26'!W2:W1787, "*S22a*", 'FOI 2025-26'!I2:I1787, "Oct")+COUNTIFS('FOI 2025-26'!W2:W1787, "*S22a*", 'FOI 2025-26'!I2:I1787, "Nov")+COUNTIFS('FOI 2025-26'!W2:W1787, "*S22a*", 'FOI 2025-26'!I2:I1787, "Dec")</f>
        <v>0</v>
      </c>
      <c r="F11" s="107">
        <f>COUNTIFS('FOI 2025-26'!V2:V1787, "*Research Information*", 'FOI 2025-26'!I2:I1787, "Jan")+COUNTIFS('FOI 2025-26'!V2:V1787, "*Research Information*", 'FOI 2025-26'!I2:I1787, "Feb")+COUNTIFS('FOI 2025-26'!V2:V1787, "*Research Information*", 'FOI 2025-26'!I2:I1787, "Mar")+COUNTIFS('FOI 2025-26'!W2:W1787, "*S22a*", 'FOI 2025-26'!I2:I1787, "Jan")+COUNTIFS('FOI 2025-26'!W2:W1787, "*S22a*", 'FOI 2025-26'!I2:I1787, "Feb")+COUNTIFS('FOI 2025-26'!W2:W1787, "*S22a*", 'FOI 2025-26'!I2:I1787, "Mar")</f>
        <v>0</v>
      </c>
      <c r="G11" s="44"/>
      <c r="H11" s="30" t="s">
        <v>1538</v>
      </c>
      <c r="I11" s="102">
        <f>COUNTIFS('EIR 2025-26'!U2:U997, "*Too General*", 'EIR 2025-26'!J2:J997, "Apr")+COUNTIFS('EIR 2025-26'!U2:U997, "*Too General*", 'EIR 2025-26'!J2:J997, "May")+COUNTIFS('EIR 2025-26'!U2:U997, "*Too General*", 'EIR 2025-26'!J2:J997, "Jun")+COUNTIFS('EIR 2025-26'!V2:V997, "*S12(4)(c)*", 'EIR 2025-26'!J2:J997, "Apr")+COUNTIFS('EIR 2025-26'!V2:V997, "*S12(4)(c)*", 'EIR 2025-26'!J2:J997, "May")+COUNTIFS('EIR 2025-26'!V2:V997, "*S12(4)(c)*", 'EIR 2025-26'!J2:J997, "Jun")</f>
        <v>0</v>
      </c>
      <c r="J11" s="102">
        <f>COUNTIFS('EIR 2025-26'!U2:U997, "*Too General*", 'EIR 2025-26'!J2:J997, "Jul")+COUNTIFS('EIR 2025-26'!U2:U997, "*Too General*", 'EIR 2025-26'!J2:J997, "Aug")+COUNTIFS('EIR 2025-26'!U2:U997, "*Too General*", 'EIR 2025-26'!J2:J997, "Sep")+COUNTIFS('EIR 2025-26'!V2:V997, "*S12(4)(c)*", 'EIR 2025-26'!J2:J997, "Jul")+COUNTIFS('EIR 2025-26'!V2:V997, "*S12(4)(c)*", 'EIR 2025-26'!J2:J997, "Aug")+COUNTIFS('EIR 2025-26'!V2:V997, "*S12(4)(c)*", 'EIR 2025-26'!J2:J997, "Sep")</f>
        <v>0</v>
      </c>
      <c r="K11" s="102">
        <f>COUNTIFS('EIR 2025-26'!U2:U997, "*Too General*", 'EIR 2025-26'!J2:J997, "Oct")+COUNTIFS('EIR 2025-26'!U2:U997, "*Too General*", 'EIR 2025-26'!J2:J997, "Nov")+COUNTIFS('EIR 2025-26'!U2:U997, "*Too General*", 'EIR 2025-26'!J2:J997, "Dec")+COUNTIFS('EIR 2025-26'!V2:V997, "*S12(4)(c)*", 'EIR 2025-26'!J2:J997, "Oct")+COUNTIFS('EIR 2025-26'!V2:V997, "*S12(4)(c)*", 'EIR 2025-26'!J2:J997, "Nov")+COUNTIFS('EIR 2025-26'!V2:V997, "*S12(4)(c)*", 'EIR 2025-26'!J2:J997, "Dec")</f>
        <v>0</v>
      </c>
      <c r="L11" s="108">
        <f>COUNTIFS('EIR 2025-26'!U2:U997, "*Too General*", 'EIR 2025-26'!J2:J997, "Jan")+COUNTIFS('EIR 2025-26'!U2:U997, "*Too General*", 'EIR 2025-26'!J2:J997, "Feb")+COUNTIFS('EIR 2025-26'!U2:U997, "*Too General*", 'EIR 2025-26'!J2:J997, "Mar")+COUNTIFS('EIR 2025-26'!V2:V997, "*S12(4)(c)*", 'EIR 2025-26'!J2:J997, "Jan")+COUNTIFS('EIR 2025-26'!V2:V997, "*S12(4)(c)*", 'EIR 2025-26'!J2:J997, "Feb")+COUNTIFS('EIR 2025-26'!V2:V997, "*S12(4)(c)*", 'EIR 2025-26'!J2:J997, "Mar")</f>
        <v>0</v>
      </c>
    </row>
    <row r="12" spans="2:12" ht="45" x14ac:dyDescent="0.25">
      <c r="B12" s="60" t="s">
        <v>1539</v>
      </c>
      <c r="C12" s="110">
        <f>COUNTIFS('FOI 2025-26'!V2:V1787, "*Security Matters*", 'FOI 2025-26'!I2:I1787, "Apr")+COUNTIFS('FOI 2025-26'!V2:V1787, "*Security Matters*", 'FOI 2025-26'!I2:I1787, "May")+COUNTIFS('FOI 2025-26'!V2:V1787, "*Security Matters*", 'FOI 2025-26'!I2:I1787, "Jun")+COUNTIFS('FOI 2025-26'!W2:W1787, "*S23*", 'FOI 2025-26'!I2:I1787, "Apr")+COUNTIFS('FOI 2025-26'!W2:W1787, "*S23*", 'FOI 2025-26'!I2:I1787, "May")+COUNTIFS('FOI 2025-26'!W2:W1787, "*S23*", 'FOI 2025-26'!I2:I1787, "Jun")</f>
        <v>0</v>
      </c>
      <c r="D12" s="110">
        <f>COUNTIFS('FOI 2025-26'!V2:V1787, "*Security Matters*", 'FOI 2025-26'!I2:I1787, "Jul")+COUNTIFS('FOI 2025-26'!V2:V1787, "*Security Matters*", 'FOI 2025-26'!I2:I1787, "Aug")+COUNTIFS('FOI 2025-26'!V2:V1787, "*Security Matters*", 'FOI 2025-26'!I2:I1787, "Sep")+COUNTIFS('FOI 2025-26'!W2:W1787, "*S23*", 'FOI 2025-26'!I2:I1787, "Jul")+COUNTIFS('FOI 2025-26'!W2:W1787, "*S23*", 'FOI 2025-26'!I2:I1787, "Aug")+COUNTIFS('FOI 2025-26'!W2:W1787, "*S23*", 'FOI 2025-26'!I2:I1787, "Sep")</f>
        <v>0</v>
      </c>
      <c r="E12" s="110">
        <f>COUNTIFS('FOI 2025-26'!V2:V1787, "*Security Matters*", 'FOI 2025-26'!I2:I1787, "Oct")+COUNTIFS('FOI 2025-26'!V2:V1787, "*Security Matters*", 'FOI 2025-26'!I2:I1787, "Nov")+COUNTIFS('FOI 2025-26'!V2:V1787, "*Security Matters*", 'FOI 2025-26'!I2:I1787, "Dec")+COUNTIFS('FOI 2025-26'!W2:W1787, "*S23*", 'FOI 2025-26'!I2:I1787, "Oct")+COUNTIFS('FOI 2025-26'!W2:W1787, "*S23*", 'FOI 2025-26'!I2:I1787, "Nov")+COUNTIFS('FOI 2025-26'!W2:W1787, "*S23*", 'FOI 2025-26'!I2:I1787, "Dec")</f>
        <v>0</v>
      </c>
      <c r="F12" s="111">
        <f>COUNTIFS('FOI 2025-26'!V2:V1787, "*Security Matters*", 'FOI 2025-26'!I2:I1787, "Jan")+COUNTIFS('FOI 2025-26'!V2:V1787, "*Security Matters*", 'FOI 2025-26'!I2:I1787, "Feb")+COUNTIFS('FOI 2025-26'!V2:V1787, "*Security Matters*", 'FOI 2025-26'!I2:I1787, "Mar")+COUNTIFS('FOI 2025-26'!W2:W1787, "*S23*", 'FOI 2025-26'!I2:I1787, "Jan")+COUNTIFS('FOI 2025-26'!W2:W1787, "*S23*", 'FOI 2025-26'!I2:I1787, "Feb")+COUNTIFS('FOI 2025-26'!W2:W1787, "*S23*", 'FOI 2025-26'!I2:I1787, "Mar")</f>
        <v>0</v>
      </c>
      <c r="G12" s="44"/>
      <c r="H12" s="33" t="s">
        <v>1540</v>
      </c>
      <c r="I12" s="100">
        <f>COUNTIFS('EIR 2025-26'!U2:U997, "*Unfinished Documents*", 'EIR 2025-26'!J2:J997, "Apr")+COUNTIFS('EIR 2025-26'!U2:U997, "*Unfinished Documents*", 'EIR 2025-26'!J2:J997, "May")+COUNTIFS('EIR 2025-26'!U2:U997, "*Unfinished Documents*", 'EIR 2025-26'!J2:J997, "Jun")+COUNTIFS('EIR 2025-26'!V2:V997, "*S12(4)(d)*", 'EIR 2025-26'!J2:J997, "Apr")+COUNTIFS('EIR 2025-26'!V2:V997, "*S12(4)(d)*", 'EIR 2025-26'!J2:J997, "May")+COUNTIFS('EIR 2025-26'!V2:V997, "*S12(4)(d)*", 'EIR 2025-26'!J2:J997, "Jun")</f>
        <v>3</v>
      </c>
      <c r="J12" s="100">
        <f>COUNTIFS('EIR 2025-26'!U2:U997, "*Unfinished Documents*", 'EIR 2025-26'!J2:J997, "Jul")+COUNTIFS('EIR 2025-26'!U2:U997, "*Unfinished Documents*", 'EIR 2025-26'!J2:J997, "Aug")+COUNTIFS('EIR 2025-26'!U2:U997, "*Unfinished Documents*", 'EIR 2025-26'!J2:J997, "Sep")+COUNTIFS('EIR 2025-26'!V2:V997, "*S12(4)(d)*", 'EIR 2025-26'!J2:J997, "Jul")+COUNTIFS('EIR 2025-26'!V2:V997, "*S12(4)(d)*", 'EIR 2025-26'!J2:J997, "Aug")+COUNTIFS('EIR 2025-26'!V2:V997, "*S12(4)(d)*", 'EIR 2025-26'!J2:J997, "Sep")</f>
        <v>0</v>
      </c>
      <c r="K12" s="100">
        <f>COUNTIFS('EIR 2025-26'!U2:U997, "*Unfinished Documents*", 'EIR 2025-26'!J2:J997, "Oct")+COUNTIFS('EIR 2025-26'!U2:U997, "*Unfinished Documents*", 'EIR 2025-26'!J2:J997, "Nov")+COUNTIFS('EIR 2025-26'!U2:U997, "*Unfinished Documents*", 'EIR 2025-26'!J2:J997, "Dec")+COUNTIFS('EIR 2025-26'!V2:V997, "*S12(4)(d)*", 'EIR 2025-26'!J2:J997, "Oct")+COUNTIFS('EIR 2025-26'!V2:V997, "*S12(4)(d)*", 'EIR 2025-26'!J2:J997, "Nov")+COUNTIFS('EIR 2025-26'!V2:V997, "*S12(4)(d)*", 'EIR 2025-26'!J2:J997, "Dec")</f>
        <v>0</v>
      </c>
      <c r="L12" s="109">
        <f>COUNTIFS('EIR 2025-26'!U2:U997, "*Unfinished Documents*", 'EIR 2025-26'!J2:J997, "Jan")+COUNTIFS('EIR 2025-26'!U2:U997, "*Unfinished Documents*", 'EIR 2025-26'!J2:J997, "Feb")+COUNTIFS('EIR 2025-26'!U2:U997, "*Unfinished Documents*", 'EIR 2025-26'!J2:J997, "Mar")+COUNTIFS('EIR 2025-26'!V2:V997, "*S12(4)(d)*", 'EIR 2025-26'!J2:J997, "Jan")+COUNTIFS('EIR 2025-26'!V2:V997, "*S12(4)(d)*", 'EIR 2025-26'!J2:J997, "Feb")+COUNTIFS('EIR 2025-26'!V2:V997, "*S12(4)(d)*", 'EIR 2025-26'!J2:J997, "Mar")</f>
        <v>1</v>
      </c>
    </row>
    <row r="13" spans="2:12" ht="30" x14ac:dyDescent="0.25">
      <c r="B13" s="59" t="s">
        <v>1541</v>
      </c>
      <c r="C13" s="106">
        <f>COUNTIFS('FOI 2025-26'!V2:V1787, "*National Security*", 'FOI 2025-26'!I2:I1787, "Apr")+COUNTIFS('FOI 2025-26'!V2:V1787, "*National Security*", 'FOI 2025-26'!I2:I1787, "May")+COUNTIFS('FOI 2025-26'!V2:V1787, "*National Security*", 'FOI 2025-26'!I2:I1787, "Jun")+COUNTIFS('FOI 2025-26'!W2:W1787, "*S24*", 'FOI 2025-26'!I2:I1787, "Apr")+COUNTIFS('FOI 2025-26'!W2:W1787, "*S24*", 'FOI 2025-26'!I2:I1787, "May")+COUNTIFS('FOI 2025-26'!W2:W1787, "*S24*", 'FOI 2025-26'!I2:I1787, "Jun")</f>
        <v>0</v>
      </c>
      <c r="D13" s="106">
        <f>COUNTIFS('FOI 2025-26'!V2:V1787, "*National Security*", 'FOI 2025-26'!I2:I1787, "Jul")+COUNTIFS('FOI 2025-26'!V2:V1787, "*National Security*", 'FOI 2025-26'!I2:I1787, "Aug")+COUNTIFS('FOI 2025-26'!V2:V1787, "*National Security*", 'FOI 2025-26'!I2:I1787, "Sep")+COUNTIFS('FOI 2025-26'!W2:W1787, "*S24*", 'FOI 2025-26'!I2:I1787, "Jul")+COUNTIFS('FOI 2025-26'!W2:W1787, "*S24*", 'FOI 2025-26'!I2:I1787, "Aug")+COUNTIFS('FOI 2025-26'!W2:W1787, "*S24*", 'FOI 2025-26'!I2:I1787, "Sep")</f>
        <v>0</v>
      </c>
      <c r="E13" s="106">
        <f>COUNTIFS('FOI 2025-26'!V2:V1787, "*National Security*", 'FOI 2025-26'!I2:I1787, "Oct")+COUNTIFS('FOI 2025-26'!V2:V1787, "*National Security*", 'FOI 2025-26'!I2:I1787, "Nov")+COUNTIFS('FOI 2025-26'!V2:V1787, "*National Security*", 'FOI 2025-26'!I2:I1787, "Dec")+COUNTIFS('FOI 2025-26'!W2:W1787, "*S24*", 'FOI 2025-26'!I2:I1787, "Oct")+COUNTIFS('FOI 2025-26'!W2:W1787, "*S24*", 'FOI 2025-26'!I2:I1787, "Nov")+COUNTIFS('FOI 2025-26'!W2:W1787, "*S24*", 'FOI 2025-26'!I2:I1787, "Dec")</f>
        <v>0</v>
      </c>
      <c r="F13" s="107">
        <f>COUNTIFS('FOI 2025-26'!V2:V1787, "*National Security*", 'FOI 2025-26'!I2:I1787, "Jan")+COUNTIFS('FOI 2025-26'!V2:V1787, "*National Security*", 'FOI 2025-26'!I2:I1787, "Feb")+COUNTIFS('FOI 2025-26'!V2:V1787, "*National Security*", 'FOI 2025-26'!I2:I1787, "Mar")+COUNTIFS('FOI 2025-26'!W2:W1787, "*S24*", 'FOI 2025-26'!I2:I1787, "Jan")+COUNTIFS('FOI 2025-26'!W2:W1787, "*S24*", 'FOI 2025-26'!I2:I1787, "Feb")+COUNTIFS('FOI 2025-26'!W2:W1787, "*S24*", 'FOI 2025-26'!I2:I1787, "Mar")</f>
        <v>0</v>
      </c>
      <c r="G13" s="44"/>
      <c r="H13" s="30" t="s">
        <v>1542</v>
      </c>
      <c r="I13" s="102">
        <f>COUNTIFS('EIR 2025-26'!U2:U997, "*Internal Documents*", 'EIR 2025-26'!J2:J997, "Apr")+COUNTIFS('EIR 2025-26'!U2:U997, "*Internal Documents*", 'EIR 2025-26'!J2:J997, "May")+COUNTIFS('EIR 2025-26'!U2:U997, "*Internal Documents*", 'EIR 2025-26'!J2:J997, "Jun")+COUNTIFS('EIR 2025-26'!V2:V997, "*S12(4)(e)*", 'EIR 2025-26'!J2:J997, "Apr")+COUNTIFS('EIR 2025-26'!V2:V997, "*S12(4)(e)*", 'EIR 2025-26'!J2:J997, "May")+COUNTIFS('EIR 2025-26'!V2:V997, "*S12(4)(e)*", 'EIR 2025-26'!J2:J997, "Jun")</f>
        <v>0</v>
      </c>
      <c r="J13" s="102">
        <f>COUNTIFS('EIR 2025-26'!U2:U997, "*Internal Documents*", 'EIR 2025-26'!J2:J997, "Jul")+COUNTIFS('EIR 2025-26'!U2:U997, "*Internal Documents*", 'EIR 2025-26'!J2:J997, "Aug")+COUNTIFS('EIR 2025-26'!U2:U997, "*Internal Documents*", 'EIR 2025-26'!J2:J997, "Sep")+COUNTIFS('EIR 2025-26'!V2:V997, "*S12(4)(e)*", 'EIR 2025-26'!J2:J997, "Jul")+COUNTIFS('EIR 2025-26'!V2:V997, "*S12(4)(e)*", 'EIR 2025-26'!J2:J997, "Aug")+COUNTIFS('EIR 2025-26'!V2:V997, "*S12(4)(e)*", 'EIR 2025-26'!J2:J997, "Sep")</f>
        <v>0</v>
      </c>
      <c r="K13" s="102">
        <f>COUNTIFS('EIR 2025-26'!U2:U997, "*Internal Documents*", 'EIR 2025-26'!J2:J997, "Oct")+COUNTIFS('EIR 2025-26'!U2:U997, "*Internal Documents*", 'EIR 2025-26'!J2:J997, "Nov")+COUNTIFS('EIR 2025-26'!U2:U997, "*Internal Documents*", 'EIR 2025-26'!J2:J997, "Dec")+COUNTIFS('EIR 2025-26'!V2:V997, "*S12(4)(e)*", 'EIR 2025-26'!J2:J997, "Oct")+COUNTIFS('EIR 2025-26'!V2:V997, "*S12(4)(e)*", 'EIR 2025-26'!J2:J997, "Nov")+COUNTIFS('EIR 2025-26'!V2:V997, "*S12(4)(e)*", 'EIR 2025-26'!J2:J997, "Dec")</f>
        <v>0</v>
      </c>
      <c r="L13" s="108">
        <f>COUNTIFS('EIR 2025-26'!U2:U997, "*Internal Documents*", 'EIR 2025-26'!J2:J997, "Jan")+COUNTIFS('EIR 2025-26'!U2:U997, "*Internal Documents*", 'EIR 2025-26'!J2:J997, "Feb")+COUNTIFS('EIR 2025-26'!U2:U997, "*Internal Documents*", 'EIR 2025-26'!J2:J997, "Mar")+COUNTIFS('EIR 2025-26'!V2:V997, "*S12(4)(e)*", 'EIR 2025-26'!J2:J997, "Jan")+COUNTIFS('EIR 2025-26'!V2:V997, "*S12(4)(e)*", 'EIR 2025-26'!J2:J997, "Feb")+COUNTIFS('EIR 2025-26'!V2:V997, "*S12(4)(e)*", 'EIR 2025-26'!J2:J997, "Mar")</f>
        <v>0</v>
      </c>
    </row>
    <row r="14" spans="2:12" ht="45" x14ac:dyDescent="0.25">
      <c r="B14" s="60" t="s">
        <v>1543</v>
      </c>
      <c r="C14" s="110">
        <f>COUNTIFS('FOI 2025-26'!V2:V1787, "*Defence*", 'FOI 2025-26'!I2:I1787, "Apr")+COUNTIFS('FOI 2025-26'!V2:V1787, "*Defence*", 'FOI 2025-26'!I2:I1787, "May")+COUNTIFS('FOI 2025-26'!V2:V1787, "*Defence*", 'FOI 2025-26'!I2:I1787, "Jun")+COUNTIFS('FOI 2025-26'!W2:W1787, "*S26*", 'FOI 2025-26'!I2:I1787, "Apr")+COUNTIFS('FOI 2025-26'!W2:W1787, "*S26*", 'FOI 2025-26'!I2:I1787, "May")+COUNTIFS('FOI 2025-26'!W2:W1787, "*S26*", 'FOI 2025-26'!I2:I1787, "Jun")</f>
        <v>0</v>
      </c>
      <c r="D14" s="110">
        <f>COUNTIFS('FOI 2025-26'!V2:V1787, "*Defence*", 'FOI 2025-26'!I2:I1787, "Jul")+COUNTIFS('FOI 2025-26'!V2:V1787, "*Defence*", 'FOI 2025-26'!I2:I1787, "Aug")+COUNTIFS('FOI 2025-26'!V2:V1787, "*Defence*", 'FOI 2025-26'!I2:I1787, "Sep")+COUNTIFS('FOI 2025-26'!W2:W1787, "*S26*", 'FOI 2025-26'!I2:I1787, "Jul")+COUNTIFS('FOI 2025-26'!W2:W1787, "*S26*", 'FOI 2025-26'!I2:I1787, "Aug")+COUNTIFS('FOI 2025-26'!W2:W1787, "*S26*", 'FOI 2025-26'!I2:I1787, "Sep")</f>
        <v>0</v>
      </c>
      <c r="E14" s="110">
        <f>COUNTIFS('FOI 2025-26'!V2:V1787, "*Defence*", 'FOI 2025-26'!I2:I1787, "Oct")+COUNTIFS('FOI 2025-26'!V2:V1787, "*Defence*", 'FOI 2025-26'!I2:I1787, "Nov")+COUNTIFS('FOI 2025-26'!V2:V1787, "*Defence*", 'FOI 2025-26'!I2:I1787, "Dec")+COUNTIFS('FOI 2025-26'!W2:W1787, "*S26*", 'FOI 2025-26'!I2:I1787, "Oct")+COUNTIFS('FOI 2025-26'!W2:W1787, "*S26*", 'FOI 2025-26'!I2:I1787, "Nov")+COUNTIFS('FOI 2025-26'!W2:W1787, "*S26*", 'FOI 2025-26'!I2:I1787, "Dec")</f>
        <v>0</v>
      </c>
      <c r="F14" s="111">
        <f>COUNTIFS('FOI 2025-26'!V2:V1787, "*Defence*", 'FOI 2025-26'!I2:I1787, "Jan")+COUNTIFS('FOI 2025-26'!V2:V1787, "*Defence*", 'FOI 2025-26'!I2:I1787, "Feb")+COUNTIFS('FOI 2025-26'!V2:V1787, "*Defence*", 'FOI 2025-26'!I2:I1787, "Mar")+COUNTIFS('FOI 2025-26'!W2:W1787, "*S26*", 'FOI 2025-26'!I2:I1787, "Jan")+COUNTIFS('FOI 2025-26'!W2:W1787, "*S26*", 'FOI 2025-26'!I2:I1787, "Feb")+COUNTIFS('FOI 2025-26'!W2:W1787, "*S26*", 'FOI 2025-26'!I2:I1787, "Mar")</f>
        <v>0</v>
      </c>
      <c r="G14" s="44"/>
      <c r="H14" s="33" t="s">
        <v>1544</v>
      </c>
      <c r="I14" s="100">
        <f>COUNTIFS('EIR 2025-26'!U2:U997, "*Public Safety*", 'EIR 2025-26'!J2:J997, "Apr")+COUNTIFS('EIR 2025-26'!U2:U997, "*Public Safety*", 'EIR 2025-26'!J2:J997, "May")+COUNTIFS('EIR 2025-26'!U2:U997, "*Public Safety*", 'EIR 2025-26'!J2:J997, "Jun")+COUNTIFS('EIR 2025-26'!V2:V997, "*S12(5)(a)*", 'EIR 2025-26'!J2:J997, "Apr")+COUNTIFS('EIR 2025-26'!V2:V997, "*S12(5)(a)*", 'EIR 2025-26'!J2:J997, "May")+COUNTIFS('EIR 2025-26'!V2:V997, "*S12(5)(a)*", 'EIR 2025-26'!J2:J997, "Jun")</f>
        <v>0</v>
      </c>
      <c r="J14" s="100">
        <f>COUNTIFS('EIR 2025-26'!U2:U997, "*Public Safety*", 'EIR 2025-26'!J2:J997, "Jul")+COUNTIFS('EIR 2025-26'!U2:U997, "*Public Safety*", 'EIR 2025-26'!J2:J997, "Aug")+COUNTIFS('EIR 2025-26'!U2:U997, "*Public Safety*", 'EIR 2025-26'!J2:J997, "Sep")+COUNTIFS('EIR 2025-26'!V2:V997, "*S12(5)(a)*", 'EIR 2025-26'!J2:J997, "Jul")+COUNTIFS('EIR 2025-26'!V2:V997, "*S12(5)(a)*", 'EIR 2025-26'!J2:J997, "Aug")+COUNTIFS('EIR 2025-26'!V2:V997, "*S12(5)(a)*", 'EIR 2025-26'!J2:J997, "Sep")</f>
        <v>0</v>
      </c>
      <c r="K14" s="100">
        <f>COUNTIFS('EIR 2025-26'!U2:U997, "*Public Safety*", 'EIR 2025-26'!J2:J997, "Oct")+COUNTIFS('EIR 2025-26'!U2:U997, "*Public Safety*", 'EIR 2025-26'!J2:J997, "Nov")+COUNTIFS('EIR 2025-26'!U2:U997, "*Public Safety*", 'EIR 2025-26'!J2:J997, "Dec")+COUNTIFS('EIR 2025-26'!V2:V997, "*S12(5)(a)*", 'EIR 2025-26'!J2:J997, "Oct")+COUNTIFS('EIR 2025-26'!V2:V997, "*S12(5)(a)*", 'EIR 2025-26'!J2:J997, "Nov")+COUNTIFS('EIR 2025-26'!V2:V997, "*S12(5)(a)*", 'EIR 2025-26'!J2:J997, "Dec")</f>
        <v>0</v>
      </c>
      <c r="L14" s="109">
        <f>COUNTIFS('EIR 2025-26'!U2:U997, "*Public Safety*", 'EIR 2025-26'!J2:J997, "Jan")+COUNTIFS('EIR 2025-26'!U2:U997, "*Public Safety*", 'EIR 2025-26'!J2:J997, "Feb")+COUNTIFS('EIR 2025-26'!U2:U997, "*Public Safety*", 'EIR 2025-26'!J2:J997, "Mar")+COUNTIFS('EIR 2025-26'!V2:V997, "*S12(5)(a)*", 'EIR 2025-26'!J2:J997, "Jan")+COUNTIFS('EIR 2025-26'!V2:V997, "*S12(5)(a)*", 'EIR 2025-26'!J2:J997, "Feb")+COUNTIFS('EIR 2025-26'!V2:V997, "*S12(5)(a)*", 'EIR 2025-26'!J2:J997, "Mar")</f>
        <v>0</v>
      </c>
    </row>
    <row r="15" spans="2:12" ht="30" x14ac:dyDescent="0.25">
      <c r="B15" s="59" t="s">
        <v>1545</v>
      </c>
      <c r="C15" s="106">
        <f>COUNTIFS('FOI 2025-26'!V2:V1787, "*International Relations*", 'FOI 2025-26'!I2:I1787, "Apr")+COUNTIFS('FOI 2025-26'!V2:V1787, "*International Relations*", 'FOI 2025-26'!I2:I1787, "May")+COUNTIFS('FOI 2025-26'!V2:V1787, "*International Relations*", 'FOI 2025-26'!I2:I1787, "Jun")+COUNTIFS('FOI 2025-26'!W2:W1787, "*S27*", 'FOI 2025-26'!I2:I1787, "Apr")+COUNTIFS('FOI 2025-26'!W2:W1787, "*S27*", 'FOI 2025-26'!I2:I1787, "May")+COUNTIFS('FOI 2025-26'!W2:W1787, "*S27*", 'FOI 2025-26'!I2:I1787, "Jun")</f>
        <v>0</v>
      </c>
      <c r="D15" s="106">
        <f>COUNTIFS('FOI 2025-26'!V2:V1787, "*International Relations*", 'FOI 2025-26'!I2:I1787, "Jul")+COUNTIFS('FOI 2025-26'!V2:V1787, "*International Relations*", 'FOI 2025-26'!I2:I1787, "Aug")+COUNTIFS('FOI 2025-26'!V2:V1787, "*International Relations*", 'FOI 2025-26'!I2:I1787, "Sep")+COUNTIFS('FOI 2025-26'!W2:W1787, "*S27*", 'FOI 2025-26'!I2:I1787, "Jul")+COUNTIFS('FOI 2025-26'!W2:W1787, "*S27*", 'FOI 2025-26'!I2:I1787, "Aug")+COUNTIFS('FOI 2025-26'!W2:W1787, "*S27*", 'FOI 2025-26'!I2:I1787, "Sep")</f>
        <v>0</v>
      </c>
      <c r="E15" s="106">
        <f>COUNTIFS('FOI 2025-26'!V2:V1787, "*International Relations*", 'FOI 2025-26'!I2:I1787, "Oct")+COUNTIFS('FOI 2025-26'!V2:V1787, "*International Relations*", 'FOI 2025-26'!I2:I1787, "Nov")+COUNTIFS('FOI 2025-26'!V2:V1787, "*International Relations*", 'FOI 2025-26'!I2:I1787, "Dec")+COUNTIFS('FOI 2025-26'!W2:W1787, "*S27*", 'FOI 2025-26'!I2:I1787, "Oct")+COUNTIFS('FOI 2025-26'!W2:W1787, "*S27*", 'FOI 2025-26'!I2:I1787, "Nov")+COUNTIFS('FOI 2025-26'!W2:W1787, "*S27*", 'FOI 2025-26'!I2:I1787, "Dec")</f>
        <v>0</v>
      </c>
      <c r="F15" s="107">
        <f>COUNTIFS('FOI 2025-26'!V2:V1787, "*International Relations*", 'FOI 2025-26'!I2:I1787, "Jan")+COUNTIFS('FOI 2025-26'!V2:V1787, "*International Relations*", 'FOI 2025-26'!I2:I1787, "Feb")+COUNTIFS('FOI 2025-26'!V2:V1787, "*International Relations*", 'FOI 2025-26'!I2:I1787, "Mar")+COUNTIFS('FOI 2025-26'!W2:W1787, "*S27*", 'FOI 2025-26'!I2:I1787, "Jan")+COUNTIFS('FOI 2025-26'!W2:W1787, "*S27*", 'FOI 2025-26'!I2:I1787, "Feb")+COUNTIFS('FOI 2025-26'!W2:W1787, "*S27*", 'FOI 2025-26'!I2:I1787, "Mar")</f>
        <v>0</v>
      </c>
      <c r="G15" s="44"/>
      <c r="H15" s="30" t="s">
        <v>1546</v>
      </c>
      <c r="I15" s="102">
        <f>COUNTIFS('EIR 2025-26'!U2:U997, "*Justice and Inquiries*", 'EIR 2025-26'!J2:J997, "Apr")+COUNTIFS('EIR 2025-26'!U2:U997, "*Justice and Inquiries*", 'EIR 2025-26'!J2:J997, "May")+COUNTIFS('EIR 2025-26'!U2:U997, "*Justice and Inquiries*", 'EIR 2025-26'!J2:J997, "Jun")+COUNTIFS('EIR 2025-26'!V2:V997, "*S12(5)(b)*", 'EIR 2025-26'!J2:J997, "Apr")+COUNTIFS('EIR 2025-26'!V2:V997, "*S12(5)(b)*", 'EIR 2025-26'!J2:J997, "May")+COUNTIFS('EIR 2025-26'!V2:V997, "*S12(5)(b)*", 'EIR 2025-26'!J2:J997, "Jun")</f>
        <v>0</v>
      </c>
      <c r="J15" s="102">
        <f>COUNTIFS('EIR 2025-26'!U2:U997, "*Justice and Inquiries*", 'EIR 2025-26'!J2:J997, "Jul")+COUNTIFS('EIR 2025-26'!U2:U997, "*Justice and Inquiries*", 'EIR 2025-26'!J2:J997, "Aug")+COUNTIFS('EIR 2025-26'!U2:U997, "*Justice and Inquiries*", 'EIR 2025-26'!J2:J997, "Sep")+COUNTIFS('EIR 2025-26'!V2:V997, "*S12(5)(b)*", 'EIR 2025-26'!J2:J997, "Jul")+COUNTIFS('EIR 2025-26'!V2:V997, "*S12(5)(b)*", 'EIR 2025-26'!J2:J997, "Aug")+COUNTIFS('EIR 2025-26'!V2:V997, "*S12(5)(b)*", 'EIR 2025-26'!J2:J997, "Sep")</f>
        <v>0</v>
      </c>
      <c r="K15" s="102">
        <f>COUNTIFS('EIR 2025-26'!U2:U997, "*Justice and Inquiries*", 'EIR 2025-26'!J2:J997, "Oct")+COUNTIFS('EIR 2025-26'!U2:U997, "*Justice and Inquiries*", 'EIR 2025-26'!J2:J997, "Nov")+COUNTIFS('EIR 2025-26'!U2:U997, "*Justice and Inquiries*", 'EIR 2025-26'!J2:J997, "Dec")+COUNTIFS('EIR 2025-26'!V2:V997, "*S12(5)(b)*", 'EIR 2025-26'!J2:J997, "Oct")+COUNTIFS('EIR 2025-26'!V2:V997, "*S12(5)(b)*", 'EIR 2025-26'!J2:J997, "Nov")+COUNTIFS('EIR 2025-26'!V2:V997, "*S12(5)(b)*", 'EIR 2025-26'!J2:J997, "Dec")</f>
        <v>0</v>
      </c>
      <c r="L15" s="108">
        <f>COUNTIFS('EIR 2025-26'!U2:U997, "*Justice and Inquiries*", 'EIR 2025-26'!J2:J997, "Jan")+COUNTIFS('EIR 2025-26'!U2:U997, "*Justice and Inquiries*", 'EIR 2025-26'!J2:J997, "Feb")+COUNTIFS('EIR 2025-26'!U2:U997, "*Justice and Inquiries*", 'EIR 2025-26'!J2:J997, "Mar")+COUNTIFS('EIR 2025-26'!V2:V997, "*S12(5)(b)*", 'EIR 2025-26'!J2:J997, "Jan")+COUNTIFS('EIR 2025-26'!V2:V997, "*S12(5)(b)*", 'EIR 2025-26'!J2:J997, "Feb")+COUNTIFS('EIR 2025-26'!V2:V997, "*S12(5)(b)*", 'EIR 2025-26'!J2:J997, "Mar")</f>
        <v>0</v>
      </c>
    </row>
    <row r="16" spans="2:12" ht="30" x14ac:dyDescent="0.25">
      <c r="B16" s="60" t="s">
        <v>1547</v>
      </c>
      <c r="C16" s="110">
        <f>COUNTIFS('FOI 2025-26'!V2:V1787, "*Relations within the UK*", 'FOI 2025-26'!I2:I1787, "Apr")+COUNTIFS('FOI 2025-26'!V2:V1787, "*Relations within the UK*", 'FOI 2025-26'!I2:I1787, "May")+COUNTIFS('FOI 2025-26'!V2:V1787, "*Relations within the UK*", 'FOI 2025-26'!I2:I1787, "Jun")+COUNTIFS('FOI 2025-26'!W2:W1787, "*S28*", 'FOI 2025-26'!I2:I1787, "Apr")+COUNTIFS('FOI 2025-26'!W2:W1787, "*S28*", 'FOI 2025-26'!I2:I1787, "May")+COUNTIFS('FOI 2025-26'!W2:W1787, "*S28*", 'FOI 2025-26'!I2:I1787, "Jun")</f>
        <v>0</v>
      </c>
      <c r="D16" s="110">
        <f>COUNTIFS('FOI 2025-26'!V2:V1787, "*Relations within the UK*", 'FOI 2025-26'!I2:I1787, "Jul")+COUNTIFS('FOI 2025-26'!V2:V1787, "*Relations within the UK*", 'FOI 2025-26'!I2:I1787, "Aug")+COUNTIFS('FOI 2025-26'!V2:V1787, "*Relations within the UK*", 'FOI 2025-26'!I2:I1787, "Sep")+COUNTIFS('FOI 2025-26'!W2:W1787, "*S28*", 'FOI 2025-26'!I2:I1787, "Jul")+COUNTIFS('FOI 2025-26'!W2:W1787, "*S28*", 'FOI 2025-26'!I2:I1787, "Aug")+COUNTIFS('FOI 2025-26'!W2:W1787, "*S28*", 'FOI 2025-26'!I2:I1787, "Sep")</f>
        <v>0</v>
      </c>
      <c r="E16" s="110">
        <f>COUNTIFS('FOI 2025-26'!V2:V1787, "*Relations within the UK*", 'FOI 2025-26'!I2:I1787, "Oct")+COUNTIFS('FOI 2025-26'!V2:V1787, "*Relations within the UK*", 'FOI 2025-26'!I2:I1787, "Nov")+COUNTIFS('FOI 2025-26'!V2:V1787, "*Relations within the UK*", 'FOI 2025-26'!I2:I1787, "Dec")+COUNTIFS('FOI 2025-26'!W2:W1787, "*S28*", 'FOI 2025-26'!I2:I1787, "Oct")+COUNTIFS('FOI 2025-26'!W2:W1787, "*S28*", 'FOI 2025-26'!I2:I1787, "Nov")+COUNTIFS('FOI 2025-26'!W2:W1787, "*S28*", 'FOI 2025-26'!I2:I1787, "Dec")</f>
        <v>0</v>
      </c>
      <c r="F16" s="111">
        <f>COUNTIFS('FOI 2025-26'!V2:V1787, "*Relations within the UK*", 'FOI 2025-26'!I2:I1787, "Jan")+COUNTIFS('FOI 2025-26'!V2:V1787, "*Relations within the UK*", 'FOI 2025-26'!I2:I1787, "Feb")+COUNTIFS('FOI 2025-26'!V2:V1787, "*Relations within the UK*", 'FOI 2025-26'!I2:I1787, "Mar")+COUNTIFS('FOI 2025-26'!W2:W1787, "*S28*", 'FOI 2025-26'!I2:I1787, "Jan")+COUNTIFS('FOI 2025-26'!W2:W1787, "*S28*", 'FOI 2025-26'!I2:I1787, "Feb")+COUNTIFS('FOI 2025-26'!W2:W1787, "*S28*", 'FOI 2025-26'!I2:I1787, "Mar")</f>
        <v>0</v>
      </c>
      <c r="G16" s="44"/>
      <c r="H16" s="33" t="s">
        <v>1548</v>
      </c>
      <c r="I16" s="100">
        <f>COUNTIFS('EIR 2025-26'!U2:U997, "*Property Rights*", 'EIR 2025-26'!J2:J997, "Apr")+COUNTIFS('EIR 2025-26'!U2:U997, "*Property Rights*", 'EIR 2025-26'!J2:J997, "May")+COUNTIFS('EIR 2025-26'!U2:U997, "*Property Rights*", 'EIR 2025-26'!J2:J997, "Jun")+COUNTIFS('EIR 2025-26'!V2:V997, "*S12(5)(c)*", 'EIR 2025-26'!J2:J997, "Apr")+COUNTIFS('EIR 2025-26'!V2:V997, "*S12(5)(c)*", 'EIR 2025-26'!J2:J997, "May")+COUNTIFS('EIR 2025-26'!V2:V997, "*S12(5)(c)*", 'EIR 2025-26'!J2:J997, "Jun")</f>
        <v>0</v>
      </c>
      <c r="J16" s="100">
        <f>COUNTIFS('EIR 2025-26'!U2:U997, "*Property Rights*", 'EIR 2025-26'!J2:J997, "Jul")+COUNTIFS('EIR 2025-26'!U2:U997, "*Property Rights*", 'EIR 2025-26'!J2:J997, "Aug")+COUNTIFS('EIR 2025-26'!U2:U997, "*Property Rights*", 'EIR 2025-26'!J2:J997, "Sep")+COUNTIFS('EIR 2025-26'!V2:V997, "*S12(5)(c)*", 'EIR 2025-26'!J2:J997, "Jul")+COUNTIFS('EIR 2025-26'!V2:V997, "*S12(5)(c)*", 'EIR 2025-26'!J2:J997, "Aug")+COUNTIFS('EIR 2025-26'!V2:V997, "*S12(5)(c)*", 'EIR 2025-26'!J2:J997, "Sep")</f>
        <v>0</v>
      </c>
      <c r="K16" s="100">
        <f>COUNTIFS('EIR 2025-26'!U2:U997, "*Property Rights*", 'EIR 2025-26'!J2:J997, "Oct")+COUNTIFS('EIR 2025-26'!U2:U997, "*Property Rights*", 'EIR 2025-26'!J2:J997, "Nov")+COUNTIFS('EIR 2025-26'!U2:U997, "*Property Rights*", 'EIR 2025-26'!J2:J997, "Dec")+COUNTIFS('EIR 2025-26'!V2:V997, "*S12(5)(c)*", 'EIR 2025-26'!J2:J997, "Oct")+COUNTIFS('EIR 2025-26'!V2:V997, "*S12(5)(c)*", 'EIR 2025-26'!J2:J997, "Nov")+COUNTIFS('EIR 2025-26'!V2:V997, "*S12(5)(c)*", 'EIR 2025-26'!J2:J997, "Dec")</f>
        <v>0</v>
      </c>
      <c r="L16" s="109">
        <f>COUNTIFS('EIR 2025-26'!U2:U997, "*Property Rights*", 'EIR 2025-26'!J2:J997, "Jan")+COUNTIFS('EIR 2025-26'!U2:U997, "*Property Rights*", 'EIR 2025-26'!J2:J997, "Feb")+COUNTIFS('EIR 2025-26'!U2:U997, "*Property Rights*", 'EIR 2025-26'!J2:J997, "Mar")+COUNTIFS('EIR 2025-26'!V2:V997, "*S12(5)(c)*", 'EIR 2025-26'!J2:J997, "Jan")+COUNTIFS('EIR 2025-26'!V2:V997, "*S12(5)(c)*", 'EIR 2025-26'!J2:J997, "Feb")+COUNTIFS('EIR 2025-26'!V2:V997, "*S12(5)(c)*", 'EIR 2025-26'!J2:J997, "Mar")</f>
        <v>0</v>
      </c>
    </row>
    <row r="17" spans="2:12" ht="30" x14ac:dyDescent="0.25">
      <c r="B17" s="59" t="s">
        <v>1549</v>
      </c>
      <c r="C17" s="106">
        <f>COUNTIFS('FOI 2025-26'!V2:V1787, "*Economy*", 'FOI 2025-26'!I2:I1787, "Apr")+COUNTIFS('FOI 2025-26'!V2:V1787, "*Economy*", 'FOI 2025-26'!I2:I1787, "May")+COUNTIFS('FOI 2025-26'!V2:V1787, "*Economy*", 'FOI 2025-26'!I2:I1787, "Jun")+COUNTIFS('FOI 2025-26'!W2:W1787, "*S29*", 'FOI 2025-26'!I2:I1787, "Apr")+COUNTIFS('FOI 2025-26'!W2:W1787, "*S29*", 'FOI 2025-26'!I2:I1787, "May")+COUNTIFS('FOI 2025-26'!W2:W1787, "*S29*", 'FOI 2025-26'!I2:I1787, "Jun")</f>
        <v>0</v>
      </c>
      <c r="D17" s="106">
        <f>COUNTIFS('FOI 2025-26'!V2:V1787, "*Economy*", 'FOI 2025-26'!I2:I1787, "Jul")+COUNTIFS('FOI 2025-26'!V2:V1787, "*Economy*", 'FOI 2025-26'!I2:I1787, "Aug")+COUNTIFS('FOI 2025-26'!V2:V1787, "*Economy*", 'FOI 2025-26'!I2:I1787, "Sep")+COUNTIFS('FOI 2025-26'!W2:W1787, "*S29*", 'FOI 2025-26'!I2:I1787, "Jul")+COUNTIFS('FOI 2025-26'!W2:W1787, "*S29*", 'FOI 2025-26'!I2:I1787, "Aug")+COUNTIFS('FOI 2025-26'!W2:W1787, "*S29*", 'FOI 2025-26'!I2:I1787, "Sep")</f>
        <v>0</v>
      </c>
      <c r="E17" s="106">
        <f>COUNTIFS('FOI 2025-26'!V2:V1787, "*Economy*", 'FOI 2025-26'!I2:I1787, "Oct")+COUNTIFS('FOI 2025-26'!V2:V1787, "*Economy*", 'FOI 2025-26'!I2:I1787, "Nov")+COUNTIFS('FOI 2025-26'!V2:V1787, "*Economy*", 'FOI 2025-26'!I2:I1787, "Dec")+COUNTIFS('FOI 2025-26'!W2:W1787, "*S29*", 'FOI 2025-26'!I2:I1787, "Oct")+COUNTIFS('FOI 2025-26'!W2:W1787, "*S29*", 'FOI 2025-26'!I2:I1787, "Nov")+COUNTIFS('FOI 2025-26'!W2:W1787, "*S29*", 'FOI 2025-26'!I2:I1787, "Dec")</f>
        <v>0</v>
      </c>
      <c r="F17" s="107">
        <f>COUNTIFS('FOI 2025-26'!V2:V1787, "*Economy*", 'FOI 2025-26'!I2:I1787, "Jan")+COUNTIFS('FOI 2025-26'!V2:V1787, "*Economy*", 'FOI 2025-26'!I2:I1787, "Feb")+COUNTIFS('FOI 2025-26'!V2:V1787, "*Economy*", 'FOI 2025-26'!I2:I1787, "Mar")+COUNTIFS('FOI 2025-26'!W2:W1787, "*S29*", 'FOI 2025-26'!I2:I1787, "Jan")+COUNTIFS('FOI 2025-26'!W2:W1787, "*S29*", 'FOI 2025-26'!I2:I1787, "Feb")+COUNTIFS('FOI 2025-26'!W2:W1787, "*S29*", 'FOI 2025-26'!I2:I1787, "Mar")</f>
        <v>0</v>
      </c>
      <c r="G17" s="44"/>
      <c r="H17" s="30" t="s">
        <v>1550</v>
      </c>
      <c r="I17" s="102">
        <f>COUNTIFS('EIR 2025-26'!U2:U997, "*Confidentiality of Procedings*", 'EIR 2025-26'!J2:J997, "Apr")+COUNTIFS('EIR 2025-26'!U2:U997, "*Confidentiality of Procedings*", 'EIR 2025-26'!J2:J997, "May")+COUNTIFS('EIR 2025-26'!U2:U997, "*Confidentiality of Procedings*", 'EIR 2025-26'!J2:J997, "Jun")+COUNTIFS('EIR 2025-26'!V2:V997, "*S12(5)(d)*", 'EIR 2025-26'!J2:J997, "Apr")+COUNTIFS('EIR 2025-26'!V2:V997, "*S12(5)(d)*", 'EIR 2025-26'!J2:J997, "May")+COUNTIFS('EIR 2025-26'!V2:V997, "*S12(5)(d)*", 'EIR 2025-26'!J2:J997, "Jun")</f>
        <v>0</v>
      </c>
      <c r="J17" s="102">
        <f>COUNTIFS('EIR 2025-26'!U2:U997, "*Confidentiality of Procedings*", 'EIR 2025-26'!J2:J997, "Jul")+COUNTIFS('EIR 2025-26'!U2:U997, "*Confidentiality of Procedings*", 'EIR 2025-26'!J2:J997, "Aug")+COUNTIFS('EIR 2025-26'!U2:U997, "*Confidentiality of Procedings*", 'EIR 2025-26'!J2:J997, "Sep")+COUNTIFS('EIR 2025-26'!V2:V997, "*S12(5)(d)*", 'EIR 2025-26'!J2:J997, "Jul")+COUNTIFS('EIR 2025-26'!V2:V997, "*S12(5)(d)*", 'EIR 2025-26'!J2:J997, "Aug")+COUNTIFS('EIR 2025-26'!V2:V997, "*S12(5)(d)*", 'EIR 2025-26'!J2:J997, "Sep")</f>
        <v>0</v>
      </c>
      <c r="K17" s="102">
        <f>COUNTIFS('EIR 2025-26'!U2:U997, "*Confidentiality of Procedings*", 'EIR 2025-26'!J2:J997, "Oct")+COUNTIFS('EIR 2025-26'!U2:U997, "*Confidentiality of Procedings*", 'EIR 2025-26'!J2:J997, "Nov")+COUNTIFS('EIR 2025-26'!U2:U997, "*Confidentiality of Procedings*", 'EIR 2025-26'!J2:J997, "Dec")+COUNTIFS('EIR 2025-26'!V2:V997, "*S12(5)(d)*", 'EIR 2025-26'!J2:J997, "Oct")+COUNTIFS('EIR 2025-26'!V2:V997, "*S12(5)(d)*", 'EIR 2025-26'!J2:J997, "Nov")+COUNTIFS('EIR 2025-26'!V2:V997, "*S12(5)(d)*", 'EIR 2025-26'!J2:J997, "Dec")</f>
        <v>0</v>
      </c>
      <c r="L17" s="108">
        <f>COUNTIFS('EIR 2025-26'!U2:U997, "*Confidentiality of Procedings*", 'EIR 2025-26'!J2:J997, "Jan")+COUNTIFS('EIR 2025-26'!U2:U997, "*Confidentiality of Procedings*", 'EIR 2025-26'!J2:J997, "Feb")+COUNTIFS('EIR 2025-26'!U2:U997, "*Confidentiality of Procedings*", 'EIR 2025-26'!J2:J997, "Mar")+COUNTIFS('EIR 2025-26'!V2:V997, "*S12(5)(d)*", 'EIR 2025-26'!J2:J997, "Jan")+COUNTIFS('EIR 2025-26'!V2:V997, "*S12(5)(d)*", 'EIR 2025-26'!J2:J997, "Feb")+COUNTIFS('EIR 2025-26'!V2:V997, "*S12(5)(d)*", 'EIR 2025-26'!J2:J997, "Mar")</f>
        <v>0</v>
      </c>
    </row>
    <row r="18" spans="2:12" ht="45" x14ac:dyDescent="0.25">
      <c r="B18" s="60" t="s">
        <v>1551</v>
      </c>
      <c r="C18" s="110">
        <f>COUNTIFS('FOI 2025-26'!V2:V1787, "*Investigations and Proceedings*", 'FOI 2025-26'!I2:I1787, "Apr")+COUNTIFS('FOI 2025-26'!V2:V1787, "*Investigations and Proceedings*", 'FOI 2025-26'!I2:I1787, "May")+COUNTIFS('FOI 2025-26'!V2:V1787, "*Investigations and Proceedings*", 'FOI 2025-26'!I2:I1787, "Jun")+COUNTIFS('FOI 2025-26'!W2:W1787, "*S30*", 'FOI 2025-26'!I2:I1787, "Apr")+COUNTIFS('FOI 2025-26'!W2:W1787, "*S30*", 'FOI 2025-26'!I2:I1787, "May")+COUNTIFS('FOI 2025-26'!W2:W1787, "*S30*", 'FOI 2025-26'!I2:I1787, "Jun")</f>
        <v>0</v>
      </c>
      <c r="D18" s="110">
        <f>COUNTIFS('FOI 2025-26'!V2:V1787, "*Investigations and Proceedings*", 'FOI 2025-26'!I2:I1787, "Jul")+COUNTIFS('FOI 2025-26'!V2:V1787, "*Investigations and Proceedings*", 'FOI 2025-26'!I2:I1787, "Aug")+COUNTIFS('FOI 2025-26'!V2:V1787, "*Investigations and Proceedings*", 'FOI 2025-26'!I2:I1787, "Sep")+COUNTIFS('FOI 2025-26'!W2:W1787, "*S30*", 'FOI 2025-26'!I2:I1787, "Jul")+COUNTIFS('FOI 2025-26'!W2:W1787, "*S30*", 'FOI 2025-26'!I2:I1787, "Aug")+COUNTIFS('FOI 2025-26'!W2:W1787, "*S30*", 'FOI 2025-26'!I2:I1787, "Sep")</f>
        <v>0</v>
      </c>
      <c r="E18" s="110">
        <f>COUNTIFS('FOI 2025-26'!V2:V1787, "*Investigations and Proceedings*", 'FOI 2025-26'!I2:I1787, "Oct")+COUNTIFS('FOI 2025-26'!V2:V1787, "*Investigations and Proceedings*", 'FOI 2025-26'!I2:I1787, "Nov")+COUNTIFS('FOI 2025-26'!V2:V1787, "*Investigations and Proceedings*", 'FOI 2025-26'!I2:I1787, "Dec")+COUNTIFS('FOI 2025-26'!W2:W1787, "*S30*", 'FOI 2025-26'!I2:I1787, "Oct")+COUNTIFS('FOI 2025-26'!W2:W1787, "*S30*", 'FOI 2025-26'!I2:I1787, "Nov")+COUNTIFS('FOI 2025-26'!W2:W1787, "*S30*", 'FOI 2025-26'!I2:I1787, "Dec")</f>
        <v>0</v>
      </c>
      <c r="F18" s="111">
        <f>COUNTIFS('FOI 2025-26'!V2:V1787, "*Investigations and Proceedings*", 'FOI 2025-26'!I2:I1787, "Jan")+COUNTIFS('FOI 2025-26'!V2:V1787, "*Investigations and Proceedings*", 'FOI 2025-26'!I2:I1787, "Feb")+COUNTIFS('FOI 2025-26'!V2:V1787, "*Investigations and Proceedings*", 'FOI 2025-26'!I2:I1787, "Mar")+COUNTIFS('FOI 2025-26'!W2:W1787, "*S30*", 'FOI 2025-26'!I2:I1787, "Jan")+COUNTIFS('FOI 2025-26'!W2:W1787, "*S30*", 'FOI 2025-26'!I2:I1787, "Feb")+COUNTIFS('FOI 2025-26'!W2:W1787, "*S30*", 'FOI 2025-26'!I2:I1787, "Mar")</f>
        <v>0</v>
      </c>
      <c r="G18" s="44"/>
      <c r="H18" s="33" t="s">
        <v>1552</v>
      </c>
      <c r="I18" s="100">
        <f>COUNTIFS('EIR 2025-26'!U2:U997, "*Confidentiality of Commercial*", 'EIR 2025-26'!J2:J997, "Apr")+COUNTIFS('EIR 2025-26'!U2:U997, "*Confidentiality of Commercial*", 'EIR 2025-26'!J2:J997, "May")+COUNTIFS('EIR 2025-26'!U2:U997, "*Confidentiality of Commercial*", 'EIR 2025-26'!J2:J997, "Jun")+COUNTIFS('EIR 2025-26'!V2:V997, "*S12(5)(e)*", 'EIR 2025-26'!J2:J997, "Apr")+COUNTIFS('EIR 2025-26'!V2:V997, "*S12(5)(e)*", 'EIR 2025-26'!J2:J997, "May")+COUNTIFS('EIR 2025-26'!V2:V997, "*S12(5)(e)*", 'EIR 2025-26'!J2:J997, "Jun")</f>
        <v>1</v>
      </c>
      <c r="J18" s="100">
        <f>COUNTIFS('EIR 2025-26'!U2:U997, "*Confidentiality of Commercial*", 'EIR 2025-26'!J2:J997, "Jul")+COUNTIFS('EIR 2025-26'!U2:U997, "*Confidentiality of Commercial*", 'EIR 2025-26'!J2:J997, "Aug")+COUNTIFS('EIR 2025-26'!U2:U997, "*Confidentiality of Commercial*", 'EIR 2025-26'!J2:J997, "Sep")+COUNTIFS('EIR 2025-26'!V2:V997, "*S12(5)(e)*", 'EIR 2025-26'!J2:J997, "Jul")+COUNTIFS('EIR 2025-26'!V2:V997, "*S12(5)(e)*", 'EIR 2025-26'!J2:J997, "Aug")+COUNTIFS('EIR 2025-26'!V2:V997, "*S12(5)(e)*", 'EIR 2025-26'!J2:J997, "Sep")</f>
        <v>1</v>
      </c>
      <c r="K18" s="100">
        <f>COUNTIFS('EIR 2025-26'!U2:U997, "*Confidentiality of Commercial*", 'EIR 2025-26'!J2:J997, "Oct")+COUNTIFS('EIR 2025-26'!U2:U997, "*Confidentiality of Commercial*", 'EIR 2025-26'!J2:J997, "Nov")+COUNTIFS('EIR 2025-26'!U2:U997, "*Confidentiality of Commercial*", 'EIR 2025-26'!J2:J997, "Dec")+COUNTIFS('EIR 2025-26'!V2:V997, "*S12(5)(e)*", 'EIR 2025-26'!J2:J997, "Oct")+COUNTIFS('EIR 2025-26'!V2:V997, "*S12(5)(e)*", 'EIR 2025-26'!J2:J997, "Nov")+COUNTIFS('EIR 2025-26'!V2:V997, "*S12(5)(e)*", 'EIR 2025-26'!J2:J997, "Dec")</f>
        <v>3</v>
      </c>
      <c r="L18" s="109">
        <f>COUNTIFS('EIR 2025-26'!U2:U997, "*Confidentiality of Commercial*", 'EIR 2025-26'!J2:J997, "Jan")+COUNTIFS('EIR 2025-26'!U2:U997, "*Confidentiality of Commercial*", 'EIR 2025-26'!J2:J997, "Feb")+COUNTIFS('EIR 2025-26'!U2:U997, "*Confidentiality of Commercial*", 'EIR 2025-26'!J2:J997, "Mar")+COUNTIFS('EIR 2025-26'!V2:V997, "*S12(5)(e)*", 'EIR 2025-26'!J2:J997, "Jan")+COUNTIFS('EIR 2025-26'!V2:V997, "*S12(5)(e)*", 'EIR 2025-26'!J2:J997, "Feb")+COUNTIFS('EIR 2025-26'!V2:V997, "*S12(5)(e)*", 'EIR 2025-26'!J2:J997, "Mar")</f>
        <v>2</v>
      </c>
    </row>
    <row r="19" spans="2:12" ht="45" x14ac:dyDescent="0.25">
      <c r="B19" s="59" t="s">
        <v>1553</v>
      </c>
      <c r="C19" s="106">
        <f>COUNTIFS('FOI 2025-26'!V2:V1787, "*Law Enforcement*", 'FOI 2025-26'!I2:I1787, "Apr")+COUNTIFS('FOI 2025-26'!V2:V1787, "*Law Enforcement*", 'FOI 2025-26'!I2:I1787, "May")+COUNTIFS('FOI 2025-26'!V2:V1787, "*Law Enforcement*", 'FOI 2025-26'!I2:I1787, "Jun")+COUNTIFS('FOI 2025-26'!W2:W1787, "*S31*", 'FOI 2025-26'!I2:I1787, "Apr")+COUNTIFS('FOI 2025-26'!W2:W1787, "*S31*", 'FOI 2025-26'!I2:I1787, "May")+COUNTIFS('FOI 2025-26'!W2:W1787, "*S31*", 'FOI 2025-26'!I2:I1787, "Jun")</f>
        <v>16</v>
      </c>
      <c r="D19" s="106">
        <f>COUNTIFS('FOI 2025-26'!V2:V1787, "*Law Enforcement*", 'FOI 2025-26'!I2:I1787, "Jul")+COUNTIFS('FOI 2025-26'!V2:V1787, "*Law Enforcement*", 'FOI 2025-26'!I2:I1787, "Aug")+COUNTIFS('FOI 2025-26'!V2:V1787, "*Law Enforcement*", 'FOI 2025-26'!I2:I1787, "Sep")+COUNTIFS('FOI 2025-26'!W2:W1787, "*S31*", 'FOI 2025-26'!I2:I1787, "Jul")+COUNTIFS('FOI 2025-26'!W2:W1787, "*S31*", 'FOI 2025-26'!I2:I1787, "Aug")+COUNTIFS('FOI 2025-26'!W2:W1787, "*S31*", 'FOI 2025-26'!I2:I1787, "Sep")</f>
        <v>6</v>
      </c>
      <c r="E19" s="106">
        <f>COUNTIFS('FOI 2025-26'!V2:V1787, "*Law Enforcement*", 'FOI 2025-26'!I2:I1787, "Oct")+COUNTIFS('FOI 2025-26'!V2:V1787, "*Law Enforcement*", 'FOI 2025-26'!I2:I1787, "Nov")+COUNTIFS('FOI 2025-26'!V2:V1787, "*Law Enforcement*", 'FOI 2025-26'!I2:I1787, "Dec")+COUNTIFS('FOI 2025-26'!W2:W1787, "*S31*", 'FOI 2025-26'!I2:I1787, "Oct")+COUNTIFS('FOI 2025-26'!W2:W1787, "*S31*", 'FOI 2025-26'!I2:I1787, "Nov")+COUNTIFS('FOI 2025-26'!W2:W1787, "*S31*", 'FOI 2025-26'!I2:I1787, "Dec")</f>
        <v>11</v>
      </c>
      <c r="F19" s="107">
        <f>COUNTIFS('FOI 2025-26'!V2:V1787, "*Law Enforcement*", 'FOI 2025-26'!I2:I1787, "Jan")+COUNTIFS('FOI 2025-26'!V2:V1787, "*Law Enforcement*", 'FOI 2025-26'!I2:I1787, "Feb")+COUNTIFS('FOI 2025-26'!V2:V1787, "*Law Enforcement*", 'FOI 2025-26'!I2:I1787, "Mar")+COUNTIFS('FOI 2025-26'!W2:W1787, "*S31*", 'FOI 2025-26'!I2:I1787, "Jan")+COUNTIFS('FOI 2025-26'!W2:W1787, "*S31*", 'FOI 2025-26'!I2:I1787, "Feb")+COUNTIFS('FOI 2025-26'!W2:W1787, "*S31*", 'FOI 2025-26'!I2:I1787, "Mar")</f>
        <v>7</v>
      </c>
      <c r="G19" s="44"/>
      <c r="H19" s="30" t="s">
        <v>1554</v>
      </c>
      <c r="I19" s="102">
        <f>COUNTIFS('EIR 2025-26'!U2:U997, "*Interests of the person*", 'EIR 2025-26'!J2:J997, "Apr")+COUNTIFS('EIR 2025-26'!U2:U997, "*Interests of the person*", 'EIR 2025-26'!J2:J997, "May")+COUNTIFS('EIR 2025-26'!U2:U997, "*Interests of the person*", 'EIR 2025-26'!J2:J997, "Jun")+COUNTIFS('EIR 2025-26'!V2:V997, "*S12(5)(f)*", 'EIR 2025-26'!J2:J997, "Apr")+COUNTIFS('EIR 2025-26'!V2:V997, "*S12(5)(f)*", 'EIR 2025-26'!J2:J997, "May")+COUNTIFS('EIR 2025-26'!V2:V997, "*S12(5)(f)*", 'EIR 2025-26'!J2:J997, "Jun")</f>
        <v>1</v>
      </c>
      <c r="J19" s="102">
        <f>COUNTIFS('EIR 2025-26'!U2:U997, "*Interests of the person*", 'EIR 2025-26'!J2:J997, "Jul")+COUNTIFS('EIR 2025-26'!U2:U997, "*Interests of the person*", 'EIR 2025-26'!J2:J997, "Aug")+COUNTIFS('EIR 2025-26'!U2:U997, "*Interests of the person*", 'EIR 2025-26'!J2:J997, "Sep")+COUNTIFS('EIR 2025-26'!V2:V997, "*S12(5)(f)*", 'EIR 2025-26'!J2:J997, "Jul")+COUNTIFS('EIR 2025-26'!V2:V997, "*S12(5)(f)*", 'EIR 2025-26'!J2:J997, "Aug")+COUNTIFS('EIR 2025-26'!V2:V997, "*S12(5)(f)*", 'EIR 2025-26'!J2:J997, "Sep")</f>
        <v>0</v>
      </c>
      <c r="K19" s="102">
        <f>COUNTIFS('EIR 2025-26'!U2:U997, "*Interests of the person*", 'EIR 2025-26'!J2:J997, "Oct")+COUNTIFS('EIR 2025-26'!U2:U997, "*Interests of the person*", 'EIR 2025-26'!J2:J997, "Nov")+COUNTIFS('EIR 2025-26'!U2:U997, "*Interests of the person*", 'EIR 2025-26'!J2:J997, "Dec")+COUNTIFS('EIR 2025-26'!V2:V997, "*S12(5)(f)*", 'EIR 2025-26'!J2:J997, "Oct")+COUNTIFS('EIR 2025-26'!V2:V997, "*S12(5)(f)*", 'EIR 2025-26'!J2:J997, "Nov")+COUNTIFS('EIR 2025-26'!V2:V997, "*S12(5)(f)*", 'EIR 2025-26'!J2:J997, "Dec")</f>
        <v>0</v>
      </c>
      <c r="L19" s="108">
        <f>COUNTIFS('EIR 2025-26'!U2:U997, "*Interests of the person*", 'EIR 2025-26'!J2:J997, "Jan")+COUNTIFS('EIR 2025-26'!U2:U997, "*Interests of the person*", 'EIR 2025-26'!J2:J997, "Feb")+COUNTIFS('EIR 2025-26'!U2:U997, "*Interests of the person*", 'EIR 2025-26'!J2:J997, "Mar")+COUNTIFS('EIR 2025-26'!V2:V997, "*S12(5)(f)*", 'EIR 2025-26'!J2:J997, "Jan")+COUNTIFS('EIR 2025-26'!V2:V997, "*S12(5)(f)*", 'EIR 2025-26'!J2:J997, "Feb")+COUNTIFS('EIR 2025-26'!V2:V997, "*S12(5)(f)*", 'EIR 2025-26'!J2:J997, "Mar")</f>
        <v>0</v>
      </c>
    </row>
    <row r="20" spans="2:12" ht="30" x14ac:dyDescent="0.25">
      <c r="B20" s="60" t="s">
        <v>1555</v>
      </c>
      <c r="C20" s="110">
        <f>COUNTIFS('FOI 2025-26'!V2:V1787, "*Court Records*", 'FOI 2025-26'!I2:I1787, "Apr")+COUNTIFS('FOI 2025-26'!V2:V1787, "*Court Records*", 'FOI 2025-26'!I2:I1787, "May")+COUNTIFS('FOI 2025-26'!V2:V1787, "*Court Records*", 'FOI 2025-26'!I2:I1787, "Jun")+COUNTIFS('FOI 2025-26'!W2:W1787, "*S32*", 'FOI 2025-26'!I2:I1787, "Apr")+COUNTIFS('FOI 2025-26'!W2:W1787, "*S32*", 'FOI 2025-26'!I2:I1787, "May")+COUNTIFS('FOI 2025-26'!W2:W1787, "*S32*", 'FOI 2025-26'!I2:I1787, "Jun")</f>
        <v>0</v>
      </c>
      <c r="D20" s="110">
        <f>COUNTIFS('FOI 2025-26'!V2:V1787, "*Court Records*", 'FOI 2025-26'!I2:I1787, "Jul")+COUNTIFS('FOI 2025-26'!V2:V1787, "*Court Records*", 'FOI 2025-26'!I2:I1787, "Aug")+COUNTIFS('FOI 2025-26'!V2:V1787, "*Court Records*", 'FOI 2025-26'!I2:I1787, "Sep")+COUNTIFS('FOI 2025-26'!W2:W1787, "*S32*", 'FOI 2025-26'!I2:I1787, "Jul")+COUNTIFS('FOI 2025-26'!W2:W1787, "*S32*", 'FOI 2025-26'!I2:I1787, "Aug")+COUNTIFS('FOI 2025-26'!W2:W1787, "*S32*", 'FOI 2025-26'!I2:I1787, "Sep")</f>
        <v>0</v>
      </c>
      <c r="E20" s="110">
        <f>COUNTIFS('FOI 2025-26'!V2:V1787, "*Court Records*", 'FOI 2025-26'!I2:I1787, "Oct")+COUNTIFS('FOI 2025-26'!V2:V1787, "*Court Records*", 'FOI 2025-26'!I2:I1787, "Nov")+COUNTIFS('FOI 2025-26'!V2:V1787, "*Court Records*", 'FOI 2025-26'!I2:I1787, "Dec")+COUNTIFS('FOI 2025-26'!W2:W1787, "*S32*", 'FOI 2025-26'!I2:I1787, "Oct")+COUNTIFS('FOI 2025-26'!W2:W1787, "*S32*", 'FOI 2025-26'!I2:I1787, "Nov")+COUNTIFS('FOI 2025-26'!W2:W1787, "*S32*", 'FOI 2025-26'!I2:I1787, "Dec")</f>
        <v>0</v>
      </c>
      <c r="F20" s="111">
        <f>COUNTIFS('FOI 2025-26'!V2:V1787, "*Court Records*", 'FOI 2025-26'!I2:I1787, "Jan")+COUNTIFS('FOI 2025-26'!V2:V1787, "*Court Records*", 'FOI 2025-26'!I2:I1787, "Feb")+COUNTIFS('FOI 2025-26'!V2:V1787, "*Court Records*", 'FOI 2025-26'!I2:I1787, "Mar")+COUNTIFS('FOI 2025-26'!W2:W1787, "*S32*", 'FOI 2025-26'!I2:I1787, "Jan")+COUNTIFS('FOI 2025-26'!W2:W1787, "*S32*", 'FOI 2025-26'!I2:I1787, "Feb")+COUNTIFS('FOI 2025-26'!W2:W1787, "*S32*", 'FOI 2025-26'!I2:I1787, "Mar")</f>
        <v>0</v>
      </c>
      <c r="G20" s="44"/>
      <c r="H20" s="33" t="s">
        <v>1556</v>
      </c>
      <c r="I20" s="100">
        <f>COUNTIFS('EIR 2025-26'!U2:U997, "*Protection of the Environment*", 'EIR 2025-26'!J2:J997, "Apr")+COUNTIFS('EIR 2025-26'!U2:U997, "*Protection of the Environment*", 'EIR 2025-26'!J2:J997, "May")+COUNTIFS('EIR 2025-26'!U2:U997, "*Protection of the Environment*", 'EIR 2025-26'!J2:J997, "Jun")+COUNTIFS('EIR 2025-26'!V2:V997, "*S12(5)(g)*", 'EIR 2025-26'!J2:J997, "Apr")+COUNTIFS('EIR 2025-26'!V2:V997, "*S12(5)(g)*", 'EIR 2025-26'!J2:J997, "May")+COUNTIFS('EIR 2025-26'!V2:V997, "*S12(5)(g)*", 'EIR 2025-26'!J2:J997, "Jun")</f>
        <v>0</v>
      </c>
      <c r="J20" s="100">
        <f>COUNTIFS('EIR 2025-26'!U2:U997, "*Protection of the Environment*", 'EIR 2025-26'!J2:J997, "Jul")+COUNTIFS('EIR 2025-26'!U2:U997, "*Protection of the Environment*", 'EIR 2025-26'!J2:J997, "Aug")+COUNTIFS('EIR 2025-26'!U2:U997, "*Protection of the Environment*", 'EIR 2025-26'!J2:J997, "Sep")+COUNTIFS('EIR 2025-26'!V2:V997, "*S12(5)(g)*", 'EIR 2025-26'!J2:J997, "Jul")+COUNTIFS('EIR 2025-26'!V2:V997, "*S12(5)(g)*", 'EIR 2025-26'!J2:J997, "Aug")+COUNTIFS('EIR 2025-26'!V2:V997, "*S12(5)(g)*", 'EIR 2025-26'!J2:J997, "Sep")</f>
        <v>0</v>
      </c>
      <c r="K20" s="100">
        <f>COUNTIFS('EIR 2025-26'!U2:U997, "*Protection of the Environment*", 'EIR 2025-26'!J2:J997, "Oct")+COUNTIFS('EIR 2025-26'!U2:U997, "*Protection of the Environment*", 'EIR 2025-26'!J2:J997, "Nov")+COUNTIFS('EIR 2025-26'!U2:U997, "*Protection of the Environment*", 'EIR 2025-26'!J2:J997, "Dec")+COUNTIFS('EIR 2025-26'!V2:V997, "*S12(5)(g)*", 'EIR 2025-26'!J2:J997, "Oct")+COUNTIFS('EIR 2025-26'!V2:V997, "*S12(5)(g)*", 'EIR 2025-26'!J2:J997, "Nov")+COUNTIFS('EIR 2025-26'!V2:V997, "*S12(5)(g)*", 'EIR 2025-26'!J2:J997, "Dec")</f>
        <v>0</v>
      </c>
      <c r="L20" s="109">
        <f>COUNTIFS('EIR 2025-26'!U2:U997, "*Protection of the Environment*", 'EIR 2025-26'!J2:J997, "Jan")+COUNTIFS('EIR 2025-26'!U2:U997, "*Protection of the Environment*", 'EIR 2025-26'!J2:J997, "Feb")+COUNTIFS('EIR 2025-26'!U2:U997, "*Protection of the Environment*", 'EIR 2025-26'!J2:J997, "Mar")+COUNTIFS('EIR 2025-26'!V2:V997, "*S12(5)(g)*", 'EIR 2025-26'!J2:J997, "Jan")+COUNTIFS('EIR 2025-26'!V2:V997, "*S12(5)(g)*", 'EIR 2025-26'!J2:J997, "Feb")+COUNTIFS('EIR 2025-26'!V2:V997, "*S12(5)(g)*", 'EIR 2025-26'!J2:J997, "Mar")</f>
        <v>0</v>
      </c>
    </row>
    <row r="21" spans="2:12" ht="30" x14ac:dyDescent="0.25">
      <c r="B21" s="59" t="s">
        <v>1557</v>
      </c>
      <c r="C21" s="106">
        <f>COUNTIFS('FOI 2025-26'!V2:V1787, "*Audit Function*", 'FOI 2025-26'!I2:I1787, "Apr")+COUNTIFS('FOI 2025-26'!V2:V1787, "*Audit Function*", 'FOI 2025-26'!I2:I1787, "May")+COUNTIFS('FOI 2025-26'!V2:V1787, "*Audit Function*", 'FOI 2025-26'!I2:I1787, "Jun")+COUNTIFS('FOI 2025-26'!W2:W1787, "*S33*", 'FOI 2025-26'!I2:I1787, "Apr")+COUNTIFS('FOI 2025-26'!W2:W1787, "*S33*", 'FOI 2025-26'!I2:I1787, "May")+COUNTIFS('FOI 2025-26'!W2:W1787, "*S33*", 'FOI 2025-26'!I2:I1787, "Jun")</f>
        <v>0</v>
      </c>
      <c r="D21" s="106">
        <f>COUNTIFS('FOI 2025-26'!V2:V1787, "*Audit Function*", 'FOI 2025-26'!I2:I1787, "Jul")+COUNTIFS('FOI 2025-26'!V2:V1787, "*Audit Function*", 'FOI 2025-26'!I2:I1787, "Aug")+COUNTIFS('FOI 2025-26'!V2:V1787, "*Audit Function*", 'FOI 2025-26'!I2:I1787, "Sep")+COUNTIFS('FOI 2025-26'!W2:W1787, "*S33*", 'FOI 2025-26'!I2:I1787, "Jul")+COUNTIFS('FOI 2025-26'!W2:W1787, "*S33*", 'FOI 2025-26'!I2:I1787, "Aug")+COUNTIFS('FOI 2025-26'!W2:W1787, "*S33*", 'FOI 2025-26'!I2:I1787, "Sep")</f>
        <v>0</v>
      </c>
      <c r="E21" s="106">
        <f>COUNTIFS('FOI 2025-26'!V2:V1787, "*Audit Function*", 'FOI 2025-26'!I2:I1787, "Oct")+COUNTIFS('FOI 2025-26'!V2:V1787, "*Audit Function*", 'FOI 2025-26'!I2:I1787, "Nov")+COUNTIFS('FOI 2025-26'!V2:V1787, "*Audit Function*", 'FOI 2025-26'!I2:I1787, "Dec")+COUNTIFS('FOI 2025-26'!W2:W1787, "*S33*", 'FOI 2025-26'!I2:I1787, "Oct")+COUNTIFS('FOI 2025-26'!W2:W1787, "*S33*", 'FOI 2025-26'!I2:I1787, "Nov")+COUNTIFS('FOI 2025-26'!W2:W1787, "*S33*", 'FOI 2025-26'!I2:I1787, "Dec")</f>
        <v>0</v>
      </c>
      <c r="F21" s="107">
        <f>COUNTIFS('FOI 2025-26'!V2:V1787, "*Audit Function*", 'FOI 2025-26'!I2:I1787, "Jan")+COUNTIFS('FOI 2025-26'!V2:V1787, "*Audit Function*", 'FOI 2025-26'!I2:I1787, "Feb")+COUNTIFS('FOI 2025-26'!V2:V1787, "*Audit Function*", 'FOI 2025-26'!I2:I1787, "Mar")+COUNTIFS('FOI 2025-26'!W2:W1787, "*S33*", 'FOI 2025-26'!I2:I1787, "Jan")+COUNTIFS('FOI 2025-26'!W2:W1787, "*S33*", 'FOI 2025-26'!I2:I1787, "Feb")+COUNTIFS('FOI 2025-26'!W2:W1787, "*S33*", 'FOI 2025-26'!I2:I1787, "Mar")</f>
        <v>0</v>
      </c>
      <c r="G21" s="44"/>
      <c r="H21" s="30" t="s">
        <v>1558</v>
      </c>
      <c r="I21" s="102">
        <f>COUNTIFS('EIR 2025-26'!U2:U997, "*Personal Data*", 'EIR 2025-26'!J2:J997, "Apr")+COUNTIFS('EIR 2025-26'!U2:U997, "*Personal Data*", 'EIR 2025-26'!J2:J997, "May")+COUNTIFS('EIR 2025-26'!U2:U997, "*Personal Data*", 'EIR 2025-26'!J2:J997, "Jun")+COUNTIFS('EIR 2025-26'!V2:V997, "*S13*", 'EIR 2025-26'!J2:J997, "Apr")+COUNTIFS('EIR 2025-26'!V2:V997, "*S12(3)*", 'EIR 2025-26'!J2:J997, "May")+COUNTIFS('EIR 2025-26'!V2:V997, "*S12(3)*", 'EIR 2025-26'!J2:J997, "Jun")</f>
        <v>6</v>
      </c>
      <c r="J21" s="102">
        <f>COUNTIFS('EIR 2025-26'!U2:U997, "*Personal Data*", 'EIR 2025-26'!J2:J997, "Jul")+COUNTIFS('EIR 2025-26'!U2:U997, "*Personal Data*", 'EIR 2025-26'!J2:J997, "Aug")+COUNTIFS('EIR 2025-26'!U2:U997, "*Personal Data*", 'EIR 2025-26'!J2:J997, "Sep")+COUNTIFS('EIR 2025-26'!V2:V997, "*S13*", 'EIR 2025-26'!J2:J997, "Jul")+COUNTIFS('EIR 2025-26'!V2:V997, "*S12(3)*", 'EIR 2025-26'!J2:J997, "Aug")+COUNTIFS('EIR 2025-26'!V2:V997, "*S12(3)*", 'EIR 2025-26'!J2:J997, "Sep")</f>
        <v>7</v>
      </c>
      <c r="K21" s="102">
        <f>COUNTIFS('EIR 2025-26'!U2:U997, "*Personal Data*", 'EIR 2025-26'!J2:J997, "Oct")+COUNTIFS('EIR 2025-26'!U2:U997, "*Personal Data*", 'EIR 2025-26'!J2:J997, "Nov")+COUNTIFS('EIR 2025-26'!U2:U997, "*Personal Data*", 'EIR 2025-26'!J2:J997, "Dec")+COUNTIFS('EIR 2025-26'!V2:V997, "*S13*", 'EIR 2025-26'!J2:J997, "Oct")+COUNTIFS('EIR 2025-26'!V2:V997, "*S12(3)*", 'EIR 2025-26'!J2:J997, "Nov")+COUNTIFS('EIR 2025-26'!V2:V997, "*S12(3)*", 'EIR 2025-26'!J2:J997, "Dec")</f>
        <v>2</v>
      </c>
      <c r="L21" s="108">
        <f>COUNTIFS('EIR 2025-26'!U2:U997, "*Personal Data*", 'EIR 2025-26'!J2:J997, "Jan")+COUNTIFS('EIR 2025-26'!U2:U997, "*Personal Data*", 'EIR 2025-26'!J2:J997, "Feb")+COUNTIFS('EIR 2025-26'!U2:U997, "*Personal Data*", 'EIR 2025-26'!J2:J997, "Mar")+COUNTIFS('EIR 2025-26'!V2:V997, "*S13*", 'EIR 2025-26'!J2:J997, "Jan")+COUNTIFS('EIR 2025-26'!V2:V997, "*S12(3)*", 'EIR 2025-26'!J2:J997, "Feb")+COUNTIFS('EIR 2025-26'!V2:V997, "*S12(3)*", 'EIR 2025-26'!J2:J997, "Mar")</f>
        <v>6</v>
      </c>
    </row>
    <row r="22" spans="2:12" ht="38.15" customHeight="1" thickBot="1" x14ac:dyDescent="0.3">
      <c r="B22" s="60" t="s">
        <v>1559</v>
      </c>
      <c r="C22" s="110">
        <f>COUNTIFS('FOI 2025-26'!V2:V1787, "*Parliamentary Privilege*", 'FOI 2025-26'!I2:I1787, "Apr")+COUNTIFS('FOI 2025-26'!V2:V1787, "*Parliamentary Privilege*", 'FOI 2025-26'!I2:I1787, "May")+COUNTIFS('FOI 2025-26'!V2:V1787, "*Parliamentary Privilege*", 'FOI 2025-26'!I2:I1787, "Jun")+COUNTIFS('FOI 2025-26'!W2:W1787, "*S34*", 'FOI 2025-26'!I2:I1787, "Apr")+COUNTIFS('FOI 2025-26'!W2:W1787, "*S34*", 'FOI 2025-26'!I2:I1787, "May")+COUNTIFS('FOI 2025-26'!W2:W1787, "*S34*", 'FOI 2025-26'!I2:I1787, "Jun")</f>
        <v>0</v>
      </c>
      <c r="D22" s="110">
        <f>COUNTIFS('FOI 2025-26'!V2:V1787, "*Parliamentary Privilege*", 'FOI 2025-26'!I2:I1787, "Jul")+COUNTIFS('FOI 2025-26'!V2:V1787, "*Parliamentary Privilege*", 'FOI 2025-26'!I2:I1787, "Aug")+COUNTIFS('FOI 2025-26'!V2:V1787, "*Parliamentary Privilege*", 'FOI 2025-26'!I2:I1787, "Sep")+COUNTIFS('FOI 2025-26'!W2:W1787, "*S34*", 'FOI 2025-26'!I2:I1787, "Jul")+COUNTIFS('FOI 2025-26'!W2:W1787, "*S34*", 'FOI 2025-26'!I2:I1787, "Aug")+COUNTIFS('FOI 2025-26'!W2:W1787, "*S34*", 'FOI 2025-26'!I2:I1787, "Sep")</f>
        <v>0</v>
      </c>
      <c r="E22" s="110">
        <f>COUNTIFS('FOI 2025-26'!V2:V1787, "*Parliamentary Privilege*", 'FOI 2025-26'!I2:I1787, "Oct")+COUNTIFS('FOI 2025-26'!V2:V1787, "*Parliamentary Privilege*", 'FOI 2025-26'!I2:I1787, "Nov")+COUNTIFS('FOI 2025-26'!V2:V1787, "*Parliamentary Privilege*", 'FOI 2025-26'!I2:I1787, "Dec")+COUNTIFS('FOI 2025-26'!W2:W1787, "*S34*", 'FOI 2025-26'!I2:I1787, "Oct")+COUNTIFS('FOI 2025-26'!W2:W1787, "*S34*", 'FOI 2025-26'!I2:I1787, "Nov")+COUNTIFS('FOI 2025-26'!W2:W1787, "*S34*", 'FOI 2025-26'!I2:I1787, "Dec")</f>
        <v>0</v>
      </c>
      <c r="F22" s="111">
        <f>COUNTIFS('FOI 2025-26'!V2:V1787, "*Parliamentary Privilege*", 'FOI 2025-26'!I2:I1787, "Jan")+COUNTIFS('FOI 2025-26'!V2:V1787, "*Parliamentary Privilege*", 'FOI 2025-26'!I2:I1787, "Feb")+COUNTIFS('FOI 2025-26'!V2:V1787, "*Parliamentary Privilege*", 'FOI 2025-26'!I2:I1787, "Mar")+COUNTIFS('FOI 2025-26'!W2:W1787, "*S34*", 'FOI 2025-26'!I2:I1787, "Jan")+COUNTIFS('FOI 2025-26'!W2:W1787, "*S34*", 'FOI 2025-26'!I2:I1787, "Feb")+COUNTIFS('FOI 2025-26'!W2:W1787, "*S34*", 'FOI 2025-26'!I2:I1787, "Mar")</f>
        <v>0</v>
      </c>
      <c r="G22" s="44"/>
      <c r="H22" s="116" t="s">
        <v>1560</v>
      </c>
      <c r="I22" s="117">
        <f>COUNTIFS('EIR 2025-26'!U3:U998, "*Already Publicly Available*", 'EIR 2025-26'!J3:J998, "Apr")+COUNTIFS('EIR 2025-26'!U3:U998, "*Already Publicly Available*", 'EIR 2025-26'!J3:J998, "May")+COUNTIFS('EIR 2025-26'!U3:U998, "*Already Publicly Available*", 'EIR 2025-26'!J3:J998, "Jun")+COUNTIFS('EIR 2025-26'!V3:V998, "*S6*", 'EIR 2025-26'!J3:J998, "Apr")+COUNTIFS('EIR 2025-26'!V3:V998, "*S6*", 'EIR 2025-26'!J3:J998, "May")+COUNTIFS('EIR 2025-26'!V3:V998, "*S6)*", 'EIR 2025-26'!J3:J998, "Jun")</f>
        <v>13</v>
      </c>
      <c r="J22" s="117">
        <f>COUNTIFS('EIR 2025-26'!U3:U998, "*Already Publicly Available*", 'EIR 2025-26'!J3:J998, "Jul")+COUNTIFS('EIR 2025-26'!U3:U998, "*Already Publicly Available*", 'EIR 2025-26'!J3:J998, "Aug")+COUNTIFS('EIR 2025-26'!U3:U998, "*Already Publicly Available*", 'EIR 2025-26'!J3:J998, "Sep")+COUNTIFS('EIR 2025-26'!V3:V998, "*S6*", 'EIR 2025-26'!J3:J998, "Jul")+COUNTIFS('EIR 2025-26'!V3:V998, "*S6*", 'EIR 2025-26'!J3:J998, "Aug")+COUNTIFS('EIR 2025-26'!V3:V998, "*S6)*", 'EIR 2025-26'!J3:J998, "Sep")</f>
        <v>4</v>
      </c>
      <c r="K22" s="117">
        <f>COUNTIFS('EIR 2025-26'!U3:U998, "*Already Publicly Available*", 'EIR 2025-26'!J3:J998, "Oct")+COUNTIFS('EIR 2025-26'!U3:U998, "*Already Publicly Available*", 'EIR 2025-26'!J3:J998, "Nov")+COUNTIFS('EIR 2025-26'!U3:U998, "*Already Publicly Available*", 'EIR 2025-26'!J3:J998, "Dec")+COUNTIFS('EIR 2025-26'!V3:V998, "*S6*", 'EIR 2025-26'!J3:J998, "Oct")+COUNTIFS('EIR 2025-26'!V3:V998, "*S6*", 'EIR 2025-26'!J3:J998, "Nov")+COUNTIFS('EIR 2025-26'!V3:V998, "*S6)*", 'EIR 2025-26'!J3:J998, "Dec")</f>
        <v>8</v>
      </c>
      <c r="L22" s="118">
        <f>COUNTIFS('EIR 2025-26'!U3:U998, "*Already Publicly Available*", 'EIR 2025-26'!J3:J998, "Jan")+COUNTIFS('EIR 2025-26'!U3:U998, "*Already Publicly Available*", 'EIR 2025-26'!J3:J998, "Feb")+COUNTIFS('EIR 2025-26'!U3:U998, "*Already Publicly Available*", 'EIR 2025-26'!J3:J998, "Mar")+COUNTIFS('EIR 2025-26'!V3:V998, "*S6*", 'EIR 2025-26'!J3:J998, "Jan")+COUNTIFS('EIR 2025-26'!V3:V998, "*S6*", 'EIR 2025-26'!J3:J998, "Feb")+COUNTIFS('EIR 2025-26'!V3:V998, "*S6)*", 'EIR 2025-26'!J3:J998, "Mar")</f>
        <v>6</v>
      </c>
    </row>
    <row r="23" spans="2:12" ht="45" x14ac:dyDescent="0.25">
      <c r="B23" s="59" t="s">
        <v>1561</v>
      </c>
      <c r="C23" s="106">
        <f>COUNTIFS('FOI 2025-26'!V2:V1787, "*Government Policy*", 'FOI 2025-26'!I2:I1787, "Apr")+COUNTIFS('FOI 2025-26'!V2:V1787, "*Government Policy*", 'FOI 2025-26'!I2:I1787, "May")+COUNTIFS('FOI 2025-26'!V2:V1787, "*Government Policy*", 'FOI 2025-26'!I2:I1787, "Jun")+COUNTIFS('FOI 2025-26'!W2:W1787, "*S35*", 'FOI 2025-26'!I2:I1787, "Apr")+COUNTIFS('FOI 2025-26'!W2:W1787, "*S35*", 'FOI 2025-26'!I2:I1787, "May")+COUNTIFS('FOI 2025-26'!W2:W1787, "*S35*", 'FOI 2025-26'!I2:I1787, "Jun")</f>
        <v>0</v>
      </c>
      <c r="D23" s="106">
        <f>COUNTIFS('FOI 2025-26'!V2:V1787, "*Government Policy*", 'FOI 2025-26'!I2:I1787, "Jul")+COUNTIFS('FOI 2025-26'!V2:V1787, "*Government Policy*", 'FOI 2025-26'!I2:I1787, "Aug")+COUNTIFS('FOI 2025-26'!V2:V1787, "*Government Policy*", 'FOI 2025-26'!I2:I1787, "Sep")+COUNTIFS('FOI 2025-26'!W2:W1787, "*S35*", 'FOI 2025-26'!I2:I1787, "Jul")+COUNTIFS('FOI 2025-26'!W2:W1787, "*S35*", 'FOI 2025-26'!I2:I1787, "Aug")+COUNTIFS('FOI 2025-26'!W2:W1787, "*S35*", 'FOI 2025-26'!I2:I1787, "Sep")</f>
        <v>0</v>
      </c>
      <c r="E23" s="106">
        <f>COUNTIFS('FOI 2025-26'!V2:V1787, "*Government Policy*", 'FOI 2025-26'!I2:I1787, "Oct")+COUNTIFS('FOI 2025-26'!V2:V1787, "*Government Policy*", 'FOI 2025-26'!I2:I1787, "Nov")+COUNTIFS('FOI 2025-26'!V2:V1787, "*Government Policy*", 'FOI 2025-26'!I2:I1787, "Dec")+COUNTIFS('FOI 2025-26'!W2:W1787, "*S35*", 'FOI 2025-26'!I2:I1787, "Oct")+COUNTIFS('FOI 2025-26'!W2:W1787, "*S35*", 'FOI 2025-26'!I2:I1787, "Nov")+COUNTIFS('FOI 2025-26'!W2:W1787, "*S35*", 'FOI 2025-26'!I2:I1787, "Dec")</f>
        <v>0</v>
      </c>
      <c r="F23" s="107">
        <f>COUNTIFS('FOI 2025-26'!V2:V1787, "*Government Policy*", 'FOI 2025-26'!I2:I1787, "Jan")+COUNTIFS('FOI 2025-26'!V2:V1787, "*Government Policy*", 'FOI 2025-26'!I2:I1787, "Feb")+COUNTIFS('FOI 2025-26'!V2:V1787, "*Government Policy*", 'FOI 2025-26'!I2:I1787, "Mar")+COUNTIFS('FOI 2025-26'!W2:W1787, "*S35*", 'FOI 2025-26'!I2:I1787, "Jan")+COUNTIFS('FOI 2025-26'!W2:W1787, "*S35*", 'FOI 2025-26'!I2:I1787, "Feb")+COUNTIFS('FOI 2025-26'!W2:W1787, "*S35*", 'FOI 2025-26'!I2:I1787, "Mar")</f>
        <v>0</v>
      </c>
      <c r="G23" s="44"/>
      <c r="H23" s="114"/>
      <c r="I23" s="115"/>
      <c r="J23" s="115"/>
      <c r="K23" s="115"/>
      <c r="L23" s="115"/>
    </row>
    <row r="24" spans="2:12" ht="30" x14ac:dyDescent="0.25">
      <c r="B24" s="60" t="s">
        <v>1562</v>
      </c>
      <c r="C24" s="110">
        <f>COUNTIFS('FOI 2025-26'!V2:V1787, "*Public Affairs*", 'FOI 2025-26'!I2:I1787, "Apr")+COUNTIFS('FOI 2025-26'!V2:V1787, "*Public Affairs*", 'FOI 2025-26'!I2:I1787, "May")+COUNTIFS('FOI 2025-26'!V2:V1787, "*Public Affairs*", 'FOI 2025-26'!I2:I1787, "Jun")+COUNTIFS('FOI 2025-26'!W2:W1787, "*S36*", 'FOI 2025-26'!I2:I1787, "Apr")+COUNTIFS('FOI 2025-26'!W2:W1787, "*S36*", 'FOI 2025-26'!I2:I1787, "May")+COUNTIFS('FOI 2025-26'!W2:W1787, "*S36*", 'FOI 2025-26'!I2:I1787, "Jun")</f>
        <v>0</v>
      </c>
      <c r="D24" s="110">
        <f>COUNTIFS('FOI 2025-26'!V2:V1787, "*Public Affairs*", 'FOI 2025-26'!I2:I1787, "Jul")+COUNTIFS('FOI 2025-26'!V2:V1787, "*Public Affairs*", 'FOI 2025-26'!I2:I1787, "Aug")+COUNTIFS('FOI 2025-26'!V2:V1787, "*Public Affairs*", 'FOI 2025-26'!I2:I1787, "Sep")+COUNTIFS('FOI 2025-26'!W2:W1787, "*S36*", 'FOI 2025-26'!I2:I1787, "Jul")+COUNTIFS('FOI 2025-26'!W2:W1787, "*S36*", 'FOI 2025-26'!I2:I1787, "Aug")+COUNTIFS('FOI 2025-26'!W2:W1787, "*S36*", 'FOI 2025-26'!I2:I1787, "Sep")</f>
        <v>0</v>
      </c>
      <c r="E24" s="110">
        <f>COUNTIFS('FOI 2025-26'!V2:V1787, "*Public Affairs*", 'FOI 2025-26'!I2:I1787, "Oct")+COUNTIFS('FOI 2025-26'!V2:V1787, "*Public Affairs*", 'FOI 2025-26'!I2:I1787, "Nov")+COUNTIFS('FOI 2025-26'!V2:V1787, "*Public Affairs*", 'FOI 2025-26'!I2:I1787, "Dec")+COUNTIFS('FOI 2025-26'!W2:W1787, "*S36*", 'FOI 2025-26'!I2:I1787, "Oct")+COUNTIFS('FOI 2025-26'!W2:W1787, "*S36*", 'FOI 2025-26'!I2:I1787, "Nov")+COUNTIFS('FOI 2025-26'!W2:W1787, "*S36*", 'FOI 2025-26'!I2:I1787, "Dec")</f>
        <v>0</v>
      </c>
      <c r="F24" s="111">
        <f>COUNTIFS('FOI 2025-26'!V2:V1787, "*Public Affairs*", 'FOI 2025-26'!I2:I1787, "Jan")+COUNTIFS('FOI 2025-26'!V2:V1787, "*Public Affairs*", 'FOI 2025-26'!I2:I1787, "Feb")+COUNTIFS('FOI 2025-26'!V2:V1787, "*Public Affairs*", 'FOI 2025-26'!I2:I1787, "Mar")+COUNTIFS('FOI 2025-26'!W2:W1787, "*S36*", 'FOI 2025-26'!I2:I1787, "Jan")+COUNTIFS('FOI 2025-26'!W2:W1787, "*S36*", 'FOI 2025-26'!I2:I1787, "Feb")+COUNTIFS('FOI 2025-26'!W2:W1787, "*S36*", 'FOI 2025-26'!I2:I1787, "Mar")</f>
        <v>0</v>
      </c>
      <c r="G24" s="44"/>
      <c r="H24" s="52"/>
      <c r="I24" s="55"/>
      <c r="J24" s="55"/>
      <c r="K24" s="55"/>
      <c r="L24" s="55"/>
    </row>
    <row r="25" spans="2:12" ht="45" x14ac:dyDescent="0.25">
      <c r="B25" s="59" t="s">
        <v>1563</v>
      </c>
      <c r="C25" s="106">
        <f>COUNTIFS('FOI 2025-26'!V2:V1787, "*Her Majesty*", 'FOI 2025-26'!I2:I1787, "Apr")+COUNTIFS('FOI 2025-26'!V2:V1787, "*Her Majesty*", 'FOI 2025-26'!I2:I1787, "May")+COUNTIFS('FOI 2025-26'!V2:V1787, "*Her Majesty*", 'FOI 2025-26'!I2:I1787, "Jun")+COUNTIFS('FOI 2025-26'!W2:W1787, "*S37*", 'FOI 2025-26'!I2:I1787, "Apr")+COUNTIFS('FOI 2025-26'!W2:W1787, "*S37*", 'FOI 2025-26'!I2:I1787, "May")+COUNTIFS('FOI 2025-26'!W2:W1787, "*S37*", 'FOI 2025-26'!I2:I1787, "Jun")</f>
        <v>0</v>
      </c>
      <c r="D25" s="106">
        <f>COUNTIFS('FOI 2025-26'!V2:V1787, "*Her Majesty*", 'FOI 2025-26'!I2:I1787, "Jul")+COUNTIFS('FOI 2025-26'!V2:V1787, "*Her Majesty*", 'FOI 2025-26'!I2:I1787, "Aug")+COUNTIFS('FOI 2025-26'!V2:V1787, "*Her Majesty*", 'FOI 2025-26'!I2:I1787, "Sep")+COUNTIFS('FOI 2025-26'!W2:W1787, "*S37*", 'FOI 2025-26'!I2:I1787, "Jul")+COUNTIFS('FOI 2025-26'!W2:W1787, "*S37*", 'FOI 2025-26'!I2:I1787, "Aug")+COUNTIFS('FOI 2025-26'!W2:W1787, "*S37*", 'FOI 2025-26'!I2:I1787, "Sep")</f>
        <v>0</v>
      </c>
      <c r="E25" s="106">
        <f>COUNTIFS('FOI 2025-26'!V2:V1787, "*Her Majesty*", 'FOI 2025-26'!I2:I1787, "Oct")+COUNTIFS('FOI 2025-26'!V2:V1787, "*Her Majesty*", 'FOI 2025-26'!I2:I1787, "Nov")+COUNTIFS('FOI 2025-26'!V2:V1787, "*Her Majesty*", 'FOI 2025-26'!I2:I1787, "Dec")+COUNTIFS('FOI 2025-26'!W2:W1787, "*S37*", 'FOI 2025-26'!I2:I1787, "Oct")+COUNTIFS('FOI 2025-26'!W2:W1787, "*S37*", 'FOI 2025-26'!I2:I1787, "Nov")+COUNTIFS('FOI 2025-26'!W2:W1787, "*S37*", 'FOI 2025-26'!I2:I1787, "Dec")</f>
        <v>0</v>
      </c>
      <c r="F25" s="107">
        <f>COUNTIFS('FOI 2025-26'!V2:V1787, "*Her Majesty*", 'FOI 2025-26'!I2:I1787, "Jan")+COUNTIFS('FOI 2025-26'!V2:V1787, "*Her Majesty*", 'FOI 2025-26'!I2:I1787, "Feb")+COUNTIFS('FOI 2025-26'!V2:V1787, "*Her Majesty*", 'FOI 2025-26'!I2:I1787, "Mar")+COUNTIFS('FOI 2025-26'!W2:W1787, "*S37*", 'FOI 2025-26'!I2:I1787, "Jan")+COUNTIFS('FOI 2025-26'!W2:W1787, "*S37*", 'FOI 2025-26'!I2:I1787, "Feb")+COUNTIFS('FOI 2025-26'!W2:W1787, "*S37*", 'FOI 2025-26'!I2:I1787, "Mar")</f>
        <v>0</v>
      </c>
      <c r="G25" s="44"/>
      <c r="H25" s="52"/>
      <c r="I25" s="55"/>
      <c r="J25" s="55"/>
      <c r="K25" s="55"/>
      <c r="L25" s="55"/>
    </row>
    <row r="26" spans="2:12" ht="15" x14ac:dyDescent="0.25">
      <c r="B26" s="60" t="s">
        <v>1564</v>
      </c>
      <c r="C26" s="110">
        <f>COUNTIFS('FOI 2025-26'!V2:V1787, "*Health and Safety*", 'FOI 2025-26'!I2:I1787, "Apr")+COUNTIFS('FOI 2025-26'!V2:V1787, "*Health and Safety*", 'FOI 2025-26'!I2:I1787, "May")+COUNTIFS('FOI 2025-26'!V2:V1787, "*Health and Safety*", 'FOI 2025-26'!I2:I1787, "Jun")+COUNTIFS('FOI 2025-26'!W2:W1787, "*S38*", 'FOI 2025-26'!I2:I1787, "Apr")+COUNTIFS('FOI 2025-26'!W2:W1787, "*S38*", 'FOI 2025-26'!I2:I1787, "May")+COUNTIFS('FOI 2025-26'!W2:W1787, "*S38*", 'FOI 2025-26'!I2:I1787, "Jun")</f>
        <v>0</v>
      </c>
      <c r="D26" s="110">
        <f>COUNTIFS('FOI 2025-26'!V2:V1787, "*Health and Safety*", 'FOI 2025-26'!I2:I1787, "Jul")+COUNTIFS('FOI 2025-26'!V2:V1787, "*Health and Safety*", 'FOI 2025-26'!I2:I1787, "Aug")+COUNTIFS('FOI 2025-26'!V2:V1787, "*Health and Safety*", 'FOI 2025-26'!I2:I1787, "Sep")+COUNTIFS('FOI 2025-26'!W2:W1787, "*S38*", 'FOI 2025-26'!I2:I1787, "Jul")+COUNTIFS('FOI 2025-26'!W2:W1787, "*S38*", 'FOI 2025-26'!I2:I1787, "Aug")+COUNTIFS('FOI 2025-26'!W2:W1787, "*S38*", 'FOI 2025-26'!I2:I1787, "Sep")</f>
        <v>0</v>
      </c>
      <c r="E26" s="110">
        <f>COUNTIFS('FOI 2025-26'!V2:V1787, "*Health and Safety*", 'FOI 2025-26'!I2:I1787, "Oct")+COUNTIFS('FOI 2025-26'!V2:V1787, "*Health and Safety*", 'FOI 2025-26'!I2:I1787, "Nov")+COUNTIFS('FOI 2025-26'!V2:V1787, "*Health and Safety*", 'FOI 2025-26'!I2:I1787, "Dec")+COUNTIFS('FOI 2025-26'!W2:W1787, "*S38*", 'FOI 2025-26'!I2:I1787, "Oct")+COUNTIFS('FOI 2025-26'!W2:W1787, "*S38*", 'FOI 2025-26'!I2:I1787, "Nov")+COUNTIFS('FOI 2025-26'!W2:W1787, "*S38*", 'FOI 2025-26'!I2:I1787, "Dec")</f>
        <v>0</v>
      </c>
      <c r="F26" s="111">
        <f>COUNTIFS('FOI 2025-26'!V2:V1787, "*Health and Safety*", 'FOI 2025-26'!I2:I1787, "Jan")+COUNTIFS('FOI 2025-26'!V2:V1787, "*Health and Safety*", 'FOI 2025-26'!I2:I1787, "Feb")+COUNTIFS('FOI 2025-26'!V2:V1787, "*Health and Safety*", 'FOI 2025-26'!I2:I1787, "Mar")+COUNTIFS('FOI 2025-26'!W2:W1787, "*S38*", 'FOI 2025-26'!I2:I1787, "Jan")+COUNTIFS('FOI 2025-26'!W2:W1787, "*S38*", 'FOI 2025-26'!I2:I1787, "Feb")+COUNTIFS('FOI 2025-26'!W2:W1787, "*S38*", 'FOI 2025-26'!I2:I1787, "Mar")</f>
        <v>0</v>
      </c>
      <c r="G26" s="44"/>
      <c r="H26" s="52"/>
      <c r="I26" s="55"/>
      <c r="J26" s="55"/>
      <c r="K26" s="55"/>
      <c r="L26" s="55"/>
    </row>
    <row r="27" spans="2:12" ht="30" x14ac:dyDescent="0.25">
      <c r="B27" s="59" t="s">
        <v>1565</v>
      </c>
      <c r="C27" s="106">
        <f>COUNTIFS('FOI 2025-26'!V2:V1787, "*Environmental Information*", 'FOI 2025-26'!I2:I1787, "Apr")+COUNTIFS('FOI 2025-26'!V2:V1787, "*Environmental Information*", 'FOI 2025-26'!I2:I1787, "May")+COUNTIFS('FOI 2025-26'!V2:V1787, "*Environmental Information*", 'FOI 2025-26'!I2:I1787, "Jun")+COUNTIFS('FOI 2025-26'!W2:W1787, "*S39*", 'FOI 2025-26'!I2:I1787, "Apr")+COUNTIFS('FOI 2025-26'!W2:W1787, "*S39*", 'FOI 2025-26'!I2:I1787, "May")+COUNTIFS('FOI 2025-26'!W2:W1787, "*S39*", 'FOI 2025-26'!I2:I1787, "Jun")</f>
        <v>0</v>
      </c>
      <c r="D27" s="106">
        <f>COUNTIFS('FOI 2025-26'!V2:V1787, "*Environmental Information*", 'FOI 2025-26'!I2:I1787, "Jul")+COUNTIFS('FOI 2025-26'!V2:V1787, "*Environmental Information*", 'FOI 2025-26'!I2:I1787, "Aug")+COUNTIFS('FOI 2025-26'!V2:V1787, "*Environmental Information*", 'FOI 2025-26'!I2:I1787, "Sep")+COUNTIFS('FOI 2025-26'!W2:W1787, "*S39*", 'FOI 2025-26'!I2:I1787, "Jul")+COUNTIFS('FOI 2025-26'!W2:W1787, "*S39*", 'FOI 2025-26'!I2:I1787, "Aug")+COUNTIFS('FOI 2025-26'!W2:W1787, "*S39*", 'FOI 2025-26'!I2:I1787, "Sep")</f>
        <v>0</v>
      </c>
      <c r="E27" s="106">
        <f>COUNTIFS('FOI 2025-26'!V2:V1787, "*Environmental Information*", 'FOI 2025-26'!I2:I1787, "Oct")+COUNTIFS('FOI 2025-26'!V2:V1787, "*Environmental Information*", 'FOI 2025-26'!I2:I1787, "Nov")+COUNTIFS('FOI 2025-26'!V2:V1787, "*Environmental Information*", 'FOI 2025-26'!I2:I1787, "Dec")+COUNTIFS('FOI 2025-26'!W2:W1787, "*S39*", 'FOI 2025-26'!I2:I1787, "Oct")+COUNTIFS('FOI 2025-26'!W2:W1787, "*S39*", 'FOI 2025-26'!I2:I1787, "Nov")+COUNTIFS('FOI 2025-26'!W2:W1787, "*S39*", 'FOI 2025-26'!I2:I1787, "Dec")</f>
        <v>0</v>
      </c>
      <c r="F27" s="107">
        <f>COUNTIFS('FOI 2025-26'!V2:V1787, "*Environmental Information*", 'FOI 2025-26'!I2:I1787, "Jan")+COUNTIFS('FOI 2025-26'!V2:V1787, "*Environmental Information*", 'FOI 2025-26'!I2:I1787, "Feb")+COUNTIFS('FOI 2025-26'!V2:V1787, "*Environmental Information*", 'FOI 2025-26'!I2:I1787, "Mar")+COUNTIFS('FOI 2025-26'!W2:W1787, "*S39*", 'FOI 2025-26'!I2:I1787, "Jan")+COUNTIFS('FOI 2025-26'!W2:W1787, "*S39*", 'FOI 2025-26'!I2:I1787, "Feb")+COUNTIFS('FOI 2025-26'!W2:W1787, "*S39*", 'FOI 2025-26'!I2:I1787, "Mar")</f>
        <v>0</v>
      </c>
      <c r="G27" s="44"/>
      <c r="H27" s="52"/>
      <c r="I27" s="55"/>
      <c r="J27" s="55"/>
      <c r="K27" s="55"/>
      <c r="L27" s="55"/>
    </row>
    <row r="28" spans="2:12" ht="30" x14ac:dyDescent="0.25">
      <c r="B28" s="60" t="s">
        <v>1566</v>
      </c>
      <c r="C28" s="110">
        <f>COUNTIFS('FOI 2025-26'!V2:V1787, "*this*", 'FOI 2025-26'!I2:I1787, "Apr")+COUNTIFS('FOI 2025-26'!V2:V1787, "*this*", 'FOI 2025-26'!I2:I1787, "May")+COUNTIFS('FOI 2025-26'!V2:V1787, "*this*", 'FOI 2025-26'!I2:I1787, "Jun")+COUNTIFS('FOI 2025-26'!W2:W1787, "*S40(1)*", 'FOI 2025-26'!I2:I1787, "Apr")+COUNTIFS('FOI 2025-26'!W2:W1787, "*S40(1)*", 'FOI 2025-26'!I2:I1787, "May")+COUNTIFS('FOI 2025-26'!W2:W1787, "*S40(1)*", 'FOI 2025-26'!I2:I1787, "Jun")</f>
        <v>0</v>
      </c>
      <c r="D28" s="110">
        <f>COUNTIFS('FOI 2025-26'!V2:V1787, "*this*", 'FOI 2025-26'!I2:I1787, "Jul")+COUNTIFS('FOI 2025-26'!V2:V1787, "*this*", 'FOI 2025-26'!I2:I1787, "Aug")+COUNTIFS('FOI 2025-26'!V2:V1787, "*this*", 'FOI 2025-26'!I2:I1787, "Sep")+COUNTIFS('FOI 2025-26'!W2:W1787, "*S40(1)*", 'FOI 2025-26'!I2:I1787, "Jul")+COUNTIFS('FOI 2025-26'!W2:W1787, "*S40(1)*", 'FOI 2025-26'!I2:I1787, "Aug")+COUNTIFS('FOI 2025-26'!W2:W1787, "*S40(1)*", 'FOI 2025-26'!I2:I1787, "Sep")</f>
        <v>0</v>
      </c>
      <c r="E28" s="110">
        <f>COUNTIFS('FOI 2025-26'!V2:V1787, "*this*", 'FOI 2025-26'!I2:I1787, "Oct")+COUNTIFS('FOI 2025-26'!V2:V1787, "*this*", 'FOI 2025-26'!I2:I1787, "Nov")+COUNTIFS('FOI 2025-26'!V2:V1787, "*this*", 'FOI 2025-26'!I2:I1787, "Dec")+COUNTIFS('FOI 2025-26'!W2:W1787, "*S40(1)*", 'FOI 2025-26'!I2:I1787, "Oct")+COUNTIFS('FOI 2025-26'!W2:W1787, "*S40(1)*", 'FOI 2025-26'!I2:I1787, "Nov")+COUNTIFS('FOI 2025-26'!W2:W1787, "*S40(1)*", 'FOI 2025-26'!I2:I1787, "Dec")</f>
        <v>0</v>
      </c>
      <c r="F28" s="111">
        <f>COUNTIFS('FOI 2025-26'!V2:V1787, "*this*", 'FOI 2025-26'!I2:I1787, "Jan")+COUNTIFS('FOI 2025-26'!V2:V1787, "*this*", 'FOI 2025-26'!I2:I1787, "Feb")+COUNTIFS('FOI 2025-26'!V2:V1787, "*this*", 'FOI 2025-26'!I2:I1787, "Mar")+COUNTIFS('FOI 2025-26'!W2:W1787, "*S40(1)*", 'FOI 2025-26'!I2:I1787, "Jan")+COUNTIFS('FOI 2025-26'!W2:W1787, "*S40(1)*", 'FOI 2025-26'!I2:I1787, "Feb")+COUNTIFS('FOI 2025-26'!W2:W1787, "*S40(1)*", 'FOI 2025-26'!I2:I1787, "Mar")</f>
        <v>0</v>
      </c>
      <c r="G28" s="44"/>
      <c r="H28" s="52"/>
      <c r="I28" s="55"/>
      <c r="J28" s="55"/>
      <c r="K28" s="55"/>
      <c r="L28" s="55"/>
    </row>
    <row r="29" spans="2:12" ht="30" x14ac:dyDescent="0.25">
      <c r="B29" s="59" t="s">
        <v>1567</v>
      </c>
      <c r="C29" s="106">
        <f>COUNTIFS('FOI 2025-26'!V2:V1787, "*Personal Information*", 'FOI 2025-26'!I2:I1787, "Apr")+COUNTIFS('FOI 2025-26'!V2:V1787, "*Personal Information*", 'FOI 2025-26'!I2:I1787, "May")+COUNTIFS('FOI 2025-26'!V2:V1787, "*Personal Information*", 'FOI 2025-26'!I2:I1787, "Jun")+COUNTIFS('FOI 2025-26'!W2:W1787, "*S40(2)*", 'FOI 2025-26'!I2:I1787, "Apr")+COUNTIFS('FOI 2025-26'!W2:W1787, "*S40(2)*", 'FOI 2025-26'!I2:I1787, "May")+COUNTIFS('FOI 2025-26'!W2:W1787, "*S40(2)*", 'FOI 2025-26'!I2:I1787, "Jun")</f>
        <v>21</v>
      </c>
      <c r="D29" s="106">
        <f>COUNTIFS('FOI 2025-26'!V2:V1787, "*Personal Information*", 'FOI 2025-26'!I2:I1787, "Jul")+COUNTIFS('FOI 2025-26'!V2:V1787, "*Personal Information*", 'FOI 2025-26'!I2:I1787, "Aug")+COUNTIFS('FOI 2025-26'!V2:V1787, "*Personal Information*", 'FOI 2025-26'!I2:I1787, "Sep")+COUNTIFS('FOI 2025-26'!W2:W1787, "*S40(2)*", 'FOI 2025-26'!I2:I1787, "Jul")+COUNTIFS('FOI 2025-26'!W2:W1787, "*S40(2)*", 'FOI 2025-26'!I2:I1787, "Aug")+COUNTIFS('FOI 2025-26'!W2:W1787, "*S40(2)*", 'FOI 2025-26'!I2:I1787, "Sep")</f>
        <v>42</v>
      </c>
      <c r="E29" s="106">
        <f>COUNTIFS('FOI 2025-26'!V2:V1787, "*Personal Information*", 'FOI 2025-26'!I2:I1787, "Oct")+COUNTIFS('FOI 2025-26'!V2:V1787, "*Personal Information*", 'FOI 2025-26'!I2:I1787, "Nov")+COUNTIFS('FOI 2025-26'!V2:V1787, "*Personal Information*", 'FOI 2025-26'!I2:I1787, "Dec")+COUNTIFS('FOI 2025-26'!W2:W1787, "*S40(2)*", 'FOI 2025-26'!I2:I1787, "Oct")+COUNTIFS('FOI 2025-26'!W2:W1787, "*S40(2)*", 'FOI 2025-26'!I2:I1787, "Nov")+COUNTIFS('FOI 2025-26'!W2:W1787, "*S40(2)*", 'FOI 2025-26'!I2:I1787, "Dec")</f>
        <v>17</v>
      </c>
      <c r="F29" s="107">
        <f>COUNTIFS('FOI 2025-26'!V2:V1787, "*Personal Information*", 'FOI 2025-26'!I2:I1787, "Jan")+COUNTIFS('FOI 2025-26'!V2:V1787, "*Personal Information*", 'FOI 2025-26'!I2:I1787, "Feb")+COUNTIFS('FOI 2025-26'!V2:V1787, "*Personal Information*", 'FOI 2025-26'!I2:I1787, "Mar")+COUNTIFS('FOI 2025-26'!W2:W1787, "*S40(2)*", 'FOI 2025-26'!I2:I1787, "Jan")+COUNTIFS('FOI 2025-26'!W2:W1787, "*S40(2)*", 'FOI 2025-26'!I2:I1787, "Feb")+COUNTIFS('FOI 2025-26'!W2:W1787, "*S40(2)*", 'FOI 2025-26'!I2:I1787, "Mar")</f>
        <v>20</v>
      </c>
      <c r="G29" s="44"/>
      <c r="H29" s="52"/>
      <c r="I29" s="55"/>
      <c r="J29" s="55"/>
      <c r="K29" s="55"/>
      <c r="L29" s="55"/>
    </row>
    <row r="30" spans="2:12" ht="30" x14ac:dyDescent="0.25">
      <c r="B30" s="60" t="s">
        <v>1568</v>
      </c>
      <c r="C30" s="110">
        <f>COUNTIFS('FOI 2025-26'!V2:V1787, "*Provided in Confidence*", 'FOI 2025-26'!I2:I1787, "Apr")+COUNTIFS('FOI 2025-26'!V2:V1787, "*Provided in Confidence*", 'FOI 2025-26'!I2:I1787, "May")+COUNTIFS('FOI 2025-26'!V2:V1787, "*Provided in Confidence*", 'FOI 2025-26'!I2:I1787, "Jun")+COUNTIFS('FOI 2025-26'!W2:W1787, "*S41*", 'FOI 2025-26'!I2:I1787, "Apr")+COUNTIFS('FOI 2025-26'!W2:W1787, "*S41*", 'FOI 2025-26'!I2:I1787, "May")+COUNTIFS('FOI 2025-26'!W2:W1787, "*S41*", 'FOI 2025-26'!I2:I1787, "Jun")</f>
        <v>1</v>
      </c>
      <c r="D30" s="110">
        <f>COUNTIFS('FOI 2025-26'!V2:V1787, "*Provided in Confidence*", 'FOI 2025-26'!I2:I1787, "Jul")+COUNTIFS('FOI 2025-26'!V2:V1787, "*Provided in Confidence*", 'FOI 2025-26'!I2:I1787, "Aug")+COUNTIFS('FOI 2025-26'!V2:V1787, "*Provided in Confidence*", 'FOI 2025-26'!I2:I1787, "Sep")+COUNTIFS('FOI 2025-26'!W2:W1787, "*S41*", 'FOI 2025-26'!I2:I1787, "Jul")+COUNTIFS('FOI 2025-26'!W2:W1787, "*S41*", 'FOI 2025-26'!I2:I1787, "Aug")+COUNTIFS('FOI 2025-26'!W2:W1787, "*S41*", 'FOI 2025-26'!I2:I1787, "Sep")</f>
        <v>3</v>
      </c>
      <c r="E30" s="110">
        <f>COUNTIFS('FOI 2025-26'!V2:V1787, "*Provided in Confidence*", 'FOI 2025-26'!I2:I1787, "Oct")+COUNTIFS('FOI 2025-26'!V2:V1787, "*Provided in Confidence*", 'FOI 2025-26'!I2:I1787, "Nov")+COUNTIFS('FOI 2025-26'!V2:V1787, "*Provided in Confidence*", 'FOI 2025-26'!I2:I1787, "Dec")+COUNTIFS('FOI 2025-26'!W2:W1787, "*S41*", 'FOI 2025-26'!I2:I1787, "Oct")+COUNTIFS('FOI 2025-26'!W2:W1787, "*S41*", 'FOI 2025-26'!I2:I1787, "Nov")+COUNTIFS('FOI 2025-26'!W2:W1787, "*S41*", 'FOI 2025-26'!I2:I1787, "Dec")</f>
        <v>2</v>
      </c>
      <c r="F30" s="111">
        <f>COUNTIFS('FOI 2025-26'!V2:V1787, "*Provided in Confidence*", 'FOI 2025-26'!I2:I1787, "Jan")+COUNTIFS('FOI 2025-26'!V2:V1787, "*Provided in Confidence*", 'FOI 2025-26'!I2:I1787, "Feb")+COUNTIFS('FOI 2025-26'!V2:V1787, "*Provided in Confidence*", 'FOI 2025-26'!I2:I1787, "Mar")+COUNTIFS('FOI 2025-26'!W2:W1787, "*S41*", 'FOI 2025-26'!I2:I1787, "Jan")+COUNTIFS('FOI 2025-26'!W2:W1787, "*S41*", 'FOI 2025-26'!I2:I1787, "Feb")+COUNTIFS('FOI 2025-26'!W2:W1787, "*S41*", 'FOI 2025-26'!I2:I1787, "Mar")</f>
        <v>1</v>
      </c>
      <c r="G30" s="44"/>
      <c r="H30" s="52"/>
      <c r="I30" s="55"/>
      <c r="J30" s="55"/>
      <c r="K30" s="55"/>
      <c r="L30" s="55"/>
    </row>
    <row r="31" spans="2:12" ht="30" x14ac:dyDescent="0.25">
      <c r="B31" s="59" t="s">
        <v>1569</v>
      </c>
      <c r="C31" s="106">
        <f>COUNTIFS('FOI 2025-26'!V2:V1787, "*Legal Professional Privilege*", 'FOI 2025-26'!I2:I1787, "Apr")+COUNTIFS('FOI 2025-26'!V2:V1787, "*Legal Professional Privilege*", 'FOI 2025-26'!I2:I1787, "May")+COUNTIFS('FOI 2025-26'!V2:V1787, "*Legal Professional Privilege*", 'FOI 2025-26'!I2:I1787, "Jun")+COUNTIFS('FOI 2025-26'!W2:W1787, "*S42*", 'FOI 2025-26'!I2:I1787, "Apr")+COUNTIFS('FOI 2025-26'!W2:W1787, "*S42*", 'FOI 2025-26'!I2:I1787, "May")+COUNTIFS('FOI 2025-26'!W2:W1787, "*S42*", 'FOI 2025-26'!I2:I1787, "Jun")</f>
        <v>0</v>
      </c>
      <c r="D31" s="106">
        <f>COUNTIFS('FOI 2025-26'!V2:V1787, "*Legal Professional Privilege*", 'FOI 2025-26'!I2:I1787, "Jul")+COUNTIFS('FOI 2025-26'!V2:V1787, "*Legal Professional Privilege*", 'FOI 2025-26'!I2:I1787, "Aug")+COUNTIFS('FOI 2025-26'!V2:V1787, "*Legal Professional Privilege*", 'FOI 2025-26'!I2:I1787, "Sep")+COUNTIFS('FOI 2025-26'!W2:W1787, "*S42*", 'FOI 2025-26'!I2:I1787, "Jul")+COUNTIFS('FOI 2025-26'!W2:W1787, "*S42*", 'FOI 2025-26'!I2:I1787, "Aug")+COUNTIFS('FOI 2025-26'!W2:W1787, "*S42*", 'FOI 2025-26'!I2:I1787, "Sep")</f>
        <v>0</v>
      </c>
      <c r="E31" s="106">
        <f>COUNTIFS('FOI 2025-26'!V2:V1787, "*Legal Professional Privilege*", 'FOI 2025-26'!I2:I1787, "Oct")+COUNTIFS('FOI 2025-26'!V2:V1787, "*Legal Professional Privilege*", 'FOI 2025-26'!I2:I1787, "Nov")+COUNTIFS('FOI 2025-26'!V2:V1787, "*Legal Professional Privilege*", 'FOI 2025-26'!I2:I1787, "Dec")+COUNTIFS('FOI 2025-26'!W2:W1787, "*S42*", 'FOI 2025-26'!I2:I1787, "Oct")+COUNTIFS('FOI 2025-26'!W2:W1787, "*S42*", 'FOI 2025-26'!I2:I1787, "Nov")+COUNTIFS('FOI 2025-26'!W2:W1787, "*S42*", 'FOI 2025-26'!I2:I1787, "Dec")</f>
        <v>1</v>
      </c>
      <c r="F31" s="107">
        <f>COUNTIFS('FOI 2025-26'!V2:V1787, "*Legal Professional Privilege*", 'FOI 2025-26'!I2:I1787, "Jan")+COUNTIFS('FOI 2025-26'!V2:V1787, "*Legal Professional Privilege*", 'FOI 2025-26'!I2:I1787, "Feb")+COUNTIFS('FOI 2025-26'!V2:V1787, "*Legal Professional Privilege*", 'FOI 2025-26'!I2:I1787, "Mar")+COUNTIFS('FOI 2025-26'!W2:W1787, "*S42*", 'FOI 2025-26'!I2:I1787, "Jan")+COUNTIFS('FOI 2025-26'!W2:W1787, "*S42*", 'FOI 2025-26'!I2:I1787, "Feb")+COUNTIFS('FOI 2025-26'!W2:W1787, "*S42*", 'FOI 2025-26'!I2:I1787, "Mar")</f>
        <v>3</v>
      </c>
      <c r="G31" s="44"/>
      <c r="H31" s="52"/>
      <c r="I31" s="55"/>
      <c r="J31" s="55"/>
      <c r="K31" s="55"/>
      <c r="L31" s="55"/>
    </row>
    <row r="32" spans="2:12" ht="15" x14ac:dyDescent="0.25">
      <c r="B32" s="60" t="s">
        <v>1570</v>
      </c>
      <c r="C32" s="110">
        <f>COUNTIFS('FOI 2025-26'!V2:V1787, "*Commercial Interest*", 'FOI 2025-26'!I2:I1787, "Apr")+COUNTIFS('FOI 2025-26'!V2:V1787, "*Commercial Interest*", 'FOI 2025-26'!I2:I1787, "May")+COUNTIFS('FOI 2025-26'!V2:V1787, "*Commercial Interest*", 'FOI 2025-26'!I2:I1787, "Jun")+COUNTIFS('FOI 2025-26'!W2:W1787, "*S43*", 'FOI 2025-26'!I2:I1787, "Apr")+COUNTIFS('FOI 2025-26'!W2:W1787, "*S43*", 'FOI 2025-26'!I2:I1787, "May")+COUNTIFS('FOI 2025-26'!W2:W1787, "*S43*", 'FOI 2025-26'!I2:I1787, "Jun")</f>
        <v>4</v>
      </c>
      <c r="D32" s="110">
        <f>COUNTIFS('FOI 2025-26'!V2:V1787, "*Commercial Interest*", 'FOI 2025-26'!I2:I1787, "Jul")+COUNTIFS('FOI 2025-26'!V2:V1787, "*Commercial Interest*", 'FOI 2025-26'!I2:I1787, "Aug")+COUNTIFS('FOI 2025-26'!V2:V1787, "*Commercial Interest*", 'FOI 2025-26'!I2:I1787, "Sep")+COUNTIFS('FOI 2025-26'!W2:W1787, "*S43*", 'FOI 2025-26'!I2:I1787, "Jul")+COUNTIFS('FOI 2025-26'!W2:W1787, "*S43*", 'FOI 2025-26'!I2:I1787, "Aug")+COUNTIFS('FOI 2025-26'!W2:W1787, "*S43*", 'FOI 2025-26'!I2:I1787, "Sep")</f>
        <v>3</v>
      </c>
      <c r="E32" s="110">
        <f>COUNTIFS('FOI 2025-26'!V2:V1787, "*Commercial Interest*", 'FOI 2025-26'!I2:I1787, "Oct")+COUNTIFS('FOI 2025-26'!V2:V1787, "*Commercial Interest*", 'FOI 2025-26'!I2:I1787, "Nov")+COUNTIFS('FOI 2025-26'!V2:V1787, "*Commercial Interest*", 'FOI 2025-26'!I2:I1787, "Dec")+COUNTIFS('FOI 2025-26'!W2:W1787, "*S43*", 'FOI 2025-26'!I2:I1787, "Oct")+COUNTIFS('FOI 2025-26'!W2:W1787, "*S43*", 'FOI 2025-26'!I2:I1787, "Nov")+COUNTIFS('FOI 2025-26'!W2:W1787, "*S43*", 'FOI 2025-26'!I2:I1787, "Dec")</f>
        <v>7</v>
      </c>
      <c r="F32" s="111">
        <f>COUNTIFS('FOI 2025-26'!V2:V1787, "*Commercial Interest*", 'FOI 2025-26'!I2:I1787, "Jan")+COUNTIFS('FOI 2025-26'!V2:V1787, "*Commercial Interest*", 'FOI 2025-26'!I2:I1787, "Feb")+COUNTIFS('FOI 2025-26'!V2:V1787, "*Commercial Interest*", 'FOI 2025-26'!I2:I1787, "Mar")+COUNTIFS('FOI 2025-26'!W2:W1787, "*S43*", 'FOI 2025-26'!I2:I1787, "Jan")+COUNTIFS('FOI 2025-26'!W2:W1787, "*S43*", 'FOI 2025-26'!I2:I1787, "Feb")+COUNTIFS('FOI 2025-26'!W2:W1787, "*S43*", 'FOI 2025-26'!I2:I1787, "Mar")</f>
        <v>2</v>
      </c>
      <c r="G32" s="44"/>
      <c r="H32" s="52"/>
      <c r="I32" s="55"/>
      <c r="J32" s="55"/>
      <c r="K32" s="55"/>
      <c r="L32" s="55"/>
    </row>
    <row r="33" spans="2:12" ht="30.5" thickBot="1" x14ac:dyDescent="0.3">
      <c r="B33" s="62" t="s">
        <v>1571</v>
      </c>
      <c r="C33" s="112">
        <f>COUNTIFS('FOI 2025-26'!V2:V1787, "*Prohibition on Disclosure*", 'FOI 2025-26'!I2:I1787, "Apr")+COUNTIFS('FOI 2025-26'!V2:V1787, "*Prohibition on Disclosure*", 'FOI 2025-26'!I2:I1787, "May")+COUNTIFS('FOI 2025-26'!V2:V1787, "*Prohibition on Disclosure*", 'FOI 2025-26'!I2:I1787, "Jun")+COUNTIFS('FOI 2025-26'!W2:W1787, "*S44*", 'FOI 2025-26'!I2:I1787, "Apr")+COUNTIFS('FOI 2025-26'!W2:W1787, "*S44*", 'FOI 2025-26'!I2:I1787, "May")+COUNTIFS('FOI 2025-26'!W2:W1787, "*S44*", 'FOI 2025-26'!I2:I1787, "Jun")</f>
        <v>0</v>
      </c>
      <c r="D33" s="112">
        <f>COUNTIFS('FOI 2025-26'!V2:V1787, "*Prohibition on Disclosure*", 'FOI 2025-26'!I2:I1787, "Jul")+COUNTIFS('FOI 2025-26'!V2:V1787, "*Prohibition on Disclosure*", 'FOI 2025-26'!I2:I1787, "Aug")+COUNTIFS('FOI 2025-26'!V2:V1787, "*Prohibition on Disclosure*", 'FOI 2025-26'!I2:I1787, "Sep")+COUNTIFS('FOI 2025-26'!W2:W1787, "*S44*", 'FOI 2025-26'!I2:I1787, "Jul")+COUNTIFS('FOI 2025-26'!W2:W1787, "*S44*", 'FOI 2025-26'!I2:I1787, "Aug")+COUNTIFS('FOI 2025-26'!W2:W1787, "*S44*", 'FOI 2025-26'!I2:I1787, "Sep")</f>
        <v>0</v>
      </c>
      <c r="E33" s="112">
        <f>COUNTIFS('FOI 2025-26'!V2:V1787, "*Prohibition on Disclosure*", 'FOI 2025-26'!I2:I1787, "Oct")+COUNTIFS('FOI 2025-26'!V2:V1787, "*Prohibition on Disclosure*", 'FOI 2025-26'!I2:I1787, "Nov")+COUNTIFS('FOI 2025-26'!V2:V1787, "*Prohibition on Disclosure*", 'FOI 2025-26'!I2:I1787, "Dec")+COUNTIFS('FOI 2025-26'!W2:W1787, "*S44*", 'FOI 2025-26'!I2:I1787, "Oct")+COUNTIFS('FOI 2025-26'!W2:W1787, "*S44*", 'FOI 2025-26'!I2:I1787, "Nov")+COUNTIFS('FOI 2025-26'!W2:W1787, "*S44*", 'FOI 2025-26'!I2:I1787, "Dec")</f>
        <v>0</v>
      </c>
      <c r="F33" s="113">
        <f>COUNTIFS('FOI 2025-26'!V2:V1787, "*Prohibition on Disclosure*", 'FOI 2025-26'!I2:I1787, "Jan")+COUNTIFS('FOI 2025-26'!V2:V1787, "*Prohibition on Disclosure*", 'FOI 2025-26'!I2:I1787, "Feb")+COUNTIFS('FOI 2025-26'!V2:V1787, "*Prohibition on Disclosure*", 'FOI 2025-26'!I2:I1787, "Mar")+COUNTIFS('FOI 2025-26'!W2:W1787, "*S44*", 'FOI 2025-26'!I2:I1787, "Jan")+COUNTIFS('FOI 2025-26'!W2:W1787, "*S44*", 'FOI 2025-26'!I2:I1787, "Feb")+COUNTIFS('FOI 2025-26'!W2:W1787, "*S44*", 'FOI 2025-26'!I2:I1787, "Mar")</f>
        <v>0</v>
      </c>
      <c r="G33" s="44"/>
      <c r="H33" s="52"/>
      <c r="I33" s="55"/>
      <c r="J33" s="55"/>
      <c r="K33" s="55"/>
      <c r="L33" s="55"/>
    </row>
  </sheetData>
  <protectedRanges>
    <protectedRange sqref="C4:C5 C9:F33 I9:L23" name="Range1"/>
  </protectedRanges>
  <mergeCells count="5">
    <mergeCell ref="B1:L2"/>
    <mergeCell ref="C4:F4"/>
    <mergeCell ref="C5:F5"/>
    <mergeCell ref="B7:F7"/>
    <mergeCell ref="H7:L7"/>
  </mergeCells>
  <dataValidations count="1">
    <dataValidation type="whole" operator="greaterThanOrEqual" allowBlank="1" showInputMessage="1" showErrorMessage="1" sqref="C9:F33 I9:L23" xr:uid="{D4BFB4EF-2554-4829-ADB3-143B07157C15}">
      <formula1>0</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8cbc0dd-8fad-44f6-8f87-abbff0569875">
      <Terms xmlns="http://schemas.microsoft.com/office/infopath/2007/PartnerControls"/>
    </lcf76f155ced4ddcb4097134ff3c332f>
    <TaxCatchAll xmlns="bb79d6a0-16ba-4bfc-a829-15108cb3b682" xsi:nil="true"/>
    <_Flow_SignoffStatus xmlns="48cbc0dd-8fad-44f6-8f87-abbff056987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3551A2B975C684890419B59C33EC143" ma:contentTypeVersion="16" ma:contentTypeDescription="Create a new document." ma:contentTypeScope="" ma:versionID="461195897960847a2d735dcb91874147">
  <xsd:schema xmlns:xsd="http://www.w3.org/2001/XMLSchema" xmlns:xs="http://www.w3.org/2001/XMLSchema" xmlns:p="http://schemas.microsoft.com/office/2006/metadata/properties" xmlns:ns2="48cbc0dd-8fad-44f6-8f87-abbff0569875" xmlns:ns3="bb79d6a0-16ba-4bfc-a829-15108cb3b682" targetNamespace="http://schemas.microsoft.com/office/2006/metadata/properties" ma:root="true" ma:fieldsID="d1d844d928c4e08377c3100180c6faac" ns2:_="" ns3:_="">
    <xsd:import namespace="48cbc0dd-8fad-44f6-8f87-abbff0569875"/>
    <xsd:import namespace="bb79d6a0-16ba-4bfc-a829-15108cb3b6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cbc0dd-8fad-44f6-8f87-abbff05698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cdfec08-ec91-420d-9d9d-f014eab75a7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_Flow_SignoffStatus" ma:index="23"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b79d6a0-16ba-4bfc-a829-15108cb3b68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0946768b-974c-4c43-a4de-95f235ef03e4}" ma:internalName="TaxCatchAll" ma:showField="CatchAllData" ma:web="bb79d6a0-16ba-4bfc-a829-15108cb3b6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855F72-4A07-4A7C-BF43-903991FAD465}">
  <ds:schemaRefs>
    <ds:schemaRef ds:uri="48cbc0dd-8fad-44f6-8f87-abbff0569875"/>
    <ds:schemaRef ds:uri="http://schemas.openxmlformats.org/package/2006/metadata/core-properties"/>
    <ds:schemaRef ds:uri="http://schemas.microsoft.com/office/infopath/2007/PartnerControls"/>
    <ds:schemaRef ds:uri="http://purl.org/dc/dcmitype/"/>
    <ds:schemaRef ds:uri="http://schemas.microsoft.com/office/2006/metadata/properties"/>
    <ds:schemaRef ds:uri="http://schemas.microsoft.com/office/2006/documentManagement/types"/>
    <ds:schemaRef ds:uri="http://purl.org/dc/elements/1.1/"/>
    <ds:schemaRef ds:uri="bb79d6a0-16ba-4bfc-a829-15108cb3b682"/>
    <ds:schemaRef ds:uri="http://www.w3.org/XML/1998/namespace"/>
    <ds:schemaRef ds:uri="http://purl.org/dc/terms/"/>
  </ds:schemaRefs>
</ds:datastoreItem>
</file>

<file path=customXml/itemProps2.xml><?xml version="1.0" encoding="utf-8"?>
<ds:datastoreItem xmlns:ds="http://schemas.openxmlformats.org/officeDocument/2006/customXml" ds:itemID="{91353031-FA83-4941-B895-EAAE4EB88471}">
  <ds:schemaRefs>
    <ds:schemaRef ds:uri="http://schemas.microsoft.com/sharepoint/v3/contenttype/forms"/>
  </ds:schemaRefs>
</ds:datastoreItem>
</file>

<file path=customXml/itemProps3.xml><?xml version="1.0" encoding="utf-8"?>
<ds:datastoreItem xmlns:ds="http://schemas.openxmlformats.org/officeDocument/2006/customXml" ds:itemID="{1745CF0F-852C-4B59-82FA-A6EDBBC744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cbc0dd-8fad-44f6-8f87-abbff0569875"/>
    <ds:schemaRef ds:uri="bb79d6a0-16ba-4bfc-a829-15108cb3b6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95b5b75-2744-41ba-9110-5a29c6ee2ba4}" enabled="0" method="" siteId="{a95b5b75-2744-41ba-9110-5a29c6ee2ba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FOI 2025-26</vt:lpstr>
      <vt:lpstr>EIR 2025-26</vt:lpstr>
      <vt:lpstr>Internal Review</vt:lpstr>
      <vt:lpstr>Stats</vt:lpstr>
      <vt:lpstr>Key data collection</vt:lpstr>
      <vt:lpstr>Additional data collection</vt:lpstr>
      <vt:lpstr>Exemptions &amp; Exceptions</vt:lpstr>
      <vt:lpstr>'EIR 2025-26'!_Hlk135727460</vt:lpstr>
    </vt:vector>
  </TitlesOfParts>
  <Manager/>
  <Company>Redcar and Cleveland Borough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FoI Record 2010</dc:title>
  <dc:subject>QA</dc:subject>
  <dc:creator>Kate Broom</dc:creator>
  <cp:keywords/>
  <dc:description/>
  <cp:lastModifiedBy>Juliet Felgate</cp:lastModifiedBy>
  <cp:revision/>
  <dcterms:created xsi:type="dcterms:W3CDTF">1996-10-14T23:33:28Z</dcterms:created>
  <dcterms:modified xsi:type="dcterms:W3CDTF">2026-05-01T10:12:13Z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0x010100F3551A2B975C684890419B59C33EC143</vt:lpwstr>
  </property>
  <property fmtid="{D5CDD505-2E9C-101B-9397-08002B2CF9AE}" pid="3" name="MediaServiceImageTags">
    <vt:lpwstr/>
  </property>
  <property fmtid="{D5CDD505-2E9C-101B-9397-08002B2CF9AE}" pid="4" name="_AdHocReviewCycleID">
    <vt:i4>-1063249336</vt:i4>
  </property>
  <property fmtid="{D5CDD505-2E9C-101B-9397-08002B2CF9AE}" pid="5" name="_NewReviewCycle">
    <vt:lpwstr/>
  </property>
  <property fmtid="{D5CDD505-2E9C-101B-9397-08002B2CF9AE}" pid="6" name="_EmailSubject">
    <vt:lpwstr>Intranet</vt:lpwstr>
  </property>
  <property fmtid="{D5CDD505-2E9C-101B-9397-08002B2CF9AE}" pid="7" name="_AuthorEmail">
    <vt:lpwstr>InformationGovernance@redcar-cleveland.gov.uk</vt:lpwstr>
  </property>
  <property fmtid="{D5CDD505-2E9C-101B-9397-08002B2CF9AE}" pid="8" name="_AuthorEmailDisplayName">
    <vt:lpwstr>Information Governance</vt:lpwstr>
  </property>
  <property fmtid="{D5CDD505-2E9C-101B-9397-08002B2CF9AE}" pid="9" name="_PreviousAdHocReviewCycleID">
    <vt:i4>982824205</vt:i4>
  </property>
</Properties>
</file>