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hidePivotFieldList="1" defaultThemeVersion="124226"/>
  <xr:revisionPtr revIDLastSave="13828" documentId="114_{2B7786A9-D16E-4EFF-9C4C-CB3233F08E0D}" xr6:coauthVersionLast="47" xr6:coauthVersionMax="47" xr10:uidLastSave="{70CC1A37-B617-49E6-BB5B-6321B637A2DA}"/>
  <bookViews>
    <workbookView xWindow="-110" yWindow="-110" windowWidth="19420" windowHeight="10420" tabRatio="761" xr2:uid="{00000000-000D-0000-FFFF-FFFF00000000}"/>
  </bookViews>
  <sheets>
    <sheet name="FOI 2024-25" sheetId="2" r:id="rId1"/>
    <sheet name="EIR 2024-25" sheetId="3" r:id="rId2"/>
    <sheet name="Internal Review 2024-25" sheetId="5" r:id="rId3"/>
    <sheet name="Key data collection" sheetId="10" r:id="rId4"/>
    <sheet name="Additional data collection" sheetId="11" r:id="rId5"/>
    <sheet name="Exemptions &amp; Exceptions" sheetId="12" r:id="rId6"/>
    <sheet name="Stats 24-25" sheetId="14" r:id="rId7"/>
  </sheets>
  <definedNames>
    <definedName name="_xlnm._FilterDatabase" localSheetId="1" hidden="1">'EIR 2024-25'!$A$1:$AF$246</definedName>
    <definedName name="_xlnm._FilterDatabase" localSheetId="0" hidden="1">'FOI 2024-25'!$A$1:$AE$1262</definedName>
    <definedName name="_ftnref1" localSheetId="0">'FOI 2024-25'!#REF!</definedName>
    <definedName name="Z_022A4286_B4E7_46C4_9348_10B1B1FE68AE_.wvu.FilterData" localSheetId="0" hidden="1">'FOI 2024-25'!$A$1:$AE$5259</definedName>
    <definedName name="Z_090A5F4E_E196_443C_AF51_61D6757F12A3_.wvu.FilterData" localSheetId="0" hidden="1">'FOI 2024-25'!$A$1:$AE$5259</definedName>
    <definedName name="Z_09A41729_FA56_46C5_9436_ED5B7966DED5_.wvu.FilterData" localSheetId="0" hidden="1">'FOI 2024-25'!$A$1:$AE$5259</definedName>
    <definedName name="Z_09B08B8E_E892_44CE_B810_12FD74B9C8E5_.wvu.FilterData" localSheetId="0" hidden="1">'FOI 2024-25'!$A$1:$AE$5259</definedName>
    <definedName name="Z_0C069E83_DC43_4D10_940E_0E650F120028_.wvu.FilterData" localSheetId="0" hidden="1">'FOI 2024-25'!$A$1:$AE$5259</definedName>
    <definedName name="Z_0C6E272D_534B_4BAF_B0C6_3576E0DFB450_.wvu.FilterData" localSheetId="0" hidden="1">'FOI 2024-25'!$A$1:$AE$5259</definedName>
    <definedName name="Z_174D9078_8BF1_48C3_A4EB_74356A217C32_.wvu.FilterData" localSheetId="0" hidden="1">'FOI 2024-25'!$A$1:$AE$5259</definedName>
    <definedName name="Z_19819CFE_109A_4866_8BB3_0A3DF4AD8887_.wvu.FilterData" localSheetId="0" hidden="1">'FOI 2024-25'!$A$1:$AE$5259</definedName>
    <definedName name="Z_1A62D6B3_DFA9_42C0_946D_A5C54892B6A9_.wvu.FilterData" localSheetId="0" hidden="1">'FOI 2024-25'!$A$1:$AE$5259</definedName>
    <definedName name="Z_1E939972_06BE_4137_8FB0_071864366766_.wvu.FilterData" localSheetId="0" hidden="1">'FOI 2024-25'!$A$1:$AE$5259</definedName>
    <definedName name="Z_232C10B5_4546_49D0_9587_4F32DD2AD976_.wvu.FilterData" localSheetId="0" hidden="1">'FOI 2024-25'!$A$1:$AE$5259</definedName>
    <definedName name="Z_234A0515_F58D_449C_A252_54190781D681_.wvu.FilterData" localSheetId="0" hidden="1">'FOI 2024-25'!$A$1:$AE$5259</definedName>
    <definedName name="Z_25B3A8E2_35F6_429F_BC13_9991C7408538_.wvu.FilterData" localSheetId="0" hidden="1">'FOI 2024-25'!$A$1:$AE$5259</definedName>
    <definedName name="Z_27CDEBF2_32E0_482D_A5A4_6B67AAA1EC32_.wvu.FilterData" localSheetId="0" hidden="1">'FOI 2024-25'!$A$1:$AE$5259</definedName>
    <definedName name="Z_2A732638_E983_441D_8D37_63721267D838_.wvu.FilterData" localSheetId="0" hidden="1">'FOI 2024-25'!$A$1:$AE$5259</definedName>
    <definedName name="Z_3303B2FD_AAAE_42DF_83DA_45950C7F76A8_.wvu.FilterData" localSheetId="0" hidden="1">'FOI 2024-25'!$A$1:$AE$5259</definedName>
    <definedName name="Z_3480DE0B_64E2_40A6_BF19_4BE533D34112_.wvu.FilterData" localSheetId="0" hidden="1">'FOI 2024-25'!$A$1:$AE$5259</definedName>
    <definedName name="Z_378DF0DA_D225_4DD2_8FEF_EABCF5BE9C95_.wvu.FilterData" localSheetId="0" hidden="1">'FOI 2024-25'!$A$1:$AE$5259</definedName>
    <definedName name="Z_3BFA6030_318E_4566_B329_020D58313903_.wvu.FilterData" localSheetId="0" hidden="1">'FOI 2024-25'!$A$1:$AE$5259</definedName>
    <definedName name="Z_409D8D49_E19A_48EB_8D9F_77E0A9153294_.wvu.FilterData" localSheetId="0" hidden="1">'FOI 2024-25'!$A$1:$AE$5259</definedName>
    <definedName name="Z_46D64065_B3F7_4884_896C_B6A2140222DE_.wvu.FilterData" localSheetId="0" hidden="1">'FOI 2024-25'!$A$1:$AE$5259</definedName>
    <definedName name="Z_49D60E3E_0432_44D9_8F4F_7E30DED1E521_.wvu.FilterData" localSheetId="0" hidden="1">'FOI 2024-25'!$A$1:$AE$5259</definedName>
    <definedName name="Z_532350FF_58DF_4DFB_B911_3FD78D73B169_.wvu.FilterData" localSheetId="0" hidden="1">'FOI 2024-25'!$A$1:$AE$5259</definedName>
    <definedName name="Z_53CC8A20_3722_45FA_AA68_237A260A62EA_.wvu.FilterData" localSheetId="0" hidden="1">'FOI 2024-25'!$A$1:$AE$5259</definedName>
    <definedName name="Z_5528985F_BCB7_4D1C_B5A2_CE26ACE39EC6_.wvu.FilterData" localSheetId="0" hidden="1">'FOI 2024-25'!$A$1:$AE$5259</definedName>
    <definedName name="Z_5A22D02A_B77E_4027_BF2F_1BF31CD9987E_.wvu.FilterData" localSheetId="1" hidden="1">'EIR 2024-25'!$A$1:$AF$63</definedName>
    <definedName name="Z_5A22D02A_B77E_4027_BF2F_1BF31CD9987E_.wvu.FilterData" localSheetId="0" hidden="1">'FOI 2024-25'!$A$1:$AE$5259</definedName>
    <definedName name="Z_5A39BEFA_5978_4F17_9AA9_49645E13D9C1_.wvu.FilterData" localSheetId="0" hidden="1">'FOI 2024-25'!$A$1:$AE$5259</definedName>
    <definedName name="Z_5A49A7B4_193E_4D05_8F6E_2176696BE1B1_.wvu.FilterData" localSheetId="0" hidden="1">'FOI 2024-25'!$A$1:$AE$5259</definedName>
    <definedName name="Z_5A51F8BC_51DF_4EF8_80B6_74D7C9FD640B_.wvu.FilterData" localSheetId="0" hidden="1">'FOI 2024-25'!$A$1:$AE$5259</definedName>
    <definedName name="Z_5B12B512_01C1_430C_88F8_236257A1D269_.wvu.FilterData" localSheetId="0" hidden="1">'FOI 2024-25'!$A$1:$AE$5259</definedName>
    <definedName name="Z_5F030C71_E102_4976_8EDE_753830C0512D_.wvu.FilterData" localSheetId="0" hidden="1">'FOI 2024-25'!$A$1:$AE$5259</definedName>
    <definedName name="Z_607F27E4_2C42_4C2D_B527_BA6CA827866F_.wvu.FilterData" localSheetId="0" hidden="1">'FOI 2024-25'!$A$1:$AE$5259</definedName>
    <definedName name="Z_615EE67A_4901_4B7A_B994_35A6AB0F9414_.wvu.FilterData" localSheetId="0" hidden="1">'FOI 2024-25'!$A$1:$AE$5259</definedName>
    <definedName name="Z_62D397FD_485A_4FC8_B744_E4E5A1640759_.wvu.FilterData" localSheetId="0" hidden="1">'FOI 2024-25'!$A$1:$AE$5259</definedName>
    <definedName name="Z_63F2399D_A40E_4D9C_8407_8E790A52ECC2_.wvu.FilterData" localSheetId="0" hidden="1">'FOI 2024-25'!$A$1:$AE$5259</definedName>
    <definedName name="Z_649EE045_044F_43B7_9B08_83F7A13EC48D_.wvu.FilterData" localSheetId="0" hidden="1">'FOI 2024-25'!$A$1:$AE$5259</definedName>
    <definedName name="Z_66E56B64_3B50_4BE2_9FF4_A752B3235265_.wvu.FilterData" localSheetId="0" hidden="1">'FOI 2024-25'!$A$1:$AE$5259</definedName>
    <definedName name="Z_6C9B7DD1_FC71_4681_9DAC_72450FDE6462_.wvu.FilterData" localSheetId="0" hidden="1">'FOI 2024-25'!$A$1:$AE$5259</definedName>
    <definedName name="Z_6D1929D5_2782_43A2_A78C_9C306954F206_.wvu.FilterData" localSheetId="0" hidden="1">'FOI 2024-25'!$A$1:$AE$5259</definedName>
    <definedName name="Z_71B1DC13_32E4_407B_B44D_501039045ABF_.wvu.FilterData" localSheetId="0" hidden="1">'FOI 2024-25'!$A$1:$AE$5259</definedName>
    <definedName name="Z_74AE7486_5F16_4E4A_96E9_308AA7435916_.wvu.FilterData" localSheetId="0" hidden="1">'FOI 2024-25'!$A$1:$AE$5259</definedName>
    <definedName name="Z_764EFB30_A7EA_4844_BEBC_0BDF51851234_.wvu.FilterData" localSheetId="0" hidden="1">'FOI 2024-25'!$A$1:$AE$5259</definedName>
    <definedName name="Z_7685C114_10C3_41BC_BA04_266B345CE62F_.wvu.FilterData" localSheetId="0" hidden="1">'FOI 2024-25'!$A$1:$AE$5259</definedName>
    <definedName name="Z_7A5B6D13_67AC_4F85_83D4_AA23594E04E6_.wvu.FilterData" localSheetId="0" hidden="1">'FOI 2024-25'!$A$1:$AE$5259</definedName>
    <definedName name="Z_81122DE4_A7C5_4234_A3E0_6F423675EA3D_.wvu.FilterData" localSheetId="0" hidden="1">'FOI 2024-25'!$A$1:$AE$5259</definedName>
    <definedName name="Z_826940D0_9F9E_446F_80EC_DF528F31844C_.wvu.FilterData" localSheetId="0" hidden="1">'FOI 2024-25'!$A$1:$AE$5259</definedName>
    <definedName name="Z_8312D9C4_969D_414C_9536_FB1C8DB16476_.wvu.FilterData" localSheetId="0" hidden="1">'FOI 2024-25'!$A$1:$AE$5259</definedName>
    <definedName name="Z_864C0158_CD31_469C_BF19_AD2EA9DA26F8_.wvu.FilterData" localSheetId="0" hidden="1">'FOI 2024-25'!$A$1:$AE$5259</definedName>
    <definedName name="Z_90031741_1898_4442_8E6D_0816486EA86E_.wvu.FilterData" localSheetId="0" hidden="1">'FOI 2024-25'!$A$1:$AE$5259</definedName>
    <definedName name="Z_900C1D27_E895_4D8E_B5D7_A7E4332B8E8D_.wvu.FilterData" localSheetId="0" hidden="1">'FOI 2024-25'!$A$1:$AE$5259</definedName>
    <definedName name="Z_973085D6_F93A_4B6F_A399_D5133BB5F0AE_.wvu.FilterData" localSheetId="0" hidden="1">'FOI 2024-25'!$A$1:$AE$5259</definedName>
    <definedName name="Z_9765E9E6_D2BF_4B2C_AEAF_CBC336E5AD34_.wvu.FilterData" localSheetId="0" hidden="1">'FOI 2024-25'!$A$1:$AE$5259</definedName>
    <definedName name="Z_9778D57D_40C5_457B_8843_6C207CB82BEE_.wvu.FilterData" localSheetId="0" hidden="1">'FOI 2024-25'!$A$1:$AE$5259</definedName>
    <definedName name="Z_9AFE0C9F_FD02_4B70_B043_5E2CDBA74563_.wvu.FilterData" localSheetId="0" hidden="1">'FOI 2024-25'!$A$1:$AE$5259</definedName>
    <definedName name="Z_9DC31DB2_9774_4758_88AB_0BAD3D4672C1_.wvu.FilterData" localSheetId="0" hidden="1">'FOI 2024-25'!$A$1:$AE$5259</definedName>
    <definedName name="Z_A70B2EEC_11E9_4B62_964B_1172D9B54EEB_.wvu.FilterData" localSheetId="0" hidden="1">'FOI 2024-25'!$A$1:$AE$5259</definedName>
    <definedName name="Z_A7D81723_E2AD_45E5_B55B_962AAA675F7E_.wvu.FilterData" localSheetId="0" hidden="1">'FOI 2024-25'!$A$1:$AE$5259</definedName>
    <definedName name="Z_AA39A773_7EE5_45C9_A693_7DB8522756F3_.wvu.FilterData" localSheetId="0" hidden="1">'FOI 2024-25'!$A$1:$AE$5259</definedName>
    <definedName name="Z_ABDF30B9_BD79_49B8_9332_561663B1D7A2_.wvu.FilterData" localSheetId="0" hidden="1">'FOI 2024-25'!$A$1:$AE$5259</definedName>
    <definedName name="Z_AD46DA74_700E_4A28_9A4B_CDBBDF09404A_.wvu.FilterData" localSheetId="0" hidden="1">'FOI 2024-25'!$A$1:$AE$5259</definedName>
    <definedName name="Z_AE25B1E5_414D_431D_A35C_FCDFF745CC19_.wvu.FilterData" localSheetId="0" hidden="1">'FOI 2024-25'!$A$1:$AE$5259</definedName>
    <definedName name="Z_B0B4550D_173B_4A14_BB51_8CFEF4925F40_.wvu.FilterData" localSheetId="0" hidden="1">'FOI 2024-25'!$A$1:$AE$5259</definedName>
    <definedName name="Z_B1B7F171_700E_425B_8D1B_8EEAB59CDB56_.wvu.FilterData" localSheetId="0" hidden="1">'FOI 2024-25'!$A$1:$AE$5259</definedName>
    <definedName name="Z_BCCD868B_9FB9_4F78_8E4F_8E7691FCFF69_.wvu.FilterData" localSheetId="0" hidden="1">'FOI 2024-25'!$A$1:$AE$5259</definedName>
    <definedName name="Z_BD39D130_95E7_4EAD_AE03_C3AF1A6AC1A2_.wvu.FilterData" localSheetId="0" hidden="1">'FOI 2024-25'!$A$1:$AE$5259</definedName>
    <definedName name="Z_BDDC4ACD_31A0_41BF_A66A_FAE842C4CB00_.wvu.FilterData" localSheetId="0" hidden="1">'FOI 2024-25'!$A$1:$AE$5259</definedName>
    <definedName name="Z_BE8E4C1D_9CB6_4499_A3DE_16BAA72927BE_.wvu.FilterData" localSheetId="0" hidden="1">'FOI 2024-25'!$A$1:$AE$5259</definedName>
    <definedName name="Z_C0E4056E_8994_46C6_B18D_F876DD5D3478_.wvu.FilterData" localSheetId="0" hidden="1">'FOI 2024-25'!$A$1:$AE$5259</definedName>
    <definedName name="Z_C97E2D6D_D229_4662_BA20_EEDB6E84225A_.wvu.FilterData" localSheetId="0" hidden="1">'FOI 2024-25'!$A$1:$AE$5259</definedName>
    <definedName name="Z_CAE80AE8_DA91_48CB_829B_8C4CD1193C02_.wvu.FilterData" localSheetId="0" hidden="1">'FOI 2024-25'!$A$1:$AE$5259</definedName>
    <definedName name="Z_CB8FA477_5540_478E_9792_669429684C02_.wvu.FilterData" localSheetId="0" hidden="1">'FOI 2024-25'!$A$1:$AE$5259</definedName>
    <definedName name="Z_CF72E3A6_6C1B_41AF_9B61_0D366108755F_.wvu.FilterData" localSheetId="0" hidden="1">'FOI 2024-25'!$A$1:$AE$5259</definedName>
    <definedName name="Z_CF837D75_E11D_4A49_BB0F_756C0EF5BD1D_.wvu.FilterData" localSheetId="1" hidden="1">'EIR 2024-25'!$A$1:$AF$63</definedName>
    <definedName name="Z_CF837D75_E11D_4A49_BB0F_756C0EF5BD1D_.wvu.FilterData" localSheetId="0" hidden="1">'FOI 2024-25'!$A$1:$AE$5259</definedName>
    <definedName name="Z_D38E9DE2_79AB_4CAF_AC90_64D8DF650D38_.wvu.FilterData" localSheetId="0" hidden="1">'FOI 2024-25'!$A$1:$AE$5259</definedName>
    <definedName name="Z_D3D17023_817E_489A_A031_287FA6E02B2E_.wvu.FilterData" localSheetId="0" hidden="1">'FOI 2024-25'!$A$1:$AE$5259</definedName>
    <definedName name="Z_D52B615B_EC6B_487A_B6FC_7B6D51F88EB9_.wvu.FilterData" localSheetId="0" hidden="1">'FOI 2024-25'!$A$1:$AE$5259</definedName>
    <definedName name="Z_D5DDAEFF_9B8F_41EF_A53C_3AF9AE7BAC51_.wvu.FilterData" localSheetId="0" hidden="1">'FOI 2024-25'!$A$1:$AE$5259</definedName>
    <definedName name="Z_D73FC4F5_144C_4C1F_80FA_D59D23E1E7ED_.wvu.FilterData" localSheetId="0" hidden="1">'FOI 2024-25'!$A$1:$AE$5259</definedName>
    <definedName name="Z_D8FC8303_7225_47DE_A65C_71A6644451F9_.wvu.FilterData" localSheetId="0" hidden="1">'FOI 2024-25'!$A$1:$AE$5259</definedName>
    <definedName name="Z_DAB67CF3_5A54_41B8_8209_47EDBA1E25EC_.wvu.FilterData" localSheetId="0" hidden="1">'FOI 2024-25'!$A$1:$AE$5259</definedName>
    <definedName name="Z_DD494D8F_F7DB_4C13_BD60_371CDBC3FE98_.wvu.FilterData" localSheetId="0" hidden="1">'FOI 2024-25'!$A$1:$AE$5259</definedName>
    <definedName name="Z_DE822F6C_FECA_4712_9666_8F2B1010CEB7_.wvu.FilterData" localSheetId="0" hidden="1">'FOI 2024-25'!$A$1:$AE$5259</definedName>
    <definedName name="Z_E25617DC_9AB1_466C_83F9_328424AC54C3_.wvu.FilterData" localSheetId="0" hidden="1">'FOI 2024-25'!$A$1:$AE$5259</definedName>
    <definedName name="Z_E9590ABA_F556_4E24_8EEE_876676847594_.wvu.FilterData" localSheetId="0" hidden="1">'FOI 2024-25'!$A$1:$AE$5259</definedName>
    <definedName name="Z_EE13D3FC_9C1D_42DB_9D1D_0A818DDD4E1C_.wvu.FilterData" localSheetId="0" hidden="1">'FOI 2024-25'!$A$1:$AE$5259</definedName>
    <definedName name="Z_F0A247BB_40B2_421C_B718_7E39A4A830CF_.wvu.FilterData" localSheetId="0" hidden="1">'FOI 2024-25'!$A$1:$AE$5259</definedName>
    <definedName name="Z_F6385429_1E25_4CC6_AA9D_7AB54F4DF994_.wvu.FilterData" localSheetId="0" hidden="1">'FOI 2024-25'!$A$1:$AE$5259</definedName>
    <definedName name="Z_F9982AD0_928B_443E_A38C_0AE6494CD740_.wvu.FilterData" localSheetId="0" hidden="1">'FOI 2024-25'!$A$1:$AE$5259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6" i="3" l="1"/>
  <c r="H246" i="3"/>
  <c r="K246" i="3" s="1"/>
  <c r="G246" i="3"/>
  <c r="F246" i="3"/>
  <c r="H1018" i="2"/>
  <c r="G1018" i="2"/>
  <c r="F1018" i="2"/>
  <c r="F2" i="3"/>
  <c r="O245" i="3"/>
  <c r="J245" i="3"/>
  <c r="H245" i="3"/>
  <c r="K245" i="3" s="1"/>
  <c r="G245" i="3"/>
  <c r="F245" i="3"/>
  <c r="P245" i="3" l="1"/>
  <c r="O244" i="3"/>
  <c r="J244" i="3"/>
  <c r="H244" i="3"/>
  <c r="K244" i="3" s="1"/>
  <c r="G244" i="3"/>
  <c r="F244" i="3"/>
  <c r="O243" i="3"/>
  <c r="J243" i="3"/>
  <c r="H243" i="3"/>
  <c r="K243" i="3" s="1"/>
  <c r="G243" i="3"/>
  <c r="F243" i="3"/>
  <c r="O242" i="3"/>
  <c r="J242" i="3"/>
  <c r="H242" i="3"/>
  <c r="K242" i="3" s="1"/>
  <c r="G242" i="3"/>
  <c r="F242" i="3"/>
  <c r="O241" i="3"/>
  <c r="J241" i="3"/>
  <c r="H241" i="3"/>
  <c r="K241" i="3" s="1"/>
  <c r="G241" i="3"/>
  <c r="F241" i="3"/>
  <c r="P243" i="3" l="1"/>
  <c r="P242" i="3"/>
  <c r="P241" i="3"/>
  <c r="P244" i="3"/>
  <c r="F1020" i="2"/>
  <c r="G1020" i="2"/>
  <c r="H1020" i="2"/>
  <c r="J1020" i="2" s="1"/>
  <c r="I1020" i="2"/>
  <c r="O1020" i="2"/>
  <c r="P1020" i="2" l="1"/>
  <c r="F1004" i="2" l="1"/>
  <c r="G1004" i="2"/>
  <c r="H1004"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O240" i="3"/>
  <c r="J240" i="3"/>
  <c r="H240" i="3"/>
  <c r="K240" i="3" s="1"/>
  <c r="G240" i="3"/>
  <c r="F240" i="3"/>
  <c r="O239" i="3"/>
  <c r="J239" i="3"/>
  <c r="H239" i="3"/>
  <c r="K239" i="3" s="1"/>
  <c r="G239" i="3"/>
  <c r="F239" i="3"/>
  <c r="O238" i="3"/>
  <c r="J238" i="3"/>
  <c r="H238" i="3"/>
  <c r="K238" i="3" s="1"/>
  <c r="G238" i="3"/>
  <c r="F238" i="3"/>
  <c r="O237" i="3"/>
  <c r="J237" i="3"/>
  <c r="H237" i="3"/>
  <c r="K237" i="3" s="1"/>
  <c r="G237" i="3"/>
  <c r="F237" i="3"/>
  <c r="O236" i="3"/>
  <c r="J236" i="3"/>
  <c r="H236" i="3"/>
  <c r="K236" i="3" s="1"/>
  <c r="G236" i="3"/>
  <c r="F236" i="3"/>
  <c r="O235" i="3"/>
  <c r="J235" i="3"/>
  <c r="H235" i="3"/>
  <c r="K235" i="3" s="1"/>
  <c r="G235" i="3"/>
  <c r="F235" i="3"/>
  <c r="O234" i="3"/>
  <c r="J234" i="3"/>
  <c r="H234" i="3"/>
  <c r="K234" i="3" s="1"/>
  <c r="G234" i="3"/>
  <c r="F234" i="3"/>
  <c r="F980" i="2"/>
  <c r="G980" i="2"/>
  <c r="J962" i="2"/>
  <c r="O919" i="2"/>
  <c r="H951" i="2"/>
  <c r="H952" i="2"/>
  <c r="H953" i="2"/>
  <c r="H199" i="3"/>
  <c r="H200" i="3"/>
  <c r="P239" i="3" l="1"/>
  <c r="P235" i="3"/>
  <c r="P237" i="3"/>
  <c r="P240" i="3"/>
  <c r="P236" i="3"/>
  <c r="P238" i="3"/>
  <c r="P234" i="3"/>
  <c r="O233" i="3"/>
  <c r="J233" i="3"/>
  <c r="H233" i="3"/>
  <c r="K233" i="3" s="1"/>
  <c r="G233" i="3"/>
  <c r="F233" i="3"/>
  <c r="O232" i="3"/>
  <c r="J232" i="3"/>
  <c r="H232" i="3"/>
  <c r="K232" i="3" s="1"/>
  <c r="G232" i="3"/>
  <c r="F232" i="3"/>
  <c r="O231" i="3"/>
  <c r="J231" i="3"/>
  <c r="H231" i="3"/>
  <c r="K231" i="3" s="1"/>
  <c r="G231" i="3"/>
  <c r="F231" i="3"/>
  <c r="O230" i="3"/>
  <c r="J230" i="3"/>
  <c r="H230" i="3"/>
  <c r="K230" i="3" s="1"/>
  <c r="G230" i="3"/>
  <c r="F230" i="3"/>
  <c r="O229" i="3"/>
  <c r="J229" i="3"/>
  <c r="H229" i="3"/>
  <c r="K229" i="3" s="1"/>
  <c r="G229" i="3"/>
  <c r="F229" i="3"/>
  <c r="O228" i="3"/>
  <c r="J228" i="3"/>
  <c r="H228" i="3"/>
  <c r="K228" i="3" s="1"/>
  <c r="G228" i="3"/>
  <c r="F228" i="3"/>
  <c r="P232" i="3" l="1"/>
  <c r="P228" i="3"/>
  <c r="P233" i="3"/>
  <c r="P229" i="3"/>
  <c r="P231" i="3"/>
  <c r="P230" i="3"/>
  <c r="O227" i="3"/>
  <c r="J227" i="3"/>
  <c r="H227" i="3"/>
  <c r="K227" i="3" s="1"/>
  <c r="G227" i="3"/>
  <c r="F227" i="3"/>
  <c r="O226" i="3"/>
  <c r="J226" i="3"/>
  <c r="H226" i="3"/>
  <c r="K226" i="3" s="1"/>
  <c r="G226" i="3"/>
  <c r="F226" i="3"/>
  <c r="O225" i="3"/>
  <c r="J225" i="3"/>
  <c r="H225" i="3"/>
  <c r="K225" i="3" s="1"/>
  <c r="G225" i="3"/>
  <c r="F225" i="3"/>
  <c r="O224" i="3"/>
  <c r="J224" i="3"/>
  <c r="H224" i="3"/>
  <c r="G224" i="3"/>
  <c r="F224" i="3"/>
  <c r="O223" i="3"/>
  <c r="J223" i="3"/>
  <c r="H223" i="3"/>
  <c r="K223" i="3" s="1"/>
  <c r="G223" i="3"/>
  <c r="F223" i="3"/>
  <c r="O222" i="3"/>
  <c r="J222" i="3"/>
  <c r="H222" i="3"/>
  <c r="K222" i="3" s="1"/>
  <c r="G222" i="3"/>
  <c r="F222" i="3"/>
  <c r="O221" i="3"/>
  <c r="J221" i="3"/>
  <c r="H221" i="3"/>
  <c r="K221" i="3" s="1"/>
  <c r="G221" i="3"/>
  <c r="F221" i="3"/>
  <c r="O220" i="3"/>
  <c r="J220" i="3"/>
  <c r="H220" i="3"/>
  <c r="K220" i="3" s="1"/>
  <c r="G220" i="3"/>
  <c r="F220" i="3"/>
  <c r="O219" i="3"/>
  <c r="J219" i="3"/>
  <c r="H219" i="3"/>
  <c r="K219" i="3" s="1"/>
  <c r="G219" i="3"/>
  <c r="F219" i="3"/>
  <c r="O218" i="3"/>
  <c r="J218" i="3"/>
  <c r="H218" i="3"/>
  <c r="K218" i="3" s="1"/>
  <c r="G218" i="3"/>
  <c r="F218" i="3"/>
  <c r="O217" i="3"/>
  <c r="J217" i="3"/>
  <c r="H217" i="3"/>
  <c r="K217" i="3" s="1"/>
  <c r="G217" i="3"/>
  <c r="F217" i="3"/>
  <c r="O216" i="3"/>
  <c r="J216" i="3"/>
  <c r="H216" i="3"/>
  <c r="K216" i="3" s="1"/>
  <c r="G216" i="3"/>
  <c r="F216" i="3"/>
  <c r="O215" i="3"/>
  <c r="J215" i="3"/>
  <c r="H215" i="3"/>
  <c r="K215" i="3" s="1"/>
  <c r="G215" i="3"/>
  <c r="F215" i="3"/>
  <c r="O214" i="3"/>
  <c r="J214" i="3"/>
  <c r="H214" i="3"/>
  <c r="K214" i="3" s="1"/>
  <c r="G214" i="3"/>
  <c r="F214" i="3"/>
  <c r="O213" i="3"/>
  <c r="J213" i="3"/>
  <c r="H213" i="3"/>
  <c r="K213" i="3" s="1"/>
  <c r="G213" i="3"/>
  <c r="F213" i="3"/>
  <c r="O212" i="3"/>
  <c r="J212" i="3"/>
  <c r="H212" i="3"/>
  <c r="K212" i="3" s="1"/>
  <c r="G212" i="3"/>
  <c r="F212" i="3"/>
  <c r="O211" i="3"/>
  <c r="J211" i="3"/>
  <c r="H211" i="3"/>
  <c r="K211" i="3" s="1"/>
  <c r="G211" i="3"/>
  <c r="F211" i="3"/>
  <c r="O210" i="3"/>
  <c r="J210" i="3"/>
  <c r="H210" i="3"/>
  <c r="K210" i="3" s="1"/>
  <c r="G210" i="3"/>
  <c r="F210" i="3"/>
  <c r="O1045" i="2"/>
  <c r="O1044" i="2"/>
  <c r="O1043" i="2"/>
  <c r="O1042" i="2"/>
  <c r="O1041" i="2"/>
  <c r="O1040" i="2"/>
  <c r="O1039" i="2"/>
  <c r="O1038" i="2"/>
  <c r="O1037" i="2"/>
  <c r="O1036" i="2"/>
  <c r="O1035" i="2"/>
  <c r="O1034" i="2"/>
  <c r="O1033" i="2"/>
  <c r="O1032" i="2"/>
  <c r="O1031" i="2"/>
  <c r="O1030" i="2"/>
  <c r="O1029" i="2"/>
  <c r="O1028" i="2"/>
  <c r="O1027" i="2"/>
  <c r="O1026" i="2"/>
  <c r="O1025" i="2"/>
  <c r="O1024" i="2"/>
  <c r="O1023" i="2"/>
  <c r="O1022" i="2"/>
  <c r="O1021" i="2"/>
  <c r="O1019" i="2"/>
  <c r="O1018" i="2"/>
  <c r="O1017" i="2"/>
  <c r="O1016" i="2"/>
  <c r="O1015" i="2"/>
  <c r="O1014" i="2"/>
  <c r="O1013" i="2"/>
  <c r="O1012" i="2"/>
  <c r="O1011" i="2"/>
  <c r="O1010" i="2"/>
  <c r="O1009" i="2"/>
  <c r="O1008" i="2"/>
  <c r="O1007" i="2"/>
  <c r="O1006" i="2"/>
  <c r="O1005" i="2"/>
  <c r="O1004" i="2"/>
  <c r="O1003" i="2"/>
  <c r="O1002" i="2"/>
  <c r="O1001" i="2"/>
  <c r="O1000" i="2"/>
  <c r="O999" i="2"/>
  <c r="O998" i="2"/>
  <c r="O997" i="2"/>
  <c r="O996" i="2"/>
  <c r="O995" i="2"/>
  <c r="O994" i="2"/>
  <c r="O993" i="2"/>
  <c r="O992" i="2"/>
  <c r="O991" i="2"/>
  <c r="O990" i="2"/>
  <c r="O989" i="2"/>
  <c r="O988" i="2"/>
  <c r="O987" i="2"/>
  <c r="O986" i="2"/>
  <c r="O985" i="2"/>
  <c r="O984" i="2"/>
  <c r="O983" i="2"/>
  <c r="O982" i="2"/>
  <c r="O981" i="2"/>
  <c r="O980" i="2"/>
  <c r="O979" i="2"/>
  <c r="O978" i="2"/>
  <c r="O977" i="2"/>
  <c r="O976" i="2"/>
  <c r="O975" i="2"/>
  <c r="O974" i="2"/>
  <c r="O973" i="2"/>
  <c r="O972" i="2"/>
  <c r="O971" i="2"/>
  <c r="O970" i="2"/>
  <c r="O969" i="2"/>
  <c r="O968" i="2"/>
  <c r="O967" i="2"/>
  <c r="O966" i="2"/>
  <c r="O965" i="2"/>
  <c r="O964" i="2"/>
  <c r="O963" i="2"/>
  <c r="O962" i="2"/>
  <c r="O961" i="2"/>
  <c r="O960" i="2"/>
  <c r="O959" i="2"/>
  <c r="O958" i="2"/>
  <c r="O957" i="2"/>
  <c r="O956" i="2"/>
  <c r="O955" i="2"/>
  <c r="O954" i="2"/>
  <c r="O953" i="2"/>
  <c r="O952" i="2"/>
  <c r="O951" i="2"/>
  <c r="O950" i="2"/>
  <c r="O949" i="2"/>
  <c r="O948" i="2"/>
  <c r="O947" i="2"/>
  <c r="O946" i="2"/>
  <c r="O945" i="2"/>
  <c r="O944" i="2"/>
  <c r="O943" i="2"/>
  <c r="O942" i="2"/>
  <c r="O941" i="2"/>
  <c r="O940" i="2"/>
  <c r="O939" i="2"/>
  <c r="O938" i="2"/>
  <c r="O937" i="2"/>
  <c r="O936" i="2"/>
  <c r="O935" i="2"/>
  <c r="O934" i="2"/>
  <c r="O933" i="2"/>
  <c r="O932" i="2"/>
  <c r="O931" i="2"/>
  <c r="O930" i="2"/>
  <c r="O929" i="2"/>
  <c r="O928" i="2"/>
  <c r="O927" i="2"/>
  <c r="K224" i="3" l="1"/>
  <c r="P224" i="3"/>
  <c r="P216" i="3"/>
  <c r="P227" i="3"/>
  <c r="P225" i="3"/>
  <c r="P221" i="3"/>
  <c r="P213" i="3"/>
  <c r="P217" i="3"/>
  <c r="P223" i="3"/>
  <c r="P210" i="3"/>
  <c r="P222" i="3"/>
  <c r="P226" i="3"/>
  <c r="P218" i="3"/>
  <c r="P214" i="3"/>
  <c r="P220" i="3"/>
  <c r="P215" i="3"/>
  <c r="P219" i="3"/>
  <c r="P211" i="3"/>
  <c r="P212" i="3"/>
  <c r="O921" i="2"/>
  <c r="O926" i="2"/>
  <c r="O925" i="2"/>
  <c r="O924" i="2"/>
  <c r="O923" i="2"/>
  <c r="O922" i="2"/>
  <c r="O920" i="2"/>
  <c r="O916" i="2"/>
  <c r="O917" i="2"/>
  <c r="O918" i="2"/>
  <c r="L6" i="14" l="1"/>
  <c r="L7" i="14"/>
  <c r="L8" i="14"/>
  <c r="L9" i="14"/>
  <c r="L19" i="14"/>
  <c r="L20" i="14"/>
  <c r="L21" i="14"/>
  <c r="L22" i="14"/>
  <c r="L32" i="14"/>
  <c r="L33" i="14"/>
  <c r="L34" i="14"/>
  <c r="L35" i="14"/>
  <c r="L45" i="14"/>
  <c r="L46" i="14"/>
  <c r="L47" i="14"/>
  <c r="L48" i="14"/>
  <c r="L58" i="14"/>
  <c r="L59" i="14"/>
  <c r="L60" i="14"/>
  <c r="L61" i="14"/>
  <c r="C63" i="14"/>
  <c r="D63" i="14"/>
  <c r="E63" i="14"/>
  <c r="F63" i="14"/>
  <c r="J63" i="14"/>
  <c r="K63" i="14"/>
  <c r="L63" i="14"/>
  <c r="M63" i="14"/>
  <c r="C64" i="14"/>
  <c r="D64" i="14"/>
  <c r="E64" i="14"/>
  <c r="F64" i="14"/>
  <c r="J64" i="14"/>
  <c r="K64" i="14"/>
  <c r="L64" i="14"/>
  <c r="M64" i="14"/>
  <c r="O831" i="2"/>
  <c r="O829" i="2"/>
  <c r="O827" i="2"/>
  <c r="O825" i="2"/>
  <c r="J907" i="2"/>
  <c r="O836" i="2"/>
  <c r="O835" i="2"/>
  <c r="O830" i="2"/>
  <c r="O823" i="2"/>
  <c r="L49" i="14" l="1"/>
  <c r="N63" i="14"/>
  <c r="G63" i="14"/>
  <c r="L23" i="14"/>
  <c r="N64" i="14"/>
  <c r="L10" i="14"/>
  <c r="L62" i="14"/>
  <c r="L65" i="14" s="1"/>
  <c r="L36" i="14"/>
  <c r="G64" i="14"/>
  <c r="O915" i="2"/>
  <c r="O914" i="2"/>
  <c r="O913" i="2"/>
  <c r="O912" i="2"/>
  <c r="O911" i="2"/>
  <c r="O910" i="2"/>
  <c r="O909" i="2"/>
  <c r="O908" i="2"/>
  <c r="O907" i="2"/>
  <c r="O906" i="2"/>
  <c r="O905" i="2"/>
  <c r="O904" i="2"/>
  <c r="O903" i="2"/>
  <c r="O902" i="2"/>
  <c r="O901" i="2"/>
  <c r="O900" i="2"/>
  <c r="O899" i="2"/>
  <c r="O898" i="2"/>
  <c r="P897" i="2"/>
  <c r="O897" i="2"/>
  <c r="O896" i="2"/>
  <c r="O895" i="2"/>
  <c r="O894" i="2"/>
  <c r="O893" i="2"/>
  <c r="O892" i="2"/>
  <c r="O891" i="2"/>
  <c r="O890" i="2"/>
  <c r="O889" i="2"/>
  <c r="O888" i="2"/>
  <c r="O887" i="2"/>
  <c r="O886" i="2"/>
  <c r="O885" i="2"/>
  <c r="O884" i="2"/>
  <c r="O883" i="2"/>
  <c r="O882" i="2"/>
  <c r="O881" i="2"/>
  <c r="O880" i="2"/>
  <c r="O879" i="2"/>
  <c r="O878" i="2"/>
  <c r="O877" i="2"/>
  <c r="O876" i="2"/>
  <c r="O875" i="2"/>
  <c r="O874" i="2"/>
  <c r="O873" i="2"/>
  <c r="O872" i="2"/>
  <c r="O871" i="2"/>
  <c r="O870" i="2"/>
  <c r="O869" i="2"/>
  <c r="O868" i="2"/>
  <c r="O867" i="2"/>
  <c r="O866" i="2"/>
  <c r="O865" i="2"/>
  <c r="O864" i="2"/>
  <c r="O863" i="2"/>
  <c r="O862" i="2"/>
  <c r="O861" i="2"/>
  <c r="O860" i="2"/>
  <c r="O859" i="2"/>
  <c r="O858" i="2"/>
  <c r="O857" i="2"/>
  <c r="O855" i="2"/>
  <c r="O854" i="2"/>
  <c r="O853" i="2"/>
  <c r="O852" i="2"/>
  <c r="O851" i="2"/>
  <c r="O850" i="2"/>
  <c r="O849" i="2"/>
  <c r="O848" i="2"/>
  <c r="O847" i="2"/>
  <c r="O846" i="2"/>
  <c r="O845" i="2"/>
  <c r="O844" i="2"/>
  <c r="O843" i="2"/>
  <c r="O209" i="3"/>
  <c r="J209" i="3"/>
  <c r="H209" i="3"/>
  <c r="K209" i="3" s="1"/>
  <c r="G209" i="3"/>
  <c r="F209" i="3"/>
  <c r="O208" i="3"/>
  <c r="J208" i="3"/>
  <c r="H208" i="3"/>
  <c r="K208" i="3" s="1"/>
  <c r="G208" i="3"/>
  <c r="F208" i="3"/>
  <c r="O207" i="3"/>
  <c r="J207" i="3"/>
  <c r="H207" i="3"/>
  <c r="K207" i="3" s="1"/>
  <c r="G207" i="3"/>
  <c r="F207" i="3"/>
  <c r="O206" i="3"/>
  <c r="J206" i="3"/>
  <c r="H206" i="3"/>
  <c r="K206" i="3" s="1"/>
  <c r="G206" i="3"/>
  <c r="F206" i="3"/>
  <c r="O205" i="3"/>
  <c r="J205" i="3"/>
  <c r="H205" i="3"/>
  <c r="K205" i="3" s="1"/>
  <c r="G205" i="3"/>
  <c r="F205" i="3"/>
  <c r="O204" i="3"/>
  <c r="J204" i="3"/>
  <c r="H204" i="3"/>
  <c r="K204" i="3" s="1"/>
  <c r="G204" i="3"/>
  <c r="F204" i="3"/>
  <c r="O203" i="3"/>
  <c r="J203" i="3"/>
  <c r="H203" i="3"/>
  <c r="K203" i="3" s="1"/>
  <c r="G203" i="3"/>
  <c r="F203" i="3"/>
  <c r="O202" i="3"/>
  <c r="J202" i="3"/>
  <c r="H202" i="3"/>
  <c r="K202" i="3" s="1"/>
  <c r="G202" i="3"/>
  <c r="F202" i="3"/>
  <c r="O201" i="3"/>
  <c r="J201" i="3"/>
  <c r="H201" i="3"/>
  <c r="K201" i="3" s="1"/>
  <c r="G201" i="3"/>
  <c r="F201" i="3"/>
  <c r="P200" i="3"/>
  <c r="O200" i="3"/>
  <c r="J200" i="3"/>
  <c r="K200" i="3"/>
  <c r="G200" i="3"/>
  <c r="F200" i="3"/>
  <c r="O199" i="3"/>
  <c r="J199" i="3"/>
  <c r="K199" i="3"/>
  <c r="G199" i="3"/>
  <c r="F199" i="3"/>
  <c r="O198" i="3"/>
  <c r="J198" i="3"/>
  <c r="H198" i="3"/>
  <c r="K198" i="3" s="1"/>
  <c r="G198" i="3"/>
  <c r="F198" i="3"/>
  <c r="O197" i="3"/>
  <c r="J197" i="3"/>
  <c r="H197" i="3"/>
  <c r="K197" i="3" s="1"/>
  <c r="G197" i="3"/>
  <c r="F197" i="3"/>
  <c r="O196" i="3"/>
  <c r="J196" i="3"/>
  <c r="H196" i="3"/>
  <c r="K196" i="3" s="1"/>
  <c r="G196" i="3"/>
  <c r="F196" i="3"/>
  <c r="O195" i="3"/>
  <c r="J195" i="3"/>
  <c r="H195" i="3"/>
  <c r="K195" i="3" s="1"/>
  <c r="G195" i="3"/>
  <c r="F195" i="3"/>
  <c r="O194" i="3"/>
  <c r="J194" i="3"/>
  <c r="H194" i="3"/>
  <c r="K194" i="3" s="1"/>
  <c r="G194" i="3"/>
  <c r="F194" i="3"/>
  <c r="O193" i="3"/>
  <c r="J193" i="3"/>
  <c r="H193" i="3"/>
  <c r="K193" i="3" s="1"/>
  <c r="G193" i="3"/>
  <c r="F193" i="3"/>
  <c r="O192" i="3"/>
  <c r="J192" i="3"/>
  <c r="H192" i="3"/>
  <c r="K192" i="3" s="1"/>
  <c r="G192" i="3"/>
  <c r="F192" i="3"/>
  <c r="P206" i="3" l="1"/>
  <c r="P204" i="3"/>
  <c r="P203" i="3"/>
  <c r="P207" i="3"/>
  <c r="P209" i="3"/>
  <c r="P193" i="3"/>
  <c r="P205" i="3"/>
  <c r="P196" i="3"/>
  <c r="P197" i="3"/>
  <c r="P202" i="3"/>
  <c r="P208" i="3"/>
  <c r="P201" i="3"/>
  <c r="P198" i="3"/>
  <c r="M58" i="14"/>
  <c r="M61" i="14"/>
  <c r="M59" i="14"/>
  <c r="M60" i="14"/>
  <c r="P192" i="3"/>
  <c r="P195" i="3"/>
  <c r="P199" i="3"/>
  <c r="P194" i="3"/>
  <c r="H855" i="2"/>
  <c r="P855" i="2" s="1"/>
  <c r="H856" i="2"/>
  <c r="H857" i="2"/>
  <c r="P857" i="2" s="1"/>
  <c r="H858" i="2"/>
  <c r="P858" i="2" s="1"/>
  <c r="H859" i="2"/>
  <c r="P859" i="2" s="1"/>
  <c r="O856" i="2"/>
  <c r="O841" i="2"/>
  <c r="O838" i="2"/>
  <c r="O837" i="2"/>
  <c r="M62" i="14" l="1"/>
  <c r="M65" i="14" s="1"/>
  <c r="O839" i="2"/>
  <c r="O840" i="2"/>
  <c r="O842" i="2"/>
  <c r="O834" i="2"/>
  <c r="O833" i="2"/>
  <c r="M67" i="14" l="1"/>
  <c r="O828" i="2"/>
  <c r="O824" i="2"/>
  <c r="O832" i="2"/>
  <c r="O826" i="2"/>
  <c r="O191" i="3" l="1"/>
  <c r="J191" i="3"/>
  <c r="H191" i="3"/>
  <c r="K191" i="3" s="1"/>
  <c r="G191" i="3"/>
  <c r="F191" i="3"/>
  <c r="O190" i="3"/>
  <c r="J190" i="3"/>
  <c r="H190" i="3"/>
  <c r="K190" i="3" s="1"/>
  <c r="G190" i="3"/>
  <c r="F190" i="3"/>
  <c r="O189" i="3"/>
  <c r="J189" i="3"/>
  <c r="H189" i="3"/>
  <c r="K189" i="3" s="1"/>
  <c r="G189" i="3"/>
  <c r="F189" i="3"/>
  <c r="O188" i="3"/>
  <c r="J188" i="3"/>
  <c r="H188" i="3"/>
  <c r="K188" i="3" s="1"/>
  <c r="G188" i="3"/>
  <c r="F188" i="3"/>
  <c r="O187" i="3"/>
  <c r="J187" i="3"/>
  <c r="H187" i="3"/>
  <c r="K187" i="3" s="1"/>
  <c r="G187" i="3"/>
  <c r="F187" i="3"/>
  <c r="O186" i="3"/>
  <c r="J186" i="3"/>
  <c r="H186" i="3"/>
  <c r="K186" i="3" s="1"/>
  <c r="G186" i="3"/>
  <c r="F186" i="3"/>
  <c r="O185" i="3"/>
  <c r="J185" i="3"/>
  <c r="H185" i="3"/>
  <c r="K185" i="3" s="1"/>
  <c r="G185" i="3"/>
  <c r="F185" i="3"/>
  <c r="O184" i="3"/>
  <c r="J184" i="3"/>
  <c r="H184" i="3"/>
  <c r="K184" i="3" s="1"/>
  <c r="G184" i="3"/>
  <c r="F184" i="3"/>
  <c r="O183" i="3"/>
  <c r="J183" i="3"/>
  <c r="H183" i="3"/>
  <c r="K183" i="3" s="1"/>
  <c r="G183" i="3"/>
  <c r="F183" i="3"/>
  <c r="O182" i="3"/>
  <c r="J182" i="3"/>
  <c r="H182" i="3"/>
  <c r="K182" i="3" s="1"/>
  <c r="G182" i="3"/>
  <c r="F182" i="3"/>
  <c r="O181" i="3"/>
  <c r="J181" i="3"/>
  <c r="H181" i="3"/>
  <c r="K181" i="3" s="1"/>
  <c r="G181" i="3"/>
  <c r="F181" i="3"/>
  <c r="O180" i="3"/>
  <c r="J180" i="3"/>
  <c r="H180" i="3"/>
  <c r="K180" i="3" s="1"/>
  <c r="G180" i="3"/>
  <c r="F180" i="3"/>
  <c r="O179" i="3"/>
  <c r="K179" i="3"/>
  <c r="J179" i="3"/>
  <c r="H179" i="3"/>
  <c r="P179" i="3" s="1"/>
  <c r="G179" i="3"/>
  <c r="F179" i="3"/>
  <c r="O178" i="3"/>
  <c r="J178" i="3"/>
  <c r="H178" i="3"/>
  <c r="K178" i="3" s="1"/>
  <c r="G178" i="3"/>
  <c r="F178" i="3"/>
  <c r="O177" i="3"/>
  <c r="J177" i="3"/>
  <c r="H177" i="3"/>
  <c r="K177" i="3" s="1"/>
  <c r="G177" i="3"/>
  <c r="F177" i="3"/>
  <c r="O176" i="3"/>
  <c r="J176" i="3"/>
  <c r="H176" i="3"/>
  <c r="K176" i="3" s="1"/>
  <c r="G176" i="3"/>
  <c r="F176" i="3"/>
  <c r="P175" i="3"/>
  <c r="O175" i="3"/>
  <c r="J175" i="3"/>
  <c r="H175" i="3"/>
  <c r="K175" i="3" s="1"/>
  <c r="G175" i="3"/>
  <c r="F175" i="3"/>
  <c r="O174" i="3"/>
  <c r="J174" i="3"/>
  <c r="H174" i="3"/>
  <c r="K174" i="3" s="1"/>
  <c r="G174" i="3"/>
  <c r="F174" i="3"/>
  <c r="O173" i="3"/>
  <c r="J173" i="3"/>
  <c r="H173" i="3"/>
  <c r="K173" i="3" s="1"/>
  <c r="G173" i="3"/>
  <c r="F173" i="3"/>
  <c r="O172" i="3"/>
  <c r="J172" i="3"/>
  <c r="H172" i="3"/>
  <c r="K172" i="3" s="1"/>
  <c r="G172" i="3"/>
  <c r="F172" i="3"/>
  <c r="O171" i="3"/>
  <c r="J171" i="3"/>
  <c r="H171" i="3"/>
  <c r="K171" i="3" s="1"/>
  <c r="G171" i="3"/>
  <c r="F171" i="3"/>
  <c r="P187" i="3" l="1"/>
  <c r="P189" i="3"/>
  <c r="P185" i="3"/>
  <c r="P183" i="3"/>
  <c r="P173" i="3"/>
  <c r="P188" i="3"/>
  <c r="P190" i="3"/>
  <c r="P191" i="3"/>
  <c r="P184" i="3"/>
  <c r="P174" i="3"/>
  <c r="P186" i="3"/>
  <c r="P171" i="3"/>
  <c r="P181" i="3"/>
  <c r="P177" i="3"/>
  <c r="P180" i="3"/>
  <c r="P172" i="3"/>
  <c r="P182" i="3"/>
  <c r="P178" i="3"/>
  <c r="P176" i="3"/>
  <c r="O154" i="3"/>
  <c r="F153" i="3"/>
  <c r="G153" i="3"/>
  <c r="H153" i="3"/>
  <c r="K153" i="3" s="1"/>
  <c r="J153" i="3"/>
  <c r="O153" i="3"/>
  <c r="O790" i="2"/>
  <c r="O170" i="3"/>
  <c r="J170" i="3"/>
  <c r="H170" i="3"/>
  <c r="K170" i="3" s="1"/>
  <c r="G170" i="3"/>
  <c r="F170" i="3"/>
  <c r="O169" i="3"/>
  <c r="J169" i="3"/>
  <c r="H169" i="3"/>
  <c r="K169" i="3" s="1"/>
  <c r="G169" i="3"/>
  <c r="F169" i="3"/>
  <c r="O168" i="3"/>
  <c r="J168" i="3"/>
  <c r="H168" i="3"/>
  <c r="K168" i="3" s="1"/>
  <c r="G168" i="3"/>
  <c r="F168" i="3"/>
  <c r="O167" i="3"/>
  <c r="J167" i="3"/>
  <c r="H167" i="3"/>
  <c r="K167" i="3" s="1"/>
  <c r="G167" i="3"/>
  <c r="F167" i="3"/>
  <c r="O166" i="3"/>
  <c r="J166" i="3"/>
  <c r="H166" i="3"/>
  <c r="K166" i="3" s="1"/>
  <c r="G166" i="3"/>
  <c r="F166" i="3"/>
  <c r="O165" i="3"/>
  <c r="J165" i="3"/>
  <c r="H165" i="3"/>
  <c r="K165" i="3" s="1"/>
  <c r="G165" i="3"/>
  <c r="F165" i="3"/>
  <c r="P164" i="3"/>
  <c r="O164" i="3"/>
  <c r="K164" i="3"/>
  <c r="O163" i="3"/>
  <c r="J163" i="3"/>
  <c r="H163" i="3"/>
  <c r="K163" i="3" s="1"/>
  <c r="G163" i="3"/>
  <c r="F163" i="3"/>
  <c r="P170" i="3" l="1"/>
  <c r="P166" i="3"/>
  <c r="P163" i="3"/>
  <c r="P169" i="3"/>
  <c r="P168" i="3"/>
  <c r="P165" i="3"/>
  <c r="P167" i="3"/>
  <c r="F754" i="2"/>
  <c r="G754" i="2"/>
  <c r="H754" i="2"/>
  <c r="J754" i="2" s="1"/>
  <c r="I754" i="2"/>
  <c r="H750" i="2"/>
  <c r="F742" i="2"/>
  <c r="G742" i="2"/>
  <c r="H742" i="2"/>
  <c r="J742" i="2" s="1"/>
  <c r="I742" i="2"/>
  <c r="F138" i="3"/>
  <c r="G138" i="3"/>
  <c r="H138" i="3"/>
  <c r="K138" i="3" s="1"/>
  <c r="J138" i="3"/>
  <c r="H722" i="2" l="1"/>
  <c r="H723" i="2"/>
  <c r="H724" i="2"/>
  <c r="H725" i="2"/>
  <c r="H726" i="2"/>
  <c r="H727" i="2"/>
  <c r="H728" i="2"/>
  <c r="H729" i="2"/>
  <c r="H730" i="2"/>
  <c r="H731" i="2"/>
  <c r="O162" i="3" l="1"/>
  <c r="J162" i="3"/>
  <c r="H162" i="3"/>
  <c r="K162" i="3" s="1"/>
  <c r="G162" i="3"/>
  <c r="F162" i="3"/>
  <c r="O161" i="3"/>
  <c r="J161" i="3"/>
  <c r="H161" i="3"/>
  <c r="K161" i="3" s="1"/>
  <c r="G161" i="3"/>
  <c r="F161" i="3"/>
  <c r="O160" i="3"/>
  <c r="J160" i="3"/>
  <c r="H160" i="3"/>
  <c r="K160" i="3" s="1"/>
  <c r="G160" i="3"/>
  <c r="F160" i="3"/>
  <c r="O159" i="3"/>
  <c r="J159" i="3"/>
  <c r="H159" i="3"/>
  <c r="K159" i="3" s="1"/>
  <c r="G159" i="3"/>
  <c r="F159" i="3"/>
  <c r="O158" i="3"/>
  <c r="J158" i="3"/>
  <c r="H158" i="3"/>
  <c r="K158" i="3" s="1"/>
  <c r="G158" i="3"/>
  <c r="F158" i="3"/>
  <c r="O157" i="3"/>
  <c r="J157" i="3"/>
  <c r="H157" i="3"/>
  <c r="K157" i="3" s="1"/>
  <c r="G157" i="3"/>
  <c r="F157" i="3"/>
  <c r="O156" i="3"/>
  <c r="J156" i="3"/>
  <c r="H156" i="3"/>
  <c r="K156" i="3" s="1"/>
  <c r="G156" i="3"/>
  <c r="F156" i="3"/>
  <c r="O155" i="3"/>
  <c r="J155" i="3"/>
  <c r="H155" i="3"/>
  <c r="K155" i="3" s="1"/>
  <c r="G155" i="3"/>
  <c r="F155" i="3"/>
  <c r="J154" i="3"/>
  <c r="H154" i="3"/>
  <c r="G154" i="3"/>
  <c r="F154" i="3"/>
  <c r="P153" i="3"/>
  <c r="O152" i="3"/>
  <c r="J152" i="3"/>
  <c r="H152" i="3"/>
  <c r="K152" i="3" s="1"/>
  <c r="G152" i="3"/>
  <c r="F152" i="3"/>
  <c r="O151" i="3"/>
  <c r="J151" i="3"/>
  <c r="H151" i="3"/>
  <c r="K151" i="3" s="1"/>
  <c r="G151" i="3"/>
  <c r="F151" i="3"/>
  <c r="O150" i="3"/>
  <c r="J150" i="3"/>
  <c r="H150" i="3"/>
  <c r="K150" i="3" s="1"/>
  <c r="G150" i="3"/>
  <c r="F150" i="3"/>
  <c r="O149" i="3"/>
  <c r="J149" i="3"/>
  <c r="H149" i="3"/>
  <c r="K149" i="3" s="1"/>
  <c r="G149" i="3"/>
  <c r="F149" i="3"/>
  <c r="H127" i="3"/>
  <c r="I450" i="2"/>
  <c r="I668" i="2"/>
  <c r="H668" i="2"/>
  <c r="J668" i="2" s="1"/>
  <c r="G668" i="2"/>
  <c r="F668" i="2"/>
  <c r="I669" i="2"/>
  <c r="H669" i="2"/>
  <c r="J669" i="2" s="1"/>
  <c r="G669" i="2"/>
  <c r="F669" i="2"/>
  <c r="I670" i="2"/>
  <c r="H670" i="2"/>
  <c r="J670" i="2" s="1"/>
  <c r="G670" i="2"/>
  <c r="F670" i="2"/>
  <c r="H120" i="3"/>
  <c r="H121" i="3"/>
  <c r="H122" i="3"/>
  <c r="H123" i="3"/>
  <c r="H124" i="3"/>
  <c r="H125" i="3"/>
  <c r="F119" i="3"/>
  <c r="F120" i="3"/>
  <c r="F121" i="3"/>
  <c r="F122" i="3"/>
  <c r="F123" i="3"/>
  <c r="F124" i="3"/>
  <c r="F125" i="3"/>
  <c r="F622" i="2"/>
  <c r="G622" i="2"/>
  <c r="H622" i="2"/>
  <c r="J622" i="2" s="1"/>
  <c r="I622" i="2"/>
  <c r="G119" i="3"/>
  <c r="H119" i="3"/>
  <c r="P156" i="3" l="1"/>
  <c r="P159" i="3"/>
  <c r="P150" i="3"/>
  <c r="P151" i="3"/>
  <c r="P155" i="3"/>
  <c r="P157" i="3"/>
  <c r="P158" i="3"/>
  <c r="P149" i="3"/>
  <c r="P152" i="3"/>
  <c r="P160" i="3"/>
  <c r="P162" i="3"/>
  <c r="P161" i="3"/>
  <c r="K154" i="3"/>
  <c r="P154" i="3"/>
  <c r="P622" i="2"/>
  <c r="J148" i="3"/>
  <c r="H148" i="3"/>
  <c r="G148" i="3"/>
  <c r="F148" i="3"/>
  <c r="J147" i="3"/>
  <c r="H147" i="3"/>
  <c r="G147" i="3"/>
  <c r="F147" i="3"/>
  <c r="J146" i="3"/>
  <c r="H146" i="3"/>
  <c r="G146" i="3"/>
  <c r="F146" i="3"/>
  <c r="J145" i="3"/>
  <c r="H145" i="3"/>
  <c r="G145" i="3"/>
  <c r="F145" i="3"/>
  <c r="J144" i="3"/>
  <c r="H144" i="3"/>
  <c r="G144" i="3"/>
  <c r="F144" i="3"/>
  <c r="J143" i="3"/>
  <c r="H143" i="3"/>
  <c r="G143" i="3"/>
  <c r="F143" i="3"/>
  <c r="J142" i="3"/>
  <c r="H142" i="3"/>
  <c r="G142" i="3"/>
  <c r="F142" i="3"/>
  <c r="J141" i="3"/>
  <c r="H141" i="3"/>
  <c r="G141" i="3"/>
  <c r="F141" i="3"/>
  <c r="J140" i="3"/>
  <c r="H140" i="3"/>
  <c r="G140" i="3"/>
  <c r="F140" i="3"/>
  <c r="J139" i="3"/>
  <c r="H139" i="3"/>
  <c r="G139" i="3"/>
  <c r="F139" i="3"/>
  <c r="J137" i="3"/>
  <c r="H137" i="3"/>
  <c r="G137" i="3"/>
  <c r="F137" i="3"/>
  <c r="J136" i="3"/>
  <c r="H136" i="3"/>
  <c r="K136" i="3" s="1"/>
  <c r="G136" i="3"/>
  <c r="F136" i="3"/>
  <c r="J135" i="3"/>
  <c r="H135" i="3"/>
  <c r="G135" i="3"/>
  <c r="F135" i="3"/>
  <c r="J134" i="3"/>
  <c r="H134" i="3"/>
  <c r="G134" i="3"/>
  <c r="F134" i="3"/>
  <c r="J133" i="3"/>
  <c r="H133" i="3"/>
  <c r="G133" i="3"/>
  <c r="F133" i="3"/>
  <c r="J132" i="3"/>
  <c r="H132" i="3"/>
  <c r="G132" i="3"/>
  <c r="F132" i="3"/>
  <c r="J131" i="3"/>
  <c r="H131" i="3"/>
  <c r="G131" i="3"/>
  <c r="F131" i="3"/>
  <c r="J130" i="3"/>
  <c r="H130" i="3"/>
  <c r="G130" i="3"/>
  <c r="F130" i="3"/>
  <c r="J129" i="3"/>
  <c r="H129" i="3"/>
  <c r="G129" i="3"/>
  <c r="F129" i="3"/>
  <c r="J128" i="3"/>
  <c r="H128" i="3"/>
  <c r="G128" i="3"/>
  <c r="F128" i="3"/>
  <c r="J127" i="3"/>
  <c r="G127" i="3"/>
  <c r="F127" i="3"/>
  <c r="J126" i="3"/>
  <c r="H126" i="3"/>
  <c r="G126" i="3"/>
  <c r="F126" i="3"/>
  <c r="J125" i="3"/>
  <c r="G125" i="3"/>
  <c r="J124" i="3"/>
  <c r="G124" i="3"/>
  <c r="J123" i="3"/>
  <c r="G123" i="3"/>
  <c r="J122" i="3"/>
  <c r="G122" i="3"/>
  <c r="J121" i="3"/>
  <c r="G121" i="3"/>
  <c r="J120" i="3"/>
  <c r="G120" i="3"/>
  <c r="J119" i="3"/>
  <c r="J118" i="3"/>
  <c r="H118" i="3"/>
  <c r="G118" i="3"/>
  <c r="F118" i="3"/>
  <c r="J117" i="3"/>
  <c r="H117" i="3"/>
  <c r="G117" i="3"/>
  <c r="F117" i="3"/>
  <c r="J116" i="3"/>
  <c r="H116" i="3"/>
  <c r="G116" i="3"/>
  <c r="F116" i="3"/>
  <c r="D10" i="5"/>
  <c r="F9" i="5"/>
  <c r="P148" i="3" l="1"/>
  <c r="O148" i="3"/>
  <c r="K148" i="3"/>
  <c r="P147" i="3"/>
  <c r="O147" i="3"/>
  <c r="K147" i="3"/>
  <c r="P146" i="3"/>
  <c r="O146" i="3"/>
  <c r="K146" i="3"/>
  <c r="P145" i="3"/>
  <c r="O145" i="3"/>
  <c r="K145" i="3"/>
  <c r="P144" i="3"/>
  <c r="O144" i="3"/>
  <c r="K144" i="3"/>
  <c r="P143" i="3"/>
  <c r="O143" i="3"/>
  <c r="K143" i="3"/>
  <c r="P142" i="3"/>
  <c r="O142" i="3"/>
  <c r="K142" i="3"/>
  <c r="P141" i="3"/>
  <c r="O141" i="3"/>
  <c r="K141" i="3"/>
  <c r="P140" i="3"/>
  <c r="O140" i="3"/>
  <c r="K140" i="3"/>
  <c r="P139" i="3"/>
  <c r="O139" i="3"/>
  <c r="K139" i="3"/>
  <c r="P138" i="3"/>
  <c r="O138" i="3"/>
  <c r="P137" i="3"/>
  <c r="O137" i="3"/>
  <c r="K137" i="3"/>
  <c r="P136" i="3"/>
  <c r="O136" i="3"/>
  <c r="P135" i="3"/>
  <c r="O135" i="3"/>
  <c r="K135" i="3"/>
  <c r="P134" i="3"/>
  <c r="O134" i="3"/>
  <c r="K134" i="3"/>
  <c r="P133" i="3"/>
  <c r="O133" i="3"/>
  <c r="K133" i="3"/>
  <c r="P132" i="3"/>
  <c r="O132" i="3"/>
  <c r="K132" i="3"/>
  <c r="P131" i="3"/>
  <c r="O131" i="3"/>
  <c r="K131" i="3"/>
  <c r="P130" i="3"/>
  <c r="O130" i="3"/>
  <c r="K130" i="3"/>
  <c r="P129" i="3"/>
  <c r="O129" i="3"/>
  <c r="K129" i="3"/>
  <c r="P128" i="3"/>
  <c r="O128" i="3"/>
  <c r="K128" i="3"/>
  <c r="P127" i="3"/>
  <c r="O127" i="3"/>
  <c r="K127" i="3"/>
  <c r="P126" i="3"/>
  <c r="O126" i="3"/>
  <c r="K126" i="3"/>
  <c r="P125" i="3"/>
  <c r="O125" i="3"/>
  <c r="K125" i="3"/>
  <c r="P124" i="3"/>
  <c r="O124" i="3"/>
  <c r="K124" i="3"/>
  <c r="P123" i="3"/>
  <c r="O123" i="3"/>
  <c r="K123" i="3"/>
  <c r="P122" i="3"/>
  <c r="O122" i="3"/>
  <c r="K122" i="3"/>
  <c r="P121" i="3"/>
  <c r="O121" i="3"/>
  <c r="K121" i="3"/>
  <c r="P120" i="3"/>
  <c r="O120" i="3"/>
  <c r="K120" i="3"/>
  <c r="P119" i="3"/>
  <c r="O119" i="3"/>
  <c r="K119" i="3"/>
  <c r="P118" i="3"/>
  <c r="O118" i="3"/>
  <c r="K118" i="3"/>
  <c r="P117" i="3"/>
  <c r="O117" i="3"/>
  <c r="K117" i="3"/>
  <c r="P116" i="3"/>
  <c r="O116" i="3"/>
  <c r="K116" i="3"/>
  <c r="O115" i="3"/>
  <c r="H115" i="3"/>
  <c r="K115" i="3" s="1"/>
  <c r="G115" i="3"/>
  <c r="F115" i="3"/>
  <c r="O114" i="3"/>
  <c r="H114" i="3"/>
  <c r="K114" i="3" s="1"/>
  <c r="G114" i="3"/>
  <c r="F114" i="3"/>
  <c r="O113" i="3"/>
  <c r="H113" i="3"/>
  <c r="K113" i="3" s="1"/>
  <c r="G113" i="3"/>
  <c r="F113" i="3"/>
  <c r="O112" i="3"/>
  <c r="H112" i="3"/>
  <c r="K112" i="3" s="1"/>
  <c r="G112" i="3"/>
  <c r="F112" i="3"/>
  <c r="O111" i="3"/>
  <c r="H111" i="3"/>
  <c r="K111" i="3" s="1"/>
  <c r="G111" i="3"/>
  <c r="F111" i="3"/>
  <c r="O110" i="3"/>
  <c r="H110" i="3"/>
  <c r="K110" i="3" s="1"/>
  <c r="G110" i="3"/>
  <c r="F110" i="3"/>
  <c r="O109" i="3"/>
  <c r="H109" i="3"/>
  <c r="K109" i="3" s="1"/>
  <c r="G109" i="3"/>
  <c r="F109" i="3"/>
  <c r="F104" i="3"/>
  <c r="G104" i="3"/>
  <c r="H104" i="3"/>
  <c r="K104" i="3" s="1"/>
  <c r="F103" i="3"/>
  <c r="G103" i="3"/>
  <c r="H103" i="3"/>
  <c r="K103" i="3" s="1"/>
  <c r="H90" i="3"/>
  <c r="H91" i="3"/>
  <c r="H92" i="3"/>
  <c r="H93" i="3"/>
  <c r="H94" i="3"/>
  <c r="H95" i="3"/>
  <c r="H96" i="3"/>
  <c r="H97" i="3"/>
  <c r="H98" i="3"/>
  <c r="H99" i="3"/>
  <c r="H100" i="3"/>
  <c r="G99" i="3"/>
  <c r="F99" i="3"/>
  <c r="G98" i="3"/>
  <c r="F98" i="3"/>
  <c r="F97" i="3"/>
  <c r="G97" i="3"/>
  <c r="J97" i="3"/>
  <c r="F524" i="2"/>
  <c r="G524" i="2"/>
  <c r="H524" i="2"/>
  <c r="J96" i="3"/>
  <c r="O108" i="3"/>
  <c r="H108" i="3"/>
  <c r="K108" i="3" s="1"/>
  <c r="G108" i="3"/>
  <c r="F108" i="3"/>
  <c r="O107" i="3"/>
  <c r="H107" i="3"/>
  <c r="K107" i="3" s="1"/>
  <c r="G107" i="3"/>
  <c r="F107" i="3"/>
  <c r="O106" i="3"/>
  <c r="H106" i="3"/>
  <c r="K106" i="3" s="1"/>
  <c r="G106" i="3"/>
  <c r="F106" i="3"/>
  <c r="O105" i="3"/>
  <c r="H105" i="3"/>
  <c r="K105" i="3" s="1"/>
  <c r="G105" i="3"/>
  <c r="F105" i="3"/>
  <c r="O104" i="3"/>
  <c r="O103" i="3"/>
  <c r="J95" i="3"/>
  <c r="J94" i="3"/>
  <c r="J93" i="3"/>
  <c r="F92" i="3"/>
  <c r="G92" i="3"/>
  <c r="J92" i="3"/>
  <c r="F91" i="3"/>
  <c r="G91" i="3"/>
  <c r="J91" i="3"/>
  <c r="I541" i="2"/>
  <c r="H541" i="2"/>
  <c r="J541" i="2" s="1"/>
  <c r="G541" i="2"/>
  <c r="F541" i="2"/>
  <c r="P108" i="3" l="1"/>
  <c r="P115" i="3"/>
  <c r="P111" i="3"/>
  <c r="P107" i="3"/>
  <c r="P110" i="3"/>
  <c r="P113" i="3"/>
  <c r="P114" i="3"/>
  <c r="P109" i="3"/>
  <c r="P112" i="3"/>
  <c r="P106" i="3"/>
  <c r="P105" i="3"/>
  <c r="P104" i="3"/>
  <c r="P103" i="3"/>
  <c r="J90" i="3"/>
  <c r="H85" i="3"/>
  <c r="H86" i="3"/>
  <c r="H87" i="3"/>
  <c r="H88" i="3"/>
  <c r="H89" i="3"/>
  <c r="J89" i="3" l="1"/>
  <c r="J88" i="3" l="1"/>
  <c r="J87" i="3"/>
  <c r="F86" i="3"/>
  <c r="G86" i="3"/>
  <c r="J86" i="3"/>
  <c r="F85" i="3"/>
  <c r="G85" i="3"/>
  <c r="J85" i="3"/>
  <c r="J84" i="3"/>
  <c r="J83" i="3" l="1"/>
  <c r="F494" i="2"/>
  <c r="G494" i="2"/>
  <c r="H494" i="2"/>
  <c r="J494" i="2" s="1"/>
  <c r="I494" i="2"/>
  <c r="J82" i="3"/>
  <c r="J81" i="3" l="1"/>
  <c r="F80" i="3" l="1"/>
  <c r="G80" i="3"/>
  <c r="H80" i="3"/>
  <c r="J80" i="3"/>
  <c r="O471" i="2"/>
  <c r="F79" i="3"/>
  <c r="G79" i="3"/>
  <c r="H79" i="3"/>
  <c r="J79" i="3"/>
  <c r="F461" i="2"/>
  <c r="G461" i="2"/>
  <c r="H461" i="2"/>
  <c r="I461" i="2"/>
  <c r="J78" i="3"/>
  <c r="J77" i="3" l="1"/>
  <c r="J76" i="3"/>
  <c r="O420" i="2"/>
  <c r="H416" i="2"/>
  <c r="H417" i="2"/>
  <c r="H418" i="2"/>
  <c r="H419" i="2"/>
  <c r="J75" i="3"/>
  <c r="F74" i="3"/>
  <c r="G74" i="3"/>
  <c r="H74" i="3"/>
  <c r="J74" i="3"/>
  <c r="F73" i="3"/>
  <c r="G73" i="3"/>
  <c r="H73" i="3"/>
  <c r="J73" i="3"/>
  <c r="F72" i="3"/>
  <c r="G72" i="3"/>
  <c r="H72" i="3"/>
  <c r="J72" i="3"/>
  <c r="F71" i="3"/>
  <c r="G71" i="3"/>
  <c r="H71" i="3"/>
  <c r="J71" i="3"/>
  <c r="F70" i="3"/>
  <c r="G70" i="3"/>
  <c r="H70" i="3"/>
  <c r="J70" i="3"/>
  <c r="F69" i="3"/>
  <c r="G69" i="3"/>
  <c r="H69" i="3"/>
  <c r="J69" i="3"/>
  <c r="O102" i="3"/>
  <c r="H102" i="3"/>
  <c r="K102" i="3" s="1"/>
  <c r="G102" i="3"/>
  <c r="F102" i="3"/>
  <c r="O101" i="3"/>
  <c r="H101" i="3"/>
  <c r="K101" i="3" s="1"/>
  <c r="G101" i="3"/>
  <c r="F101" i="3"/>
  <c r="P100" i="3"/>
  <c r="O100" i="3"/>
  <c r="K100" i="3"/>
  <c r="G100" i="3"/>
  <c r="F100" i="3"/>
  <c r="P99" i="3"/>
  <c r="O99" i="3"/>
  <c r="K99" i="3"/>
  <c r="P98" i="3"/>
  <c r="O98" i="3"/>
  <c r="K98" i="3"/>
  <c r="P97" i="3"/>
  <c r="O97" i="3"/>
  <c r="K97" i="3"/>
  <c r="P96" i="3"/>
  <c r="O96" i="3"/>
  <c r="K96" i="3"/>
  <c r="G96" i="3"/>
  <c r="F96" i="3"/>
  <c r="P95" i="3"/>
  <c r="O95" i="3"/>
  <c r="K95" i="3"/>
  <c r="G95" i="3"/>
  <c r="F95" i="3"/>
  <c r="P94" i="3"/>
  <c r="O94" i="3"/>
  <c r="K94" i="3"/>
  <c r="G94" i="3"/>
  <c r="F94" i="3"/>
  <c r="P93" i="3"/>
  <c r="O93" i="3"/>
  <c r="K93" i="3"/>
  <c r="G93" i="3"/>
  <c r="F93" i="3"/>
  <c r="P92" i="3"/>
  <c r="O92" i="3"/>
  <c r="K92" i="3"/>
  <c r="P91" i="3"/>
  <c r="O91" i="3"/>
  <c r="K91" i="3"/>
  <c r="O90" i="3"/>
  <c r="K90" i="3"/>
  <c r="G90" i="3"/>
  <c r="F90" i="3"/>
  <c r="P89" i="3"/>
  <c r="O89" i="3"/>
  <c r="K89" i="3"/>
  <c r="G89" i="3"/>
  <c r="F89" i="3"/>
  <c r="P88" i="3"/>
  <c r="O88" i="3"/>
  <c r="K88" i="3"/>
  <c r="G88" i="3"/>
  <c r="F88" i="3"/>
  <c r="P87" i="3"/>
  <c r="O87" i="3"/>
  <c r="K87" i="3"/>
  <c r="G87" i="3"/>
  <c r="F87" i="3"/>
  <c r="P86" i="3"/>
  <c r="O86" i="3"/>
  <c r="K86" i="3"/>
  <c r="P85" i="3"/>
  <c r="O85" i="3"/>
  <c r="K85" i="3"/>
  <c r="O84" i="3"/>
  <c r="H84" i="3"/>
  <c r="K84" i="3" s="1"/>
  <c r="G84" i="3"/>
  <c r="F84" i="3"/>
  <c r="O83" i="3"/>
  <c r="H83" i="3"/>
  <c r="K83" i="3" s="1"/>
  <c r="G83" i="3"/>
  <c r="F83" i="3"/>
  <c r="O82" i="3"/>
  <c r="H82" i="3"/>
  <c r="K82" i="3" s="1"/>
  <c r="G82" i="3"/>
  <c r="F82" i="3"/>
  <c r="O81" i="3"/>
  <c r="H81" i="3"/>
  <c r="K81" i="3" s="1"/>
  <c r="G81" i="3"/>
  <c r="F81" i="3"/>
  <c r="P80" i="3"/>
  <c r="O80" i="3"/>
  <c r="K80" i="3"/>
  <c r="P79" i="3"/>
  <c r="O79" i="3"/>
  <c r="K79" i="3"/>
  <c r="H413" i="2"/>
  <c r="J68" i="3"/>
  <c r="J67" i="3"/>
  <c r="J66" i="3"/>
  <c r="J65" i="3"/>
  <c r="P102" i="3" l="1"/>
  <c r="P81" i="3"/>
  <c r="P101" i="3"/>
  <c r="P84" i="3"/>
  <c r="P90" i="3"/>
  <c r="P82" i="3"/>
  <c r="P83" i="3"/>
  <c r="J401" i="2"/>
  <c r="I350" i="2"/>
  <c r="H350" i="2"/>
  <c r="J350" i="2" s="1"/>
  <c r="G350" i="2"/>
  <c r="F350" i="2"/>
  <c r="F401" i="2" l="1"/>
  <c r="G401" i="2"/>
  <c r="H401" i="2"/>
  <c r="I401" i="2"/>
  <c r="J64" i="3"/>
  <c r="C19" i="10"/>
  <c r="J63" i="3"/>
  <c r="F380" i="2"/>
  <c r="G380" i="2"/>
  <c r="H380" i="2"/>
  <c r="I380" i="2"/>
  <c r="J62" i="3"/>
  <c r="J61" i="3"/>
  <c r="H370" i="2"/>
  <c r="G370" i="2"/>
  <c r="F370" i="2"/>
  <c r="H369" i="2"/>
  <c r="G369" i="2"/>
  <c r="F369" i="2"/>
  <c r="H368" i="2"/>
  <c r="G368" i="2"/>
  <c r="F368" i="2"/>
  <c r="H367" i="2"/>
  <c r="G367" i="2"/>
  <c r="F367" i="2"/>
  <c r="H366" i="2"/>
  <c r="G366" i="2"/>
  <c r="F366" i="2"/>
  <c r="H371" i="2"/>
  <c r="G371" i="2"/>
  <c r="F371" i="2"/>
  <c r="J60" i="3"/>
  <c r="I366" i="2" l="1"/>
  <c r="J59" i="3"/>
  <c r="J58" i="3"/>
  <c r="J57" i="3"/>
  <c r="J56" i="3"/>
  <c r="O78" i="3"/>
  <c r="H78" i="3"/>
  <c r="K78" i="3" s="1"/>
  <c r="G78" i="3"/>
  <c r="F78" i="3"/>
  <c r="O77" i="3"/>
  <c r="H77" i="3"/>
  <c r="K77" i="3" s="1"/>
  <c r="G77" i="3"/>
  <c r="F77" i="3"/>
  <c r="O76" i="3"/>
  <c r="H76" i="3"/>
  <c r="K76" i="3" s="1"/>
  <c r="G76" i="3"/>
  <c r="F76" i="3"/>
  <c r="O75" i="3"/>
  <c r="H75" i="3"/>
  <c r="K75" i="3" s="1"/>
  <c r="G75" i="3"/>
  <c r="F75" i="3"/>
  <c r="P74" i="3"/>
  <c r="O74" i="3"/>
  <c r="P73" i="3"/>
  <c r="O73" i="3"/>
  <c r="P72" i="3"/>
  <c r="O72" i="3"/>
  <c r="P71" i="3"/>
  <c r="O71" i="3"/>
  <c r="P70" i="3"/>
  <c r="O70" i="3"/>
  <c r="P69" i="3"/>
  <c r="O69" i="3"/>
  <c r="O68" i="3"/>
  <c r="O67" i="3"/>
  <c r="O66" i="3"/>
  <c r="O65" i="3"/>
  <c r="O61" i="3"/>
  <c r="J55" i="3"/>
  <c r="J54" i="3"/>
  <c r="J53" i="3"/>
  <c r="J52" i="3"/>
  <c r="J51" i="3"/>
  <c r="F331" i="2"/>
  <c r="G331" i="2"/>
  <c r="H331" i="2"/>
  <c r="P78" i="3" l="1"/>
  <c r="P77" i="3"/>
  <c r="P75" i="3"/>
  <c r="P76" i="3"/>
  <c r="J50" i="3"/>
  <c r="F329" i="2"/>
  <c r="G329" i="2"/>
  <c r="H329" i="2"/>
  <c r="J329" i="2" s="1"/>
  <c r="I329" i="2"/>
  <c r="J49" i="3"/>
  <c r="J48" i="3" l="1"/>
  <c r="J47" i="3"/>
  <c r="J46" i="3"/>
  <c r="J45" i="3"/>
  <c r="J44" i="3"/>
  <c r="G289" i="2"/>
  <c r="J43" i="3"/>
  <c r="O219" i="2"/>
  <c r="O217" i="2"/>
  <c r="J42" i="3"/>
  <c r="J41" i="3"/>
  <c r="J40" i="3"/>
  <c r="F8" i="5"/>
  <c r="J39" i="3"/>
  <c r="J38" i="3"/>
  <c r="J37" i="3" l="1"/>
  <c r="J36" i="3"/>
  <c r="J35" i="3"/>
  <c r="J34" i="3" l="1"/>
  <c r="J33" i="3" l="1"/>
  <c r="K30" i="3"/>
  <c r="K29" i="3"/>
  <c r="K28" i="3"/>
  <c r="K27" i="3"/>
  <c r="J32" i="3"/>
  <c r="J31" i="3"/>
  <c r="J30" i="3"/>
  <c r="J29" i="3"/>
  <c r="F225" i="2"/>
  <c r="G225" i="2"/>
  <c r="I225" i="2"/>
  <c r="J28" i="3"/>
  <c r="O15" i="3"/>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O634" i="2"/>
  <c r="O635" i="2"/>
  <c r="O636" i="2"/>
  <c r="O637" i="2"/>
  <c r="O638" i="2"/>
  <c r="O639" i="2"/>
  <c r="O640" i="2"/>
  <c r="O641" i="2"/>
  <c r="O642" i="2"/>
  <c r="O643" i="2"/>
  <c r="O644" i="2"/>
  <c r="O645" i="2"/>
  <c r="O646" i="2"/>
  <c r="O647" i="2"/>
  <c r="O648" i="2"/>
  <c r="O649" i="2"/>
  <c r="O650" i="2"/>
  <c r="O651" i="2"/>
  <c r="O652" i="2"/>
  <c r="O653" i="2"/>
  <c r="O654" i="2"/>
  <c r="O655" i="2"/>
  <c r="O656" i="2"/>
  <c r="O657"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706" i="2"/>
  <c r="O707" i="2"/>
  <c r="O708" i="2"/>
  <c r="O709" i="2"/>
  <c r="O710" i="2"/>
  <c r="O711" i="2"/>
  <c r="O712" i="2"/>
  <c r="O713" i="2"/>
  <c r="O714" i="2"/>
  <c r="O715" i="2"/>
  <c r="O716" i="2"/>
  <c r="O717" i="2"/>
  <c r="O718" i="2"/>
  <c r="O719" i="2"/>
  <c r="O720" i="2"/>
  <c r="O721" i="2"/>
  <c r="O722" i="2"/>
  <c r="O723" i="2"/>
  <c r="O724" i="2"/>
  <c r="O725" i="2"/>
  <c r="O726" i="2"/>
  <c r="O727" i="2"/>
  <c r="O728" i="2"/>
  <c r="O729" i="2"/>
  <c r="O730" i="2"/>
  <c r="O731" i="2"/>
  <c r="O732" i="2"/>
  <c r="O733"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3" i="2"/>
  <c r="O764" i="2"/>
  <c r="O765" i="2"/>
  <c r="O766" i="2"/>
  <c r="O767" i="2"/>
  <c r="O768" i="2"/>
  <c r="O769" i="2"/>
  <c r="O770" i="2"/>
  <c r="O771" i="2"/>
  <c r="O772" i="2"/>
  <c r="O773" i="2"/>
  <c r="O774" i="2"/>
  <c r="O775" i="2"/>
  <c r="O776" i="2"/>
  <c r="O777" i="2"/>
  <c r="O778" i="2"/>
  <c r="O779" i="2"/>
  <c r="O780" i="2"/>
  <c r="O781" i="2"/>
  <c r="O782" i="2"/>
  <c r="O783" i="2"/>
  <c r="O784" i="2"/>
  <c r="O785" i="2"/>
  <c r="O786" i="2"/>
  <c r="O787" i="2"/>
  <c r="O788" i="2"/>
  <c r="O789" i="2"/>
  <c r="O791" i="2"/>
  <c r="O792" i="2"/>
  <c r="O793" i="2"/>
  <c r="O794" i="2"/>
  <c r="O795" i="2"/>
  <c r="O796" i="2"/>
  <c r="O797" i="2"/>
  <c r="O798" i="2"/>
  <c r="O799" i="2"/>
  <c r="O800" i="2"/>
  <c r="O801" i="2"/>
  <c r="O802" i="2"/>
  <c r="O803" i="2"/>
  <c r="O804" i="2"/>
  <c r="O805" i="2"/>
  <c r="O806" i="2"/>
  <c r="O807" i="2"/>
  <c r="O808" i="2"/>
  <c r="O809" i="2"/>
  <c r="O810" i="2"/>
  <c r="O811" i="2"/>
  <c r="O812" i="2"/>
  <c r="O813" i="2"/>
  <c r="O814" i="2"/>
  <c r="O815" i="2"/>
  <c r="O816" i="2"/>
  <c r="O817" i="2"/>
  <c r="O818" i="2"/>
  <c r="O819" i="2"/>
  <c r="O820" i="2"/>
  <c r="O821" i="2"/>
  <c r="O822"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1" i="2"/>
  <c r="O422" i="2"/>
  <c r="O423" i="2"/>
  <c r="O424" i="2"/>
  <c r="O425" i="2"/>
  <c r="O426" i="2"/>
  <c r="O427" i="2"/>
  <c r="O428" i="2"/>
  <c r="O429" i="2"/>
  <c r="O430" i="2"/>
  <c r="O431" i="2"/>
  <c r="O432" i="2"/>
  <c r="O433" i="2"/>
  <c r="O434" i="2"/>
  <c r="O435" i="2"/>
  <c r="O436" i="2"/>
  <c r="O437" i="2"/>
  <c r="O438" i="2"/>
  <c r="O439" i="2"/>
  <c r="O440" i="2"/>
  <c r="O441" i="2"/>
  <c r="O442" i="2"/>
  <c r="O443" i="2"/>
  <c r="O444"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8" i="2"/>
  <c r="O220" i="2"/>
  <c r="O221" i="2"/>
  <c r="O222" i="2"/>
  <c r="O223" i="2"/>
  <c r="O2" i="2"/>
  <c r="F221" i="2"/>
  <c r="G221" i="2"/>
  <c r="H221" i="2"/>
  <c r="J221" i="2" s="1"/>
  <c r="I221" i="2"/>
  <c r="H2" i="2"/>
  <c r="F3" i="2"/>
  <c r="G3" i="2"/>
  <c r="H3" i="2"/>
  <c r="F4" i="2"/>
  <c r="G4" i="2"/>
  <c r="H4" i="2"/>
  <c r="F5" i="2"/>
  <c r="G5" i="2"/>
  <c r="H5" i="2"/>
  <c r="F6" i="2"/>
  <c r="G6" i="2"/>
  <c r="H6" i="2"/>
  <c r="F7" i="2"/>
  <c r="G7" i="2"/>
  <c r="H7" i="2"/>
  <c r="F8" i="2"/>
  <c r="G8" i="2"/>
  <c r="H8" i="2"/>
  <c r="F9" i="2"/>
  <c r="G9" i="2"/>
  <c r="H9" i="2"/>
  <c r="F10" i="2"/>
  <c r="G10" i="2"/>
  <c r="H10" i="2"/>
  <c r="F11" i="2"/>
  <c r="G11" i="2"/>
  <c r="H11" i="2"/>
  <c r="F12" i="2"/>
  <c r="G12" i="2"/>
  <c r="H12" i="2"/>
  <c r="F13" i="2"/>
  <c r="G13" i="2"/>
  <c r="H13" i="2"/>
  <c r="F14" i="2"/>
  <c r="G14" i="2"/>
  <c r="H14" i="2"/>
  <c r="F15" i="2"/>
  <c r="G15" i="2"/>
  <c r="H15" i="2"/>
  <c r="F16" i="2"/>
  <c r="G16" i="2"/>
  <c r="H16" i="2"/>
  <c r="F17" i="2"/>
  <c r="G17" i="2"/>
  <c r="H17" i="2"/>
  <c r="F18" i="2"/>
  <c r="G18" i="2"/>
  <c r="H18" i="2"/>
  <c r="F19" i="2"/>
  <c r="G19" i="2"/>
  <c r="H19" i="2"/>
  <c r="F20" i="2"/>
  <c r="G20" i="2"/>
  <c r="H20" i="2"/>
  <c r="F21" i="2"/>
  <c r="G21" i="2"/>
  <c r="H21" i="2"/>
  <c r="F22" i="2"/>
  <c r="G22" i="2"/>
  <c r="H22" i="2"/>
  <c r="F23" i="2"/>
  <c r="G23" i="2"/>
  <c r="H23" i="2"/>
  <c r="F24" i="2"/>
  <c r="G24" i="2"/>
  <c r="H24" i="2"/>
  <c r="F25" i="2"/>
  <c r="G25" i="2"/>
  <c r="H25" i="2"/>
  <c r="F26" i="2"/>
  <c r="G26" i="2"/>
  <c r="H26" i="2"/>
  <c r="F27" i="2"/>
  <c r="G27" i="2"/>
  <c r="H27" i="2"/>
  <c r="F28" i="2"/>
  <c r="G28" i="2"/>
  <c r="H28" i="2"/>
  <c r="F29" i="2"/>
  <c r="G29" i="2"/>
  <c r="H29" i="2"/>
  <c r="F30" i="2"/>
  <c r="G30" i="2"/>
  <c r="H30" i="2"/>
  <c r="F31" i="2"/>
  <c r="G31" i="2"/>
  <c r="H31" i="2"/>
  <c r="F32" i="2"/>
  <c r="G32" i="2"/>
  <c r="H32" i="2"/>
  <c r="F33" i="2"/>
  <c r="G33" i="2"/>
  <c r="H33" i="2"/>
  <c r="F34" i="2"/>
  <c r="G34" i="2"/>
  <c r="H34" i="2"/>
  <c r="F35" i="2"/>
  <c r="G35" i="2"/>
  <c r="H35" i="2"/>
  <c r="F36" i="2"/>
  <c r="G36" i="2"/>
  <c r="H36" i="2"/>
  <c r="F37" i="2"/>
  <c r="G37" i="2"/>
  <c r="H37" i="2"/>
  <c r="F38" i="2"/>
  <c r="G38" i="2"/>
  <c r="H38" i="2"/>
  <c r="F39" i="2"/>
  <c r="G39" i="2"/>
  <c r="H39" i="2"/>
  <c r="F40" i="2"/>
  <c r="G40" i="2"/>
  <c r="H40" i="2"/>
  <c r="F41" i="2"/>
  <c r="G41" i="2"/>
  <c r="H41" i="2"/>
  <c r="F42" i="2"/>
  <c r="G42" i="2"/>
  <c r="H42" i="2"/>
  <c r="F43" i="2"/>
  <c r="G43" i="2"/>
  <c r="H43" i="2"/>
  <c r="F44" i="2"/>
  <c r="G44" i="2"/>
  <c r="H44" i="2"/>
  <c r="F45" i="2"/>
  <c r="G45" i="2"/>
  <c r="H45" i="2"/>
  <c r="F46" i="2"/>
  <c r="G46" i="2"/>
  <c r="H46" i="2"/>
  <c r="F47" i="2"/>
  <c r="G47" i="2"/>
  <c r="H47" i="2"/>
  <c r="F48" i="2"/>
  <c r="G48" i="2"/>
  <c r="H48" i="2"/>
  <c r="F49" i="2"/>
  <c r="G49" i="2"/>
  <c r="H49" i="2"/>
  <c r="F50" i="2"/>
  <c r="G50" i="2"/>
  <c r="H50" i="2"/>
  <c r="F51" i="2"/>
  <c r="G51" i="2"/>
  <c r="H51" i="2"/>
  <c r="F52" i="2"/>
  <c r="G52" i="2"/>
  <c r="H52" i="2"/>
  <c r="F53" i="2"/>
  <c r="G53" i="2"/>
  <c r="H53" i="2"/>
  <c r="F54" i="2"/>
  <c r="G54" i="2"/>
  <c r="H54" i="2"/>
  <c r="F55" i="2"/>
  <c r="G55" i="2"/>
  <c r="H55" i="2"/>
  <c r="F56" i="2"/>
  <c r="G56" i="2"/>
  <c r="H56" i="2"/>
  <c r="F57" i="2"/>
  <c r="G57" i="2"/>
  <c r="H57" i="2"/>
  <c r="F58" i="2"/>
  <c r="G58" i="2"/>
  <c r="H58" i="2"/>
  <c r="F59" i="2"/>
  <c r="G59" i="2"/>
  <c r="H59" i="2"/>
  <c r="F60" i="2"/>
  <c r="G60" i="2"/>
  <c r="H60" i="2"/>
  <c r="F61" i="2"/>
  <c r="G61" i="2"/>
  <c r="H61" i="2"/>
  <c r="F62" i="2"/>
  <c r="G62" i="2"/>
  <c r="H62" i="2"/>
  <c r="F63" i="2"/>
  <c r="G63" i="2"/>
  <c r="H63" i="2"/>
  <c r="F64" i="2"/>
  <c r="G64" i="2"/>
  <c r="H64" i="2"/>
  <c r="F65" i="2"/>
  <c r="G65" i="2"/>
  <c r="H65" i="2"/>
  <c r="F66" i="2"/>
  <c r="G66" i="2"/>
  <c r="H66" i="2"/>
  <c r="F67" i="2"/>
  <c r="G67" i="2"/>
  <c r="H67" i="2"/>
  <c r="F68" i="2"/>
  <c r="G68" i="2"/>
  <c r="H68" i="2"/>
  <c r="F69" i="2"/>
  <c r="G69" i="2"/>
  <c r="H69" i="2"/>
  <c r="F70" i="2"/>
  <c r="G70" i="2"/>
  <c r="H70" i="2"/>
  <c r="F71" i="2"/>
  <c r="G71" i="2"/>
  <c r="H71" i="2"/>
  <c r="F72" i="2"/>
  <c r="G72" i="2"/>
  <c r="H72" i="2"/>
  <c r="F73" i="2"/>
  <c r="G73" i="2"/>
  <c r="H73" i="2"/>
  <c r="F74" i="2"/>
  <c r="G74" i="2"/>
  <c r="H74" i="2"/>
  <c r="F75" i="2"/>
  <c r="G75" i="2"/>
  <c r="H75" i="2"/>
  <c r="F76" i="2"/>
  <c r="G76" i="2"/>
  <c r="H76" i="2"/>
  <c r="F77" i="2"/>
  <c r="G77" i="2"/>
  <c r="H77" i="2"/>
  <c r="F78" i="2"/>
  <c r="G78" i="2"/>
  <c r="H78" i="2"/>
  <c r="F79" i="2"/>
  <c r="G79" i="2"/>
  <c r="H79" i="2"/>
  <c r="F80" i="2"/>
  <c r="G80" i="2"/>
  <c r="H80" i="2"/>
  <c r="F81" i="2"/>
  <c r="G81" i="2"/>
  <c r="H81" i="2"/>
  <c r="F82" i="2"/>
  <c r="G82" i="2"/>
  <c r="H82" i="2"/>
  <c r="F83" i="2"/>
  <c r="G83" i="2"/>
  <c r="H83" i="2"/>
  <c r="F84" i="2"/>
  <c r="G84" i="2"/>
  <c r="H84" i="2"/>
  <c r="F85" i="2"/>
  <c r="G85" i="2"/>
  <c r="H85" i="2"/>
  <c r="F86" i="2"/>
  <c r="G86" i="2"/>
  <c r="H86" i="2"/>
  <c r="F87" i="2"/>
  <c r="G87" i="2"/>
  <c r="H87" i="2"/>
  <c r="F88" i="2"/>
  <c r="G88" i="2"/>
  <c r="H88" i="2"/>
  <c r="F89" i="2"/>
  <c r="G89" i="2"/>
  <c r="H89" i="2"/>
  <c r="F90" i="2"/>
  <c r="G90" i="2"/>
  <c r="H90" i="2"/>
  <c r="F91" i="2"/>
  <c r="G91" i="2"/>
  <c r="H91" i="2"/>
  <c r="F92" i="2"/>
  <c r="G92" i="2"/>
  <c r="H92" i="2"/>
  <c r="F93" i="2"/>
  <c r="G93" i="2"/>
  <c r="H93" i="2"/>
  <c r="F94" i="2"/>
  <c r="G94" i="2"/>
  <c r="H94" i="2"/>
  <c r="F95" i="2"/>
  <c r="G95" i="2"/>
  <c r="H95" i="2"/>
  <c r="F96" i="2"/>
  <c r="G96" i="2"/>
  <c r="H96" i="2"/>
  <c r="F97" i="2"/>
  <c r="G97" i="2"/>
  <c r="H97" i="2"/>
  <c r="F98" i="2"/>
  <c r="G98" i="2"/>
  <c r="H98" i="2"/>
  <c r="F99" i="2"/>
  <c r="G99" i="2"/>
  <c r="H99" i="2"/>
  <c r="F100" i="2"/>
  <c r="G100" i="2"/>
  <c r="H100" i="2"/>
  <c r="F101" i="2"/>
  <c r="G101" i="2"/>
  <c r="H101" i="2"/>
  <c r="F102" i="2"/>
  <c r="G102" i="2"/>
  <c r="H102" i="2"/>
  <c r="F103" i="2"/>
  <c r="G103" i="2"/>
  <c r="H103" i="2"/>
  <c r="F104" i="2"/>
  <c r="G104" i="2"/>
  <c r="H104" i="2"/>
  <c r="F105" i="2"/>
  <c r="G105" i="2"/>
  <c r="H105" i="2"/>
  <c r="F106" i="2"/>
  <c r="G106" i="2"/>
  <c r="H106" i="2"/>
  <c r="F107" i="2"/>
  <c r="G107" i="2"/>
  <c r="H107" i="2"/>
  <c r="F108" i="2"/>
  <c r="G108" i="2"/>
  <c r="H108" i="2"/>
  <c r="F109" i="2"/>
  <c r="G109" i="2"/>
  <c r="H109" i="2"/>
  <c r="F110" i="2"/>
  <c r="G110" i="2"/>
  <c r="H110" i="2"/>
  <c r="F111" i="2"/>
  <c r="G111" i="2"/>
  <c r="H111" i="2"/>
  <c r="F112" i="2"/>
  <c r="G112" i="2"/>
  <c r="H112" i="2"/>
  <c r="F113" i="2"/>
  <c r="G113" i="2"/>
  <c r="H113" i="2"/>
  <c r="F114" i="2"/>
  <c r="G114" i="2"/>
  <c r="H114" i="2"/>
  <c r="F115" i="2"/>
  <c r="G115" i="2"/>
  <c r="H115" i="2"/>
  <c r="F116" i="2"/>
  <c r="G116" i="2"/>
  <c r="H116" i="2"/>
  <c r="F117" i="2"/>
  <c r="G117" i="2"/>
  <c r="H117" i="2"/>
  <c r="F118" i="2"/>
  <c r="G118" i="2"/>
  <c r="H118" i="2"/>
  <c r="F119" i="2"/>
  <c r="G119" i="2"/>
  <c r="H119" i="2"/>
  <c r="F120" i="2"/>
  <c r="G120" i="2"/>
  <c r="H120" i="2"/>
  <c r="F121" i="2"/>
  <c r="G121" i="2"/>
  <c r="H121" i="2"/>
  <c r="F122" i="2"/>
  <c r="G122" i="2"/>
  <c r="H122" i="2"/>
  <c r="F123" i="2"/>
  <c r="G123" i="2"/>
  <c r="H123" i="2"/>
  <c r="F124" i="2"/>
  <c r="G124" i="2"/>
  <c r="H124" i="2"/>
  <c r="F125" i="2"/>
  <c r="G125" i="2"/>
  <c r="H125" i="2"/>
  <c r="F126" i="2"/>
  <c r="G126" i="2"/>
  <c r="H126" i="2"/>
  <c r="F127" i="2"/>
  <c r="G127" i="2"/>
  <c r="H127" i="2"/>
  <c r="F128" i="2"/>
  <c r="G128" i="2"/>
  <c r="H128" i="2"/>
  <c r="F129" i="2"/>
  <c r="G129" i="2"/>
  <c r="H129" i="2"/>
  <c r="F130" i="2"/>
  <c r="G130" i="2"/>
  <c r="H130" i="2"/>
  <c r="F131" i="2"/>
  <c r="G131" i="2"/>
  <c r="H131" i="2"/>
  <c r="F132" i="2"/>
  <c r="G132" i="2"/>
  <c r="H132" i="2"/>
  <c r="F133" i="2"/>
  <c r="G133" i="2"/>
  <c r="H133" i="2"/>
  <c r="F134" i="2"/>
  <c r="G134" i="2"/>
  <c r="H134" i="2"/>
  <c r="F135" i="2"/>
  <c r="G135" i="2"/>
  <c r="H135" i="2"/>
  <c r="F136" i="2"/>
  <c r="G136" i="2"/>
  <c r="H136" i="2"/>
  <c r="F137" i="2"/>
  <c r="G137" i="2"/>
  <c r="H137" i="2"/>
  <c r="F138" i="2"/>
  <c r="G138" i="2"/>
  <c r="H138" i="2"/>
  <c r="F139" i="2"/>
  <c r="G139" i="2"/>
  <c r="H139" i="2"/>
  <c r="F140" i="2"/>
  <c r="G140" i="2"/>
  <c r="H140" i="2"/>
  <c r="F141" i="2"/>
  <c r="G141" i="2"/>
  <c r="H141" i="2"/>
  <c r="F142" i="2"/>
  <c r="G142" i="2"/>
  <c r="H142" i="2"/>
  <c r="F143" i="2"/>
  <c r="G143" i="2"/>
  <c r="H143" i="2"/>
  <c r="F144" i="2"/>
  <c r="G144" i="2"/>
  <c r="H144" i="2"/>
  <c r="F145" i="2"/>
  <c r="G145" i="2"/>
  <c r="H145" i="2"/>
  <c r="F146" i="2"/>
  <c r="G146" i="2"/>
  <c r="H146" i="2"/>
  <c r="F147" i="2"/>
  <c r="G147" i="2"/>
  <c r="H147" i="2"/>
  <c r="F148" i="2"/>
  <c r="G148" i="2"/>
  <c r="H148" i="2"/>
  <c r="F149" i="2"/>
  <c r="G149" i="2"/>
  <c r="H149" i="2"/>
  <c r="F150" i="2"/>
  <c r="G150" i="2"/>
  <c r="H150" i="2"/>
  <c r="F151" i="2"/>
  <c r="G151" i="2"/>
  <c r="H151" i="2"/>
  <c r="F152" i="2"/>
  <c r="G152" i="2"/>
  <c r="H152" i="2"/>
  <c r="F153" i="2"/>
  <c r="G153" i="2"/>
  <c r="H153" i="2"/>
  <c r="F154" i="2"/>
  <c r="G154" i="2"/>
  <c r="H154" i="2"/>
  <c r="F155" i="2"/>
  <c r="G155" i="2"/>
  <c r="H155" i="2"/>
  <c r="F156" i="2"/>
  <c r="G156" i="2"/>
  <c r="H156" i="2"/>
  <c r="F157" i="2"/>
  <c r="G157" i="2"/>
  <c r="H157" i="2"/>
  <c r="F158" i="2"/>
  <c r="G158" i="2"/>
  <c r="H158" i="2"/>
  <c r="F159" i="2"/>
  <c r="G159" i="2"/>
  <c r="H159" i="2"/>
  <c r="F160" i="2"/>
  <c r="G160" i="2"/>
  <c r="H160" i="2"/>
  <c r="F161" i="2"/>
  <c r="G161" i="2"/>
  <c r="H161" i="2"/>
  <c r="F162" i="2"/>
  <c r="G162" i="2"/>
  <c r="H162" i="2"/>
  <c r="F163" i="2"/>
  <c r="G163" i="2"/>
  <c r="H163" i="2"/>
  <c r="F164" i="2"/>
  <c r="G164" i="2"/>
  <c r="H164" i="2"/>
  <c r="F165" i="2"/>
  <c r="G165" i="2"/>
  <c r="H165" i="2"/>
  <c r="F166" i="2"/>
  <c r="G166" i="2"/>
  <c r="H166" i="2"/>
  <c r="F167" i="2"/>
  <c r="G167" i="2"/>
  <c r="H167" i="2"/>
  <c r="F168" i="2"/>
  <c r="G168" i="2"/>
  <c r="H168" i="2"/>
  <c r="F169" i="2"/>
  <c r="G169" i="2"/>
  <c r="H169" i="2"/>
  <c r="F170" i="2"/>
  <c r="G170" i="2"/>
  <c r="H170" i="2"/>
  <c r="F171" i="2"/>
  <c r="G171" i="2"/>
  <c r="H171" i="2"/>
  <c r="F172" i="2"/>
  <c r="G172" i="2"/>
  <c r="H172" i="2"/>
  <c r="F173" i="2"/>
  <c r="G173" i="2"/>
  <c r="H173" i="2"/>
  <c r="F174" i="2"/>
  <c r="G174" i="2"/>
  <c r="H174" i="2"/>
  <c r="F175" i="2"/>
  <c r="G175" i="2"/>
  <c r="H175" i="2"/>
  <c r="F176" i="2"/>
  <c r="G176" i="2"/>
  <c r="H176" i="2"/>
  <c r="F177" i="2"/>
  <c r="G177" i="2"/>
  <c r="H177" i="2"/>
  <c r="F178" i="2"/>
  <c r="G178" i="2"/>
  <c r="H178" i="2"/>
  <c r="F179" i="2"/>
  <c r="G179" i="2"/>
  <c r="H179" i="2"/>
  <c r="F180" i="2"/>
  <c r="G180" i="2"/>
  <c r="H180" i="2"/>
  <c r="F181" i="2"/>
  <c r="G181" i="2"/>
  <c r="H181" i="2"/>
  <c r="F182" i="2"/>
  <c r="G182" i="2"/>
  <c r="H182" i="2"/>
  <c r="F183" i="2"/>
  <c r="G183" i="2"/>
  <c r="H183" i="2"/>
  <c r="F184" i="2"/>
  <c r="G184" i="2"/>
  <c r="H184" i="2"/>
  <c r="F185" i="2"/>
  <c r="G185" i="2"/>
  <c r="H185" i="2"/>
  <c r="F186" i="2"/>
  <c r="G186" i="2"/>
  <c r="H186" i="2"/>
  <c r="F187" i="2"/>
  <c r="G187" i="2"/>
  <c r="H187" i="2"/>
  <c r="F188" i="2"/>
  <c r="G188" i="2"/>
  <c r="H188" i="2"/>
  <c r="F189" i="2"/>
  <c r="G189" i="2"/>
  <c r="H189" i="2"/>
  <c r="F190" i="2"/>
  <c r="G190" i="2"/>
  <c r="H190" i="2"/>
  <c r="F191" i="2"/>
  <c r="G191" i="2"/>
  <c r="H191" i="2"/>
  <c r="F192" i="2"/>
  <c r="G192" i="2"/>
  <c r="H192" i="2"/>
  <c r="F193" i="2"/>
  <c r="G193" i="2"/>
  <c r="H193" i="2"/>
  <c r="F194" i="2"/>
  <c r="G194" i="2"/>
  <c r="H194" i="2"/>
  <c r="F195" i="2"/>
  <c r="G195" i="2"/>
  <c r="H195" i="2"/>
  <c r="F196" i="2"/>
  <c r="G196" i="2"/>
  <c r="H196" i="2"/>
  <c r="F197" i="2"/>
  <c r="G197" i="2"/>
  <c r="H197" i="2"/>
  <c r="F198" i="2"/>
  <c r="G198" i="2"/>
  <c r="H198" i="2"/>
  <c r="F199" i="2"/>
  <c r="G199" i="2"/>
  <c r="H199" i="2"/>
  <c r="F200" i="2"/>
  <c r="G200" i="2"/>
  <c r="H200" i="2"/>
  <c r="F201" i="2"/>
  <c r="G201" i="2"/>
  <c r="H201" i="2"/>
  <c r="F202" i="2"/>
  <c r="G202" i="2"/>
  <c r="H202" i="2"/>
  <c r="F203" i="2"/>
  <c r="G203" i="2"/>
  <c r="H203" i="2"/>
  <c r="F204" i="2"/>
  <c r="G204" i="2"/>
  <c r="H204" i="2"/>
  <c r="F205" i="2"/>
  <c r="G205" i="2"/>
  <c r="H205" i="2"/>
  <c r="F206" i="2"/>
  <c r="G206" i="2"/>
  <c r="H206" i="2"/>
  <c r="F207" i="2"/>
  <c r="G207" i="2"/>
  <c r="H207" i="2"/>
  <c r="F208" i="2"/>
  <c r="G208" i="2"/>
  <c r="H208" i="2"/>
  <c r="F209" i="2"/>
  <c r="G209" i="2"/>
  <c r="H209" i="2"/>
  <c r="F210" i="2"/>
  <c r="G210" i="2"/>
  <c r="H210" i="2"/>
  <c r="F211" i="2"/>
  <c r="G211" i="2"/>
  <c r="H211" i="2"/>
  <c r="F212" i="2"/>
  <c r="G212" i="2"/>
  <c r="H212" i="2"/>
  <c r="F213" i="2"/>
  <c r="G213" i="2"/>
  <c r="H213" i="2"/>
  <c r="F214" i="2"/>
  <c r="G214" i="2"/>
  <c r="H214" i="2"/>
  <c r="F215" i="2"/>
  <c r="G215" i="2"/>
  <c r="H215" i="2"/>
  <c r="F216" i="2"/>
  <c r="G216" i="2"/>
  <c r="H216" i="2"/>
  <c r="F217" i="2"/>
  <c r="G217" i="2"/>
  <c r="H217" i="2"/>
  <c r="F218" i="2"/>
  <c r="G218" i="2"/>
  <c r="H218" i="2"/>
  <c r="F219" i="2"/>
  <c r="G219" i="2"/>
  <c r="H219" i="2"/>
  <c r="P219" i="2" s="1"/>
  <c r="F220" i="2"/>
  <c r="G220" i="2"/>
  <c r="H220" i="2"/>
  <c r="G2" i="2"/>
  <c r="F2" i="2"/>
  <c r="D66" i="14" l="1"/>
  <c r="D59" i="14"/>
  <c r="D58" i="14"/>
  <c r="D61" i="14"/>
  <c r="D60" i="14"/>
  <c r="F60" i="14"/>
  <c r="F66" i="14"/>
  <c r="F59" i="14"/>
  <c r="F61" i="14"/>
  <c r="F58" i="14"/>
  <c r="E60" i="14"/>
  <c r="E66" i="14"/>
  <c r="E59" i="14"/>
  <c r="E58" i="14"/>
  <c r="E61" i="14"/>
  <c r="C59" i="14"/>
  <c r="C58" i="14"/>
  <c r="G66" i="14"/>
  <c r="C60" i="14"/>
  <c r="C66" i="14"/>
  <c r="C61" i="14"/>
  <c r="L21" i="12"/>
  <c r="K21" i="12"/>
  <c r="J21" i="12"/>
  <c r="I21" i="12"/>
  <c r="L20" i="12"/>
  <c r="K20" i="12"/>
  <c r="J20" i="12"/>
  <c r="I20" i="12"/>
  <c r="L19" i="12"/>
  <c r="K19" i="12"/>
  <c r="J19" i="12"/>
  <c r="I19" i="12"/>
  <c r="L17" i="12"/>
  <c r="K17" i="12"/>
  <c r="J17" i="12"/>
  <c r="I17" i="12"/>
  <c r="L16" i="12"/>
  <c r="K16" i="12"/>
  <c r="J16" i="12"/>
  <c r="I16" i="12"/>
  <c r="L15" i="12"/>
  <c r="K15" i="12"/>
  <c r="J15" i="12"/>
  <c r="I15" i="12"/>
  <c r="L14" i="12"/>
  <c r="K14" i="12"/>
  <c r="J14" i="12"/>
  <c r="I14" i="12"/>
  <c r="L13" i="12"/>
  <c r="K13" i="12"/>
  <c r="J13" i="12"/>
  <c r="I13" i="12"/>
  <c r="L12" i="12"/>
  <c r="K12" i="12"/>
  <c r="J12" i="12"/>
  <c r="I12" i="12"/>
  <c r="L11" i="12"/>
  <c r="K11" i="12"/>
  <c r="J11" i="12"/>
  <c r="I11" i="12"/>
  <c r="L10" i="12"/>
  <c r="K10" i="12"/>
  <c r="J10" i="12"/>
  <c r="I10" i="12"/>
  <c r="L9" i="12"/>
  <c r="K9" i="12"/>
  <c r="J9" i="12"/>
  <c r="I9" i="12"/>
  <c r="F33" i="12"/>
  <c r="E33" i="12"/>
  <c r="D33" i="12"/>
  <c r="C33" i="12"/>
  <c r="J27" i="3"/>
  <c r="F28" i="12"/>
  <c r="E28" i="12"/>
  <c r="D28" i="12"/>
  <c r="C28" i="12"/>
  <c r="F27" i="12"/>
  <c r="E27" i="12"/>
  <c r="D27" i="12"/>
  <c r="C27" i="12"/>
  <c r="I220" i="2"/>
  <c r="F25" i="12"/>
  <c r="E25" i="12"/>
  <c r="D25" i="12"/>
  <c r="C25" i="12"/>
  <c r="F24" i="12"/>
  <c r="E24" i="12"/>
  <c r="D24" i="12"/>
  <c r="C24" i="12"/>
  <c r="F23" i="12"/>
  <c r="E23" i="12"/>
  <c r="D23" i="12"/>
  <c r="C23" i="12"/>
  <c r="F22" i="12"/>
  <c r="E22" i="12"/>
  <c r="D22" i="12"/>
  <c r="C22" i="12"/>
  <c r="F21" i="12"/>
  <c r="E21" i="12"/>
  <c r="D21" i="12"/>
  <c r="C21" i="12"/>
  <c r="F20" i="12"/>
  <c r="E20" i="12"/>
  <c r="D20" i="12"/>
  <c r="C20" i="12"/>
  <c r="F18" i="12"/>
  <c r="E18" i="12"/>
  <c r="D18" i="12"/>
  <c r="C18" i="12"/>
  <c r="F17" i="12"/>
  <c r="E17" i="12"/>
  <c r="D17" i="12"/>
  <c r="C17" i="12"/>
  <c r="F16" i="12"/>
  <c r="E16" i="12"/>
  <c r="D16" i="12"/>
  <c r="C16" i="12"/>
  <c r="F15" i="12"/>
  <c r="E15" i="12"/>
  <c r="D15" i="12"/>
  <c r="C15" i="12"/>
  <c r="F14" i="12"/>
  <c r="E14" i="12"/>
  <c r="D14" i="12"/>
  <c r="C14" i="12"/>
  <c r="F13" i="12"/>
  <c r="E13" i="12"/>
  <c r="D13" i="12"/>
  <c r="C13" i="12"/>
  <c r="F12" i="12"/>
  <c r="E12" i="12"/>
  <c r="D12" i="12"/>
  <c r="C12" i="12"/>
  <c r="F11" i="12"/>
  <c r="E11" i="12"/>
  <c r="D11" i="12"/>
  <c r="C11" i="12"/>
  <c r="I219" i="2"/>
  <c r="G61" i="14" l="1"/>
  <c r="D62" i="14"/>
  <c r="D65" i="14" s="1"/>
  <c r="C62" i="14"/>
  <c r="C67" i="14" s="1"/>
  <c r="G60" i="14"/>
  <c r="G58" i="14"/>
  <c r="F62" i="14"/>
  <c r="F65" i="14" s="1"/>
  <c r="G59" i="14"/>
  <c r="E62" i="14"/>
  <c r="E65" i="14" s="1"/>
  <c r="F26" i="11"/>
  <c r="E26" i="11"/>
  <c r="D26" i="11"/>
  <c r="C26" i="11"/>
  <c r="F25" i="11"/>
  <c r="E25" i="11"/>
  <c r="D25" i="11"/>
  <c r="C25" i="11"/>
  <c r="F24" i="11"/>
  <c r="F23" i="11"/>
  <c r="E24" i="11"/>
  <c r="D24" i="11"/>
  <c r="C24" i="11"/>
  <c r="E23" i="11"/>
  <c r="D23" i="11"/>
  <c r="C23" i="11"/>
  <c r="F7" i="5"/>
  <c r="F6" i="5"/>
  <c r="F5" i="5"/>
  <c r="F4" i="5"/>
  <c r="F3" i="5"/>
  <c r="F2" i="5"/>
  <c r="F22" i="11" s="1"/>
  <c r="F19" i="10"/>
  <c r="E19" i="10"/>
  <c r="D19" i="10"/>
  <c r="I218" i="2"/>
  <c r="F20" i="11"/>
  <c r="E20" i="11"/>
  <c r="D20" i="11"/>
  <c r="C20" i="11"/>
  <c r="F19" i="11"/>
  <c r="E19" i="11"/>
  <c r="D19" i="11"/>
  <c r="C19" i="11"/>
  <c r="J8" i="2"/>
  <c r="J9" i="2"/>
  <c r="K9" i="3"/>
  <c r="K8" i="3"/>
  <c r="K3" i="3"/>
  <c r="K4" i="3"/>
  <c r="K5" i="3"/>
  <c r="K6" i="3"/>
  <c r="K7" i="3"/>
  <c r="K10" i="3"/>
  <c r="K11" i="3"/>
  <c r="K12" i="3"/>
  <c r="K13" i="3"/>
  <c r="K14" i="3"/>
  <c r="K16" i="3"/>
  <c r="K17" i="3"/>
  <c r="K18" i="3"/>
  <c r="K19" i="3"/>
  <c r="K20" i="3"/>
  <c r="K21" i="3"/>
  <c r="K25" i="3"/>
  <c r="K2" i="3"/>
  <c r="I216" i="2"/>
  <c r="J26" i="3"/>
  <c r="J25" i="3"/>
  <c r="J24" i="3"/>
  <c r="J23" i="3"/>
  <c r="J22" i="3"/>
  <c r="I159" i="2"/>
  <c r="J137" i="2"/>
  <c r="J15" i="2"/>
  <c r="J70" i="2"/>
  <c r="J58" i="2"/>
  <c r="P350" i="2"/>
  <c r="P367" i="2"/>
  <c r="P369" i="2"/>
  <c r="P418" i="2"/>
  <c r="P472" i="2"/>
  <c r="P633" i="2"/>
  <c r="P980" i="2"/>
  <c r="P987" i="2"/>
  <c r="P1004" i="2"/>
  <c r="P1018" i="2"/>
  <c r="P1045" i="2"/>
  <c r="P1053" i="2"/>
  <c r="P1061" i="2"/>
  <c r="P1069" i="2"/>
  <c r="P1077" i="2"/>
  <c r="P1086" i="2"/>
  <c r="P1102" i="2"/>
  <c r="P1110" i="2"/>
  <c r="P1125" i="2"/>
  <c r="P1129" i="2"/>
  <c r="P1136" i="2"/>
  <c r="P1141" i="2"/>
  <c r="P1144" i="2"/>
  <c r="P1150" i="2"/>
  <c r="P1152" i="2"/>
  <c r="P1156" i="2"/>
  <c r="P1160" i="2"/>
  <c r="P1164" i="2"/>
  <c r="P1171" i="2"/>
  <c r="P1173" i="2"/>
  <c r="P1175" i="2"/>
  <c r="P1178" i="2"/>
  <c r="P1179" i="2"/>
  <c r="P1180" i="2"/>
  <c r="P1181" i="2"/>
  <c r="P1182" i="2"/>
  <c r="P1183" i="2"/>
  <c r="P1184" i="2"/>
  <c r="P1185" i="2"/>
  <c r="P1186" i="2"/>
  <c r="P1187" i="2"/>
  <c r="P1189" i="2"/>
  <c r="P1190" i="2"/>
  <c r="P1191" i="2"/>
  <c r="P1192" i="2"/>
  <c r="P1193" i="2"/>
  <c r="P1196" i="2"/>
  <c r="P1197" i="2"/>
  <c r="P1198" i="2"/>
  <c r="P1199" i="2"/>
  <c r="P1202" i="2"/>
  <c r="P1203" i="2"/>
  <c r="P1205" i="2"/>
  <c r="P1206" i="2"/>
  <c r="P1207" i="2"/>
  <c r="P1208" i="2"/>
  <c r="P1209" i="2"/>
  <c r="P1211" i="2"/>
  <c r="P1213" i="2"/>
  <c r="P1214" i="2"/>
  <c r="P1216" i="2"/>
  <c r="P1219" i="2"/>
  <c r="P1220" i="2"/>
  <c r="P1221" i="2"/>
  <c r="P1222" i="2"/>
  <c r="P1223" i="2"/>
  <c r="P1227" i="2"/>
  <c r="P1228" i="2"/>
  <c r="P1230" i="2"/>
  <c r="P1235" i="2"/>
  <c r="P1237" i="2"/>
  <c r="P1238" i="2"/>
  <c r="P1239" i="2"/>
  <c r="P1240" i="2"/>
  <c r="P1242" i="2"/>
  <c r="P1243" i="2"/>
  <c r="P1245" i="2"/>
  <c r="P1251" i="2"/>
  <c r="P1252" i="2"/>
  <c r="P1253" i="2"/>
  <c r="P1254" i="2"/>
  <c r="P1255" i="2"/>
  <c r="P1256" i="2"/>
  <c r="P1257" i="2"/>
  <c r="P1261" i="2"/>
  <c r="P1263" i="2"/>
  <c r="P1264" i="2"/>
  <c r="P1265" i="2"/>
  <c r="P1266" i="2"/>
  <c r="P1267" i="2"/>
  <c r="P1268" i="2"/>
  <c r="P1269" i="2"/>
  <c r="P1270" i="2"/>
  <c r="P1271" i="2"/>
  <c r="P1272" i="2"/>
  <c r="P1273" i="2"/>
  <c r="P1274" i="2"/>
  <c r="P1275" i="2"/>
  <c r="P1276" i="2"/>
  <c r="P1277" i="2"/>
  <c r="P1278" i="2"/>
  <c r="P1279" i="2"/>
  <c r="P1280" i="2"/>
  <c r="P1281" i="2"/>
  <c r="P1282" i="2"/>
  <c r="J2" i="3"/>
  <c r="J3" i="3"/>
  <c r="J4" i="3"/>
  <c r="J5" i="3"/>
  <c r="J6" i="3"/>
  <c r="J7" i="3"/>
  <c r="J8" i="3"/>
  <c r="J1282" i="2"/>
  <c r="I1282" i="2"/>
  <c r="H1282" i="2"/>
  <c r="G1282" i="2"/>
  <c r="F1282" i="2"/>
  <c r="J1281" i="2"/>
  <c r="I1281" i="2"/>
  <c r="H1281" i="2"/>
  <c r="G1281" i="2"/>
  <c r="F1281" i="2"/>
  <c r="J1280" i="2"/>
  <c r="I1280" i="2"/>
  <c r="H1280" i="2"/>
  <c r="G1280" i="2"/>
  <c r="F1280" i="2"/>
  <c r="J1279" i="2"/>
  <c r="I1279" i="2"/>
  <c r="H1279" i="2"/>
  <c r="G1279" i="2"/>
  <c r="F1279" i="2"/>
  <c r="J1278" i="2"/>
  <c r="I1278" i="2"/>
  <c r="H1278" i="2"/>
  <c r="G1278" i="2"/>
  <c r="F1278" i="2"/>
  <c r="J1277" i="2"/>
  <c r="I1277" i="2"/>
  <c r="H1277" i="2"/>
  <c r="G1277" i="2"/>
  <c r="F1277" i="2"/>
  <c r="J1276" i="2"/>
  <c r="I1276" i="2"/>
  <c r="H1276" i="2"/>
  <c r="G1276" i="2"/>
  <c r="F1276" i="2"/>
  <c r="J1275" i="2"/>
  <c r="I1275" i="2"/>
  <c r="H1275" i="2"/>
  <c r="G1275" i="2"/>
  <c r="F1275" i="2"/>
  <c r="J1274" i="2"/>
  <c r="I1274" i="2"/>
  <c r="H1274" i="2"/>
  <c r="G1274" i="2"/>
  <c r="F1274" i="2"/>
  <c r="J1273" i="2"/>
  <c r="I1273" i="2"/>
  <c r="H1273" i="2"/>
  <c r="G1273" i="2"/>
  <c r="F1273" i="2"/>
  <c r="J1272" i="2"/>
  <c r="I1272" i="2"/>
  <c r="H1272" i="2"/>
  <c r="G1272" i="2"/>
  <c r="F1272" i="2"/>
  <c r="J1271" i="2"/>
  <c r="I1271" i="2"/>
  <c r="H1271" i="2"/>
  <c r="G1271" i="2"/>
  <c r="F1271" i="2"/>
  <c r="J1270" i="2"/>
  <c r="I1270" i="2"/>
  <c r="H1270" i="2"/>
  <c r="G1270" i="2"/>
  <c r="F1270" i="2"/>
  <c r="J1269" i="2"/>
  <c r="I1269" i="2"/>
  <c r="H1269" i="2"/>
  <c r="G1269" i="2"/>
  <c r="F1269" i="2"/>
  <c r="J1268" i="2"/>
  <c r="I1268" i="2"/>
  <c r="H1268" i="2"/>
  <c r="G1268" i="2"/>
  <c r="F1268" i="2"/>
  <c r="I1267" i="2"/>
  <c r="H1267" i="2"/>
  <c r="J1267" i="2"/>
  <c r="G1267" i="2"/>
  <c r="F1267" i="2"/>
  <c r="I1266" i="2"/>
  <c r="H1266" i="2"/>
  <c r="J1266" i="2"/>
  <c r="G1266" i="2"/>
  <c r="F1266" i="2"/>
  <c r="I1265" i="2"/>
  <c r="H1265" i="2"/>
  <c r="J1265" i="2"/>
  <c r="G1265" i="2"/>
  <c r="F1265" i="2"/>
  <c r="I1264" i="2"/>
  <c r="H1264" i="2"/>
  <c r="J1264" i="2"/>
  <c r="G1264" i="2"/>
  <c r="F1264" i="2"/>
  <c r="I1263" i="2"/>
  <c r="H1263" i="2"/>
  <c r="J1263" i="2"/>
  <c r="G1263" i="2"/>
  <c r="F1263" i="2"/>
  <c r="I1262" i="2"/>
  <c r="H1262" i="2"/>
  <c r="P1262" i="2"/>
  <c r="J1262" i="2"/>
  <c r="G1262" i="2"/>
  <c r="F1262" i="2"/>
  <c r="I1261" i="2"/>
  <c r="H1261" i="2"/>
  <c r="J1261" i="2"/>
  <c r="G1261" i="2"/>
  <c r="F1261" i="2"/>
  <c r="I1260" i="2"/>
  <c r="H1260" i="2"/>
  <c r="P1260" i="2"/>
  <c r="J1260" i="2"/>
  <c r="G1260" i="2"/>
  <c r="F1260" i="2"/>
  <c r="I1259" i="2"/>
  <c r="H1259" i="2"/>
  <c r="P1259" i="2"/>
  <c r="J1259" i="2"/>
  <c r="G1259" i="2"/>
  <c r="F1259" i="2"/>
  <c r="I1258" i="2"/>
  <c r="H1258" i="2"/>
  <c r="P1258" i="2"/>
  <c r="J1258" i="2"/>
  <c r="G1258" i="2"/>
  <c r="F1258" i="2"/>
  <c r="I1257" i="2"/>
  <c r="H1257" i="2"/>
  <c r="J1257" i="2"/>
  <c r="G1257" i="2"/>
  <c r="F1257" i="2"/>
  <c r="I1256" i="2"/>
  <c r="H1256" i="2"/>
  <c r="J1256" i="2"/>
  <c r="G1256" i="2"/>
  <c r="F1256" i="2"/>
  <c r="I1255" i="2"/>
  <c r="H1255" i="2"/>
  <c r="J1255" i="2"/>
  <c r="G1255" i="2"/>
  <c r="F1255" i="2"/>
  <c r="I1254" i="2"/>
  <c r="H1254" i="2"/>
  <c r="J1254" i="2"/>
  <c r="G1254" i="2"/>
  <c r="F1254" i="2"/>
  <c r="I1253" i="2"/>
  <c r="H1253" i="2"/>
  <c r="J1253" i="2"/>
  <c r="G1253" i="2"/>
  <c r="F1253" i="2"/>
  <c r="I1252" i="2"/>
  <c r="H1252" i="2"/>
  <c r="J1252" i="2"/>
  <c r="G1252" i="2"/>
  <c r="F1252" i="2"/>
  <c r="I1251" i="2"/>
  <c r="H1251" i="2"/>
  <c r="J1251" i="2"/>
  <c r="G1251" i="2"/>
  <c r="F1251" i="2"/>
  <c r="I1250" i="2"/>
  <c r="H1250" i="2"/>
  <c r="P1250" i="2"/>
  <c r="J1250" i="2"/>
  <c r="G1250" i="2"/>
  <c r="F1250" i="2"/>
  <c r="I1249" i="2"/>
  <c r="H1249" i="2"/>
  <c r="P1249" i="2"/>
  <c r="J1249" i="2"/>
  <c r="G1249" i="2"/>
  <c r="F1249" i="2"/>
  <c r="J1248" i="2"/>
  <c r="I1248" i="2"/>
  <c r="H1248" i="2"/>
  <c r="P1248" i="2"/>
  <c r="G1248" i="2"/>
  <c r="F1248" i="2"/>
  <c r="I1247" i="2"/>
  <c r="H1247" i="2"/>
  <c r="P1247" i="2"/>
  <c r="J1247" i="2"/>
  <c r="G1247" i="2"/>
  <c r="F1247" i="2"/>
  <c r="I1246" i="2"/>
  <c r="H1246" i="2"/>
  <c r="P1246" i="2"/>
  <c r="J1246" i="2"/>
  <c r="G1246" i="2"/>
  <c r="F1246" i="2"/>
  <c r="I1245" i="2"/>
  <c r="H1245" i="2"/>
  <c r="J1245" i="2"/>
  <c r="G1245" i="2"/>
  <c r="F1245" i="2"/>
  <c r="I1244" i="2"/>
  <c r="H1244" i="2"/>
  <c r="P1244" i="2"/>
  <c r="J1244" i="2"/>
  <c r="G1244" i="2"/>
  <c r="F1244" i="2"/>
  <c r="I1243" i="2"/>
  <c r="H1243" i="2"/>
  <c r="J1243" i="2"/>
  <c r="G1243" i="2"/>
  <c r="F1243" i="2"/>
  <c r="I1242" i="2"/>
  <c r="H1242" i="2"/>
  <c r="J1242" i="2"/>
  <c r="G1242" i="2"/>
  <c r="F1242" i="2"/>
  <c r="I1241" i="2"/>
  <c r="H1241" i="2"/>
  <c r="P1241" i="2"/>
  <c r="J1241" i="2"/>
  <c r="G1241" i="2"/>
  <c r="F1241" i="2"/>
  <c r="I1240" i="2"/>
  <c r="H1240" i="2"/>
  <c r="J1240" i="2"/>
  <c r="G1240" i="2"/>
  <c r="F1240" i="2"/>
  <c r="I1239" i="2"/>
  <c r="H1239" i="2"/>
  <c r="J1239" i="2"/>
  <c r="G1239" i="2"/>
  <c r="F1239" i="2"/>
  <c r="I1238" i="2"/>
  <c r="H1238" i="2"/>
  <c r="J1238" i="2"/>
  <c r="G1238" i="2"/>
  <c r="F1238" i="2"/>
  <c r="I1237" i="2"/>
  <c r="H1237" i="2"/>
  <c r="J1237" i="2"/>
  <c r="G1237" i="2"/>
  <c r="F1237" i="2"/>
  <c r="I1236" i="2"/>
  <c r="H1236" i="2"/>
  <c r="P1236" i="2"/>
  <c r="J1236" i="2"/>
  <c r="G1236" i="2"/>
  <c r="F1236" i="2"/>
  <c r="I1235" i="2"/>
  <c r="H1235" i="2"/>
  <c r="J1235" i="2"/>
  <c r="G1235" i="2"/>
  <c r="F1235" i="2"/>
  <c r="I1234" i="2"/>
  <c r="H1234" i="2"/>
  <c r="P1234" i="2"/>
  <c r="J1234" i="2"/>
  <c r="G1234" i="2"/>
  <c r="F1234" i="2"/>
  <c r="I1233" i="2"/>
  <c r="H1233" i="2"/>
  <c r="P1233" i="2"/>
  <c r="J1233" i="2"/>
  <c r="G1233" i="2"/>
  <c r="F1233" i="2"/>
  <c r="I1232" i="2"/>
  <c r="H1232" i="2"/>
  <c r="P1232" i="2"/>
  <c r="J1232" i="2"/>
  <c r="G1232" i="2"/>
  <c r="F1232" i="2"/>
  <c r="I1231" i="2"/>
  <c r="H1231" i="2"/>
  <c r="P1231" i="2"/>
  <c r="J1231" i="2"/>
  <c r="G1231" i="2"/>
  <c r="F1231" i="2"/>
  <c r="I1230" i="2"/>
  <c r="H1230" i="2"/>
  <c r="J1230" i="2"/>
  <c r="G1230" i="2"/>
  <c r="F1230" i="2"/>
  <c r="I1229" i="2"/>
  <c r="H1229" i="2"/>
  <c r="P1229" i="2"/>
  <c r="J1229" i="2"/>
  <c r="G1229" i="2"/>
  <c r="F1229" i="2"/>
  <c r="I1228" i="2"/>
  <c r="H1228" i="2"/>
  <c r="J1228" i="2"/>
  <c r="G1228" i="2"/>
  <c r="F1228" i="2"/>
  <c r="I1227" i="2"/>
  <c r="H1227" i="2"/>
  <c r="J1227" i="2"/>
  <c r="G1227" i="2"/>
  <c r="F1227" i="2"/>
  <c r="J1226" i="2"/>
  <c r="I1226" i="2"/>
  <c r="H1226" i="2"/>
  <c r="P1226" i="2"/>
  <c r="G1226" i="2"/>
  <c r="F1226" i="2"/>
  <c r="J1225" i="2"/>
  <c r="I1225" i="2"/>
  <c r="H1225" i="2"/>
  <c r="P1225" i="2"/>
  <c r="G1225" i="2"/>
  <c r="F1225" i="2"/>
  <c r="I1224" i="2"/>
  <c r="H1224" i="2"/>
  <c r="P1224" i="2"/>
  <c r="J1224" i="2"/>
  <c r="G1224" i="2"/>
  <c r="F1224" i="2"/>
  <c r="I1223" i="2"/>
  <c r="H1223" i="2"/>
  <c r="J1223" i="2"/>
  <c r="G1223" i="2"/>
  <c r="F1223" i="2"/>
  <c r="I1222" i="2"/>
  <c r="H1222" i="2"/>
  <c r="J1222" i="2"/>
  <c r="G1222" i="2"/>
  <c r="F1222" i="2"/>
  <c r="I1221" i="2"/>
  <c r="H1221" i="2"/>
  <c r="J1221" i="2"/>
  <c r="G1221" i="2"/>
  <c r="F1221" i="2"/>
  <c r="I1220" i="2"/>
  <c r="H1220" i="2"/>
  <c r="J1220" i="2"/>
  <c r="G1220" i="2"/>
  <c r="F1220" i="2"/>
  <c r="I1219" i="2"/>
  <c r="H1219" i="2"/>
  <c r="J1219" i="2"/>
  <c r="G1219" i="2"/>
  <c r="F1219" i="2"/>
  <c r="I1218" i="2"/>
  <c r="H1218" i="2"/>
  <c r="P1218" i="2"/>
  <c r="J1218" i="2"/>
  <c r="G1218" i="2"/>
  <c r="F1218" i="2"/>
  <c r="I1217" i="2"/>
  <c r="H1217" i="2"/>
  <c r="P1217" i="2"/>
  <c r="J1217" i="2"/>
  <c r="G1217" i="2"/>
  <c r="F1217" i="2"/>
  <c r="I1216" i="2"/>
  <c r="H1216" i="2"/>
  <c r="J1216" i="2"/>
  <c r="G1216" i="2"/>
  <c r="F1216" i="2"/>
  <c r="I1215" i="2"/>
  <c r="H1215" i="2"/>
  <c r="P1215" i="2"/>
  <c r="J1215" i="2"/>
  <c r="G1215" i="2"/>
  <c r="F1215" i="2"/>
  <c r="I1214" i="2"/>
  <c r="H1214" i="2"/>
  <c r="J1214" i="2"/>
  <c r="G1214" i="2"/>
  <c r="F1214" i="2"/>
  <c r="I1213" i="2"/>
  <c r="H1213" i="2"/>
  <c r="J1213" i="2"/>
  <c r="G1213" i="2"/>
  <c r="F1213" i="2"/>
  <c r="I1212" i="2"/>
  <c r="H1212" i="2"/>
  <c r="P1212" i="2"/>
  <c r="J1212" i="2"/>
  <c r="G1212" i="2"/>
  <c r="F1212" i="2"/>
  <c r="I1211" i="2"/>
  <c r="H1211" i="2"/>
  <c r="J1211" i="2"/>
  <c r="G1211" i="2"/>
  <c r="F1211" i="2"/>
  <c r="I1210" i="2"/>
  <c r="H1210" i="2"/>
  <c r="P1210" i="2"/>
  <c r="J1210" i="2"/>
  <c r="G1210" i="2"/>
  <c r="F1210" i="2"/>
  <c r="I1209" i="2"/>
  <c r="H1209" i="2"/>
  <c r="J1209" i="2"/>
  <c r="G1209" i="2"/>
  <c r="F1209" i="2"/>
  <c r="I1208" i="2"/>
  <c r="H1208" i="2"/>
  <c r="J1208" i="2"/>
  <c r="G1208" i="2"/>
  <c r="F1208" i="2"/>
  <c r="I1207" i="2"/>
  <c r="H1207" i="2"/>
  <c r="J1207" i="2"/>
  <c r="G1207" i="2"/>
  <c r="F1207" i="2"/>
  <c r="J1206" i="2"/>
  <c r="I1206" i="2"/>
  <c r="H1206" i="2"/>
  <c r="G1206" i="2"/>
  <c r="F1206" i="2"/>
  <c r="I1205" i="2"/>
  <c r="H1205" i="2"/>
  <c r="J1205" i="2"/>
  <c r="G1205" i="2"/>
  <c r="F1205" i="2"/>
  <c r="I1204" i="2"/>
  <c r="H1204" i="2"/>
  <c r="P1204" i="2"/>
  <c r="J1204" i="2"/>
  <c r="G1204" i="2"/>
  <c r="F1204" i="2"/>
  <c r="I1203" i="2"/>
  <c r="H1203" i="2"/>
  <c r="J1203" i="2"/>
  <c r="G1203" i="2"/>
  <c r="F1203" i="2"/>
  <c r="I1202" i="2"/>
  <c r="H1202" i="2"/>
  <c r="J1202" i="2"/>
  <c r="G1202" i="2"/>
  <c r="F1202" i="2"/>
  <c r="I1201" i="2"/>
  <c r="H1201" i="2"/>
  <c r="P1201" i="2"/>
  <c r="J1201" i="2"/>
  <c r="G1201" i="2"/>
  <c r="F1201" i="2"/>
  <c r="I1200" i="2"/>
  <c r="H1200" i="2"/>
  <c r="P1200" i="2"/>
  <c r="J1200" i="2"/>
  <c r="G1200" i="2"/>
  <c r="F1200" i="2"/>
  <c r="I1199" i="2"/>
  <c r="H1199" i="2"/>
  <c r="J1199" i="2"/>
  <c r="G1199" i="2"/>
  <c r="F1199" i="2"/>
  <c r="I1198" i="2"/>
  <c r="H1198" i="2"/>
  <c r="J1198" i="2"/>
  <c r="G1198" i="2"/>
  <c r="F1198" i="2"/>
  <c r="I1197" i="2"/>
  <c r="H1197" i="2"/>
  <c r="J1197" i="2"/>
  <c r="G1197" i="2"/>
  <c r="F1197" i="2"/>
  <c r="I1196" i="2"/>
  <c r="H1196" i="2"/>
  <c r="J1196" i="2"/>
  <c r="G1196" i="2"/>
  <c r="F1196" i="2"/>
  <c r="I1195" i="2"/>
  <c r="H1195" i="2"/>
  <c r="P1195" i="2"/>
  <c r="J1195" i="2"/>
  <c r="G1195" i="2"/>
  <c r="F1195" i="2"/>
  <c r="I1194" i="2"/>
  <c r="H1194" i="2"/>
  <c r="P1194" i="2"/>
  <c r="J1194" i="2"/>
  <c r="G1194" i="2"/>
  <c r="F1194" i="2"/>
  <c r="I1193" i="2"/>
  <c r="H1193" i="2"/>
  <c r="J1193" i="2"/>
  <c r="G1193" i="2"/>
  <c r="F1193" i="2"/>
  <c r="I1192" i="2"/>
  <c r="H1192" i="2"/>
  <c r="J1192" i="2"/>
  <c r="G1192" i="2"/>
  <c r="F1192" i="2"/>
  <c r="I1191" i="2"/>
  <c r="H1191" i="2"/>
  <c r="J1191" i="2"/>
  <c r="G1191" i="2"/>
  <c r="F1191" i="2"/>
  <c r="I1190" i="2"/>
  <c r="H1190" i="2"/>
  <c r="J1190" i="2"/>
  <c r="G1190" i="2"/>
  <c r="F1190" i="2"/>
  <c r="I1189" i="2"/>
  <c r="H1189" i="2"/>
  <c r="J1189" i="2"/>
  <c r="G1189" i="2"/>
  <c r="F1189" i="2"/>
  <c r="I1188" i="2"/>
  <c r="H1188" i="2"/>
  <c r="P1188" i="2"/>
  <c r="J1188" i="2"/>
  <c r="G1188" i="2"/>
  <c r="F1188" i="2"/>
  <c r="I1187" i="2"/>
  <c r="H1187" i="2"/>
  <c r="J1187" i="2"/>
  <c r="G1187" i="2"/>
  <c r="F1187" i="2"/>
  <c r="I1186" i="2"/>
  <c r="H1186" i="2"/>
  <c r="J1186" i="2"/>
  <c r="G1186" i="2"/>
  <c r="F1186" i="2"/>
  <c r="I1185" i="2"/>
  <c r="H1185" i="2"/>
  <c r="J1185" i="2"/>
  <c r="G1185" i="2"/>
  <c r="F1185" i="2"/>
  <c r="I1184" i="2"/>
  <c r="H1184" i="2"/>
  <c r="J1184" i="2"/>
  <c r="G1184" i="2"/>
  <c r="F1184" i="2"/>
  <c r="I1183" i="2"/>
  <c r="H1183" i="2"/>
  <c r="J1183" i="2"/>
  <c r="G1183" i="2"/>
  <c r="F1183" i="2"/>
  <c r="I1182" i="2"/>
  <c r="H1182" i="2"/>
  <c r="J1182" i="2"/>
  <c r="G1182" i="2"/>
  <c r="F1182" i="2"/>
  <c r="I1181" i="2"/>
  <c r="H1181" i="2"/>
  <c r="J1181" i="2"/>
  <c r="G1181" i="2"/>
  <c r="F1181" i="2"/>
  <c r="I1180" i="2"/>
  <c r="H1180" i="2"/>
  <c r="J1180" i="2"/>
  <c r="G1180" i="2"/>
  <c r="F1180" i="2"/>
  <c r="I1179" i="2"/>
  <c r="H1179" i="2"/>
  <c r="J1179" i="2"/>
  <c r="G1179" i="2"/>
  <c r="F1179" i="2"/>
  <c r="I1178" i="2"/>
  <c r="H1178" i="2"/>
  <c r="J1178" i="2"/>
  <c r="G1178" i="2"/>
  <c r="F1178" i="2"/>
  <c r="I1177" i="2"/>
  <c r="H1177" i="2"/>
  <c r="P1177" i="2"/>
  <c r="J1177" i="2"/>
  <c r="G1177" i="2"/>
  <c r="F1177" i="2"/>
  <c r="I1176" i="2"/>
  <c r="H1176" i="2"/>
  <c r="P1176" i="2"/>
  <c r="J1176" i="2"/>
  <c r="G1176" i="2"/>
  <c r="F1176" i="2"/>
  <c r="I1175" i="2"/>
  <c r="H1175" i="2"/>
  <c r="J1175" i="2"/>
  <c r="G1175" i="2"/>
  <c r="F1175" i="2"/>
  <c r="I1174" i="2"/>
  <c r="H1174" i="2"/>
  <c r="P1174" i="2"/>
  <c r="J1174" i="2"/>
  <c r="G1174" i="2"/>
  <c r="F1174" i="2"/>
  <c r="I1173" i="2"/>
  <c r="H1173" i="2"/>
  <c r="J1173" i="2"/>
  <c r="G1173" i="2"/>
  <c r="F1173" i="2"/>
  <c r="I1172" i="2"/>
  <c r="H1172" i="2"/>
  <c r="P1172" i="2"/>
  <c r="J1172" i="2"/>
  <c r="G1172" i="2"/>
  <c r="F1172" i="2"/>
  <c r="F1166" i="2"/>
  <c r="I1171" i="2"/>
  <c r="H1171" i="2"/>
  <c r="J1171" i="2"/>
  <c r="G1171" i="2"/>
  <c r="F1171" i="2"/>
  <c r="I1170" i="2"/>
  <c r="H1170" i="2"/>
  <c r="P1170" i="2"/>
  <c r="J1170" i="2"/>
  <c r="G1170" i="2"/>
  <c r="F1170" i="2"/>
  <c r="I1169" i="2"/>
  <c r="H1169" i="2"/>
  <c r="P1169" i="2"/>
  <c r="J1169" i="2"/>
  <c r="G1169" i="2"/>
  <c r="F1169" i="2"/>
  <c r="I1168" i="2"/>
  <c r="H1168" i="2"/>
  <c r="P1168" i="2"/>
  <c r="J1168" i="2"/>
  <c r="G1168" i="2"/>
  <c r="F1168" i="2"/>
  <c r="I1167" i="2"/>
  <c r="H1167" i="2"/>
  <c r="P1167" i="2"/>
  <c r="J1167" i="2"/>
  <c r="G1167" i="2"/>
  <c r="F1167" i="2"/>
  <c r="I1166" i="2"/>
  <c r="H1166" i="2"/>
  <c r="P1166" i="2"/>
  <c r="J1166" i="2"/>
  <c r="G1166" i="2"/>
  <c r="J1165" i="2"/>
  <c r="I1165" i="2"/>
  <c r="H1165" i="2"/>
  <c r="P1165" i="2"/>
  <c r="G1165" i="2"/>
  <c r="F1165" i="2"/>
  <c r="I1164" i="2"/>
  <c r="H1164" i="2"/>
  <c r="J1164" i="2"/>
  <c r="G1164" i="2"/>
  <c r="F1164" i="2"/>
  <c r="I1163" i="2"/>
  <c r="H1163" i="2"/>
  <c r="P1163" i="2"/>
  <c r="J1163" i="2"/>
  <c r="G1163" i="2"/>
  <c r="F1163" i="2"/>
  <c r="I1162" i="2"/>
  <c r="H1162" i="2"/>
  <c r="P1162" i="2"/>
  <c r="J1162" i="2"/>
  <c r="G1162" i="2"/>
  <c r="F1162" i="2"/>
  <c r="I1161" i="2"/>
  <c r="H1161" i="2"/>
  <c r="P1161" i="2"/>
  <c r="J1161" i="2"/>
  <c r="G1161" i="2"/>
  <c r="F1161" i="2"/>
  <c r="I1160" i="2"/>
  <c r="H1160" i="2"/>
  <c r="J1160" i="2"/>
  <c r="G1160" i="2"/>
  <c r="F1160" i="2"/>
  <c r="I1159" i="2"/>
  <c r="H1159" i="2"/>
  <c r="P1159" i="2"/>
  <c r="J1159" i="2"/>
  <c r="G1159" i="2"/>
  <c r="F1159" i="2"/>
  <c r="I1158" i="2"/>
  <c r="H1158" i="2"/>
  <c r="P1158" i="2"/>
  <c r="J1158" i="2"/>
  <c r="G1158" i="2"/>
  <c r="F1158" i="2"/>
  <c r="I1157" i="2"/>
  <c r="H1157" i="2"/>
  <c r="P1157" i="2"/>
  <c r="J1157" i="2"/>
  <c r="G1157" i="2"/>
  <c r="F1157" i="2"/>
  <c r="I1156" i="2"/>
  <c r="H1156" i="2"/>
  <c r="J1156" i="2"/>
  <c r="G1156" i="2"/>
  <c r="F1156" i="2"/>
  <c r="I1155" i="2"/>
  <c r="H1155" i="2"/>
  <c r="P1155" i="2"/>
  <c r="J1155" i="2"/>
  <c r="G1155" i="2"/>
  <c r="F1155" i="2"/>
  <c r="I1154" i="2"/>
  <c r="H1154" i="2"/>
  <c r="P1154" i="2"/>
  <c r="J1154" i="2"/>
  <c r="G1154" i="2"/>
  <c r="F1154" i="2"/>
  <c r="I1153" i="2"/>
  <c r="H1153" i="2"/>
  <c r="P1153" i="2"/>
  <c r="J1153" i="2"/>
  <c r="G1153" i="2"/>
  <c r="F1153" i="2"/>
  <c r="I1152" i="2"/>
  <c r="H1152" i="2"/>
  <c r="J1152" i="2"/>
  <c r="G1152" i="2"/>
  <c r="F1152" i="2"/>
  <c r="I1150" i="2"/>
  <c r="H1150" i="2"/>
  <c r="J1150" i="2"/>
  <c r="G1150" i="2"/>
  <c r="F1150" i="2"/>
  <c r="I1149" i="2"/>
  <c r="H1149" i="2"/>
  <c r="P1149" i="2"/>
  <c r="J1149" i="2"/>
  <c r="G1149" i="2"/>
  <c r="F1149" i="2"/>
  <c r="I1148" i="2"/>
  <c r="H1148" i="2"/>
  <c r="P1148" i="2"/>
  <c r="J1148" i="2"/>
  <c r="G1148" i="2"/>
  <c r="F1148" i="2"/>
  <c r="I1147" i="2"/>
  <c r="H1147" i="2"/>
  <c r="P1147" i="2"/>
  <c r="J1147" i="2"/>
  <c r="G1147" i="2"/>
  <c r="F1147" i="2"/>
  <c r="I1146" i="2"/>
  <c r="H1146" i="2"/>
  <c r="P1146" i="2"/>
  <c r="J1146" i="2"/>
  <c r="G1146" i="2"/>
  <c r="F1146" i="2"/>
  <c r="I1145" i="2"/>
  <c r="H1145" i="2"/>
  <c r="P1145" i="2"/>
  <c r="J1145" i="2"/>
  <c r="G1145" i="2"/>
  <c r="F1145" i="2"/>
  <c r="I1144" i="2"/>
  <c r="H1144" i="2"/>
  <c r="J1144" i="2"/>
  <c r="G1144" i="2"/>
  <c r="F1144" i="2"/>
  <c r="I1143" i="2"/>
  <c r="H1143" i="2"/>
  <c r="P1143" i="2"/>
  <c r="J1143" i="2"/>
  <c r="G1143" i="2"/>
  <c r="F1143" i="2"/>
  <c r="I1142" i="2"/>
  <c r="H1142" i="2"/>
  <c r="P1142" i="2"/>
  <c r="J1142" i="2"/>
  <c r="G1142" i="2"/>
  <c r="F1142" i="2"/>
  <c r="I1141" i="2"/>
  <c r="H1141" i="2"/>
  <c r="J1141" i="2"/>
  <c r="G1141" i="2"/>
  <c r="F1141" i="2"/>
  <c r="I1140" i="2"/>
  <c r="H1140" i="2"/>
  <c r="P1140" i="2"/>
  <c r="J1140" i="2"/>
  <c r="G1140" i="2"/>
  <c r="F1140" i="2"/>
  <c r="I1139" i="2"/>
  <c r="H1139" i="2"/>
  <c r="P1139" i="2"/>
  <c r="J1139" i="2"/>
  <c r="G1139" i="2"/>
  <c r="F1139" i="2"/>
  <c r="I1138" i="2"/>
  <c r="H1138" i="2"/>
  <c r="P1138" i="2"/>
  <c r="J1138" i="2"/>
  <c r="G1138" i="2"/>
  <c r="F1138" i="2"/>
  <c r="I1137" i="2"/>
  <c r="H1137" i="2"/>
  <c r="P1137" i="2"/>
  <c r="J1137" i="2"/>
  <c r="G1137" i="2"/>
  <c r="F1137" i="2"/>
  <c r="J1136" i="2"/>
  <c r="I1136" i="2"/>
  <c r="H1136" i="2"/>
  <c r="G1136" i="2"/>
  <c r="F1136" i="2"/>
  <c r="I1135" i="2"/>
  <c r="H1135" i="2"/>
  <c r="P1135" i="2"/>
  <c r="J1135" i="2"/>
  <c r="G1135" i="2"/>
  <c r="F1135" i="2"/>
  <c r="I1134" i="2"/>
  <c r="H1134" i="2"/>
  <c r="P1134" i="2"/>
  <c r="J1134" i="2"/>
  <c r="G1134" i="2"/>
  <c r="F1134" i="2"/>
  <c r="I1133" i="2"/>
  <c r="H1133" i="2"/>
  <c r="P1133" i="2"/>
  <c r="J1133" i="2"/>
  <c r="G1133" i="2"/>
  <c r="F1133" i="2"/>
  <c r="J1132" i="2"/>
  <c r="I1132" i="2"/>
  <c r="H1132" i="2"/>
  <c r="P1132" i="2"/>
  <c r="G1132" i="2"/>
  <c r="F1132" i="2"/>
  <c r="I1131" i="2"/>
  <c r="H1131" i="2"/>
  <c r="P1131" i="2"/>
  <c r="J1131" i="2"/>
  <c r="G1131" i="2"/>
  <c r="F1131" i="2"/>
  <c r="I1130" i="2"/>
  <c r="H1130" i="2"/>
  <c r="P1130" i="2"/>
  <c r="J1130" i="2"/>
  <c r="G1130" i="2"/>
  <c r="F1130" i="2"/>
  <c r="I1129" i="2"/>
  <c r="H1129" i="2"/>
  <c r="J1129" i="2"/>
  <c r="G1129" i="2"/>
  <c r="F1129" i="2"/>
  <c r="I1128" i="2"/>
  <c r="H1128" i="2"/>
  <c r="P1128" i="2"/>
  <c r="J1128" i="2"/>
  <c r="G1128" i="2"/>
  <c r="F1128" i="2"/>
  <c r="I1127" i="2"/>
  <c r="H1127" i="2"/>
  <c r="P1127" i="2"/>
  <c r="J1127" i="2"/>
  <c r="G1127" i="2"/>
  <c r="F1127" i="2"/>
  <c r="J1126" i="2"/>
  <c r="I1126" i="2"/>
  <c r="H1126" i="2"/>
  <c r="P1126" i="2"/>
  <c r="G1126" i="2"/>
  <c r="F1126" i="2"/>
  <c r="I1125" i="2"/>
  <c r="H1125" i="2"/>
  <c r="J1125" i="2"/>
  <c r="G1125" i="2"/>
  <c r="F1125" i="2"/>
  <c r="I1124" i="2"/>
  <c r="H1124" i="2"/>
  <c r="P1124" i="2"/>
  <c r="J1124" i="2"/>
  <c r="G1124" i="2"/>
  <c r="F1124" i="2"/>
  <c r="I1123" i="2"/>
  <c r="H1123" i="2"/>
  <c r="P1123" i="2"/>
  <c r="J1123" i="2"/>
  <c r="G1123" i="2"/>
  <c r="F1123" i="2"/>
  <c r="I1122" i="2"/>
  <c r="H1122" i="2"/>
  <c r="P1122" i="2"/>
  <c r="J1122" i="2"/>
  <c r="G1122" i="2"/>
  <c r="F1122" i="2"/>
  <c r="J1121" i="2"/>
  <c r="I1121" i="2"/>
  <c r="H1121" i="2"/>
  <c r="P1121" i="2"/>
  <c r="G1121" i="2"/>
  <c r="F1121" i="2"/>
  <c r="I1120" i="2"/>
  <c r="H1120" i="2"/>
  <c r="P1120" i="2"/>
  <c r="J1120" i="2"/>
  <c r="G1120" i="2"/>
  <c r="F1120" i="2"/>
  <c r="I1119" i="2"/>
  <c r="H1119" i="2"/>
  <c r="P1119" i="2"/>
  <c r="J1119" i="2"/>
  <c r="G1119" i="2"/>
  <c r="F1119" i="2"/>
  <c r="I1118" i="2"/>
  <c r="H1118" i="2"/>
  <c r="P1118" i="2"/>
  <c r="J1118" i="2"/>
  <c r="G1118" i="2"/>
  <c r="F1118" i="2"/>
  <c r="I1117" i="2"/>
  <c r="H1117" i="2"/>
  <c r="P1117" i="2"/>
  <c r="J1117" i="2"/>
  <c r="G1117" i="2"/>
  <c r="F1117" i="2"/>
  <c r="I1116" i="2"/>
  <c r="H1116" i="2"/>
  <c r="P1116" i="2"/>
  <c r="J1116" i="2"/>
  <c r="G1116" i="2"/>
  <c r="F1116" i="2"/>
  <c r="I1115" i="2"/>
  <c r="H1115" i="2"/>
  <c r="J1115" i="2"/>
  <c r="G1115" i="2"/>
  <c r="F1115" i="2"/>
  <c r="I1114" i="2"/>
  <c r="H1114" i="2"/>
  <c r="G1114" i="2"/>
  <c r="F1114" i="2"/>
  <c r="J1113" i="2"/>
  <c r="I1113" i="2"/>
  <c r="H1113" i="2"/>
  <c r="P1113" i="2"/>
  <c r="G1113" i="2"/>
  <c r="F1113" i="2"/>
  <c r="I1112" i="2"/>
  <c r="H1112" i="2"/>
  <c r="P1112" i="2"/>
  <c r="J1112" i="2"/>
  <c r="G1112" i="2"/>
  <c r="F1112" i="2"/>
  <c r="I1111" i="2"/>
  <c r="H1111" i="2"/>
  <c r="J1111" i="2"/>
  <c r="G1111" i="2"/>
  <c r="F1111" i="2"/>
  <c r="I1110" i="2"/>
  <c r="H1110" i="2"/>
  <c r="J1110" i="2"/>
  <c r="G1110" i="2"/>
  <c r="F1110" i="2"/>
  <c r="I1109" i="2"/>
  <c r="H1109" i="2"/>
  <c r="P1109" i="2"/>
  <c r="J1109" i="2"/>
  <c r="G1109" i="2"/>
  <c r="F1109" i="2"/>
  <c r="F641" i="2"/>
  <c r="G641" i="2"/>
  <c r="H641" i="2"/>
  <c r="J641" i="2" s="1"/>
  <c r="I1108" i="2"/>
  <c r="H1108" i="2"/>
  <c r="P1108" i="2"/>
  <c r="J1108" i="2"/>
  <c r="G1108" i="2"/>
  <c r="F1108" i="2"/>
  <c r="I1107" i="2"/>
  <c r="H1107" i="2"/>
  <c r="P1107" i="2"/>
  <c r="J1107" i="2"/>
  <c r="G1107" i="2"/>
  <c r="F1107" i="2"/>
  <c r="I1106" i="2"/>
  <c r="H1106" i="2"/>
  <c r="J1106" i="2"/>
  <c r="G1106" i="2"/>
  <c r="F1106" i="2"/>
  <c r="I1105" i="2"/>
  <c r="H1105" i="2"/>
  <c r="J1105" i="2"/>
  <c r="G1105" i="2"/>
  <c r="F1105" i="2"/>
  <c r="J1104" i="2"/>
  <c r="I1104" i="2"/>
  <c r="H1104" i="2"/>
  <c r="P1104" i="2"/>
  <c r="G1104" i="2"/>
  <c r="F1104" i="2"/>
  <c r="I1103" i="2"/>
  <c r="H1103" i="2"/>
  <c r="P1103" i="2"/>
  <c r="J1103" i="2"/>
  <c r="G1103" i="2"/>
  <c r="F1103" i="2"/>
  <c r="I1102" i="2"/>
  <c r="H1102" i="2"/>
  <c r="J1102" i="2"/>
  <c r="G1102" i="2"/>
  <c r="F1102" i="2"/>
  <c r="I1101" i="2"/>
  <c r="H1101" i="2"/>
  <c r="P1101" i="2"/>
  <c r="J1101" i="2"/>
  <c r="G1101" i="2"/>
  <c r="F1101" i="2"/>
  <c r="I1100" i="2"/>
  <c r="H1100" i="2"/>
  <c r="P1100" i="2"/>
  <c r="J1100" i="2"/>
  <c r="G1100" i="2"/>
  <c r="F1100" i="2"/>
  <c r="I1099" i="2"/>
  <c r="H1099" i="2"/>
  <c r="P1099" i="2"/>
  <c r="J1099" i="2"/>
  <c r="G1099" i="2"/>
  <c r="F1099" i="2"/>
  <c r="I1098" i="2"/>
  <c r="H1098" i="2"/>
  <c r="J1098" i="2"/>
  <c r="G1098" i="2"/>
  <c r="F1098" i="2"/>
  <c r="I1097" i="2"/>
  <c r="H1097" i="2"/>
  <c r="P1097" i="2"/>
  <c r="J1097" i="2"/>
  <c r="G1097" i="2"/>
  <c r="F1097" i="2"/>
  <c r="I1096" i="2"/>
  <c r="H1096" i="2"/>
  <c r="J1096" i="2"/>
  <c r="G1096" i="2"/>
  <c r="F1096" i="2"/>
  <c r="I1095" i="2"/>
  <c r="H1095" i="2"/>
  <c r="P1095" i="2"/>
  <c r="J1095" i="2"/>
  <c r="G1095" i="2"/>
  <c r="F1095" i="2"/>
  <c r="I1094" i="2"/>
  <c r="H1094" i="2"/>
  <c r="J1094" i="2"/>
  <c r="G1094" i="2"/>
  <c r="F1094" i="2"/>
  <c r="I1093" i="2"/>
  <c r="H1093" i="2"/>
  <c r="J1093" i="2"/>
  <c r="G1093" i="2"/>
  <c r="F1093" i="2"/>
  <c r="I1092" i="2"/>
  <c r="H1092" i="2"/>
  <c r="P1092" i="2"/>
  <c r="J1092" i="2"/>
  <c r="G1092" i="2"/>
  <c r="F1092" i="2"/>
  <c r="I1091" i="2"/>
  <c r="H1091" i="2"/>
  <c r="P1091" i="2"/>
  <c r="J1091" i="2"/>
  <c r="G1091" i="2"/>
  <c r="F1091" i="2"/>
  <c r="I1090" i="2"/>
  <c r="H1090" i="2"/>
  <c r="J1090" i="2"/>
  <c r="G1090" i="2"/>
  <c r="F1090" i="2"/>
  <c r="I1089" i="2"/>
  <c r="H1089" i="2"/>
  <c r="P1089" i="2"/>
  <c r="J1089" i="2"/>
  <c r="G1089" i="2"/>
  <c r="F1089" i="2"/>
  <c r="I1088" i="2"/>
  <c r="H1088" i="2"/>
  <c r="J1088" i="2"/>
  <c r="G1088" i="2"/>
  <c r="F1088" i="2"/>
  <c r="I1087" i="2"/>
  <c r="H1087" i="2"/>
  <c r="P1087" i="2"/>
  <c r="J1087" i="2"/>
  <c r="G1087" i="2"/>
  <c r="F1087" i="2"/>
  <c r="I1086" i="2"/>
  <c r="H1086" i="2"/>
  <c r="J1086" i="2"/>
  <c r="G1086" i="2"/>
  <c r="F1086" i="2"/>
  <c r="I1085" i="2"/>
  <c r="H1085" i="2"/>
  <c r="P1085" i="2"/>
  <c r="J1085" i="2"/>
  <c r="G1085" i="2"/>
  <c r="F1085" i="2"/>
  <c r="I1084" i="2"/>
  <c r="H1084" i="2"/>
  <c r="P1084" i="2"/>
  <c r="J1084" i="2"/>
  <c r="G1084" i="2"/>
  <c r="F1084" i="2"/>
  <c r="I1083" i="2"/>
  <c r="H1083" i="2"/>
  <c r="P1083" i="2"/>
  <c r="J1083" i="2"/>
  <c r="G1083" i="2"/>
  <c r="F1083" i="2"/>
  <c r="I1082" i="2"/>
  <c r="H1082" i="2"/>
  <c r="J1082" i="2"/>
  <c r="G1082" i="2"/>
  <c r="F1082" i="2"/>
  <c r="I1081" i="2"/>
  <c r="H1081" i="2"/>
  <c r="P1081" i="2"/>
  <c r="J1081" i="2"/>
  <c r="G1081" i="2"/>
  <c r="F1081" i="2"/>
  <c r="I1080" i="2"/>
  <c r="H1080" i="2"/>
  <c r="G1080" i="2"/>
  <c r="F1080" i="2"/>
  <c r="I1079" i="2"/>
  <c r="H1079" i="2"/>
  <c r="P1079" i="2"/>
  <c r="J1079" i="2"/>
  <c r="G1079" i="2"/>
  <c r="F1079" i="2"/>
  <c r="I1078" i="2"/>
  <c r="H1078" i="2"/>
  <c r="J1078" i="2"/>
  <c r="G1078" i="2"/>
  <c r="F1078" i="2"/>
  <c r="I1077" i="2"/>
  <c r="H1077" i="2"/>
  <c r="J1077" i="2"/>
  <c r="G1077" i="2"/>
  <c r="F1077" i="2"/>
  <c r="I1076" i="2"/>
  <c r="H1076" i="2"/>
  <c r="P1076" i="2"/>
  <c r="J1076" i="2"/>
  <c r="G1076" i="2"/>
  <c r="F1076" i="2"/>
  <c r="I1075" i="2"/>
  <c r="H1075" i="2"/>
  <c r="P1075" i="2"/>
  <c r="J1075" i="2"/>
  <c r="G1075" i="2"/>
  <c r="F1075" i="2"/>
  <c r="I1074" i="2"/>
  <c r="H1074" i="2"/>
  <c r="J1074" i="2"/>
  <c r="G1074" i="2"/>
  <c r="F1074" i="2"/>
  <c r="I1073" i="2"/>
  <c r="H1073" i="2"/>
  <c r="P1073" i="2"/>
  <c r="J1073" i="2"/>
  <c r="G1073" i="2"/>
  <c r="F1073" i="2"/>
  <c r="I1072" i="2"/>
  <c r="H1072" i="2"/>
  <c r="J1072" i="2"/>
  <c r="G1072" i="2"/>
  <c r="F1072" i="2"/>
  <c r="I1071" i="2"/>
  <c r="H1071" i="2"/>
  <c r="P1071" i="2"/>
  <c r="J1071" i="2"/>
  <c r="G1071" i="2"/>
  <c r="F1071" i="2"/>
  <c r="I1070" i="2"/>
  <c r="H1070" i="2"/>
  <c r="J1070" i="2"/>
  <c r="G1070" i="2"/>
  <c r="F1070" i="2"/>
  <c r="I1069" i="2"/>
  <c r="H1069" i="2"/>
  <c r="J1069" i="2"/>
  <c r="G1069" i="2"/>
  <c r="F1069" i="2"/>
  <c r="I1068" i="2"/>
  <c r="H1068" i="2"/>
  <c r="J1068" i="2"/>
  <c r="G1068" i="2"/>
  <c r="F1068" i="2"/>
  <c r="I1067" i="2"/>
  <c r="H1067" i="2"/>
  <c r="P1067" i="2"/>
  <c r="J1067" i="2"/>
  <c r="G1067" i="2"/>
  <c r="F1067" i="2"/>
  <c r="I1066" i="2"/>
  <c r="H1066" i="2"/>
  <c r="G1066" i="2"/>
  <c r="F1066" i="2"/>
  <c r="I1065" i="2"/>
  <c r="H1065" i="2"/>
  <c r="P1065" i="2"/>
  <c r="J1065" i="2"/>
  <c r="G1065" i="2"/>
  <c r="F1065" i="2"/>
  <c r="I1064" i="2"/>
  <c r="H1064" i="2"/>
  <c r="J1064" i="2"/>
  <c r="G1064" i="2"/>
  <c r="F1064" i="2"/>
  <c r="I1063" i="2"/>
  <c r="H1063" i="2"/>
  <c r="P1063" i="2"/>
  <c r="J1063" i="2"/>
  <c r="G1063" i="2"/>
  <c r="F1063" i="2"/>
  <c r="I1062" i="2"/>
  <c r="H1062" i="2"/>
  <c r="J1062" i="2"/>
  <c r="G1062" i="2"/>
  <c r="F1062" i="2"/>
  <c r="I1061" i="2"/>
  <c r="H1061" i="2"/>
  <c r="J1061" i="2"/>
  <c r="G1061" i="2"/>
  <c r="F1061" i="2"/>
  <c r="H1030" i="2"/>
  <c r="J1030" i="2" s="1"/>
  <c r="H1031" i="2"/>
  <c r="J1031" i="2" s="1"/>
  <c r="H1032" i="2"/>
  <c r="J1032" i="2" s="1"/>
  <c r="H1033" i="2"/>
  <c r="J1033" i="2" s="1"/>
  <c r="H1034" i="2"/>
  <c r="J1034" i="2" s="1"/>
  <c r="H1035" i="2"/>
  <c r="J1035" i="2" s="1"/>
  <c r="H1036" i="2"/>
  <c r="J1036" i="2" s="1"/>
  <c r="H1037" i="2"/>
  <c r="J1037" i="2" s="1"/>
  <c r="H1038" i="2"/>
  <c r="J1038" i="2" s="1"/>
  <c r="H1039" i="2"/>
  <c r="J1039" i="2" s="1"/>
  <c r="H1040" i="2"/>
  <c r="J1040" i="2" s="1"/>
  <c r="H1041" i="2"/>
  <c r="J1041" i="2" s="1"/>
  <c r="H1042" i="2"/>
  <c r="J1042" i="2"/>
  <c r="H1012" i="2"/>
  <c r="J1012" i="2" s="1"/>
  <c r="H1013" i="2"/>
  <c r="J1013" i="2" s="1"/>
  <c r="H1014" i="2"/>
  <c r="J1014" i="2" s="1"/>
  <c r="H1015" i="2"/>
  <c r="J1015" i="2" s="1"/>
  <c r="H1016" i="2"/>
  <c r="J1016" i="2" s="1"/>
  <c r="H1017" i="2"/>
  <c r="J1017" i="2" s="1"/>
  <c r="J1018" i="2"/>
  <c r="H1019" i="2"/>
  <c r="J1019" i="2" s="1"/>
  <c r="H1021" i="2"/>
  <c r="P1021" i="2" s="1"/>
  <c r="H1022" i="2"/>
  <c r="J1022" i="2" s="1"/>
  <c r="H1023" i="2"/>
  <c r="J1023" i="2" s="1"/>
  <c r="H1024" i="2"/>
  <c r="J1024" i="2" s="1"/>
  <c r="H1025" i="2"/>
  <c r="J1025" i="2" s="1"/>
  <c r="H1026" i="2"/>
  <c r="P1026" i="2" s="1"/>
  <c r="J1026" i="2"/>
  <c r="H1027" i="2"/>
  <c r="J1027" i="2" s="1"/>
  <c r="H1028" i="2"/>
  <c r="J1028" i="2" s="1"/>
  <c r="H1029" i="2"/>
  <c r="J1029" i="2" s="1"/>
  <c r="I1060" i="2"/>
  <c r="H1060" i="2"/>
  <c r="J1060" i="2"/>
  <c r="G1060" i="2"/>
  <c r="F1060" i="2"/>
  <c r="I1059" i="2"/>
  <c r="H1059" i="2"/>
  <c r="P1059" i="2"/>
  <c r="J1059" i="2"/>
  <c r="G1059" i="2"/>
  <c r="F1059" i="2"/>
  <c r="I1058" i="2"/>
  <c r="H1058" i="2"/>
  <c r="J1058" i="2"/>
  <c r="G1058" i="2"/>
  <c r="F1058" i="2"/>
  <c r="I1057" i="2"/>
  <c r="H1057" i="2"/>
  <c r="P1057" i="2"/>
  <c r="J1057" i="2"/>
  <c r="G1057" i="2"/>
  <c r="F1057" i="2"/>
  <c r="I1056" i="2"/>
  <c r="H1056" i="2"/>
  <c r="J1056" i="2"/>
  <c r="G1056" i="2"/>
  <c r="F1056" i="2"/>
  <c r="I1055" i="2"/>
  <c r="H1055" i="2"/>
  <c r="P1055" i="2"/>
  <c r="J1055" i="2"/>
  <c r="G1055" i="2"/>
  <c r="F1055" i="2"/>
  <c r="I1054" i="2"/>
  <c r="H1054" i="2"/>
  <c r="P1054" i="2"/>
  <c r="J1054" i="2"/>
  <c r="G1054" i="2"/>
  <c r="F1054" i="2"/>
  <c r="I1053" i="2"/>
  <c r="H1053" i="2"/>
  <c r="J1053" i="2"/>
  <c r="G1053" i="2"/>
  <c r="F1053" i="2"/>
  <c r="I1052" i="2"/>
  <c r="H1052" i="2"/>
  <c r="G1052" i="2"/>
  <c r="F1052" i="2"/>
  <c r="I1051" i="2"/>
  <c r="H1051" i="2"/>
  <c r="P1051" i="2"/>
  <c r="J1051" i="2"/>
  <c r="G1051" i="2"/>
  <c r="F1051" i="2"/>
  <c r="J1050" i="2"/>
  <c r="I1050" i="2"/>
  <c r="H1050" i="2"/>
  <c r="P1050" i="2"/>
  <c r="G1050" i="2"/>
  <c r="F1050" i="2"/>
  <c r="I1049" i="2"/>
  <c r="H1049" i="2"/>
  <c r="P1049" i="2"/>
  <c r="J1049" i="2"/>
  <c r="G1049" i="2"/>
  <c r="F1049" i="2"/>
  <c r="I1048" i="2"/>
  <c r="H1048" i="2"/>
  <c r="J1048" i="2"/>
  <c r="G1048" i="2"/>
  <c r="F1048" i="2"/>
  <c r="I1047" i="2"/>
  <c r="H1047" i="2"/>
  <c r="P1047" i="2"/>
  <c r="J1047" i="2"/>
  <c r="G1047" i="2"/>
  <c r="F1047" i="2"/>
  <c r="I1046" i="2"/>
  <c r="H1046" i="2"/>
  <c r="P1046" i="2"/>
  <c r="J1046" i="2"/>
  <c r="G1046" i="2"/>
  <c r="F1046" i="2"/>
  <c r="I1045" i="2"/>
  <c r="H1045" i="2"/>
  <c r="J1045" i="2"/>
  <c r="G1045" i="2"/>
  <c r="F1045" i="2"/>
  <c r="I1044" i="2"/>
  <c r="H1044" i="2"/>
  <c r="P1044" i="2"/>
  <c r="G1044" i="2"/>
  <c r="F1044" i="2"/>
  <c r="I1043" i="2"/>
  <c r="H1043" i="2"/>
  <c r="J1043" i="2"/>
  <c r="G1043" i="2"/>
  <c r="F1043" i="2"/>
  <c r="I1042" i="2"/>
  <c r="G1042" i="2"/>
  <c r="F1042" i="2"/>
  <c r="I1041" i="2"/>
  <c r="G1041" i="2"/>
  <c r="F1041" i="2"/>
  <c r="I1040" i="2"/>
  <c r="G1040" i="2"/>
  <c r="F1040" i="2"/>
  <c r="I1039" i="2"/>
  <c r="G1039" i="2"/>
  <c r="F1039" i="2"/>
  <c r="I1038" i="2"/>
  <c r="G1038" i="2"/>
  <c r="F1038" i="2"/>
  <c r="I1037" i="2"/>
  <c r="G1037" i="2"/>
  <c r="F1037" i="2"/>
  <c r="I1036" i="2"/>
  <c r="G1036" i="2"/>
  <c r="F1036" i="2"/>
  <c r="I1035" i="2"/>
  <c r="G1035" i="2"/>
  <c r="F1035" i="2"/>
  <c r="I1034" i="2"/>
  <c r="G1034" i="2"/>
  <c r="F1034" i="2"/>
  <c r="I1033" i="2"/>
  <c r="G1033" i="2"/>
  <c r="F1033" i="2"/>
  <c r="I1032" i="2"/>
  <c r="G1032" i="2"/>
  <c r="F1032" i="2"/>
  <c r="I1031" i="2"/>
  <c r="G1031" i="2"/>
  <c r="F1031" i="2"/>
  <c r="I1030" i="2"/>
  <c r="G1030" i="2"/>
  <c r="F1030" i="2"/>
  <c r="I1029" i="2"/>
  <c r="G1029" i="2"/>
  <c r="F1029" i="2"/>
  <c r="I1028" i="2"/>
  <c r="G1028" i="2"/>
  <c r="F1028" i="2"/>
  <c r="I1027" i="2"/>
  <c r="G1027" i="2"/>
  <c r="F1027" i="2"/>
  <c r="I1026" i="2"/>
  <c r="G1026" i="2"/>
  <c r="F1026" i="2"/>
  <c r="F1012" i="2"/>
  <c r="I1025" i="2"/>
  <c r="G1025" i="2"/>
  <c r="F1025" i="2"/>
  <c r="I1024" i="2"/>
  <c r="G1024" i="2"/>
  <c r="F1024" i="2"/>
  <c r="I1023" i="2"/>
  <c r="G1023" i="2"/>
  <c r="F1023" i="2"/>
  <c r="I1022" i="2"/>
  <c r="G1022" i="2"/>
  <c r="F1022" i="2"/>
  <c r="I1021" i="2"/>
  <c r="J1021" i="2"/>
  <c r="G1021" i="2"/>
  <c r="F1021" i="2"/>
  <c r="I1019" i="2"/>
  <c r="G1019" i="2"/>
  <c r="F1019" i="2"/>
  <c r="I1018" i="2"/>
  <c r="I1017" i="2"/>
  <c r="G1017" i="2"/>
  <c r="F1017" i="2"/>
  <c r="I1016" i="2"/>
  <c r="G1016" i="2"/>
  <c r="F1016" i="2"/>
  <c r="I1015" i="2"/>
  <c r="G1015" i="2"/>
  <c r="F1015" i="2"/>
  <c r="I1014" i="2"/>
  <c r="G1014" i="2"/>
  <c r="F1014" i="2"/>
  <c r="I1013" i="2"/>
  <c r="G1013" i="2"/>
  <c r="F1013" i="2"/>
  <c r="I1012" i="2"/>
  <c r="G1012" i="2"/>
  <c r="I1011" i="2"/>
  <c r="H1011" i="2"/>
  <c r="J1011" i="2" s="1"/>
  <c r="G1011" i="2"/>
  <c r="F1011" i="2"/>
  <c r="I1010" i="2"/>
  <c r="H1010" i="2"/>
  <c r="J1010" i="2" s="1"/>
  <c r="G1010" i="2"/>
  <c r="F1010" i="2"/>
  <c r="I1009" i="2"/>
  <c r="H1009" i="2"/>
  <c r="G1009" i="2"/>
  <c r="F1009" i="2"/>
  <c r="I1008" i="2"/>
  <c r="H1008" i="2"/>
  <c r="J1008" i="2" s="1"/>
  <c r="G1008" i="2"/>
  <c r="F1008" i="2"/>
  <c r="I1007" i="2"/>
  <c r="H1007" i="2"/>
  <c r="J1007" i="2" s="1"/>
  <c r="G1007" i="2"/>
  <c r="F1007" i="2"/>
  <c r="I1006" i="2"/>
  <c r="H1006" i="2"/>
  <c r="J1006" i="2" s="1"/>
  <c r="G1006" i="2"/>
  <c r="F1006" i="2"/>
  <c r="I1005" i="2"/>
  <c r="H1005" i="2"/>
  <c r="J1005" i="2" s="1"/>
  <c r="G1005" i="2"/>
  <c r="F1005" i="2"/>
  <c r="I1004" i="2"/>
  <c r="J1004" i="2"/>
  <c r="I1003" i="2"/>
  <c r="H1003" i="2"/>
  <c r="J1003" i="2" s="1"/>
  <c r="G1003" i="2"/>
  <c r="F1003" i="2"/>
  <c r="I1002" i="2"/>
  <c r="J1002" i="2"/>
  <c r="G1002" i="2"/>
  <c r="F1002" i="2"/>
  <c r="I1001" i="2"/>
  <c r="P1001" i="2"/>
  <c r="J1001" i="2"/>
  <c r="G1001" i="2"/>
  <c r="F1001" i="2"/>
  <c r="I1000" i="2"/>
  <c r="G1000" i="2"/>
  <c r="F1000" i="2"/>
  <c r="F823" i="2"/>
  <c r="G823" i="2"/>
  <c r="H823" i="2"/>
  <c r="J823" i="2" s="1"/>
  <c r="I823" i="2"/>
  <c r="H822" i="2"/>
  <c r="J822" i="2" s="1"/>
  <c r="I822" i="2"/>
  <c r="G822" i="2"/>
  <c r="G5262" i="2"/>
  <c r="G820" i="2"/>
  <c r="F822" i="2"/>
  <c r="P2" i="2"/>
  <c r="P3" i="2"/>
  <c r="P4" i="2"/>
  <c r="J5" i="2"/>
  <c r="J6" i="2"/>
  <c r="P7" i="2"/>
  <c r="P8" i="2"/>
  <c r="P9" i="2"/>
  <c r="P10" i="2"/>
  <c r="P11" i="2"/>
  <c r="P12" i="2"/>
  <c r="J13" i="2"/>
  <c r="P14" i="2"/>
  <c r="J16" i="2"/>
  <c r="P17" i="2"/>
  <c r="J17" i="2"/>
  <c r="P18" i="2"/>
  <c r="P19" i="2"/>
  <c r="P20" i="2"/>
  <c r="J21" i="2"/>
  <c r="P22" i="2"/>
  <c r="P23" i="2"/>
  <c r="J24" i="2"/>
  <c r="J25" i="2"/>
  <c r="J26" i="2"/>
  <c r="J27" i="2"/>
  <c r="J28" i="2"/>
  <c r="J29" i="2"/>
  <c r="P30" i="2"/>
  <c r="P31" i="2"/>
  <c r="J32" i="2"/>
  <c r="P33" i="2"/>
  <c r="J33" i="2"/>
  <c r="J34" i="2"/>
  <c r="P35" i="2"/>
  <c r="J36" i="2"/>
  <c r="J37" i="2"/>
  <c r="P38" i="2"/>
  <c r="P39" i="2"/>
  <c r="J40" i="2"/>
  <c r="J41" i="2"/>
  <c r="P42" i="2"/>
  <c r="P43" i="2"/>
  <c r="P44" i="2"/>
  <c r="J45" i="2"/>
  <c r="P46" i="2"/>
  <c r="P47" i="2"/>
  <c r="J49" i="2"/>
  <c r="P50" i="2"/>
  <c r="J51" i="2"/>
  <c r="J52" i="2"/>
  <c r="P53" i="2"/>
  <c r="J54" i="2"/>
  <c r="J55" i="2"/>
  <c r="J56" i="2"/>
  <c r="J57" i="2"/>
  <c r="J59" i="2"/>
  <c r="J61" i="2"/>
  <c r="J62" i="2"/>
  <c r="J63" i="2"/>
  <c r="J64" i="2"/>
  <c r="J65" i="2"/>
  <c r="J66" i="2"/>
  <c r="J67" i="2"/>
  <c r="J69" i="2"/>
  <c r="J71" i="2"/>
  <c r="J72" i="2"/>
  <c r="P74" i="2"/>
  <c r="J75" i="2"/>
  <c r="P76" i="2"/>
  <c r="P77" i="2"/>
  <c r="J78" i="2"/>
  <c r="J79" i="2"/>
  <c r="J80" i="2"/>
  <c r="J81" i="2"/>
  <c r="J82" i="2"/>
  <c r="J83" i="2"/>
  <c r="J84" i="2"/>
  <c r="P85" i="2"/>
  <c r="J86" i="2"/>
  <c r="J87" i="2"/>
  <c r="J88" i="2"/>
  <c r="P90" i="2"/>
  <c r="J91" i="2"/>
  <c r="J92" i="2"/>
  <c r="J93" i="2"/>
  <c r="P94" i="2"/>
  <c r="J95" i="2"/>
  <c r="J96" i="2"/>
  <c r="P97" i="2"/>
  <c r="J98" i="2"/>
  <c r="J99" i="2"/>
  <c r="J100" i="2"/>
  <c r="J101" i="2"/>
  <c r="J102" i="2"/>
  <c r="J103" i="2"/>
  <c r="J104" i="2"/>
  <c r="P105" i="2"/>
  <c r="J106" i="2"/>
  <c r="J107" i="2"/>
  <c r="J108" i="2"/>
  <c r="J109" i="2"/>
  <c r="J111" i="2"/>
  <c r="J112" i="2"/>
  <c r="J113" i="2"/>
  <c r="J114" i="2"/>
  <c r="J115" i="2"/>
  <c r="J116" i="2"/>
  <c r="J117" i="2"/>
  <c r="P118" i="2"/>
  <c r="P119" i="2"/>
  <c r="J120" i="2"/>
  <c r="J121" i="2"/>
  <c r="P122" i="2"/>
  <c r="J123" i="2"/>
  <c r="J124" i="2"/>
  <c r="J125" i="2"/>
  <c r="J126" i="2"/>
  <c r="J127" i="2"/>
  <c r="J128" i="2"/>
  <c r="J129" i="2"/>
  <c r="P130" i="2"/>
  <c r="J131" i="2"/>
  <c r="J132" i="2"/>
  <c r="J133" i="2"/>
  <c r="J134" i="2"/>
  <c r="J135" i="2"/>
  <c r="J136" i="2"/>
  <c r="P137" i="2"/>
  <c r="J138" i="2"/>
  <c r="J139" i="2"/>
  <c r="J140" i="2"/>
  <c r="J141" i="2"/>
  <c r="J142" i="2"/>
  <c r="J143" i="2"/>
  <c r="J144" i="2"/>
  <c r="J145" i="2"/>
  <c r="J146" i="2"/>
  <c r="J147" i="2"/>
  <c r="J148" i="2"/>
  <c r="J149" i="2"/>
  <c r="P150" i="2"/>
  <c r="P151" i="2"/>
  <c r="J152" i="2"/>
  <c r="J153" i="2"/>
  <c r="J154" i="2"/>
  <c r="P155" i="2"/>
  <c r="J156" i="2"/>
  <c r="J157" i="2"/>
  <c r="J158" i="2"/>
  <c r="J159" i="2"/>
  <c r="J160" i="2"/>
  <c r="J161" i="2"/>
  <c r="J162" i="2"/>
  <c r="P163" i="2"/>
  <c r="J164" i="2"/>
  <c r="J165" i="2"/>
  <c r="J166" i="2"/>
  <c r="P166" i="2"/>
  <c r="J167" i="2"/>
  <c r="J168" i="2"/>
  <c r="J169" i="2"/>
  <c r="J170" i="2"/>
  <c r="J171" i="2"/>
  <c r="P172" i="2"/>
  <c r="J173" i="2"/>
  <c r="J174" i="2"/>
  <c r="J175" i="2"/>
  <c r="J176" i="2"/>
  <c r="J177" i="2"/>
  <c r="J178" i="2"/>
  <c r="J179" i="2"/>
  <c r="J180" i="2"/>
  <c r="J181" i="2"/>
  <c r="J182" i="2"/>
  <c r="J183" i="2"/>
  <c r="J184" i="2"/>
  <c r="J185" i="2"/>
  <c r="P185" i="2"/>
  <c r="J186" i="2"/>
  <c r="P187" i="2"/>
  <c r="J188" i="2"/>
  <c r="P188" i="2"/>
  <c r="J189" i="2"/>
  <c r="P190" i="2"/>
  <c r="J191" i="2"/>
  <c r="P192" i="2"/>
  <c r="J193" i="2"/>
  <c r="J194" i="2"/>
  <c r="P194" i="2"/>
  <c r="J195" i="2"/>
  <c r="P196" i="2"/>
  <c r="J197" i="2"/>
  <c r="J198" i="2"/>
  <c r="P198" i="2"/>
  <c r="P199" i="2"/>
  <c r="J200" i="2"/>
  <c r="P200" i="2"/>
  <c r="J202" i="2"/>
  <c r="J203" i="2"/>
  <c r="J204" i="2"/>
  <c r="J205" i="2"/>
  <c r="J206" i="2"/>
  <c r="J207" i="2"/>
  <c r="J208" i="2"/>
  <c r="J209" i="2"/>
  <c r="J210" i="2"/>
  <c r="J211" i="2"/>
  <c r="J212" i="2"/>
  <c r="P212" i="2"/>
  <c r="J213" i="2"/>
  <c r="J214" i="2"/>
  <c r="J215" i="2"/>
  <c r="J216" i="2"/>
  <c r="J217" i="2"/>
  <c r="P217" i="2"/>
  <c r="J218" i="2"/>
  <c r="P218" i="2"/>
  <c r="J219" i="2"/>
  <c r="J220" i="2"/>
  <c r="P221" i="2"/>
  <c r="H222" i="2"/>
  <c r="J222" i="2" s="1"/>
  <c r="H223" i="2"/>
  <c r="P223" i="2" s="1"/>
  <c r="H224" i="2"/>
  <c r="P224" i="2" s="1"/>
  <c r="J224" i="2"/>
  <c r="P225" i="2"/>
  <c r="H226" i="2"/>
  <c r="J226" i="2" s="1"/>
  <c r="H227" i="2"/>
  <c r="P227" i="2" s="1"/>
  <c r="H228" i="2"/>
  <c r="P228" i="2" s="1"/>
  <c r="H229" i="2"/>
  <c r="J229" i="2" s="1"/>
  <c r="H230" i="2"/>
  <c r="J230" i="2" s="1"/>
  <c r="H231" i="2"/>
  <c r="J231" i="2" s="1"/>
  <c r="H232" i="2"/>
  <c r="J232" i="2" s="1"/>
  <c r="H233" i="2"/>
  <c r="J233" i="2" s="1"/>
  <c r="H234" i="2"/>
  <c r="J234" i="2" s="1"/>
  <c r="H235" i="2"/>
  <c r="J235" i="2" s="1"/>
  <c r="H236" i="2"/>
  <c r="J236" i="2" s="1"/>
  <c r="H237" i="2"/>
  <c r="J237" i="2" s="1"/>
  <c r="H238" i="2"/>
  <c r="J238" i="2" s="1"/>
  <c r="H239" i="2"/>
  <c r="J239" i="2" s="1"/>
  <c r="H240" i="2"/>
  <c r="J240" i="2" s="1"/>
  <c r="H241" i="2"/>
  <c r="J241" i="2" s="1"/>
  <c r="H242" i="2"/>
  <c r="P242" i="2" s="1"/>
  <c r="H243" i="2"/>
  <c r="J243" i="2" s="1"/>
  <c r="H244" i="2"/>
  <c r="J244" i="2" s="1"/>
  <c r="H245" i="2"/>
  <c r="J245" i="2" s="1"/>
  <c r="P245" i="2"/>
  <c r="H246" i="2"/>
  <c r="P246" i="2" s="1"/>
  <c r="H247" i="2"/>
  <c r="J247" i="2" s="1"/>
  <c r="H248" i="2"/>
  <c r="J248" i="2" s="1"/>
  <c r="H249" i="2"/>
  <c r="J249" i="2" s="1"/>
  <c r="H250" i="2"/>
  <c r="P250" i="2" s="1"/>
  <c r="H251" i="2"/>
  <c r="P251" i="2" s="1"/>
  <c r="H252" i="2"/>
  <c r="J252" i="2" s="1"/>
  <c r="H253" i="2"/>
  <c r="J253" i="2" s="1"/>
  <c r="H254" i="2"/>
  <c r="J254" i="2" s="1"/>
  <c r="H255" i="2"/>
  <c r="J255" i="2" s="1"/>
  <c r="H256" i="2"/>
  <c r="J256" i="2" s="1"/>
  <c r="H257" i="2"/>
  <c r="J257" i="2" s="1"/>
  <c r="P257" i="2"/>
  <c r="H258" i="2"/>
  <c r="J258" i="2" s="1"/>
  <c r="H259" i="2"/>
  <c r="J259" i="2" s="1"/>
  <c r="H260" i="2"/>
  <c r="J260" i="2" s="1"/>
  <c r="H261" i="2"/>
  <c r="J261" i="2" s="1"/>
  <c r="H262" i="2"/>
  <c r="J262" i="2" s="1"/>
  <c r="H263" i="2"/>
  <c r="J263" i="2" s="1"/>
  <c r="H264" i="2"/>
  <c r="J264" i="2" s="1"/>
  <c r="H265" i="2"/>
  <c r="J265" i="2" s="1"/>
  <c r="H266" i="2"/>
  <c r="J266" i="2" s="1"/>
  <c r="H267" i="2"/>
  <c r="J267" i="2" s="1"/>
  <c r="H268" i="2"/>
  <c r="J268" i="2" s="1"/>
  <c r="H269" i="2"/>
  <c r="P269" i="2" s="1"/>
  <c r="H270" i="2"/>
  <c r="J270" i="2" s="1"/>
  <c r="H271" i="2"/>
  <c r="J271" i="2" s="1"/>
  <c r="H272" i="2"/>
  <c r="J272" i="2" s="1"/>
  <c r="H273" i="2"/>
  <c r="J273" i="2" s="1"/>
  <c r="H274" i="2"/>
  <c r="J274" i="2" s="1"/>
  <c r="H275" i="2"/>
  <c r="J275" i="2" s="1"/>
  <c r="H276" i="2"/>
  <c r="J276" i="2" s="1"/>
  <c r="H277" i="2"/>
  <c r="J277" i="2" s="1"/>
  <c r="H278" i="2"/>
  <c r="J278" i="2" s="1"/>
  <c r="H279" i="2"/>
  <c r="J279" i="2" s="1"/>
  <c r="H280" i="2"/>
  <c r="J280" i="2" s="1"/>
  <c r="H281" i="2"/>
  <c r="J281" i="2" s="1"/>
  <c r="H282" i="2"/>
  <c r="J282" i="2" s="1"/>
  <c r="H283" i="2"/>
  <c r="J283" i="2" s="1"/>
  <c r="H284" i="2"/>
  <c r="P284" i="2" s="1"/>
  <c r="H285" i="2"/>
  <c r="J285" i="2" s="1"/>
  <c r="H286" i="2"/>
  <c r="J286" i="2" s="1"/>
  <c r="H287" i="2"/>
  <c r="P287" i="2" s="1"/>
  <c r="H288" i="2"/>
  <c r="J288" i="2" s="1"/>
  <c r="H289" i="2"/>
  <c r="J289" i="2" s="1"/>
  <c r="H290" i="2"/>
  <c r="J290" i="2" s="1"/>
  <c r="H291" i="2"/>
  <c r="J291" i="2" s="1"/>
  <c r="H292" i="2"/>
  <c r="J292" i="2" s="1"/>
  <c r="H293" i="2"/>
  <c r="P293" i="2" s="1"/>
  <c r="H294" i="2"/>
  <c r="P294" i="2" s="1"/>
  <c r="H295" i="2"/>
  <c r="P295" i="2" s="1"/>
  <c r="H296" i="2"/>
  <c r="J296" i="2" s="1"/>
  <c r="H297" i="2"/>
  <c r="J297" i="2" s="1"/>
  <c r="H298" i="2"/>
  <c r="J298" i="2" s="1"/>
  <c r="H299" i="2"/>
  <c r="P299" i="2" s="1"/>
  <c r="H301" i="2"/>
  <c r="J301" i="2" s="1"/>
  <c r="H302" i="2"/>
  <c r="J302" i="2" s="1"/>
  <c r="H303" i="2"/>
  <c r="J303" i="2" s="1"/>
  <c r="H304" i="2"/>
  <c r="J304" i="2" s="1"/>
  <c r="H305" i="2"/>
  <c r="J305" i="2" s="1"/>
  <c r="H306" i="2"/>
  <c r="J306" i="2" s="1"/>
  <c r="H307" i="2"/>
  <c r="J307" i="2" s="1"/>
  <c r="H308" i="2"/>
  <c r="J308" i="2" s="1"/>
  <c r="H309" i="2"/>
  <c r="J309" i="2" s="1"/>
  <c r="H310" i="2"/>
  <c r="J310" i="2" s="1"/>
  <c r="H311" i="2"/>
  <c r="J311" i="2" s="1"/>
  <c r="H312" i="2"/>
  <c r="J312" i="2" s="1"/>
  <c r="H313" i="2"/>
  <c r="J313" i="2" s="1"/>
  <c r="H314" i="2"/>
  <c r="J314" i="2" s="1"/>
  <c r="H315" i="2"/>
  <c r="J315" i="2" s="1"/>
  <c r="H316" i="2"/>
  <c r="J316" i="2" s="1"/>
  <c r="H317" i="2"/>
  <c r="J317" i="2" s="1"/>
  <c r="H318" i="2"/>
  <c r="J318" i="2" s="1"/>
  <c r="H319" i="2"/>
  <c r="J319" i="2" s="1"/>
  <c r="H320" i="2"/>
  <c r="J320" i="2" s="1"/>
  <c r="H321" i="2"/>
  <c r="J321" i="2" s="1"/>
  <c r="H322" i="2"/>
  <c r="J322" i="2" s="1"/>
  <c r="H323" i="2"/>
  <c r="J323" i="2" s="1"/>
  <c r="H324" i="2"/>
  <c r="J324" i="2" s="1"/>
  <c r="H325" i="2"/>
  <c r="J325" i="2" s="1"/>
  <c r="H326" i="2"/>
  <c r="J326" i="2" s="1"/>
  <c r="H327" i="2"/>
  <c r="H328" i="2"/>
  <c r="J328" i="2" s="1"/>
  <c r="P328" i="2"/>
  <c r="H330" i="2"/>
  <c r="J330" i="2" s="1"/>
  <c r="P331" i="2"/>
  <c r="H333" i="2"/>
  <c r="J333" i="2" s="1"/>
  <c r="H334" i="2"/>
  <c r="J334" i="2" s="1"/>
  <c r="H335" i="2"/>
  <c r="J335" i="2" s="1"/>
  <c r="H336" i="2"/>
  <c r="J336" i="2" s="1"/>
  <c r="H337" i="2"/>
  <c r="J337" i="2" s="1"/>
  <c r="H338" i="2"/>
  <c r="P338" i="2" s="1"/>
  <c r="H339" i="2"/>
  <c r="J339" i="2" s="1"/>
  <c r="H340" i="2"/>
  <c r="J340" i="2" s="1"/>
  <c r="H341" i="2"/>
  <c r="J341" i="2" s="1"/>
  <c r="H342" i="2"/>
  <c r="J342" i="2" s="1"/>
  <c r="H343" i="2"/>
  <c r="J343" i="2" s="1"/>
  <c r="H344" i="2"/>
  <c r="P344" i="2" s="1"/>
  <c r="H345" i="2"/>
  <c r="J345" i="2" s="1"/>
  <c r="H346" i="2"/>
  <c r="J346" i="2" s="1"/>
  <c r="H347" i="2"/>
  <c r="J347" i="2" s="1"/>
  <c r="H349" i="2"/>
  <c r="P349" i="2" s="1"/>
  <c r="H351" i="2"/>
  <c r="J351" i="2" s="1"/>
  <c r="H352" i="2"/>
  <c r="P352" i="2" s="1"/>
  <c r="H353" i="2"/>
  <c r="J353" i="2" s="1"/>
  <c r="H354" i="2"/>
  <c r="P354" i="2" s="1"/>
  <c r="H355" i="2"/>
  <c r="J355" i="2" s="1"/>
  <c r="H356" i="2"/>
  <c r="J356" i="2" s="1"/>
  <c r="H357" i="2"/>
  <c r="J357" i="2" s="1"/>
  <c r="H358" i="2"/>
  <c r="P358" i="2" s="1"/>
  <c r="H359" i="2"/>
  <c r="J359" i="2" s="1"/>
  <c r="H360" i="2"/>
  <c r="J360" i="2" s="1"/>
  <c r="H361" i="2"/>
  <c r="J361" i="2" s="1"/>
  <c r="H362" i="2"/>
  <c r="P362" i="2" s="1"/>
  <c r="H363" i="2"/>
  <c r="J363" i="2" s="1"/>
  <c r="H364" i="2"/>
  <c r="J364" i="2" s="1"/>
  <c r="H365" i="2"/>
  <c r="J365" i="2" s="1"/>
  <c r="J366" i="2"/>
  <c r="P366" i="2"/>
  <c r="P368" i="2"/>
  <c r="J370" i="2"/>
  <c r="P370" i="2"/>
  <c r="P371" i="2"/>
  <c r="H372" i="2"/>
  <c r="J372" i="2" s="1"/>
  <c r="H373" i="2"/>
  <c r="J373" i="2" s="1"/>
  <c r="H374" i="2"/>
  <c r="P374" i="2" s="1"/>
  <c r="H375" i="2"/>
  <c r="J375" i="2" s="1"/>
  <c r="H376" i="2"/>
  <c r="J376" i="2" s="1"/>
  <c r="H377" i="2"/>
  <c r="J377" i="2" s="1"/>
  <c r="H378" i="2"/>
  <c r="J378" i="2" s="1"/>
  <c r="H379" i="2"/>
  <c r="J379" i="2" s="1"/>
  <c r="P380" i="2"/>
  <c r="H381" i="2"/>
  <c r="J381" i="2" s="1"/>
  <c r="H382" i="2"/>
  <c r="J382" i="2" s="1"/>
  <c r="H383" i="2"/>
  <c r="J383" i="2" s="1"/>
  <c r="H384" i="2"/>
  <c r="J384" i="2" s="1"/>
  <c r="H385" i="2"/>
  <c r="J385" i="2" s="1"/>
  <c r="H386" i="2"/>
  <c r="J386" i="2" s="1"/>
  <c r="H387" i="2"/>
  <c r="J387" i="2" s="1"/>
  <c r="H388" i="2"/>
  <c r="J388" i="2" s="1"/>
  <c r="H389" i="2"/>
  <c r="J389" i="2" s="1"/>
  <c r="H390" i="2"/>
  <c r="P390" i="2" s="1"/>
  <c r="H391" i="2"/>
  <c r="J391" i="2" s="1"/>
  <c r="H392" i="2"/>
  <c r="J392" i="2" s="1"/>
  <c r="H393" i="2"/>
  <c r="J393" i="2" s="1"/>
  <c r="H394" i="2"/>
  <c r="J394" i="2" s="1"/>
  <c r="H395" i="2"/>
  <c r="J395" i="2" s="1"/>
  <c r="H396" i="2"/>
  <c r="J396" i="2" s="1"/>
  <c r="H397" i="2"/>
  <c r="J397" i="2" s="1"/>
  <c r="H398" i="2"/>
  <c r="J398" i="2" s="1"/>
  <c r="H399" i="2"/>
  <c r="P399" i="2" s="1"/>
  <c r="H400" i="2"/>
  <c r="P400" i="2" s="1"/>
  <c r="P401" i="2"/>
  <c r="H402" i="2"/>
  <c r="J402" i="2" s="1"/>
  <c r="H403" i="2"/>
  <c r="J403" i="2" s="1"/>
  <c r="H404" i="2"/>
  <c r="J404" i="2" s="1"/>
  <c r="H405" i="2"/>
  <c r="J405" i="2" s="1"/>
  <c r="H406" i="2"/>
  <c r="J406" i="2" s="1"/>
  <c r="H407" i="2"/>
  <c r="J407" i="2" s="1"/>
  <c r="H408" i="2"/>
  <c r="J408" i="2" s="1"/>
  <c r="H409" i="2"/>
  <c r="J409" i="2" s="1"/>
  <c r="H410" i="2"/>
  <c r="J410" i="2" s="1"/>
  <c r="H411" i="2"/>
  <c r="J411" i="2" s="1"/>
  <c r="H412" i="2"/>
  <c r="J412" i="2" s="1"/>
  <c r="J413" i="2"/>
  <c r="H414" i="2"/>
  <c r="J414" i="2" s="1"/>
  <c r="H415" i="2"/>
  <c r="J415" i="2" s="1"/>
  <c r="J416" i="2"/>
  <c r="P416" i="2"/>
  <c r="J417" i="2"/>
  <c r="P417" i="2"/>
  <c r="P419" i="2"/>
  <c r="H420" i="2"/>
  <c r="P420" i="2" s="1"/>
  <c r="H421" i="2"/>
  <c r="J421" i="2" s="1"/>
  <c r="H422" i="2"/>
  <c r="J422" i="2" s="1"/>
  <c r="H423" i="2"/>
  <c r="J423" i="2" s="1"/>
  <c r="H424" i="2"/>
  <c r="J424" i="2" s="1"/>
  <c r="H425" i="2"/>
  <c r="J425" i="2" s="1"/>
  <c r="H426" i="2"/>
  <c r="J426" i="2" s="1"/>
  <c r="H427" i="2"/>
  <c r="J427" i="2" s="1"/>
  <c r="H428" i="2"/>
  <c r="J428" i="2" s="1"/>
  <c r="H429" i="2"/>
  <c r="H430" i="2"/>
  <c r="J430" i="2" s="1"/>
  <c r="H431" i="2"/>
  <c r="J431" i="2" s="1"/>
  <c r="H432" i="2"/>
  <c r="J432" i="2" s="1"/>
  <c r="H433" i="2"/>
  <c r="J433" i="2" s="1"/>
  <c r="H434" i="2"/>
  <c r="J434" i="2" s="1"/>
  <c r="H435" i="2"/>
  <c r="J435" i="2" s="1"/>
  <c r="H436" i="2"/>
  <c r="J436" i="2" s="1"/>
  <c r="H437" i="2"/>
  <c r="J437" i="2" s="1"/>
  <c r="H438" i="2"/>
  <c r="J438" i="2" s="1"/>
  <c r="H439" i="2"/>
  <c r="P439" i="2" s="1"/>
  <c r="H440" i="2"/>
  <c r="P440" i="2" s="1"/>
  <c r="H441" i="2"/>
  <c r="J441" i="2" s="1"/>
  <c r="H442" i="2"/>
  <c r="J442" i="2" s="1"/>
  <c r="J443" i="2"/>
  <c r="P443" i="2"/>
  <c r="H444" i="2"/>
  <c r="J444" i="2" s="1"/>
  <c r="H445" i="2"/>
  <c r="J445" i="2" s="1"/>
  <c r="H446" i="2"/>
  <c r="J446" i="2" s="1"/>
  <c r="H447" i="2"/>
  <c r="J447" i="2" s="1"/>
  <c r="H448" i="2"/>
  <c r="J448" i="2" s="1"/>
  <c r="H449" i="2"/>
  <c r="J449" i="2" s="1"/>
  <c r="H450" i="2"/>
  <c r="J450" i="2" s="1"/>
  <c r="H451" i="2"/>
  <c r="J451" i="2" s="1"/>
  <c r="H452" i="2"/>
  <c r="J452" i="2" s="1"/>
  <c r="H453" i="2"/>
  <c r="J453" i="2" s="1"/>
  <c r="H454" i="2"/>
  <c r="J454" i="2" s="1"/>
  <c r="H455" i="2"/>
  <c r="J455" i="2" s="1"/>
  <c r="H456" i="2"/>
  <c r="J456" i="2" s="1"/>
  <c r="H457" i="2"/>
  <c r="J457" i="2" s="1"/>
  <c r="H458" i="2"/>
  <c r="J458" i="2" s="1"/>
  <c r="H459" i="2"/>
  <c r="J459" i="2" s="1"/>
  <c r="J461" i="2"/>
  <c r="P461" i="2"/>
  <c r="H462" i="2"/>
  <c r="J462" i="2" s="1"/>
  <c r="H463" i="2"/>
  <c r="J463" i="2" s="1"/>
  <c r="H464" i="2"/>
  <c r="P464" i="2" s="1"/>
  <c r="H465" i="2"/>
  <c r="J465" i="2" s="1"/>
  <c r="H466" i="2"/>
  <c r="J466" i="2" s="1"/>
  <c r="H467" i="2"/>
  <c r="J467" i="2" s="1"/>
  <c r="H469" i="2"/>
  <c r="J469" i="2" s="1"/>
  <c r="H470" i="2"/>
  <c r="J470" i="2" s="1"/>
  <c r="H471" i="2"/>
  <c r="J471" i="2" s="1"/>
  <c r="H473" i="2"/>
  <c r="J473" i="2" s="1"/>
  <c r="H474" i="2"/>
  <c r="J474" i="2" s="1"/>
  <c r="H475" i="2"/>
  <c r="J475" i="2" s="1"/>
  <c r="H476" i="2"/>
  <c r="J476" i="2" s="1"/>
  <c r="H477" i="2"/>
  <c r="J477" i="2" s="1"/>
  <c r="H478" i="2"/>
  <c r="J478" i="2" s="1"/>
  <c r="H479" i="2"/>
  <c r="J479" i="2" s="1"/>
  <c r="H480" i="2"/>
  <c r="J480" i="2" s="1"/>
  <c r="P480" i="2"/>
  <c r="H481" i="2"/>
  <c r="J481" i="2" s="1"/>
  <c r="H482" i="2"/>
  <c r="J482" i="2" s="1"/>
  <c r="H483" i="2"/>
  <c r="J483" i="2" s="1"/>
  <c r="H484" i="2"/>
  <c r="J484" i="2" s="1"/>
  <c r="H485" i="2"/>
  <c r="J485" i="2" s="1"/>
  <c r="H486" i="2"/>
  <c r="J486" i="2" s="1"/>
  <c r="H487" i="2"/>
  <c r="P487" i="2"/>
  <c r="H489" i="2"/>
  <c r="J489" i="2" s="1"/>
  <c r="H491" i="2"/>
  <c r="P491" i="2" s="1"/>
  <c r="H492" i="2"/>
  <c r="P492" i="2" s="1"/>
  <c r="P494" i="2"/>
  <c r="H495" i="2"/>
  <c r="J495" i="2" s="1"/>
  <c r="H496" i="2"/>
  <c r="J496" i="2" s="1"/>
  <c r="H497" i="2"/>
  <c r="J497" i="2" s="1"/>
  <c r="H498" i="2"/>
  <c r="J498" i="2" s="1"/>
  <c r="H499" i="2"/>
  <c r="J499" i="2" s="1"/>
  <c r="H500" i="2"/>
  <c r="J500" i="2" s="1"/>
  <c r="H501" i="2"/>
  <c r="J501" i="2" s="1"/>
  <c r="H502" i="2"/>
  <c r="J502" i="2" s="1"/>
  <c r="H503" i="2"/>
  <c r="P503" i="2" s="1"/>
  <c r="H504" i="2"/>
  <c r="P504" i="2" s="1"/>
  <c r="H505" i="2"/>
  <c r="J505" i="2" s="1"/>
  <c r="H506" i="2"/>
  <c r="P506" i="2" s="1"/>
  <c r="H507" i="2"/>
  <c r="J507" i="2" s="1"/>
  <c r="H508" i="2"/>
  <c r="J508" i="2" s="1"/>
  <c r="H509" i="2"/>
  <c r="J509" i="2" s="1"/>
  <c r="H510" i="2"/>
  <c r="J510" i="2" s="1"/>
  <c r="H511" i="2"/>
  <c r="J511" i="2" s="1"/>
  <c r="H512" i="2"/>
  <c r="J512" i="2" s="1"/>
  <c r="H513" i="2"/>
  <c r="J513" i="2" s="1"/>
  <c r="H514" i="2"/>
  <c r="J514" i="2" s="1"/>
  <c r="H515" i="2"/>
  <c r="J515" i="2" s="1"/>
  <c r="H516" i="2"/>
  <c r="P516" i="2" s="1"/>
  <c r="H517" i="2"/>
  <c r="J517" i="2" s="1"/>
  <c r="H518" i="2"/>
  <c r="J518" i="2" s="1"/>
  <c r="H519" i="2"/>
  <c r="J519" i="2" s="1"/>
  <c r="H520" i="2"/>
  <c r="J520" i="2" s="1"/>
  <c r="H521" i="2"/>
  <c r="J521" i="2" s="1"/>
  <c r="H522" i="2"/>
  <c r="P522" i="2"/>
  <c r="H523" i="2"/>
  <c r="J523" i="2" s="1"/>
  <c r="H525" i="2"/>
  <c r="J525" i="2" s="1"/>
  <c r="H526" i="2"/>
  <c r="J526" i="2" s="1"/>
  <c r="H527" i="2"/>
  <c r="J527" i="2" s="1"/>
  <c r="H528" i="2"/>
  <c r="J528" i="2" s="1"/>
  <c r="H529" i="2"/>
  <c r="J529" i="2" s="1"/>
  <c r="H530" i="2"/>
  <c r="J530" i="2" s="1"/>
  <c r="H531" i="2"/>
  <c r="J531" i="2" s="1"/>
  <c r="H532" i="2"/>
  <c r="P532" i="2" s="1"/>
  <c r="H533" i="2"/>
  <c r="P533" i="2" s="1"/>
  <c r="H534" i="2"/>
  <c r="J534" i="2" s="1"/>
  <c r="H535" i="2"/>
  <c r="P535" i="2" s="1"/>
  <c r="H536" i="2"/>
  <c r="J536" i="2" s="1"/>
  <c r="H538" i="2"/>
  <c r="J538" i="2" s="1"/>
  <c r="H539" i="2"/>
  <c r="J539" i="2" s="1"/>
  <c r="H540" i="2"/>
  <c r="P540" i="2"/>
  <c r="H542" i="2"/>
  <c r="J542" i="2" s="1"/>
  <c r="H543" i="2"/>
  <c r="J543" i="2" s="1"/>
  <c r="H544" i="2"/>
  <c r="J544" i="2" s="1"/>
  <c r="H545" i="2"/>
  <c r="J545" i="2" s="1"/>
  <c r="H546" i="2"/>
  <c r="J546" i="2" s="1"/>
  <c r="H547" i="2"/>
  <c r="J547" i="2" s="1"/>
  <c r="H548" i="2"/>
  <c r="J548" i="2" s="1"/>
  <c r="H549" i="2"/>
  <c r="P549" i="2" s="1"/>
  <c r="H550" i="2"/>
  <c r="J550" i="2" s="1"/>
  <c r="H551" i="2"/>
  <c r="J551" i="2" s="1"/>
  <c r="H552" i="2"/>
  <c r="J552" i="2" s="1"/>
  <c r="H553" i="2"/>
  <c r="J553" i="2" s="1"/>
  <c r="H554" i="2"/>
  <c r="P554" i="2" s="1"/>
  <c r="H555" i="2"/>
  <c r="J555" i="2" s="1"/>
  <c r="H556" i="2"/>
  <c r="J556" i="2" s="1"/>
  <c r="H557" i="2"/>
  <c r="J557" i="2" s="1"/>
  <c r="P557" i="2"/>
  <c r="H558" i="2"/>
  <c r="J558" i="2" s="1"/>
  <c r="H559" i="2"/>
  <c r="J559" i="2" s="1"/>
  <c r="H560" i="2"/>
  <c r="J560" i="2" s="1"/>
  <c r="H562" i="2"/>
  <c r="J562" i="2" s="1"/>
  <c r="H563" i="2"/>
  <c r="J563" i="2" s="1"/>
  <c r="H564" i="2"/>
  <c r="P564" i="2" s="1"/>
  <c r="H565" i="2"/>
  <c r="J565" i="2" s="1"/>
  <c r="H566" i="2"/>
  <c r="J566" i="2" s="1"/>
  <c r="H567" i="2"/>
  <c r="J567" i="2" s="1"/>
  <c r="H568" i="2"/>
  <c r="J568" i="2" s="1"/>
  <c r="H569" i="2"/>
  <c r="J569" i="2" s="1"/>
  <c r="H570" i="2"/>
  <c r="J570" i="2" s="1"/>
  <c r="H571" i="2"/>
  <c r="J571" i="2" s="1"/>
  <c r="H572" i="2"/>
  <c r="J572" i="2" s="1"/>
  <c r="H573" i="2"/>
  <c r="P573" i="2" s="1"/>
  <c r="H574" i="2"/>
  <c r="J574" i="2" s="1"/>
  <c r="J575" i="2"/>
  <c r="P575" i="2"/>
  <c r="H576" i="2"/>
  <c r="J576" i="2" s="1"/>
  <c r="H577" i="2"/>
  <c r="J577" i="2" s="1"/>
  <c r="H578" i="2"/>
  <c r="J578" i="2" s="1"/>
  <c r="H579" i="2"/>
  <c r="J579" i="2" s="1"/>
  <c r="H580" i="2"/>
  <c r="J580" i="2" s="1"/>
  <c r="H581" i="2"/>
  <c r="J581" i="2" s="1"/>
  <c r="H582" i="2"/>
  <c r="P582" i="2" s="1"/>
  <c r="H583" i="2"/>
  <c r="J583" i="2" s="1"/>
  <c r="H584" i="2"/>
  <c r="J584" i="2" s="1"/>
  <c r="H585" i="2"/>
  <c r="J585" i="2" s="1"/>
  <c r="H586" i="2"/>
  <c r="J586" i="2" s="1"/>
  <c r="H587" i="2"/>
  <c r="J587" i="2" s="1"/>
  <c r="H588" i="2"/>
  <c r="J588" i="2" s="1"/>
  <c r="H589" i="2"/>
  <c r="J589" i="2" s="1"/>
  <c r="H590" i="2"/>
  <c r="J590" i="2" s="1"/>
  <c r="H591" i="2"/>
  <c r="J591" i="2" s="1"/>
  <c r="H592" i="2"/>
  <c r="J592" i="2" s="1"/>
  <c r="H593" i="2"/>
  <c r="J593" i="2" s="1"/>
  <c r="H594" i="2"/>
  <c r="J594" i="2" s="1"/>
  <c r="H595" i="2"/>
  <c r="P595" i="2" s="1"/>
  <c r="H596" i="2"/>
  <c r="P596" i="2" s="1"/>
  <c r="H597" i="2"/>
  <c r="J597" i="2" s="1"/>
  <c r="H598" i="2"/>
  <c r="J598" i="2" s="1"/>
  <c r="H599" i="2"/>
  <c r="J599" i="2" s="1"/>
  <c r="H600" i="2"/>
  <c r="P600" i="2" s="1"/>
  <c r="H601" i="2"/>
  <c r="J601" i="2" s="1"/>
  <c r="H602" i="2"/>
  <c r="J602" i="2" s="1"/>
  <c r="H603" i="2"/>
  <c r="J603" i="2" s="1"/>
  <c r="H604" i="2"/>
  <c r="J604" i="2" s="1"/>
  <c r="H605" i="2"/>
  <c r="J605" i="2" s="1"/>
  <c r="H606" i="2"/>
  <c r="J606" i="2" s="1"/>
  <c r="H607" i="2"/>
  <c r="J607" i="2" s="1"/>
  <c r="H608" i="2"/>
  <c r="J608" i="2" s="1"/>
  <c r="H609" i="2"/>
  <c r="P609" i="2" s="1"/>
  <c r="H610" i="2"/>
  <c r="J610" i="2" s="1"/>
  <c r="H611" i="2"/>
  <c r="J611" i="2" s="1"/>
  <c r="H612" i="2"/>
  <c r="J612" i="2" s="1"/>
  <c r="H613" i="2"/>
  <c r="J613" i="2" s="1"/>
  <c r="H614" i="2"/>
  <c r="J614" i="2" s="1"/>
  <c r="H615" i="2"/>
  <c r="J615" i="2" s="1"/>
  <c r="H616" i="2"/>
  <c r="J616" i="2" s="1"/>
  <c r="H617" i="2"/>
  <c r="J617" i="2" s="1"/>
  <c r="H619" i="2"/>
  <c r="J619" i="2" s="1"/>
  <c r="H620" i="2"/>
  <c r="J620" i="2" s="1"/>
  <c r="H623" i="2"/>
  <c r="J623" i="2" s="1"/>
  <c r="H624" i="2"/>
  <c r="J624" i="2" s="1"/>
  <c r="H625" i="2"/>
  <c r="J625" i="2" s="1"/>
  <c r="H626" i="2"/>
  <c r="P626" i="2" s="1"/>
  <c r="H627" i="2"/>
  <c r="J627" i="2" s="1"/>
  <c r="H628" i="2"/>
  <c r="J628" i="2" s="1"/>
  <c r="H629" i="2"/>
  <c r="J629" i="2" s="1"/>
  <c r="H630" i="2"/>
  <c r="J630" i="2" s="1"/>
  <c r="H631" i="2"/>
  <c r="J631" i="2" s="1"/>
  <c r="P631" i="2"/>
  <c r="H632" i="2"/>
  <c r="J632" i="2" s="1"/>
  <c r="H633" i="2"/>
  <c r="J633" i="2" s="1"/>
  <c r="H634" i="2"/>
  <c r="J634" i="2" s="1"/>
  <c r="H635" i="2"/>
  <c r="J635" i="2" s="1"/>
  <c r="H636" i="2"/>
  <c r="J636" i="2" s="1"/>
  <c r="H637" i="2"/>
  <c r="J637" i="2" s="1"/>
  <c r="H638" i="2"/>
  <c r="P638" i="2" s="1"/>
  <c r="H639" i="2"/>
  <c r="P639" i="2" s="1"/>
  <c r="H642" i="2"/>
  <c r="J642" i="2" s="1"/>
  <c r="H643" i="2"/>
  <c r="J643" i="2" s="1"/>
  <c r="H644" i="2"/>
  <c r="J644" i="2" s="1"/>
  <c r="H645" i="2"/>
  <c r="J645" i="2" s="1"/>
  <c r="H646" i="2"/>
  <c r="J646" i="2" s="1"/>
  <c r="H647" i="2"/>
  <c r="J647" i="2" s="1"/>
  <c r="H648" i="2"/>
  <c r="J648" i="2" s="1"/>
  <c r="H649" i="2"/>
  <c r="J649" i="2" s="1"/>
  <c r="H650" i="2"/>
  <c r="J650" i="2" s="1"/>
  <c r="H651" i="2"/>
  <c r="P651" i="2" s="1"/>
  <c r="H652" i="2"/>
  <c r="J652" i="2" s="1"/>
  <c r="H653" i="2"/>
  <c r="J653" i="2" s="1"/>
  <c r="H654" i="2"/>
  <c r="J654" i="2" s="1"/>
  <c r="H656" i="2"/>
  <c r="J656" i="2" s="1"/>
  <c r="H657" i="2"/>
  <c r="J657" i="2" s="1"/>
  <c r="H658" i="2"/>
  <c r="J658" i="2" s="1"/>
  <c r="H659" i="2"/>
  <c r="J659" i="2" s="1"/>
  <c r="H660" i="2"/>
  <c r="J660" i="2" s="1"/>
  <c r="H661" i="2"/>
  <c r="J661" i="2" s="1"/>
  <c r="H662" i="2"/>
  <c r="J662" i="2" s="1"/>
  <c r="H663" i="2"/>
  <c r="J663" i="2" s="1"/>
  <c r="H664" i="2"/>
  <c r="J664" i="2" s="1"/>
  <c r="H665" i="2"/>
  <c r="J665" i="2" s="1"/>
  <c r="H666" i="2"/>
  <c r="P666" i="2" s="1"/>
  <c r="H667" i="2"/>
  <c r="J667" i="2" s="1"/>
  <c r="P668" i="2"/>
  <c r="P670" i="2"/>
  <c r="H671" i="2"/>
  <c r="J671" i="2" s="1"/>
  <c r="H672" i="2"/>
  <c r="J672" i="2" s="1"/>
  <c r="H673" i="2"/>
  <c r="J673" i="2" s="1"/>
  <c r="H674" i="2"/>
  <c r="J674" i="2" s="1"/>
  <c r="H675" i="2"/>
  <c r="J675" i="2" s="1"/>
  <c r="H676" i="2"/>
  <c r="J676" i="2" s="1"/>
  <c r="H677" i="2"/>
  <c r="J677" i="2" s="1"/>
  <c r="H678" i="2"/>
  <c r="J678" i="2" s="1"/>
  <c r="H679" i="2"/>
  <c r="J679" i="2" s="1"/>
  <c r="H680" i="2"/>
  <c r="J680" i="2" s="1"/>
  <c r="H681" i="2"/>
  <c r="J681" i="2" s="1"/>
  <c r="H682" i="2"/>
  <c r="J682" i="2" s="1"/>
  <c r="H683" i="2"/>
  <c r="J683" i="2" s="1"/>
  <c r="H684" i="2"/>
  <c r="J684" i="2" s="1"/>
  <c r="H685" i="2"/>
  <c r="J685" i="2" s="1"/>
  <c r="H686" i="2"/>
  <c r="J686" i="2" s="1"/>
  <c r="H687" i="2"/>
  <c r="J687" i="2" s="1"/>
  <c r="H688" i="2"/>
  <c r="J688" i="2" s="1"/>
  <c r="H689" i="2"/>
  <c r="J689" i="2" s="1"/>
  <c r="H691" i="2"/>
  <c r="J691" i="2" s="1"/>
  <c r="H692" i="2"/>
  <c r="J692" i="2" s="1"/>
  <c r="H694" i="2"/>
  <c r="J694" i="2" s="1"/>
  <c r="H695" i="2"/>
  <c r="J695" i="2" s="1"/>
  <c r="H696" i="2"/>
  <c r="J696" i="2" s="1"/>
  <c r="H697" i="2"/>
  <c r="J697" i="2" s="1"/>
  <c r="H698" i="2"/>
  <c r="J698" i="2" s="1"/>
  <c r="H699" i="2"/>
  <c r="J699" i="2" s="1"/>
  <c r="H700" i="2"/>
  <c r="J700" i="2" s="1"/>
  <c r="H701" i="2"/>
  <c r="J701" i="2" s="1"/>
  <c r="H702" i="2"/>
  <c r="P702" i="2"/>
  <c r="H703" i="2"/>
  <c r="J703" i="2" s="1"/>
  <c r="H705" i="2"/>
  <c r="J705" i="2" s="1"/>
  <c r="H707" i="2"/>
  <c r="J707" i="2" s="1"/>
  <c r="H708" i="2"/>
  <c r="J708" i="2" s="1"/>
  <c r="H709" i="2"/>
  <c r="J709" i="2" s="1"/>
  <c r="H710" i="2"/>
  <c r="J710" i="2" s="1"/>
  <c r="H711" i="2"/>
  <c r="J711" i="2" s="1"/>
  <c r="H712" i="2"/>
  <c r="J712" i="2" s="1"/>
  <c r="H714" i="2"/>
  <c r="J714" i="2" s="1"/>
  <c r="H715" i="2"/>
  <c r="J715" i="2" s="1"/>
  <c r="H716" i="2"/>
  <c r="J716" i="2" s="1"/>
  <c r="H717" i="2"/>
  <c r="J717" i="2" s="1"/>
  <c r="H718" i="2"/>
  <c r="J718" i="2" s="1"/>
  <c r="H719" i="2"/>
  <c r="J719" i="2" s="1"/>
  <c r="H720" i="2"/>
  <c r="P720" i="2" s="1"/>
  <c r="H721" i="2"/>
  <c r="P721" i="2" s="1"/>
  <c r="J723" i="2"/>
  <c r="J724" i="2"/>
  <c r="P724" i="2"/>
  <c r="J725" i="2"/>
  <c r="P725" i="2"/>
  <c r="J727" i="2"/>
  <c r="P727" i="2"/>
  <c r="J728" i="2"/>
  <c r="J730" i="2"/>
  <c r="P730" i="2"/>
  <c r="P731" i="2"/>
  <c r="H732" i="2"/>
  <c r="J732" i="2" s="1"/>
  <c r="H733" i="2"/>
  <c r="J733" i="2" s="1"/>
  <c r="H734" i="2"/>
  <c r="J734" i="2" s="1"/>
  <c r="H735" i="2"/>
  <c r="J735" i="2" s="1"/>
  <c r="H736" i="2"/>
  <c r="J736" i="2" s="1"/>
  <c r="H737" i="2"/>
  <c r="J737" i="2" s="1"/>
  <c r="H738" i="2"/>
  <c r="J738" i="2" s="1"/>
  <c r="H739" i="2"/>
  <c r="J739" i="2" s="1"/>
  <c r="H740" i="2"/>
  <c r="J740" i="2" s="1"/>
  <c r="H741" i="2"/>
  <c r="J741" i="2" s="1"/>
  <c r="P742" i="2"/>
  <c r="H744" i="2"/>
  <c r="J744" i="2" s="1"/>
  <c r="H746" i="2"/>
  <c r="J746" i="2" s="1"/>
  <c r="H747" i="2"/>
  <c r="J747" i="2" s="1"/>
  <c r="H749" i="2"/>
  <c r="J749" i="2" s="1"/>
  <c r="H751" i="2"/>
  <c r="J751" i="2" s="1"/>
  <c r="H753" i="2"/>
  <c r="J753" i="2" s="1"/>
  <c r="P754" i="2"/>
  <c r="H755" i="2"/>
  <c r="J755" i="2" s="1"/>
  <c r="H757" i="2"/>
  <c r="J757" i="2" s="1"/>
  <c r="H758" i="2"/>
  <c r="J758" i="2" s="1"/>
  <c r="H759" i="2"/>
  <c r="J759" i="2" s="1"/>
  <c r="H762" i="2"/>
  <c r="J762" i="2" s="1"/>
  <c r="H763" i="2"/>
  <c r="J763" i="2" s="1"/>
  <c r="H764" i="2"/>
  <c r="J764" i="2" s="1"/>
  <c r="H765" i="2"/>
  <c r="J765" i="2" s="1"/>
  <c r="H766" i="2"/>
  <c r="J766" i="2" s="1"/>
  <c r="H767" i="2"/>
  <c r="J767" i="2" s="1"/>
  <c r="H768" i="2"/>
  <c r="J768" i="2" s="1"/>
  <c r="H769" i="2"/>
  <c r="J769" i="2" s="1"/>
  <c r="H775" i="2"/>
  <c r="J775" i="2" s="1"/>
  <c r="H777" i="2"/>
  <c r="J777" i="2" s="1"/>
  <c r="H778" i="2"/>
  <c r="J778" i="2" s="1"/>
  <c r="H779" i="2"/>
  <c r="J779" i="2" s="1"/>
  <c r="H780" i="2"/>
  <c r="J780" i="2" s="1"/>
  <c r="H781" i="2"/>
  <c r="J781" i="2" s="1"/>
  <c r="H783" i="2"/>
  <c r="J783" i="2" s="1"/>
  <c r="H784" i="2"/>
  <c r="J784" i="2" s="1"/>
  <c r="H785" i="2"/>
  <c r="J785" i="2" s="1"/>
  <c r="H786" i="2"/>
  <c r="J786" i="2" s="1"/>
  <c r="H789" i="2"/>
  <c r="J789" i="2" s="1"/>
  <c r="H792" i="2"/>
  <c r="J792" i="2" s="1"/>
  <c r="H794" i="2"/>
  <c r="J794" i="2" s="1"/>
  <c r="H796" i="2"/>
  <c r="J796" i="2" s="1"/>
  <c r="H801" i="2"/>
  <c r="J801" i="2" s="1"/>
  <c r="H803" i="2"/>
  <c r="J803" i="2" s="1"/>
  <c r="H811" i="2"/>
  <c r="P811" i="2" s="1"/>
  <c r="H812" i="2"/>
  <c r="J812" i="2" s="1"/>
  <c r="J3" i="2"/>
  <c r="J4" i="2"/>
  <c r="J7" i="2"/>
  <c r="J10" i="2"/>
  <c r="J11" i="2"/>
  <c r="J12" i="2"/>
  <c r="J14" i="2"/>
  <c r="J18" i="2"/>
  <c r="J19" i="2"/>
  <c r="J22" i="2"/>
  <c r="J23" i="2"/>
  <c r="J30" i="2"/>
  <c r="J31" i="2"/>
  <c r="J35" i="2"/>
  <c r="J38" i="2"/>
  <c r="J39" i="2"/>
  <c r="J42" i="2"/>
  <c r="J43" i="2"/>
  <c r="J44" i="2"/>
  <c r="J46" i="2"/>
  <c r="J47" i="2"/>
  <c r="J53" i="2"/>
  <c r="J74" i="2"/>
  <c r="J76" i="2"/>
  <c r="J90" i="2"/>
  <c r="J97" i="2"/>
  <c r="J105" i="2"/>
  <c r="J118" i="2"/>
  <c r="J122" i="2"/>
  <c r="J130" i="2"/>
  <c r="J150" i="2"/>
  <c r="J155" i="2"/>
  <c r="J163" i="2"/>
  <c r="J172" i="2"/>
  <c r="J187" i="2"/>
  <c r="J190" i="2"/>
  <c r="J192" i="2"/>
  <c r="J196" i="2"/>
  <c r="J201" i="2"/>
  <c r="J223" i="2"/>
  <c r="J225" i="2"/>
  <c r="J227" i="2"/>
  <c r="J228" i="2"/>
  <c r="J242" i="2"/>
  <c r="J246" i="2"/>
  <c r="J250" i="2"/>
  <c r="J251" i="2"/>
  <c r="J269" i="2"/>
  <c r="J284" i="2"/>
  <c r="J287" i="2"/>
  <c r="J293" i="2"/>
  <c r="J294" i="2"/>
  <c r="J295" i="2"/>
  <c r="J299" i="2"/>
  <c r="H300" i="2"/>
  <c r="J300" i="2" s="1"/>
  <c r="J331" i="2"/>
  <c r="H332" i="2"/>
  <c r="J332" i="2" s="1"/>
  <c r="J344" i="2"/>
  <c r="J349" i="2"/>
  <c r="J352" i="2"/>
  <c r="J354" i="2"/>
  <c r="J358" i="2"/>
  <c r="J362" i="2"/>
  <c r="J368" i="2"/>
  <c r="J371" i="2"/>
  <c r="J380" i="2"/>
  <c r="J399" i="2"/>
  <c r="J400" i="2"/>
  <c r="J418" i="2"/>
  <c r="J419" i="2"/>
  <c r="J420" i="2"/>
  <c r="J440" i="2"/>
  <c r="H460" i="2"/>
  <c r="J460" i="2" s="1"/>
  <c r="H468" i="2"/>
  <c r="J468" i="2" s="1"/>
  <c r="J487" i="2"/>
  <c r="H488" i="2"/>
  <c r="J488" i="2" s="1"/>
  <c r="H490" i="2"/>
  <c r="J490" i="2" s="1"/>
  <c r="J492" i="2"/>
  <c r="H493" i="2"/>
  <c r="J493" i="2" s="1"/>
  <c r="J503" i="2"/>
  <c r="J504" i="2"/>
  <c r="J506" i="2"/>
  <c r="J522" i="2"/>
  <c r="J524" i="2"/>
  <c r="J532" i="2"/>
  <c r="J533" i="2"/>
  <c r="J535" i="2"/>
  <c r="H537" i="2"/>
  <c r="J537" i="2" s="1"/>
  <c r="J540" i="2"/>
  <c r="J549" i="2"/>
  <c r="J554" i="2"/>
  <c r="H561" i="2"/>
  <c r="J561" i="2" s="1"/>
  <c r="J564" i="2"/>
  <c r="J573" i="2"/>
  <c r="J582" i="2"/>
  <c r="J595" i="2"/>
  <c r="J596" i="2"/>
  <c r="J609" i="2"/>
  <c r="H618" i="2"/>
  <c r="J618" i="2" s="1"/>
  <c r="H621" i="2"/>
  <c r="J621" i="2" s="1"/>
  <c r="J638" i="2"/>
  <c r="J639" i="2"/>
  <c r="H640" i="2"/>
  <c r="J640" i="2" s="1"/>
  <c r="J651" i="2"/>
  <c r="J666" i="2"/>
  <c r="H693" i="2"/>
  <c r="J693" i="2" s="1"/>
  <c r="H713" i="2"/>
  <c r="J713" i="2" s="1"/>
  <c r="J720" i="2"/>
  <c r="J721" i="2"/>
  <c r="J722" i="2"/>
  <c r="J729" i="2"/>
  <c r="P729" i="2"/>
  <c r="J731" i="2"/>
  <c r="H743" i="2"/>
  <c r="P743" i="2" s="1"/>
  <c r="H745" i="2"/>
  <c r="J745" i="2" s="1"/>
  <c r="H748" i="2"/>
  <c r="J748" i="2" s="1"/>
  <c r="H756" i="2"/>
  <c r="P756" i="2" s="1"/>
  <c r="H760" i="2"/>
  <c r="J760" i="2" s="1"/>
  <c r="H761" i="2"/>
  <c r="J761" i="2" s="1"/>
  <c r="H770" i="2"/>
  <c r="P770" i="2" s="1"/>
  <c r="H771" i="2"/>
  <c r="J771" i="2" s="1"/>
  <c r="H772" i="2"/>
  <c r="J772" i="2" s="1"/>
  <c r="H773" i="2"/>
  <c r="J773" i="2" s="1"/>
  <c r="H774" i="2"/>
  <c r="J774" i="2" s="1"/>
  <c r="H776" i="2"/>
  <c r="J776" i="2" s="1"/>
  <c r="H782" i="2"/>
  <c r="J782" i="2" s="1"/>
  <c r="H787" i="2"/>
  <c r="J787" i="2" s="1"/>
  <c r="H788" i="2"/>
  <c r="P788" i="2" s="1"/>
  <c r="J788" i="2"/>
  <c r="H791" i="2"/>
  <c r="J791" i="2" s="1"/>
  <c r="H793" i="2"/>
  <c r="J793" i="2" s="1"/>
  <c r="H795" i="2"/>
  <c r="J795" i="2" s="1"/>
  <c r="H797" i="2"/>
  <c r="J797" i="2" s="1"/>
  <c r="H798" i="2"/>
  <c r="J798" i="2" s="1"/>
  <c r="H799" i="2"/>
  <c r="J799" i="2" s="1"/>
  <c r="H800" i="2"/>
  <c r="J800" i="2" s="1"/>
  <c r="H802" i="2"/>
  <c r="P802" i="2" s="1"/>
  <c r="H804" i="2"/>
  <c r="P804" i="2" s="1"/>
  <c r="H805" i="2"/>
  <c r="J805" i="2" s="1"/>
  <c r="J811" i="2"/>
  <c r="J813" i="2"/>
  <c r="P813" i="2"/>
  <c r="H814" i="2"/>
  <c r="J814" i="2" s="1"/>
  <c r="H815" i="2"/>
  <c r="J815" i="2" s="1"/>
  <c r="H816" i="2"/>
  <c r="J816" i="2" s="1"/>
  <c r="H817" i="2"/>
  <c r="J817" i="2" s="1"/>
  <c r="H818" i="2"/>
  <c r="P818" i="2" s="1"/>
  <c r="H819" i="2"/>
  <c r="H820" i="2"/>
  <c r="P820" i="2" s="1"/>
  <c r="H821" i="2"/>
  <c r="J821" i="2" s="1"/>
  <c r="H824" i="2"/>
  <c r="J824" i="2" s="1"/>
  <c r="I785" i="2"/>
  <c r="G785" i="2"/>
  <c r="F785" i="2"/>
  <c r="F737" i="2"/>
  <c r="G737" i="2"/>
  <c r="I737" i="2"/>
  <c r="F405" i="2"/>
  <c r="F406" i="2"/>
  <c r="F378" i="2"/>
  <c r="F339" i="2"/>
  <c r="F355" i="2"/>
  <c r="G355" i="2"/>
  <c r="W7" i="3"/>
  <c r="W8" i="3"/>
  <c r="J9" i="3"/>
  <c r="W9" i="3"/>
  <c r="J10" i="3"/>
  <c r="W10" i="3"/>
  <c r="J11" i="3"/>
  <c r="W11" i="3"/>
  <c r="J12" i="3"/>
  <c r="J13" i="3"/>
  <c r="J14" i="3"/>
  <c r="J15" i="3"/>
  <c r="J16" i="3"/>
  <c r="X16" i="3"/>
  <c r="Y16" i="3"/>
  <c r="Z16" i="3"/>
  <c r="AA16" i="3"/>
  <c r="AB16" i="3"/>
  <c r="AC16" i="3"/>
  <c r="AD16" i="3"/>
  <c r="J17" i="3"/>
  <c r="J18" i="3"/>
  <c r="J19" i="3"/>
  <c r="J20" i="3"/>
  <c r="J21" i="3"/>
  <c r="I761"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7" i="2"/>
  <c r="I222" i="2"/>
  <c r="I223" i="2"/>
  <c r="I224" i="2"/>
  <c r="I226" i="2"/>
  <c r="I227" i="2"/>
  <c r="I228" i="2"/>
  <c r="I229" i="2"/>
  <c r="I230" i="2"/>
  <c r="I231" i="2"/>
  <c r="I232" i="2"/>
  <c r="I233" i="2"/>
  <c r="I234" i="2"/>
  <c r="I235" i="2"/>
  <c r="I236" i="2"/>
  <c r="I237" i="2"/>
  <c r="I238" i="2"/>
  <c r="I239" i="2"/>
  <c r="I240" i="2"/>
  <c r="I241" i="2"/>
  <c r="I242" i="2"/>
  <c r="I243" i="2"/>
  <c r="I244" i="2"/>
  <c r="I246" i="2"/>
  <c r="I247" i="2"/>
  <c r="I248" i="2"/>
  <c r="I249" i="2"/>
  <c r="I250" i="2"/>
  <c r="I251" i="2"/>
  <c r="I252" i="2"/>
  <c r="I253" i="2"/>
  <c r="I254" i="2"/>
  <c r="I255" i="2"/>
  <c r="I256"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30" i="2"/>
  <c r="I331" i="2"/>
  <c r="I332" i="2"/>
  <c r="I333" i="2"/>
  <c r="I334" i="2"/>
  <c r="I335" i="2"/>
  <c r="I336" i="2"/>
  <c r="I337" i="2"/>
  <c r="I338" i="2"/>
  <c r="I339" i="2"/>
  <c r="I340" i="2"/>
  <c r="I341" i="2"/>
  <c r="I342" i="2"/>
  <c r="I343" i="2"/>
  <c r="I344" i="2"/>
  <c r="I345" i="2"/>
  <c r="I346" i="2"/>
  <c r="I347" i="2"/>
  <c r="I348" i="2"/>
  <c r="I349" i="2"/>
  <c r="I351" i="2"/>
  <c r="I352" i="2"/>
  <c r="I353" i="2"/>
  <c r="I354" i="2"/>
  <c r="I355" i="2"/>
  <c r="I356" i="2"/>
  <c r="I357" i="2"/>
  <c r="I358" i="2"/>
  <c r="I359" i="2"/>
  <c r="I360" i="2"/>
  <c r="I361" i="2"/>
  <c r="I362" i="2"/>
  <c r="I363" i="2"/>
  <c r="I364" i="2"/>
  <c r="I365" i="2"/>
  <c r="I367" i="2"/>
  <c r="I368" i="2"/>
  <c r="I369" i="2"/>
  <c r="I370" i="2"/>
  <c r="I371" i="2"/>
  <c r="I372" i="2"/>
  <c r="I373" i="2"/>
  <c r="I374" i="2"/>
  <c r="I375" i="2"/>
  <c r="I376" i="2"/>
  <c r="I377" i="2"/>
  <c r="I378" i="2"/>
  <c r="I379" i="2"/>
  <c r="I381" i="2"/>
  <c r="I382" i="2"/>
  <c r="I383" i="2"/>
  <c r="I384" i="2"/>
  <c r="I385" i="2"/>
  <c r="I386" i="2"/>
  <c r="I387" i="2"/>
  <c r="I388" i="2"/>
  <c r="I389" i="2"/>
  <c r="I390" i="2"/>
  <c r="I391" i="2"/>
  <c r="I392" i="2"/>
  <c r="I393" i="2"/>
  <c r="I394" i="2"/>
  <c r="I395" i="2"/>
  <c r="I396" i="2"/>
  <c r="I397" i="2"/>
  <c r="I398" i="2"/>
  <c r="I399" i="2"/>
  <c r="I400"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4" i="2"/>
  <c r="I445" i="2"/>
  <c r="I446" i="2"/>
  <c r="I447" i="2"/>
  <c r="I448" i="2"/>
  <c r="I449" i="2"/>
  <c r="I451" i="2"/>
  <c r="I452" i="2"/>
  <c r="I453" i="2"/>
  <c r="I454" i="2"/>
  <c r="I456" i="2"/>
  <c r="I457" i="2"/>
  <c r="I458" i="2"/>
  <c r="I459" i="2"/>
  <c r="I460" i="2"/>
  <c r="I462" i="2"/>
  <c r="I463" i="2"/>
  <c r="I464" i="2"/>
  <c r="I465" i="2"/>
  <c r="I466" i="2"/>
  <c r="I467" i="2"/>
  <c r="I468" i="2"/>
  <c r="I469" i="2"/>
  <c r="I470" i="2"/>
  <c r="I471" i="2"/>
  <c r="I473" i="2"/>
  <c r="I474" i="2"/>
  <c r="I475" i="2"/>
  <c r="I476" i="2"/>
  <c r="I477" i="2"/>
  <c r="I478" i="2"/>
  <c r="I479" i="2"/>
  <c r="I481" i="2"/>
  <c r="I482" i="2"/>
  <c r="I483" i="2"/>
  <c r="I484" i="2"/>
  <c r="I485" i="2"/>
  <c r="I486" i="2"/>
  <c r="I488" i="2"/>
  <c r="I489" i="2"/>
  <c r="I490" i="2"/>
  <c r="I491" i="2"/>
  <c r="I492" i="2"/>
  <c r="I493"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3" i="2"/>
  <c r="I525" i="2"/>
  <c r="I526" i="2"/>
  <c r="I527" i="2"/>
  <c r="I528" i="2"/>
  <c r="I529" i="2"/>
  <c r="I530" i="2"/>
  <c r="I531" i="2"/>
  <c r="I532" i="2"/>
  <c r="I533" i="2"/>
  <c r="I534" i="2"/>
  <c r="I535" i="2"/>
  <c r="I536" i="2"/>
  <c r="I537" i="2"/>
  <c r="I538" i="2"/>
  <c r="I539" i="2"/>
  <c r="I542" i="2"/>
  <c r="I543" i="2"/>
  <c r="I544" i="2"/>
  <c r="I545" i="2"/>
  <c r="I546" i="2"/>
  <c r="I547" i="2"/>
  <c r="I548" i="2"/>
  <c r="I549" i="2"/>
  <c r="I550" i="2"/>
  <c r="I551" i="2"/>
  <c r="I552" i="2"/>
  <c r="I553" i="2"/>
  <c r="I554" i="2"/>
  <c r="I555" i="2"/>
  <c r="I556" i="2"/>
  <c r="I558" i="2"/>
  <c r="I559" i="2"/>
  <c r="I560" i="2"/>
  <c r="I561" i="2"/>
  <c r="I562" i="2"/>
  <c r="I563" i="2"/>
  <c r="I564" i="2"/>
  <c r="I565" i="2"/>
  <c r="I566" i="2"/>
  <c r="I567" i="2"/>
  <c r="I569" i="2"/>
  <c r="I570" i="2"/>
  <c r="I571" i="2"/>
  <c r="I572" i="2"/>
  <c r="I573" i="2"/>
  <c r="I574" i="2"/>
  <c r="I576" i="2"/>
  <c r="I577" i="2"/>
  <c r="I578" i="2"/>
  <c r="I579" i="2"/>
  <c r="I580" i="2"/>
  <c r="I581" i="2"/>
  <c r="I582" i="2"/>
  <c r="I583" i="2"/>
  <c r="I584" i="2"/>
  <c r="I585" i="2"/>
  <c r="I586" i="2"/>
  <c r="I587" i="2"/>
  <c r="I588" i="2"/>
  <c r="I589" i="2"/>
  <c r="I590" i="2"/>
  <c r="I591" i="2"/>
  <c r="I592" i="2"/>
  <c r="I593" i="2"/>
  <c r="I594" i="2"/>
  <c r="I595" i="2"/>
  <c r="I596" i="2"/>
  <c r="I597" i="2"/>
  <c r="I598" i="2"/>
  <c r="I599" i="2"/>
  <c r="I600" i="2"/>
  <c r="I601" i="2"/>
  <c r="I602" i="2"/>
  <c r="I603" i="2"/>
  <c r="I604" i="2"/>
  <c r="I605" i="2"/>
  <c r="I606" i="2"/>
  <c r="I607" i="2"/>
  <c r="I609" i="2"/>
  <c r="I610" i="2"/>
  <c r="I611" i="2"/>
  <c r="I612" i="2"/>
  <c r="I613" i="2"/>
  <c r="I614" i="2"/>
  <c r="I615" i="2"/>
  <c r="I616" i="2"/>
  <c r="I617" i="2"/>
  <c r="I618" i="2"/>
  <c r="I619" i="2"/>
  <c r="I620" i="2"/>
  <c r="I621" i="2"/>
  <c r="I623" i="2"/>
  <c r="I624" i="2"/>
  <c r="I625" i="2"/>
  <c r="I626" i="2"/>
  <c r="I627" i="2"/>
  <c r="I628" i="2"/>
  <c r="I629" i="2"/>
  <c r="I630" i="2"/>
  <c r="I632"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8" i="2"/>
  <c r="I729" i="2"/>
  <c r="I730" i="2"/>
  <c r="I731" i="2"/>
  <c r="I732" i="2"/>
  <c r="I733" i="2"/>
  <c r="I734" i="2"/>
  <c r="I735" i="2"/>
  <c r="I736" i="2"/>
  <c r="I738" i="2"/>
  <c r="I739" i="2"/>
  <c r="I740" i="2"/>
  <c r="I741" i="2"/>
  <c r="I743" i="2"/>
  <c r="I744" i="2"/>
  <c r="I745" i="2"/>
  <c r="I746" i="2"/>
  <c r="I747" i="2"/>
  <c r="I748" i="2"/>
  <c r="I749" i="2"/>
  <c r="I750" i="2"/>
  <c r="I751" i="2"/>
  <c r="I752" i="2"/>
  <c r="I753" i="2"/>
  <c r="I755" i="2"/>
  <c r="I756" i="2"/>
  <c r="I757" i="2"/>
  <c r="I758" i="2"/>
  <c r="I759" i="2"/>
  <c r="I760" i="2"/>
  <c r="I762" i="2"/>
  <c r="I763" i="2"/>
  <c r="I764" i="2"/>
  <c r="I765" i="2"/>
  <c r="I766" i="2"/>
  <c r="I767" i="2"/>
  <c r="I768" i="2"/>
  <c r="I769" i="2"/>
  <c r="I770" i="2"/>
  <c r="I771" i="2"/>
  <c r="I772" i="2"/>
  <c r="I773" i="2"/>
  <c r="I775" i="2"/>
  <c r="I776" i="2"/>
  <c r="I777" i="2"/>
  <c r="I778" i="2"/>
  <c r="I779" i="2"/>
  <c r="I780" i="2"/>
  <c r="I781" i="2"/>
  <c r="I782" i="2"/>
  <c r="I783" i="2"/>
  <c r="I784" i="2"/>
  <c r="I786" i="2"/>
  <c r="I787" i="2"/>
  <c r="I788" i="2"/>
  <c r="I789" i="2"/>
  <c r="I790" i="2"/>
  <c r="I791" i="2"/>
  <c r="I792" i="2"/>
  <c r="I793" i="2"/>
  <c r="I794" i="2"/>
  <c r="I795" i="2"/>
  <c r="I796" i="2"/>
  <c r="I797" i="2"/>
  <c r="I798" i="2"/>
  <c r="I799" i="2"/>
  <c r="I800" i="2"/>
  <c r="I801" i="2"/>
  <c r="I802" i="2"/>
  <c r="I803" i="2"/>
  <c r="I804" i="2"/>
  <c r="I805" i="2"/>
  <c r="I806" i="2"/>
  <c r="I807" i="2"/>
  <c r="I808" i="2"/>
  <c r="I809" i="2"/>
  <c r="I810" i="2"/>
  <c r="I811" i="2"/>
  <c r="I812" i="2"/>
  <c r="I814" i="2"/>
  <c r="I815" i="2"/>
  <c r="I816" i="2"/>
  <c r="I817" i="2"/>
  <c r="I818" i="2"/>
  <c r="I819" i="2"/>
  <c r="I820" i="2"/>
  <c r="I821" i="2"/>
  <c r="I824" i="2"/>
  <c r="I825" i="2"/>
  <c r="I826" i="2"/>
  <c r="I827" i="2"/>
  <c r="I828" i="2"/>
  <c r="I829" i="2"/>
  <c r="I830" i="2"/>
  <c r="I831" i="2"/>
  <c r="I832" i="2"/>
  <c r="I833" i="2"/>
  <c r="I834" i="2"/>
  <c r="I835" i="2"/>
  <c r="I836" i="2"/>
  <c r="I837" i="2"/>
  <c r="I838" i="2"/>
  <c r="I839" i="2"/>
  <c r="I840" i="2"/>
  <c r="I841" i="2"/>
  <c r="I842" i="2"/>
  <c r="I843" i="2"/>
  <c r="I844" i="2"/>
  <c r="I845" i="2"/>
  <c r="I846" i="2"/>
  <c r="I847" i="2"/>
  <c r="I848" i="2"/>
  <c r="I849" i="2"/>
  <c r="I850" i="2"/>
  <c r="I851" i="2"/>
  <c r="I852" i="2"/>
  <c r="I853" i="2"/>
  <c r="I854" i="2"/>
  <c r="I855" i="2"/>
  <c r="I856" i="2"/>
  <c r="I857" i="2"/>
  <c r="I858" i="2"/>
  <c r="I859" i="2"/>
  <c r="I860" i="2"/>
  <c r="I861" i="2"/>
  <c r="I862" i="2"/>
  <c r="I863" i="2"/>
  <c r="I864" i="2"/>
  <c r="I865" i="2"/>
  <c r="I866" i="2"/>
  <c r="I867" i="2"/>
  <c r="I868" i="2"/>
  <c r="I869" i="2"/>
  <c r="I870" i="2"/>
  <c r="I871" i="2"/>
  <c r="I872" i="2"/>
  <c r="I873" i="2"/>
  <c r="I874" i="2"/>
  <c r="I875" i="2"/>
  <c r="I876" i="2"/>
  <c r="I877" i="2"/>
  <c r="I878" i="2"/>
  <c r="I879" i="2"/>
  <c r="I880" i="2"/>
  <c r="I881" i="2"/>
  <c r="I882" i="2"/>
  <c r="I883" i="2"/>
  <c r="I884" i="2"/>
  <c r="I885" i="2"/>
  <c r="I886" i="2"/>
  <c r="I887" i="2"/>
  <c r="I888" i="2"/>
  <c r="I889" i="2"/>
  <c r="I890" i="2"/>
  <c r="I891" i="2"/>
  <c r="I892" i="2"/>
  <c r="I893" i="2"/>
  <c r="I894" i="2"/>
  <c r="I895" i="2"/>
  <c r="I896" i="2"/>
  <c r="I898" i="2"/>
  <c r="I899" i="2"/>
  <c r="I900" i="2"/>
  <c r="I901" i="2"/>
  <c r="I902" i="2"/>
  <c r="I903" i="2"/>
  <c r="I904" i="2"/>
  <c r="I905" i="2"/>
  <c r="I906" i="2"/>
  <c r="I907" i="2"/>
  <c r="I908" i="2"/>
  <c r="I909" i="2"/>
  <c r="I910" i="2"/>
  <c r="I911" i="2"/>
  <c r="I912" i="2"/>
  <c r="I913" i="2"/>
  <c r="I914" i="2"/>
  <c r="I915" i="2"/>
  <c r="I916" i="2"/>
  <c r="I917" i="2"/>
  <c r="I918" i="2"/>
  <c r="I919" i="2"/>
  <c r="I920" i="2"/>
  <c r="I921" i="2"/>
  <c r="I922" i="2"/>
  <c r="I923" i="2"/>
  <c r="I924" i="2"/>
  <c r="I925" i="2"/>
  <c r="I926" i="2"/>
  <c r="I927" i="2"/>
  <c r="I928" i="2"/>
  <c r="I929" i="2"/>
  <c r="I930" i="2"/>
  <c r="I931" i="2"/>
  <c r="I932" i="2"/>
  <c r="I933" i="2"/>
  <c r="I934" i="2"/>
  <c r="I935" i="2"/>
  <c r="I936" i="2"/>
  <c r="I937" i="2"/>
  <c r="I938" i="2"/>
  <c r="I939" i="2"/>
  <c r="I940" i="2"/>
  <c r="I941" i="2"/>
  <c r="I942" i="2"/>
  <c r="I943" i="2"/>
  <c r="I944" i="2"/>
  <c r="I945" i="2"/>
  <c r="I946" i="2"/>
  <c r="I947" i="2"/>
  <c r="I948" i="2"/>
  <c r="I949" i="2"/>
  <c r="I950" i="2"/>
  <c r="I951" i="2"/>
  <c r="I952" i="2"/>
  <c r="I953" i="2"/>
  <c r="I954" i="2"/>
  <c r="I956" i="2"/>
  <c r="I957" i="2"/>
  <c r="I958" i="2"/>
  <c r="I959" i="2"/>
  <c r="I960" i="2"/>
  <c r="I961" i="2"/>
  <c r="I962" i="2"/>
  <c r="I963" i="2"/>
  <c r="I964" i="2"/>
  <c r="I965" i="2"/>
  <c r="I966" i="2"/>
  <c r="I967" i="2"/>
  <c r="I968" i="2"/>
  <c r="I969" i="2"/>
  <c r="I970" i="2"/>
  <c r="I971" i="2"/>
  <c r="I972" i="2"/>
  <c r="I973" i="2"/>
  <c r="I974" i="2"/>
  <c r="I975" i="2"/>
  <c r="I976" i="2"/>
  <c r="I977" i="2"/>
  <c r="I978" i="2"/>
  <c r="I979" i="2"/>
  <c r="I980" i="2"/>
  <c r="I981" i="2"/>
  <c r="I982" i="2"/>
  <c r="I983" i="2"/>
  <c r="I984" i="2"/>
  <c r="I985" i="2"/>
  <c r="I986" i="2"/>
  <c r="I987" i="2"/>
  <c r="I988" i="2"/>
  <c r="I989" i="2"/>
  <c r="I990" i="2"/>
  <c r="I991" i="2"/>
  <c r="I992" i="2"/>
  <c r="I993" i="2"/>
  <c r="I994" i="2"/>
  <c r="I995" i="2"/>
  <c r="I996" i="2"/>
  <c r="I997" i="2"/>
  <c r="I998" i="2"/>
  <c r="I999" i="2"/>
  <c r="P15" i="2"/>
  <c r="J48" i="2"/>
  <c r="J60" i="2"/>
  <c r="J68" i="2"/>
  <c r="J73" i="2"/>
  <c r="J89" i="2"/>
  <c r="J110" i="2"/>
  <c r="F222" i="2"/>
  <c r="G222" i="2"/>
  <c r="F223" i="2"/>
  <c r="G223" i="2"/>
  <c r="F224" i="2"/>
  <c r="G224" i="2"/>
  <c r="F226" i="2"/>
  <c r="G226" i="2"/>
  <c r="F227" i="2"/>
  <c r="G227" i="2"/>
  <c r="F228" i="2"/>
  <c r="G228" i="2"/>
  <c r="F229" i="2"/>
  <c r="G229" i="2"/>
  <c r="F230" i="2"/>
  <c r="G230" i="2"/>
  <c r="F231" i="2"/>
  <c r="G231" i="2"/>
  <c r="F232" i="2"/>
  <c r="G232" i="2"/>
  <c r="F233" i="2"/>
  <c r="G233" i="2"/>
  <c r="F234" i="2"/>
  <c r="G234" i="2"/>
  <c r="F235" i="2"/>
  <c r="G235" i="2"/>
  <c r="F236" i="2"/>
  <c r="G236" i="2"/>
  <c r="F237" i="2"/>
  <c r="G237" i="2"/>
  <c r="F238" i="2"/>
  <c r="G238" i="2"/>
  <c r="F239" i="2"/>
  <c r="G239" i="2"/>
  <c r="F240" i="2"/>
  <c r="G240" i="2"/>
  <c r="F241" i="2"/>
  <c r="G241" i="2"/>
  <c r="F242" i="2"/>
  <c r="G242" i="2"/>
  <c r="F243" i="2"/>
  <c r="G243" i="2"/>
  <c r="F244" i="2"/>
  <c r="G244" i="2"/>
  <c r="F245" i="2"/>
  <c r="G245" i="2"/>
  <c r="F246" i="2"/>
  <c r="G246" i="2"/>
  <c r="F247" i="2"/>
  <c r="G247" i="2"/>
  <c r="F248" i="2"/>
  <c r="G248" i="2"/>
  <c r="F249" i="2"/>
  <c r="G249" i="2"/>
  <c r="F250" i="2"/>
  <c r="G250" i="2"/>
  <c r="F251" i="2"/>
  <c r="G251" i="2"/>
  <c r="F252" i="2"/>
  <c r="G252" i="2"/>
  <c r="F253" i="2"/>
  <c r="G253" i="2"/>
  <c r="F254" i="2"/>
  <c r="G254" i="2"/>
  <c r="F255" i="2"/>
  <c r="G255" i="2"/>
  <c r="F256" i="2"/>
  <c r="G256" i="2"/>
  <c r="F257" i="2"/>
  <c r="G257" i="2"/>
  <c r="F258" i="2"/>
  <c r="G258" i="2"/>
  <c r="F259" i="2"/>
  <c r="G259" i="2"/>
  <c r="F260" i="2"/>
  <c r="G260" i="2"/>
  <c r="F261" i="2"/>
  <c r="G261" i="2"/>
  <c r="F262" i="2"/>
  <c r="G262" i="2"/>
  <c r="F263" i="2"/>
  <c r="G263" i="2"/>
  <c r="F264" i="2"/>
  <c r="G264" i="2"/>
  <c r="F265" i="2"/>
  <c r="G265" i="2"/>
  <c r="F266" i="2"/>
  <c r="G266" i="2"/>
  <c r="F267" i="2"/>
  <c r="G267" i="2"/>
  <c r="F268" i="2"/>
  <c r="G268" i="2"/>
  <c r="F269" i="2"/>
  <c r="G269" i="2"/>
  <c r="F270" i="2"/>
  <c r="G270" i="2"/>
  <c r="F271" i="2"/>
  <c r="G271" i="2"/>
  <c r="F272" i="2"/>
  <c r="G272" i="2"/>
  <c r="F273" i="2"/>
  <c r="G273" i="2"/>
  <c r="F274" i="2"/>
  <c r="G274" i="2"/>
  <c r="F275" i="2"/>
  <c r="G275" i="2"/>
  <c r="F276" i="2"/>
  <c r="G276" i="2"/>
  <c r="F277" i="2"/>
  <c r="G277" i="2"/>
  <c r="F278" i="2"/>
  <c r="G278" i="2"/>
  <c r="F279" i="2"/>
  <c r="G279" i="2"/>
  <c r="F280" i="2"/>
  <c r="G280" i="2"/>
  <c r="F281" i="2"/>
  <c r="G281" i="2"/>
  <c r="F282" i="2"/>
  <c r="G282" i="2"/>
  <c r="F283" i="2"/>
  <c r="G283" i="2"/>
  <c r="F284" i="2"/>
  <c r="G284" i="2"/>
  <c r="F285" i="2"/>
  <c r="G285" i="2"/>
  <c r="F286" i="2"/>
  <c r="G286" i="2"/>
  <c r="F287" i="2"/>
  <c r="G287" i="2"/>
  <c r="F288" i="2"/>
  <c r="G288" i="2"/>
  <c r="F289" i="2"/>
  <c r="F290" i="2"/>
  <c r="G290" i="2"/>
  <c r="F291" i="2"/>
  <c r="G291" i="2"/>
  <c r="F292" i="2"/>
  <c r="G292" i="2"/>
  <c r="F293" i="2"/>
  <c r="G293" i="2"/>
  <c r="F294" i="2"/>
  <c r="G294" i="2"/>
  <c r="F295" i="2"/>
  <c r="G295" i="2"/>
  <c r="F296" i="2"/>
  <c r="G296" i="2"/>
  <c r="F297" i="2"/>
  <c r="G297" i="2"/>
  <c r="F298" i="2"/>
  <c r="G298" i="2"/>
  <c r="F299" i="2"/>
  <c r="G299" i="2"/>
  <c r="F300" i="2"/>
  <c r="G300" i="2"/>
  <c r="F301" i="2"/>
  <c r="G301" i="2"/>
  <c r="F302" i="2"/>
  <c r="G302" i="2"/>
  <c r="F303" i="2"/>
  <c r="G303" i="2"/>
  <c r="F304" i="2"/>
  <c r="G304" i="2"/>
  <c r="F305" i="2"/>
  <c r="G305" i="2"/>
  <c r="F306" i="2"/>
  <c r="G306" i="2"/>
  <c r="F307" i="2"/>
  <c r="G307" i="2"/>
  <c r="F308" i="2"/>
  <c r="G308" i="2"/>
  <c r="F309" i="2"/>
  <c r="G309" i="2"/>
  <c r="F310" i="2"/>
  <c r="G310" i="2"/>
  <c r="F311" i="2"/>
  <c r="G311" i="2"/>
  <c r="F312" i="2"/>
  <c r="G312" i="2"/>
  <c r="F313" i="2"/>
  <c r="G313" i="2"/>
  <c r="F314" i="2"/>
  <c r="G314" i="2"/>
  <c r="F315" i="2"/>
  <c r="G315" i="2"/>
  <c r="F316" i="2"/>
  <c r="G316" i="2"/>
  <c r="F317" i="2"/>
  <c r="G317" i="2"/>
  <c r="F318" i="2"/>
  <c r="G318" i="2"/>
  <c r="F319" i="2"/>
  <c r="G319" i="2"/>
  <c r="F320" i="2"/>
  <c r="G320" i="2"/>
  <c r="F321" i="2"/>
  <c r="G321" i="2"/>
  <c r="F322" i="2"/>
  <c r="G322" i="2"/>
  <c r="F323" i="2"/>
  <c r="G323" i="2"/>
  <c r="F324" i="2"/>
  <c r="G324" i="2"/>
  <c r="F325" i="2"/>
  <c r="G325" i="2"/>
  <c r="F326" i="2"/>
  <c r="G326" i="2"/>
  <c r="F327" i="2"/>
  <c r="G327" i="2"/>
  <c r="F328" i="2"/>
  <c r="G328" i="2"/>
  <c r="F330" i="2"/>
  <c r="G330" i="2"/>
  <c r="F332" i="2"/>
  <c r="G332" i="2"/>
  <c r="F333" i="2"/>
  <c r="G333" i="2"/>
  <c r="F334" i="2"/>
  <c r="G334" i="2"/>
  <c r="F335" i="2"/>
  <c r="G335" i="2"/>
  <c r="F336" i="2"/>
  <c r="G336" i="2"/>
  <c r="F337" i="2"/>
  <c r="G337" i="2"/>
  <c r="F338" i="2"/>
  <c r="G338" i="2"/>
  <c r="G339" i="2"/>
  <c r="F340" i="2"/>
  <c r="G340" i="2"/>
  <c r="F341" i="2"/>
  <c r="G341" i="2"/>
  <c r="F342" i="2"/>
  <c r="G342" i="2"/>
  <c r="F343" i="2"/>
  <c r="G343" i="2"/>
  <c r="F344" i="2"/>
  <c r="G344" i="2"/>
  <c r="F345" i="2"/>
  <c r="G345" i="2"/>
  <c r="F346" i="2"/>
  <c r="G346" i="2"/>
  <c r="F347" i="2"/>
  <c r="G347" i="2"/>
  <c r="F348" i="2"/>
  <c r="G348" i="2"/>
  <c r="H348" i="2"/>
  <c r="J348" i="2" s="1"/>
  <c r="F349" i="2"/>
  <c r="G349" i="2"/>
  <c r="F351" i="2"/>
  <c r="G351" i="2"/>
  <c r="F352" i="2"/>
  <c r="G352" i="2"/>
  <c r="F353" i="2"/>
  <c r="G353" i="2"/>
  <c r="F354" i="2"/>
  <c r="G354" i="2"/>
  <c r="F356" i="2"/>
  <c r="G356" i="2"/>
  <c r="F357" i="2"/>
  <c r="G357" i="2"/>
  <c r="F358" i="2"/>
  <c r="G358" i="2"/>
  <c r="F359" i="2"/>
  <c r="G359" i="2"/>
  <c r="F360" i="2"/>
  <c r="G360" i="2"/>
  <c r="F361" i="2"/>
  <c r="G361" i="2"/>
  <c r="F362" i="2"/>
  <c r="G362" i="2"/>
  <c r="F363" i="2"/>
  <c r="G363" i="2"/>
  <c r="F364" i="2"/>
  <c r="G364" i="2"/>
  <c r="F365" i="2"/>
  <c r="G365" i="2"/>
  <c r="J367" i="2"/>
  <c r="J369" i="2"/>
  <c r="F372" i="2"/>
  <c r="G372" i="2"/>
  <c r="F373" i="2"/>
  <c r="G373" i="2"/>
  <c r="F374" i="2"/>
  <c r="G374" i="2"/>
  <c r="F375" i="2"/>
  <c r="G375" i="2"/>
  <c r="F376" i="2"/>
  <c r="G376" i="2"/>
  <c r="F377" i="2"/>
  <c r="G377" i="2"/>
  <c r="G378" i="2"/>
  <c r="F379" i="2"/>
  <c r="G379" i="2"/>
  <c r="F381" i="2"/>
  <c r="G381" i="2"/>
  <c r="F382" i="2"/>
  <c r="G382" i="2"/>
  <c r="F383" i="2"/>
  <c r="G383" i="2"/>
  <c r="F384" i="2"/>
  <c r="G384" i="2"/>
  <c r="F385" i="2"/>
  <c r="G385" i="2"/>
  <c r="F386" i="2"/>
  <c r="G386" i="2"/>
  <c r="F387" i="2"/>
  <c r="G387" i="2"/>
  <c r="F388" i="2"/>
  <c r="G388" i="2"/>
  <c r="F389" i="2"/>
  <c r="G389" i="2"/>
  <c r="F390" i="2"/>
  <c r="G390" i="2"/>
  <c r="F391" i="2"/>
  <c r="G391" i="2"/>
  <c r="F392" i="2"/>
  <c r="G392" i="2"/>
  <c r="F393" i="2"/>
  <c r="G393" i="2"/>
  <c r="F394" i="2"/>
  <c r="G394" i="2"/>
  <c r="F395" i="2"/>
  <c r="G395" i="2"/>
  <c r="F396" i="2"/>
  <c r="G396" i="2"/>
  <c r="F397" i="2"/>
  <c r="G397" i="2"/>
  <c r="F398" i="2"/>
  <c r="G398" i="2"/>
  <c r="F399" i="2"/>
  <c r="G399" i="2"/>
  <c r="F400" i="2"/>
  <c r="G400" i="2"/>
  <c r="F402" i="2"/>
  <c r="G402" i="2"/>
  <c r="F403" i="2"/>
  <c r="G403" i="2"/>
  <c r="F404" i="2"/>
  <c r="G404" i="2"/>
  <c r="G405" i="2"/>
  <c r="G406" i="2"/>
  <c r="F407" i="2"/>
  <c r="G407" i="2"/>
  <c r="F408" i="2"/>
  <c r="G408" i="2"/>
  <c r="F409" i="2"/>
  <c r="G409" i="2"/>
  <c r="F410" i="2"/>
  <c r="G410" i="2"/>
  <c r="F411" i="2"/>
  <c r="G411" i="2"/>
  <c r="F412" i="2"/>
  <c r="G412" i="2"/>
  <c r="F413" i="2"/>
  <c r="G413" i="2"/>
  <c r="F414" i="2"/>
  <c r="G414" i="2"/>
  <c r="F415" i="2"/>
  <c r="G415" i="2"/>
  <c r="F416" i="2"/>
  <c r="G416" i="2"/>
  <c r="F417" i="2"/>
  <c r="G417" i="2"/>
  <c r="F418" i="2"/>
  <c r="G418" i="2"/>
  <c r="F419" i="2"/>
  <c r="G419" i="2"/>
  <c r="F420" i="2"/>
  <c r="G420" i="2"/>
  <c r="F421" i="2"/>
  <c r="G421" i="2"/>
  <c r="F422" i="2"/>
  <c r="G422" i="2"/>
  <c r="F423" i="2"/>
  <c r="G423" i="2"/>
  <c r="F424" i="2"/>
  <c r="G424" i="2"/>
  <c r="F425" i="2"/>
  <c r="G425" i="2"/>
  <c r="F426" i="2"/>
  <c r="G426" i="2"/>
  <c r="F427" i="2"/>
  <c r="G427" i="2"/>
  <c r="F428" i="2"/>
  <c r="G428" i="2"/>
  <c r="F429" i="2"/>
  <c r="G429" i="2"/>
  <c r="F430" i="2"/>
  <c r="G430" i="2"/>
  <c r="F431" i="2"/>
  <c r="G431" i="2"/>
  <c r="F432" i="2"/>
  <c r="G432" i="2"/>
  <c r="F433" i="2"/>
  <c r="G433" i="2"/>
  <c r="F434" i="2"/>
  <c r="G434" i="2"/>
  <c r="F435" i="2"/>
  <c r="G435" i="2"/>
  <c r="F436" i="2"/>
  <c r="G436" i="2"/>
  <c r="F437" i="2"/>
  <c r="G437" i="2"/>
  <c r="F438" i="2"/>
  <c r="G438" i="2"/>
  <c r="F439" i="2"/>
  <c r="G439" i="2"/>
  <c r="F440" i="2"/>
  <c r="G440" i="2"/>
  <c r="F441" i="2"/>
  <c r="G441" i="2"/>
  <c r="F442" i="2"/>
  <c r="G442" i="2"/>
  <c r="F444" i="2"/>
  <c r="G444" i="2"/>
  <c r="F445" i="2"/>
  <c r="G445" i="2"/>
  <c r="F446" i="2"/>
  <c r="G446" i="2"/>
  <c r="F447" i="2"/>
  <c r="G447" i="2"/>
  <c r="F448" i="2"/>
  <c r="G448" i="2"/>
  <c r="F449" i="2"/>
  <c r="G449" i="2"/>
  <c r="F450" i="2"/>
  <c r="G450" i="2"/>
  <c r="F451" i="2"/>
  <c r="G451" i="2"/>
  <c r="F452" i="2"/>
  <c r="G452" i="2"/>
  <c r="F453" i="2"/>
  <c r="G453" i="2"/>
  <c r="F454" i="2"/>
  <c r="G454" i="2"/>
  <c r="F455" i="2"/>
  <c r="G455" i="2"/>
  <c r="F456" i="2"/>
  <c r="G456" i="2"/>
  <c r="F457" i="2"/>
  <c r="G457" i="2"/>
  <c r="F458" i="2"/>
  <c r="G458" i="2"/>
  <c r="F459" i="2"/>
  <c r="G459" i="2"/>
  <c r="F460" i="2"/>
  <c r="G460" i="2"/>
  <c r="F462" i="2"/>
  <c r="G462" i="2"/>
  <c r="F463" i="2"/>
  <c r="G463" i="2"/>
  <c r="F464" i="2"/>
  <c r="G464" i="2"/>
  <c r="F465" i="2"/>
  <c r="G465" i="2"/>
  <c r="F466" i="2"/>
  <c r="G466" i="2"/>
  <c r="F467" i="2"/>
  <c r="G467" i="2"/>
  <c r="F468" i="2"/>
  <c r="G468" i="2"/>
  <c r="F469" i="2"/>
  <c r="G469" i="2"/>
  <c r="F470" i="2"/>
  <c r="G470" i="2"/>
  <c r="F471" i="2"/>
  <c r="G471" i="2"/>
  <c r="F473" i="2"/>
  <c r="G473" i="2"/>
  <c r="F474" i="2"/>
  <c r="G474" i="2"/>
  <c r="F475" i="2"/>
  <c r="G475" i="2"/>
  <c r="F476" i="2"/>
  <c r="G476" i="2"/>
  <c r="F477" i="2"/>
  <c r="G477" i="2"/>
  <c r="F478" i="2"/>
  <c r="G478" i="2"/>
  <c r="F479" i="2"/>
  <c r="G479" i="2"/>
  <c r="F480" i="2"/>
  <c r="G480" i="2"/>
  <c r="F481" i="2"/>
  <c r="G481" i="2"/>
  <c r="F482" i="2"/>
  <c r="G482" i="2"/>
  <c r="F483" i="2"/>
  <c r="G483" i="2"/>
  <c r="F484" i="2"/>
  <c r="G484" i="2"/>
  <c r="F485" i="2"/>
  <c r="G485" i="2"/>
  <c r="F486" i="2"/>
  <c r="G486" i="2"/>
  <c r="F487" i="2"/>
  <c r="G487" i="2"/>
  <c r="F488" i="2"/>
  <c r="G488" i="2"/>
  <c r="F489" i="2"/>
  <c r="G489" i="2"/>
  <c r="F490" i="2"/>
  <c r="G490" i="2"/>
  <c r="F491" i="2"/>
  <c r="G491" i="2"/>
  <c r="F492" i="2"/>
  <c r="G492" i="2"/>
  <c r="F493" i="2"/>
  <c r="G493" i="2"/>
  <c r="F495" i="2"/>
  <c r="G495" i="2"/>
  <c r="F496" i="2"/>
  <c r="G496" i="2"/>
  <c r="F497" i="2"/>
  <c r="G497" i="2"/>
  <c r="F498" i="2"/>
  <c r="G498" i="2"/>
  <c r="F499" i="2"/>
  <c r="G499" i="2"/>
  <c r="F500" i="2"/>
  <c r="G500" i="2"/>
  <c r="F501" i="2"/>
  <c r="G501" i="2"/>
  <c r="F502" i="2"/>
  <c r="G502" i="2"/>
  <c r="F503" i="2"/>
  <c r="G503" i="2"/>
  <c r="F504" i="2"/>
  <c r="G504" i="2"/>
  <c r="F505" i="2"/>
  <c r="G505" i="2"/>
  <c r="F506" i="2"/>
  <c r="G506" i="2"/>
  <c r="F507" i="2"/>
  <c r="G507" i="2"/>
  <c r="F508" i="2"/>
  <c r="G508" i="2"/>
  <c r="F509" i="2"/>
  <c r="G509" i="2"/>
  <c r="F510" i="2"/>
  <c r="G510" i="2"/>
  <c r="F511" i="2"/>
  <c r="G511" i="2"/>
  <c r="F512" i="2"/>
  <c r="G512" i="2"/>
  <c r="F513" i="2"/>
  <c r="G513" i="2"/>
  <c r="F514" i="2"/>
  <c r="G514" i="2"/>
  <c r="F515" i="2"/>
  <c r="G515" i="2"/>
  <c r="F516" i="2"/>
  <c r="G516" i="2"/>
  <c r="F517" i="2"/>
  <c r="G517" i="2"/>
  <c r="F518" i="2"/>
  <c r="G518" i="2"/>
  <c r="F519" i="2"/>
  <c r="G519" i="2"/>
  <c r="F520" i="2"/>
  <c r="G520" i="2"/>
  <c r="F521" i="2"/>
  <c r="G521" i="2"/>
  <c r="F522" i="2"/>
  <c r="G522" i="2"/>
  <c r="F523" i="2"/>
  <c r="G523" i="2"/>
  <c r="F525" i="2"/>
  <c r="G525" i="2"/>
  <c r="F526" i="2"/>
  <c r="G526" i="2"/>
  <c r="F527" i="2"/>
  <c r="G527" i="2"/>
  <c r="F528" i="2"/>
  <c r="G528" i="2"/>
  <c r="F529" i="2"/>
  <c r="G529" i="2"/>
  <c r="F530" i="2"/>
  <c r="G530" i="2"/>
  <c r="F531" i="2"/>
  <c r="G531" i="2"/>
  <c r="F532" i="2"/>
  <c r="G532" i="2"/>
  <c r="F533" i="2"/>
  <c r="G533" i="2"/>
  <c r="F534" i="2"/>
  <c r="G534" i="2"/>
  <c r="F535" i="2"/>
  <c r="G535" i="2"/>
  <c r="F536" i="2"/>
  <c r="G536" i="2"/>
  <c r="F537" i="2"/>
  <c r="G537" i="2"/>
  <c r="F538" i="2"/>
  <c r="G538" i="2"/>
  <c r="F539" i="2"/>
  <c r="G539" i="2"/>
  <c r="F540" i="2"/>
  <c r="G540" i="2"/>
  <c r="F542" i="2"/>
  <c r="G542" i="2"/>
  <c r="F543" i="2"/>
  <c r="G543" i="2"/>
  <c r="F544" i="2"/>
  <c r="G544" i="2"/>
  <c r="F545" i="2"/>
  <c r="G545" i="2"/>
  <c r="F546" i="2"/>
  <c r="G546" i="2"/>
  <c r="F547" i="2"/>
  <c r="G547" i="2"/>
  <c r="F548" i="2"/>
  <c r="G548" i="2"/>
  <c r="F549" i="2"/>
  <c r="G549" i="2"/>
  <c r="F550" i="2"/>
  <c r="G550" i="2"/>
  <c r="F551" i="2"/>
  <c r="G551" i="2"/>
  <c r="F552" i="2"/>
  <c r="G552" i="2"/>
  <c r="F553" i="2"/>
  <c r="G553" i="2"/>
  <c r="F554" i="2"/>
  <c r="G554" i="2"/>
  <c r="F555" i="2"/>
  <c r="G555" i="2"/>
  <c r="F556" i="2"/>
  <c r="G556" i="2"/>
  <c r="F557" i="2"/>
  <c r="G557" i="2"/>
  <c r="F558" i="2"/>
  <c r="G558" i="2"/>
  <c r="F559" i="2"/>
  <c r="G559" i="2"/>
  <c r="F560" i="2"/>
  <c r="G560" i="2"/>
  <c r="F561" i="2"/>
  <c r="G561" i="2"/>
  <c r="F562" i="2"/>
  <c r="G562" i="2"/>
  <c r="F563" i="2"/>
  <c r="G563" i="2"/>
  <c r="F564" i="2"/>
  <c r="G564" i="2"/>
  <c r="F565" i="2"/>
  <c r="G565" i="2"/>
  <c r="F566" i="2"/>
  <c r="G566" i="2"/>
  <c r="F567" i="2"/>
  <c r="G567" i="2"/>
  <c r="F568" i="2"/>
  <c r="G568" i="2"/>
  <c r="F569" i="2"/>
  <c r="G569" i="2"/>
  <c r="F570" i="2"/>
  <c r="G570" i="2"/>
  <c r="F571" i="2"/>
  <c r="G571" i="2"/>
  <c r="F572" i="2"/>
  <c r="G572" i="2"/>
  <c r="F573" i="2"/>
  <c r="G573" i="2"/>
  <c r="F574" i="2"/>
  <c r="G574" i="2"/>
  <c r="F576" i="2"/>
  <c r="G576" i="2"/>
  <c r="F577" i="2"/>
  <c r="G577" i="2"/>
  <c r="F578" i="2"/>
  <c r="G578" i="2"/>
  <c r="F579" i="2"/>
  <c r="G579" i="2"/>
  <c r="F580" i="2"/>
  <c r="G580" i="2"/>
  <c r="F581" i="2"/>
  <c r="G581" i="2"/>
  <c r="F582" i="2"/>
  <c r="G582" i="2"/>
  <c r="F583" i="2"/>
  <c r="G583" i="2"/>
  <c r="F584" i="2"/>
  <c r="G584" i="2"/>
  <c r="F585" i="2"/>
  <c r="G585" i="2"/>
  <c r="F586" i="2"/>
  <c r="G586" i="2"/>
  <c r="F587" i="2"/>
  <c r="G587" i="2"/>
  <c r="F588" i="2"/>
  <c r="G588" i="2"/>
  <c r="F589" i="2"/>
  <c r="G589" i="2"/>
  <c r="F590" i="2"/>
  <c r="G590" i="2"/>
  <c r="F591" i="2"/>
  <c r="G591" i="2"/>
  <c r="F592" i="2"/>
  <c r="G592" i="2"/>
  <c r="F593" i="2"/>
  <c r="G593" i="2"/>
  <c r="F594" i="2"/>
  <c r="G594" i="2"/>
  <c r="F595" i="2"/>
  <c r="G595" i="2"/>
  <c r="F596" i="2"/>
  <c r="G596" i="2"/>
  <c r="F597" i="2"/>
  <c r="G597" i="2"/>
  <c r="F598" i="2"/>
  <c r="G598" i="2"/>
  <c r="F599" i="2"/>
  <c r="G599" i="2"/>
  <c r="F600" i="2"/>
  <c r="G600" i="2"/>
  <c r="F601" i="2"/>
  <c r="G601" i="2"/>
  <c r="F602" i="2"/>
  <c r="G602" i="2"/>
  <c r="F603" i="2"/>
  <c r="G603" i="2"/>
  <c r="F604" i="2"/>
  <c r="G604" i="2"/>
  <c r="F605" i="2"/>
  <c r="G605" i="2"/>
  <c r="F606" i="2"/>
  <c r="G606" i="2"/>
  <c r="F607" i="2"/>
  <c r="G607" i="2"/>
  <c r="F608" i="2"/>
  <c r="G608" i="2"/>
  <c r="F609" i="2"/>
  <c r="G609" i="2"/>
  <c r="F610" i="2"/>
  <c r="G610" i="2"/>
  <c r="F611" i="2"/>
  <c r="G611" i="2"/>
  <c r="F612" i="2"/>
  <c r="G612" i="2"/>
  <c r="F613" i="2"/>
  <c r="G613" i="2"/>
  <c r="F614" i="2"/>
  <c r="G614" i="2"/>
  <c r="F615" i="2"/>
  <c r="G615" i="2"/>
  <c r="F616" i="2"/>
  <c r="G616" i="2"/>
  <c r="F617" i="2"/>
  <c r="G617" i="2"/>
  <c r="F618" i="2"/>
  <c r="G618" i="2"/>
  <c r="F619" i="2"/>
  <c r="G619" i="2"/>
  <c r="F620" i="2"/>
  <c r="G620" i="2"/>
  <c r="F621" i="2"/>
  <c r="G621" i="2"/>
  <c r="F623" i="2"/>
  <c r="G623" i="2"/>
  <c r="F624" i="2"/>
  <c r="G624" i="2"/>
  <c r="F625" i="2"/>
  <c r="G625" i="2"/>
  <c r="F626" i="2"/>
  <c r="G626" i="2"/>
  <c r="F627" i="2"/>
  <c r="G627" i="2"/>
  <c r="F628" i="2"/>
  <c r="G628" i="2"/>
  <c r="F629" i="2"/>
  <c r="G629" i="2"/>
  <c r="F630" i="2"/>
  <c r="G630" i="2"/>
  <c r="F631" i="2"/>
  <c r="G631" i="2"/>
  <c r="F632" i="2"/>
  <c r="G632" i="2"/>
  <c r="F633" i="2"/>
  <c r="G633" i="2"/>
  <c r="F634" i="2"/>
  <c r="G634" i="2"/>
  <c r="F635" i="2"/>
  <c r="G635" i="2"/>
  <c r="F636" i="2"/>
  <c r="G636" i="2"/>
  <c r="F637" i="2"/>
  <c r="G637" i="2"/>
  <c r="F638" i="2"/>
  <c r="G638" i="2"/>
  <c r="F639" i="2"/>
  <c r="G639" i="2"/>
  <c r="F640" i="2"/>
  <c r="G640" i="2"/>
  <c r="F642" i="2"/>
  <c r="G642" i="2"/>
  <c r="F643" i="2"/>
  <c r="G643" i="2"/>
  <c r="F644" i="2"/>
  <c r="G644" i="2"/>
  <c r="F645" i="2"/>
  <c r="G645" i="2"/>
  <c r="F646" i="2"/>
  <c r="G646" i="2"/>
  <c r="F647" i="2"/>
  <c r="G647" i="2"/>
  <c r="F648" i="2"/>
  <c r="G648" i="2"/>
  <c r="F649" i="2"/>
  <c r="G649" i="2"/>
  <c r="F650" i="2"/>
  <c r="G650" i="2"/>
  <c r="F651" i="2"/>
  <c r="G651" i="2"/>
  <c r="F652" i="2"/>
  <c r="G652" i="2"/>
  <c r="F653" i="2"/>
  <c r="G653" i="2"/>
  <c r="F654" i="2"/>
  <c r="G654" i="2"/>
  <c r="F655" i="2"/>
  <c r="G655" i="2"/>
  <c r="H655" i="2"/>
  <c r="F656" i="2"/>
  <c r="G656" i="2"/>
  <c r="F657" i="2"/>
  <c r="G657" i="2"/>
  <c r="F658" i="2"/>
  <c r="G658" i="2"/>
  <c r="F659" i="2"/>
  <c r="G659" i="2"/>
  <c r="F660" i="2"/>
  <c r="G660" i="2"/>
  <c r="F661" i="2"/>
  <c r="G661" i="2"/>
  <c r="F662" i="2"/>
  <c r="G662" i="2"/>
  <c r="F663" i="2"/>
  <c r="G663" i="2"/>
  <c r="F664" i="2"/>
  <c r="G664" i="2"/>
  <c r="F665" i="2"/>
  <c r="G665" i="2"/>
  <c r="F666" i="2"/>
  <c r="G666" i="2"/>
  <c r="F667" i="2"/>
  <c r="G667" i="2"/>
  <c r="F671" i="2"/>
  <c r="G671" i="2"/>
  <c r="F672" i="2"/>
  <c r="G672" i="2"/>
  <c r="F673" i="2"/>
  <c r="G673" i="2"/>
  <c r="F674" i="2"/>
  <c r="G674" i="2"/>
  <c r="F675" i="2"/>
  <c r="G675" i="2"/>
  <c r="F676" i="2"/>
  <c r="G676" i="2"/>
  <c r="F677" i="2"/>
  <c r="G677" i="2"/>
  <c r="F678" i="2"/>
  <c r="G678" i="2"/>
  <c r="F679" i="2"/>
  <c r="G679" i="2"/>
  <c r="F680" i="2"/>
  <c r="G680" i="2"/>
  <c r="F681" i="2"/>
  <c r="G681" i="2"/>
  <c r="F682" i="2"/>
  <c r="G682" i="2"/>
  <c r="F683" i="2"/>
  <c r="G683" i="2"/>
  <c r="F684" i="2"/>
  <c r="G684" i="2"/>
  <c r="F685" i="2"/>
  <c r="G685" i="2"/>
  <c r="F686" i="2"/>
  <c r="G686" i="2"/>
  <c r="F687" i="2"/>
  <c r="G687" i="2"/>
  <c r="F688" i="2"/>
  <c r="G688" i="2"/>
  <c r="F689" i="2"/>
  <c r="G689" i="2"/>
  <c r="F690" i="2"/>
  <c r="G690" i="2"/>
  <c r="H690" i="2"/>
  <c r="P690" i="2" s="1"/>
  <c r="J690" i="2"/>
  <c r="F691" i="2"/>
  <c r="G691" i="2"/>
  <c r="F692" i="2"/>
  <c r="G692" i="2"/>
  <c r="F693" i="2"/>
  <c r="G693" i="2"/>
  <c r="F694" i="2"/>
  <c r="G694" i="2"/>
  <c r="F695" i="2"/>
  <c r="G695" i="2"/>
  <c r="F696" i="2"/>
  <c r="G696" i="2"/>
  <c r="F697" i="2"/>
  <c r="G697" i="2"/>
  <c r="F698" i="2"/>
  <c r="G698" i="2"/>
  <c r="F699" i="2"/>
  <c r="G699" i="2"/>
  <c r="F700" i="2"/>
  <c r="G700" i="2"/>
  <c r="F701" i="2"/>
  <c r="G701" i="2"/>
  <c r="F702" i="2"/>
  <c r="G702" i="2"/>
  <c r="F703" i="2"/>
  <c r="G703" i="2"/>
  <c r="F704" i="2"/>
  <c r="G704" i="2"/>
  <c r="H704" i="2"/>
  <c r="F705" i="2"/>
  <c r="G705" i="2"/>
  <c r="F706" i="2"/>
  <c r="G706" i="2"/>
  <c r="H706" i="2"/>
  <c r="F707" i="2"/>
  <c r="G707" i="2"/>
  <c r="F708" i="2"/>
  <c r="G708" i="2"/>
  <c r="F709" i="2"/>
  <c r="G709" i="2"/>
  <c r="F710" i="2"/>
  <c r="G710" i="2"/>
  <c r="F711" i="2"/>
  <c r="G711" i="2"/>
  <c r="F712" i="2"/>
  <c r="G712" i="2"/>
  <c r="F713" i="2"/>
  <c r="G713" i="2"/>
  <c r="F714" i="2"/>
  <c r="G714" i="2"/>
  <c r="F715" i="2"/>
  <c r="G715" i="2"/>
  <c r="F716" i="2"/>
  <c r="G716" i="2"/>
  <c r="F717" i="2"/>
  <c r="G717" i="2"/>
  <c r="F718" i="2"/>
  <c r="G718" i="2"/>
  <c r="F719" i="2"/>
  <c r="G719" i="2"/>
  <c r="F720" i="2"/>
  <c r="G720" i="2"/>
  <c r="F721" i="2"/>
  <c r="G721" i="2"/>
  <c r="F722" i="2"/>
  <c r="G722" i="2"/>
  <c r="F723" i="2"/>
  <c r="G723" i="2"/>
  <c r="F724" i="2"/>
  <c r="G724" i="2"/>
  <c r="F725" i="2"/>
  <c r="G725" i="2"/>
  <c r="F726" i="2"/>
  <c r="G726" i="2"/>
  <c r="F727" i="2"/>
  <c r="G727" i="2"/>
  <c r="F728" i="2"/>
  <c r="G728" i="2"/>
  <c r="F729" i="2"/>
  <c r="G729" i="2"/>
  <c r="F730" i="2"/>
  <c r="G730" i="2"/>
  <c r="F731" i="2"/>
  <c r="G731" i="2"/>
  <c r="F732" i="2"/>
  <c r="G732" i="2"/>
  <c r="F733" i="2"/>
  <c r="G733" i="2"/>
  <c r="F734" i="2"/>
  <c r="G734" i="2"/>
  <c r="F735" i="2"/>
  <c r="G735" i="2"/>
  <c r="F736" i="2"/>
  <c r="G736" i="2"/>
  <c r="F738" i="2"/>
  <c r="G738" i="2"/>
  <c r="F739" i="2"/>
  <c r="G739" i="2"/>
  <c r="F740" i="2"/>
  <c r="G740" i="2"/>
  <c r="F741" i="2"/>
  <c r="G741" i="2"/>
  <c r="F743" i="2"/>
  <c r="G743" i="2"/>
  <c r="F744" i="2"/>
  <c r="G744" i="2"/>
  <c r="F745" i="2"/>
  <c r="G745" i="2"/>
  <c r="F746" i="2"/>
  <c r="G746" i="2"/>
  <c r="F747" i="2"/>
  <c r="G747" i="2"/>
  <c r="F748" i="2"/>
  <c r="G748" i="2"/>
  <c r="F749" i="2"/>
  <c r="G749" i="2"/>
  <c r="F750" i="2"/>
  <c r="G750" i="2"/>
  <c r="F751" i="2"/>
  <c r="G751" i="2"/>
  <c r="F752" i="2"/>
  <c r="G752" i="2"/>
  <c r="H752" i="2"/>
  <c r="J752" i="2" s="1"/>
  <c r="F753" i="2"/>
  <c r="G753" i="2"/>
  <c r="F755" i="2"/>
  <c r="G755" i="2"/>
  <c r="F756" i="2"/>
  <c r="G756" i="2"/>
  <c r="F757" i="2"/>
  <c r="G757" i="2"/>
  <c r="F758" i="2"/>
  <c r="G758" i="2"/>
  <c r="F759" i="2"/>
  <c r="G759" i="2"/>
  <c r="F760" i="2"/>
  <c r="G760" i="2"/>
  <c r="F761" i="2"/>
  <c r="G761" i="2"/>
  <c r="F762" i="2"/>
  <c r="G762" i="2"/>
  <c r="F764" i="2"/>
  <c r="G764" i="2"/>
  <c r="F763" i="2"/>
  <c r="G763" i="2"/>
  <c r="F765" i="2"/>
  <c r="G765" i="2"/>
  <c r="F766" i="2"/>
  <c r="G766" i="2"/>
  <c r="F767" i="2"/>
  <c r="G767" i="2"/>
  <c r="F768" i="2"/>
  <c r="G768" i="2"/>
  <c r="F769" i="2"/>
  <c r="G769" i="2"/>
  <c r="F770" i="2"/>
  <c r="G770" i="2"/>
  <c r="F771" i="2"/>
  <c r="G771" i="2"/>
  <c r="F772" i="2"/>
  <c r="G772" i="2"/>
  <c r="F773" i="2"/>
  <c r="G773" i="2"/>
  <c r="F774" i="2"/>
  <c r="G774" i="2"/>
  <c r="F775" i="2"/>
  <c r="G775" i="2"/>
  <c r="F776" i="2"/>
  <c r="G776" i="2"/>
  <c r="F777" i="2"/>
  <c r="G777" i="2"/>
  <c r="F778" i="2"/>
  <c r="G778" i="2"/>
  <c r="F779" i="2"/>
  <c r="G779" i="2"/>
  <c r="F780" i="2"/>
  <c r="G780" i="2"/>
  <c r="F781" i="2"/>
  <c r="G781" i="2"/>
  <c r="F782" i="2"/>
  <c r="G782" i="2"/>
  <c r="F783" i="2"/>
  <c r="G783" i="2"/>
  <c r="F784" i="2"/>
  <c r="G784" i="2"/>
  <c r="F786" i="2"/>
  <c r="G786" i="2"/>
  <c r="F787" i="2"/>
  <c r="G787" i="2"/>
  <c r="F788" i="2"/>
  <c r="G788" i="2"/>
  <c r="F789" i="2"/>
  <c r="G789" i="2"/>
  <c r="F790" i="2"/>
  <c r="G790" i="2"/>
  <c r="H790" i="2"/>
  <c r="F791" i="2"/>
  <c r="G791" i="2"/>
  <c r="F792" i="2"/>
  <c r="G792" i="2"/>
  <c r="F793" i="2"/>
  <c r="G793" i="2"/>
  <c r="F794" i="2"/>
  <c r="G794" i="2"/>
  <c r="F795" i="2"/>
  <c r="G795" i="2"/>
  <c r="F796" i="2"/>
  <c r="G796" i="2"/>
  <c r="F797" i="2"/>
  <c r="G797" i="2"/>
  <c r="F798" i="2"/>
  <c r="G798" i="2"/>
  <c r="F799" i="2"/>
  <c r="G799" i="2"/>
  <c r="F800" i="2"/>
  <c r="G800" i="2"/>
  <c r="F801" i="2"/>
  <c r="G801" i="2"/>
  <c r="F802" i="2"/>
  <c r="G802" i="2"/>
  <c r="F803" i="2"/>
  <c r="G803" i="2"/>
  <c r="F804" i="2"/>
  <c r="G804" i="2"/>
  <c r="F805" i="2"/>
  <c r="G805" i="2"/>
  <c r="F806" i="2"/>
  <c r="G806" i="2"/>
  <c r="H806" i="2"/>
  <c r="P806" i="2" s="1"/>
  <c r="J806" i="2"/>
  <c r="F807" i="2"/>
  <c r="G807" i="2"/>
  <c r="H807" i="2"/>
  <c r="J807" i="2" s="1"/>
  <c r="F808" i="2"/>
  <c r="G808" i="2"/>
  <c r="H808" i="2"/>
  <c r="P808" i="2" s="1"/>
  <c r="F809" i="2"/>
  <c r="G809" i="2"/>
  <c r="H809" i="2"/>
  <c r="J809" i="2" s="1"/>
  <c r="F810" i="2"/>
  <c r="G810" i="2"/>
  <c r="H810" i="2"/>
  <c r="J810" i="2" s="1"/>
  <c r="F811" i="2"/>
  <c r="G811" i="2"/>
  <c r="F812" i="2"/>
  <c r="G812" i="2"/>
  <c r="F814" i="2"/>
  <c r="G814" i="2"/>
  <c r="F815" i="2"/>
  <c r="G815" i="2"/>
  <c r="F816" i="2"/>
  <c r="G816" i="2"/>
  <c r="F817" i="2"/>
  <c r="G817" i="2"/>
  <c r="F818" i="2"/>
  <c r="G818" i="2"/>
  <c r="F819" i="2"/>
  <c r="G819" i="2"/>
  <c r="F820" i="2"/>
  <c r="F821" i="2"/>
  <c r="G821" i="2"/>
  <c r="F824" i="2"/>
  <c r="G824" i="2"/>
  <c r="F825" i="2"/>
  <c r="G825" i="2"/>
  <c r="H825" i="2"/>
  <c r="J825" i="2" s="1"/>
  <c r="F826" i="2"/>
  <c r="G826" i="2"/>
  <c r="H826" i="2"/>
  <c r="J826" i="2" s="1"/>
  <c r="F827" i="2"/>
  <c r="G827" i="2"/>
  <c r="H827" i="2"/>
  <c r="J827" i="2" s="1"/>
  <c r="F828" i="2"/>
  <c r="G828" i="2"/>
  <c r="H828" i="2"/>
  <c r="J828" i="2" s="1"/>
  <c r="F829" i="2"/>
  <c r="G829" i="2"/>
  <c r="H829" i="2"/>
  <c r="J829" i="2" s="1"/>
  <c r="F830" i="2"/>
  <c r="G830" i="2"/>
  <c r="H830" i="2"/>
  <c r="J830" i="2" s="1"/>
  <c r="F831" i="2"/>
  <c r="G831" i="2"/>
  <c r="H831" i="2"/>
  <c r="J831" i="2" s="1"/>
  <c r="F832" i="2"/>
  <c r="G832" i="2"/>
  <c r="H832" i="2"/>
  <c r="J832" i="2" s="1"/>
  <c r="F833" i="2"/>
  <c r="G833" i="2"/>
  <c r="H833" i="2"/>
  <c r="J833" i="2" s="1"/>
  <c r="F834" i="2"/>
  <c r="G834" i="2"/>
  <c r="H834" i="2"/>
  <c r="J834" i="2" s="1"/>
  <c r="F835" i="2"/>
  <c r="G835" i="2"/>
  <c r="H835" i="2"/>
  <c r="J835" i="2" s="1"/>
  <c r="F836" i="2"/>
  <c r="G836" i="2"/>
  <c r="H836" i="2"/>
  <c r="J836" i="2" s="1"/>
  <c r="F837" i="2"/>
  <c r="G837" i="2"/>
  <c r="H837" i="2"/>
  <c r="J837" i="2" s="1"/>
  <c r="F838" i="2"/>
  <c r="G838" i="2"/>
  <c r="H838" i="2"/>
  <c r="J838" i="2" s="1"/>
  <c r="F839" i="2"/>
  <c r="G839" i="2"/>
  <c r="H839" i="2"/>
  <c r="J839" i="2" s="1"/>
  <c r="F840" i="2"/>
  <c r="G840" i="2"/>
  <c r="H840" i="2"/>
  <c r="J840" i="2" s="1"/>
  <c r="F841" i="2"/>
  <c r="G841" i="2"/>
  <c r="H841" i="2"/>
  <c r="J841" i="2" s="1"/>
  <c r="F842" i="2"/>
  <c r="G842" i="2"/>
  <c r="H842" i="2"/>
  <c r="P842" i="2" s="1"/>
  <c r="J842" i="2"/>
  <c r="F843" i="2"/>
  <c r="G843" i="2"/>
  <c r="H843" i="2"/>
  <c r="F844" i="2"/>
  <c r="G844" i="2"/>
  <c r="H844" i="2"/>
  <c r="F845" i="2"/>
  <c r="G845" i="2"/>
  <c r="H845" i="2"/>
  <c r="F846" i="2"/>
  <c r="G846" i="2"/>
  <c r="H846" i="2"/>
  <c r="F847" i="2"/>
  <c r="G847" i="2"/>
  <c r="H847" i="2"/>
  <c r="F848" i="2"/>
  <c r="G848" i="2"/>
  <c r="H848" i="2"/>
  <c r="F849" i="2"/>
  <c r="G849" i="2"/>
  <c r="H849" i="2"/>
  <c r="F850" i="2"/>
  <c r="G850" i="2"/>
  <c r="H850" i="2"/>
  <c r="F851" i="2"/>
  <c r="G851" i="2"/>
  <c r="H851" i="2"/>
  <c r="F852" i="2"/>
  <c r="G852" i="2"/>
  <c r="H852" i="2"/>
  <c r="F853" i="2"/>
  <c r="G853" i="2"/>
  <c r="H853" i="2"/>
  <c r="F854" i="2"/>
  <c r="G854" i="2"/>
  <c r="H854" i="2"/>
  <c r="F855" i="2"/>
  <c r="G855" i="2"/>
  <c r="J855" i="2"/>
  <c r="F856" i="2"/>
  <c r="G856" i="2"/>
  <c r="J856" i="2"/>
  <c r="F857" i="2"/>
  <c r="G857" i="2"/>
  <c r="J857" i="2"/>
  <c r="F858" i="2"/>
  <c r="G858" i="2"/>
  <c r="J858" i="2"/>
  <c r="F859" i="2"/>
  <c r="G859" i="2"/>
  <c r="J859" i="2"/>
  <c r="F860" i="2"/>
  <c r="G860" i="2"/>
  <c r="H860" i="2"/>
  <c r="F861" i="2"/>
  <c r="G861" i="2"/>
  <c r="H861" i="2"/>
  <c r="F862" i="2"/>
  <c r="G862" i="2"/>
  <c r="H862" i="2"/>
  <c r="F863" i="2"/>
  <c r="G863" i="2"/>
  <c r="H863" i="2"/>
  <c r="F864" i="2"/>
  <c r="G864" i="2"/>
  <c r="H864" i="2"/>
  <c r="F865" i="2"/>
  <c r="G865" i="2"/>
  <c r="H865" i="2"/>
  <c r="F866" i="2"/>
  <c r="G866" i="2"/>
  <c r="H866" i="2"/>
  <c r="F867" i="2"/>
  <c r="G867" i="2"/>
  <c r="H867" i="2"/>
  <c r="F868" i="2"/>
  <c r="G868" i="2"/>
  <c r="H868" i="2"/>
  <c r="P868" i="2" s="1"/>
  <c r="F869" i="2"/>
  <c r="G869" i="2"/>
  <c r="H869" i="2"/>
  <c r="F870" i="2"/>
  <c r="G870" i="2"/>
  <c r="H870" i="2"/>
  <c r="F871" i="2"/>
  <c r="G871" i="2"/>
  <c r="H871" i="2"/>
  <c r="F872" i="2"/>
  <c r="G872" i="2"/>
  <c r="H872" i="2"/>
  <c r="F873" i="2"/>
  <c r="G873" i="2"/>
  <c r="H873" i="2"/>
  <c r="F874" i="2"/>
  <c r="G874" i="2"/>
  <c r="H874" i="2"/>
  <c r="F875" i="2"/>
  <c r="G875" i="2"/>
  <c r="H875" i="2"/>
  <c r="F876" i="2"/>
  <c r="G876" i="2"/>
  <c r="H876" i="2"/>
  <c r="F877" i="2"/>
  <c r="G877" i="2"/>
  <c r="H877" i="2"/>
  <c r="F878" i="2"/>
  <c r="G878" i="2"/>
  <c r="H878" i="2"/>
  <c r="F879" i="2"/>
  <c r="G879" i="2"/>
  <c r="H879" i="2"/>
  <c r="F880" i="2"/>
  <c r="G880" i="2"/>
  <c r="H880" i="2"/>
  <c r="F881" i="2"/>
  <c r="G881" i="2"/>
  <c r="H881" i="2"/>
  <c r="F882" i="2"/>
  <c r="G882" i="2"/>
  <c r="H882" i="2"/>
  <c r="F883" i="2"/>
  <c r="G883" i="2"/>
  <c r="H883" i="2"/>
  <c r="F884" i="2"/>
  <c r="G884" i="2"/>
  <c r="H884" i="2"/>
  <c r="F885" i="2"/>
  <c r="G885" i="2"/>
  <c r="H885" i="2"/>
  <c r="F886" i="2"/>
  <c r="G886" i="2"/>
  <c r="H886" i="2"/>
  <c r="F887" i="2"/>
  <c r="G887" i="2"/>
  <c r="H887" i="2"/>
  <c r="F888" i="2"/>
  <c r="G888" i="2"/>
  <c r="H888" i="2"/>
  <c r="F889" i="2"/>
  <c r="G889" i="2"/>
  <c r="H889" i="2"/>
  <c r="F890" i="2"/>
  <c r="G890" i="2"/>
  <c r="H890" i="2"/>
  <c r="F891" i="2"/>
  <c r="G891" i="2"/>
  <c r="H891" i="2"/>
  <c r="F892" i="2"/>
  <c r="G892" i="2"/>
  <c r="H892" i="2"/>
  <c r="F893" i="2"/>
  <c r="G893" i="2"/>
  <c r="H893" i="2"/>
  <c r="F894" i="2"/>
  <c r="G894" i="2"/>
  <c r="H894" i="2"/>
  <c r="F895" i="2"/>
  <c r="G895" i="2"/>
  <c r="H895" i="2"/>
  <c r="F896" i="2"/>
  <c r="G896" i="2"/>
  <c r="H896" i="2"/>
  <c r="J897" i="2"/>
  <c r="F898" i="2"/>
  <c r="G898" i="2"/>
  <c r="H898" i="2"/>
  <c r="F899" i="2"/>
  <c r="G899" i="2"/>
  <c r="H899" i="2"/>
  <c r="F900" i="2"/>
  <c r="G900" i="2"/>
  <c r="H900" i="2"/>
  <c r="F901" i="2"/>
  <c r="G901" i="2"/>
  <c r="H901" i="2"/>
  <c r="F902" i="2"/>
  <c r="G902" i="2"/>
  <c r="H902" i="2"/>
  <c r="F903" i="2"/>
  <c r="G903" i="2"/>
  <c r="H903" i="2"/>
  <c r="F904" i="2"/>
  <c r="G904" i="2"/>
  <c r="H904" i="2"/>
  <c r="F905" i="2"/>
  <c r="G905" i="2"/>
  <c r="H905" i="2"/>
  <c r="F906" i="2"/>
  <c r="G906" i="2"/>
  <c r="H906" i="2"/>
  <c r="F907" i="2"/>
  <c r="G907" i="2"/>
  <c r="H907" i="2"/>
  <c r="P907" i="2" s="1"/>
  <c r="F908" i="2"/>
  <c r="G908" i="2"/>
  <c r="H908" i="2"/>
  <c r="F909" i="2"/>
  <c r="G909" i="2"/>
  <c r="H909" i="2"/>
  <c r="F910" i="2"/>
  <c r="G910" i="2"/>
  <c r="H910" i="2"/>
  <c r="F911" i="2"/>
  <c r="G911" i="2"/>
  <c r="H911" i="2"/>
  <c r="F912" i="2"/>
  <c r="G912" i="2"/>
  <c r="H912" i="2"/>
  <c r="F913" i="2"/>
  <c r="G913" i="2"/>
  <c r="H913" i="2"/>
  <c r="F914" i="2"/>
  <c r="G914" i="2"/>
  <c r="H914" i="2"/>
  <c r="F915" i="2"/>
  <c r="G915" i="2"/>
  <c r="H915" i="2"/>
  <c r="F916" i="2"/>
  <c r="G916" i="2"/>
  <c r="H916" i="2"/>
  <c r="F917" i="2"/>
  <c r="G917" i="2"/>
  <c r="H917" i="2"/>
  <c r="F918" i="2"/>
  <c r="G918" i="2"/>
  <c r="H918" i="2"/>
  <c r="F919" i="2"/>
  <c r="G919" i="2"/>
  <c r="H919" i="2"/>
  <c r="J919" i="2" s="1"/>
  <c r="F920" i="2"/>
  <c r="G920" i="2"/>
  <c r="H920" i="2"/>
  <c r="J920" i="2" s="1"/>
  <c r="F921" i="2"/>
  <c r="G921" i="2"/>
  <c r="H921" i="2"/>
  <c r="J921" i="2" s="1"/>
  <c r="F922" i="2"/>
  <c r="G922" i="2"/>
  <c r="H922" i="2"/>
  <c r="J922" i="2" s="1"/>
  <c r="F923" i="2"/>
  <c r="G923" i="2"/>
  <c r="H923" i="2"/>
  <c r="J923" i="2" s="1"/>
  <c r="F924" i="2"/>
  <c r="G924" i="2"/>
  <c r="H924" i="2"/>
  <c r="J924" i="2" s="1"/>
  <c r="F925" i="2"/>
  <c r="G925" i="2"/>
  <c r="H925" i="2"/>
  <c r="J925" i="2" s="1"/>
  <c r="F926" i="2"/>
  <c r="G926" i="2"/>
  <c r="H926" i="2"/>
  <c r="J926" i="2" s="1"/>
  <c r="F927" i="2"/>
  <c r="G927" i="2"/>
  <c r="H927" i="2"/>
  <c r="J927" i="2" s="1"/>
  <c r="F928" i="2"/>
  <c r="G928" i="2"/>
  <c r="H928" i="2"/>
  <c r="J928" i="2" s="1"/>
  <c r="F929" i="2"/>
  <c r="G929" i="2"/>
  <c r="H929" i="2"/>
  <c r="J929" i="2" s="1"/>
  <c r="F930" i="2"/>
  <c r="G930" i="2"/>
  <c r="H930" i="2"/>
  <c r="J930" i="2" s="1"/>
  <c r="F931" i="2"/>
  <c r="G931" i="2"/>
  <c r="H931" i="2"/>
  <c r="J931" i="2" s="1"/>
  <c r="F932" i="2"/>
  <c r="G932" i="2"/>
  <c r="H932" i="2"/>
  <c r="J932" i="2" s="1"/>
  <c r="F933" i="2"/>
  <c r="G933" i="2"/>
  <c r="H933" i="2"/>
  <c r="J933" i="2" s="1"/>
  <c r="F934" i="2"/>
  <c r="G934" i="2"/>
  <c r="H934" i="2"/>
  <c r="J934" i="2" s="1"/>
  <c r="F935" i="2"/>
  <c r="G935" i="2"/>
  <c r="H935" i="2"/>
  <c r="J935" i="2" s="1"/>
  <c r="F936" i="2"/>
  <c r="G936" i="2"/>
  <c r="H936" i="2"/>
  <c r="J936" i="2" s="1"/>
  <c r="F937" i="2"/>
  <c r="G937" i="2"/>
  <c r="H937" i="2"/>
  <c r="J937" i="2" s="1"/>
  <c r="F938" i="2"/>
  <c r="G938" i="2"/>
  <c r="H938" i="2"/>
  <c r="J938" i="2" s="1"/>
  <c r="F939" i="2"/>
  <c r="G939" i="2"/>
  <c r="H939" i="2"/>
  <c r="J939" i="2" s="1"/>
  <c r="F940" i="2"/>
  <c r="G940" i="2"/>
  <c r="H940" i="2"/>
  <c r="J940" i="2" s="1"/>
  <c r="F941" i="2"/>
  <c r="G941" i="2"/>
  <c r="H941" i="2"/>
  <c r="J941" i="2" s="1"/>
  <c r="F942" i="2"/>
  <c r="G942" i="2"/>
  <c r="H942" i="2"/>
  <c r="J942" i="2" s="1"/>
  <c r="F943" i="2"/>
  <c r="G943" i="2"/>
  <c r="H943" i="2"/>
  <c r="J943" i="2" s="1"/>
  <c r="F944" i="2"/>
  <c r="G944" i="2"/>
  <c r="H944" i="2"/>
  <c r="J944" i="2" s="1"/>
  <c r="F945" i="2"/>
  <c r="G945" i="2"/>
  <c r="H945" i="2"/>
  <c r="J945" i="2" s="1"/>
  <c r="F946" i="2"/>
  <c r="G946" i="2"/>
  <c r="H946" i="2"/>
  <c r="J946" i="2" s="1"/>
  <c r="F947" i="2"/>
  <c r="G947" i="2"/>
  <c r="H947" i="2"/>
  <c r="J947" i="2" s="1"/>
  <c r="F948" i="2"/>
  <c r="G948" i="2"/>
  <c r="H948" i="2"/>
  <c r="J948" i="2" s="1"/>
  <c r="F949" i="2"/>
  <c r="G949" i="2"/>
  <c r="H949" i="2"/>
  <c r="J949" i="2" s="1"/>
  <c r="F950" i="2"/>
  <c r="G950" i="2"/>
  <c r="H950" i="2"/>
  <c r="J950" i="2" s="1"/>
  <c r="F951" i="2"/>
  <c r="G951" i="2"/>
  <c r="J951" i="2"/>
  <c r="F952" i="2"/>
  <c r="G952" i="2"/>
  <c r="J952" i="2"/>
  <c r="F953" i="2"/>
  <c r="G953" i="2"/>
  <c r="J953" i="2"/>
  <c r="P953" i="2"/>
  <c r="F954" i="2"/>
  <c r="G954" i="2"/>
  <c r="H954" i="2"/>
  <c r="J954" i="2" s="1"/>
  <c r="J955" i="2"/>
  <c r="P955" i="2"/>
  <c r="F956" i="2"/>
  <c r="G956" i="2"/>
  <c r="H956" i="2"/>
  <c r="J956" i="2" s="1"/>
  <c r="F957" i="2"/>
  <c r="G957" i="2"/>
  <c r="H957" i="2"/>
  <c r="J957" i="2" s="1"/>
  <c r="F958" i="2"/>
  <c r="G958" i="2"/>
  <c r="H958" i="2"/>
  <c r="J958" i="2" s="1"/>
  <c r="F959" i="2"/>
  <c r="G959" i="2"/>
  <c r="H959" i="2"/>
  <c r="J959" i="2" s="1"/>
  <c r="F960" i="2"/>
  <c r="G960" i="2"/>
  <c r="H960" i="2"/>
  <c r="J960" i="2" s="1"/>
  <c r="F961" i="2"/>
  <c r="G961" i="2"/>
  <c r="H961" i="2"/>
  <c r="J961" i="2" s="1"/>
  <c r="F962" i="2"/>
  <c r="G962" i="2"/>
  <c r="H962" i="2"/>
  <c r="F963" i="2"/>
  <c r="G963" i="2"/>
  <c r="H963" i="2"/>
  <c r="J963" i="2" s="1"/>
  <c r="F964" i="2"/>
  <c r="G964" i="2"/>
  <c r="H964" i="2"/>
  <c r="J964" i="2" s="1"/>
  <c r="F965" i="2"/>
  <c r="G965" i="2"/>
  <c r="H965" i="2"/>
  <c r="J965" i="2" s="1"/>
  <c r="F966" i="2"/>
  <c r="G966" i="2"/>
  <c r="H966" i="2"/>
  <c r="P966" i="2" s="1"/>
  <c r="F967" i="2"/>
  <c r="G967" i="2"/>
  <c r="H967" i="2"/>
  <c r="J967" i="2" s="1"/>
  <c r="F968" i="2"/>
  <c r="G968" i="2"/>
  <c r="H968" i="2"/>
  <c r="J968" i="2" s="1"/>
  <c r="F969" i="2"/>
  <c r="G969" i="2"/>
  <c r="H969" i="2"/>
  <c r="J969" i="2" s="1"/>
  <c r="F970" i="2"/>
  <c r="G970" i="2"/>
  <c r="H970" i="2"/>
  <c r="J970" i="2" s="1"/>
  <c r="F971" i="2"/>
  <c r="G971" i="2"/>
  <c r="H971" i="2"/>
  <c r="J971" i="2" s="1"/>
  <c r="F972" i="2"/>
  <c r="G972" i="2"/>
  <c r="H972" i="2"/>
  <c r="J972" i="2" s="1"/>
  <c r="F973" i="2"/>
  <c r="G973" i="2"/>
  <c r="H973" i="2"/>
  <c r="J973" i="2" s="1"/>
  <c r="F974" i="2"/>
  <c r="G974" i="2"/>
  <c r="H974" i="2"/>
  <c r="J974" i="2" s="1"/>
  <c r="F975" i="2"/>
  <c r="G975" i="2"/>
  <c r="H975" i="2"/>
  <c r="J975" i="2" s="1"/>
  <c r="F976" i="2"/>
  <c r="G976" i="2"/>
  <c r="J976" i="2"/>
  <c r="F977" i="2"/>
  <c r="G977" i="2"/>
  <c r="P977" i="2"/>
  <c r="F978" i="2"/>
  <c r="G978" i="2"/>
  <c r="J978" i="2"/>
  <c r="F979" i="2"/>
  <c r="G979" i="2"/>
  <c r="J979" i="2"/>
  <c r="J980" i="2"/>
  <c r="F981" i="2"/>
  <c r="G981" i="2"/>
  <c r="J981" i="2"/>
  <c r="P981" i="2"/>
  <c r="F982" i="2"/>
  <c r="G982" i="2"/>
  <c r="J982" i="2"/>
  <c r="F983" i="2"/>
  <c r="G983" i="2"/>
  <c r="J983" i="2"/>
  <c r="P983" i="2"/>
  <c r="F984" i="2"/>
  <c r="G984" i="2"/>
  <c r="P984" i="2"/>
  <c r="F985" i="2"/>
  <c r="G985" i="2"/>
  <c r="J985" i="2"/>
  <c r="F986" i="2"/>
  <c r="G986" i="2"/>
  <c r="J986" i="2"/>
  <c r="F987" i="2"/>
  <c r="G987" i="2"/>
  <c r="J987" i="2"/>
  <c r="F988" i="2"/>
  <c r="G988" i="2"/>
  <c r="J988" i="2"/>
  <c r="F989" i="2"/>
  <c r="G989" i="2"/>
  <c r="J989" i="2"/>
  <c r="F990" i="2"/>
  <c r="G990" i="2"/>
  <c r="J990" i="2"/>
  <c r="F991" i="2"/>
  <c r="G991" i="2"/>
  <c r="J991" i="2"/>
  <c r="F992" i="2"/>
  <c r="G992" i="2"/>
  <c r="J992" i="2"/>
  <c r="F993" i="2"/>
  <c r="G993" i="2"/>
  <c r="J993" i="2"/>
  <c r="F994" i="2"/>
  <c r="G994" i="2"/>
  <c r="J994" i="2"/>
  <c r="F995" i="2"/>
  <c r="G995" i="2"/>
  <c r="J995" i="2"/>
  <c r="F996" i="2"/>
  <c r="G996" i="2"/>
  <c r="J996" i="2"/>
  <c r="F997" i="2"/>
  <c r="G997" i="2"/>
  <c r="J997" i="2"/>
  <c r="F998" i="2"/>
  <c r="G998" i="2"/>
  <c r="J998" i="2"/>
  <c r="F999" i="2"/>
  <c r="G999" i="2"/>
  <c r="J999" i="2"/>
  <c r="F5262" i="2"/>
  <c r="H5262" i="2"/>
  <c r="I5262" i="2"/>
  <c r="P5262" i="2"/>
  <c r="J1044" i="2"/>
  <c r="P998" i="2"/>
  <c r="P990" i="2"/>
  <c r="J820" i="2"/>
  <c r="P722" i="2"/>
  <c r="J750" i="2"/>
  <c r="P750" i="2"/>
  <c r="P995" i="2"/>
  <c r="J984" i="2"/>
  <c r="J818" i="2"/>
  <c r="J868" i="2"/>
  <c r="P997" i="2"/>
  <c r="P989" i="2"/>
  <c r="J966" i="2"/>
  <c r="P524" i="2"/>
  <c r="P952" i="2"/>
  <c r="J756" i="2"/>
  <c r="J2" i="2"/>
  <c r="J1000" i="2"/>
  <c r="P1000" i="2"/>
  <c r="J1052" i="2"/>
  <c r="P1052" i="2"/>
  <c r="J1066" i="2"/>
  <c r="P1066" i="2"/>
  <c r="J1080" i="2"/>
  <c r="P1080" i="2"/>
  <c r="J1114" i="2"/>
  <c r="P1114" i="2"/>
  <c r="P994" i="2"/>
  <c r="P991" i="2"/>
  <c r="J804" i="2"/>
  <c r="J743" i="2"/>
  <c r="J726" i="2"/>
  <c r="P726" i="2"/>
  <c r="P978" i="2"/>
  <c r="J770" i="2"/>
  <c r="P669" i="2"/>
  <c r="J626" i="2"/>
  <c r="P608" i="2"/>
  <c r="J600" i="2"/>
  <c r="J516" i="2"/>
  <c r="J491" i="2"/>
  <c r="J464" i="2"/>
  <c r="P455" i="2"/>
  <c r="J439" i="2"/>
  <c r="P1094" i="2"/>
  <c r="P985" i="2"/>
  <c r="J977" i="2"/>
  <c r="J808" i="2"/>
  <c r="J802" i="2"/>
  <c r="P774" i="2"/>
  <c r="P1093" i="2"/>
  <c r="P1068" i="2"/>
  <c r="P1060" i="2"/>
  <c r="P1028" i="2"/>
  <c r="J390" i="2"/>
  <c r="J374" i="2"/>
  <c r="J338" i="2"/>
  <c r="P329" i="2"/>
  <c r="J199" i="2"/>
  <c r="P191" i="2"/>
  <c r="P183" i="2"/>
  <c r="P175" i="2"/>
  <c r="P167" i="2"/>
  <c r="J151" i="2"/>
  <c r="J119" i="2"/>
  <c r="J94" i="2"/>
  <c r="J85" i="2"/>
  <c r="J77" i="2"/>
  <c r="J50" i="2"/>
  <c r="P1043" i="2"/>
  <c r="P1027" i="2"/>
  <c r="P1002" i="2"/>
  <c r="P1115" i="2"/>
  <c r="P1074" i="2"/>
  <c r="P1058" i="2"/>
  <c r="P1042" i="2"/>
  <c r="P1106" i="2"/>
  <c r="P1098" i="2"/>
  <c r="P1090" i="2"/>
  <c r="P1105" i="2"/>
  <c r="P1072" i="2"/>
  <c r="P1064" i="2"/>
  <c r="P1056" i="2"/>
  <c r="P1048" i="2"/>
  <c r="P1040" i="2"/>
  <c r="P216" i="2"/>
  <c r="P1096" i="2"/>
  <c r="P1088" i="2"/>
  <c r="J20" i="2"/>
  <c r="P1111" i="2"/>
  <c r="P1078" i="2"/>
  <c r="P1070" i="2"/>
  <c r="P1062" i="2"/>
  <c r="P1038" i="2" l="1"/>
  <c r="C21" i="11"/>
  <c r="D21" i="11"/>
  <c r="C22" i="11"/>
  <c r="D22" i="11"/>
  <c r="E21" i="11"/>
  <c r="E22" i="11"/>
  <c r="F21" i="11"/>
  <c r="P1031" i="2"/>
  <c r="P1029" i="2"/>
  <c r="P1035" i="2"/>
  <c r="P1036" i="2"/>
  <c r="P973" i="2"/>
  <c r="P1037" i="2"/>
  <c r="J1009" i="2"/>
  <c r="P1009" i="2"/>
  <c r="P1032" i="2"/>
  <c r="P1022" i="2"/>
  <c r="P1011" i="2"/>
  <c r="P1024" i="2"/>
  <c r="P1041" i="2"/>
  <c r="P1007" i="2"/>
  <c r="P1008" i="2"/>
  <c r="P1010" i="2"/>
  <c r="P1034" i="2"/>
  <c r="P975" i="2"/>
  <c r="P1019" i="2"/>
  <c r="P1013" i="2"/>
  <c r="P969" i="2"/>
  <c r="P1006" i="2"/>
  <c r="P1015" i="2"/>
  <c r="P1016" i="2"/>
  <c r="P1014" i="2"/>
  <c r="P1033" i="2"/>
  <c r="P964" i="2"/>
  <c r="P1039" i="2"/>
  <c r="P1025" i="2"/>
  <c r="P1017" i="2"/>
  <c r="P1030" i="2"/>
  <c r="P1012" i="2"/>
  <c r="P947" i="2"/>
  <c r="P1005" i="2"/>
  <c r="P943" i="2"/>
  <c r="P937" i="2"/>
  <c r="P1023" i="2"/>
  <c r="P932" i="2"/>
  <c r="P972" i="2"/>
  <c r="P945" i="2"/>
  <c r="P961" i="2"/>
  <c r="P941" i="2"/>
  <c r="P949" i="2"/>
  <c r="P778" i="2"/>
  <c r="P1003" i="2"/>
  <c r="P942" i="2"/>
  <c r="P799" i="2"/>
  <c r="P971" i="2"/>
  <c r="P965" i="2"/>
  <c r="P999" i="2"/>
  <c r="P993" i="2"/>
  <c r="P988" i="2"/>
  <c r="P996" i="2"/>
  <c r="P939" i="2"/>
  <c r="P923" i="2"/>
  <c r="P992" i="2"/>
  <c r="P982" i="2"/>
  <c r="P928" i="2"/>
  <c r="P974" i="2"/>
  <c r="P967" i="2"/>
  <c r="P956" i="2"/>
  <c r="P963" i="2"/>
  <c r="P979" i="2"/>
  <c r="P927" i="2"/>
  <c r="P986" i="2"/>
  <c r="J917" i="2"/>
  <c r="P917" i="2"/>
  <c r="J875" i="2"/>
  <c r="P875" i="2"/>
  <c r="P976" i="2"/>
  <c r="P957" i="2"/>
  <c r="P970" i="2"/>
  <c r="P968" i="2"/>
  <c r="P959" i="2"/>
  <c r="P944" i="2"/>
  <c r="P935" i="2"/>
  <c r="J887" i="2"/>
  <c r="P887" i="2"/>
  <c r="P946" i="2"/>
  <c r="P938" i="2"/>
  <c r="P962" i="2"/>
  <c r="P954" i="2"/>
  <c r="P960" i="2"/>
  <c r="P958" i="2"/>
  <c r="P919" i="2"/>
  <c r="P934" i="2"/>
  <c r="J915" i="2"/>
  <c r="P915" i="2"/>
  <c r="P835" i="2"/>
  <c r="P931" i="2"/>
  <c r="P948" i="2"/>
  <c r="P951" i="2"/>
  <c r="P925" i="2"/>
  <c r="J906" i="2"/>
  <c r="P906" i="2"/>
  <c r="J898" i="2"/>
  <c r="P898" i="2"/>
  <c r="P921" i="2"/>
  <c r="J864" i="2"/>
  <c r="P864" i="2"/>
  <c r="P924" i="2"/>
  <c r="P940" i="2"/>
  <c r="P936" i="2"/>
  <c r="J913" i="2"/>
  <c r="P913" i="2"/>
  <c r="J845" i="2"/>
  <c r="P845" i="2"/>
  <c r="P922" i="2"/>
  <c r="P929" i="2"/>
  <c r="J901" i="2"/>
  <c r="P901" i="2"/>
  <c r="J900" i="2"/>
  <c r="P900" i="2"/>
  <c r="P933" i="2"/>
  <c r="P920" i="2"/>
  <c r="P930" i="2"/>
  <c r="J848" i="2"/>
  <c r="P848" i="2"/>
  <c r="J885" i="2"/>
  <c r="P885" i="2"/>
  <c r="J911" i="2"/>
  <c r="P911" i="2"/>
  <c r="J903" i="2"/>
  <c r="P903" i="2"/>
  <c r="J847" i="2"/>
  <c r="P847" i="2"/>
  <c r="P926" i="2"/>
  <c r="J865" i="2"/>
  <c r="P865" i="2"/>
  <c r="J918" i="2"/>
  <c r="P918" i="2"/>
  <c r="J880" i="2"/>
  <c r="P880" i="2"/>
  <c r="J910" i="2"/>
  <c r="P910" i="2"/>
  <c r="J909" i="2"/>
  <c r="P909" i="2"/>
  <c r="J879" i="2"/>
  <c r="P879" i="2"/>
  <c r="J853" i="2"/>
  <c r="P853" i="2"/>
  <c r="J905" i="2"/>
  <c r="P905" i="2"/>
  <c r="P687" i="2"/>
  <c r="J912" i="2"/>
  <c r="P912" i="2"/>
  <c r="J870" i="2"/>
  <c r="P870" i="2"/>
  <c r="J878" i="2"/>
  <c r="P878" i="2"/>
  <c r="J916" i="2"/>
  <c r="P916" i="2"/>
  <c r="J889" i="2"/>
  <c r="P889" i="2"/>
  <c r="J914" i="2"/>
  <c r="P914" i="2"/>
  <c r="J863" i="2"/>
  <c r="P863" i="2"/>
  <c r="J908" i="2"/>
  <c r="P908" i="2"/>
  <c r="J881" i="2"/>
  <c r="P881" i="2"/>
  <c r="P800" i="2"/>
  <c r="J843" i="2"/>
  <c r="P843" i="2"/>
  <c r="J893" i="2"/>
  <c r="P893" i="2"/>
  <c r="E67" i="14"/>
  <c r="D67" i="14"/>
  <c r="P805" i="2"/>
  <c r="F67" i="14"/>
  <c r="C65" i="14"/>
  <c r="G65" i="14" s="1"/>
  <c r="G62" i="14"/>
  <c r="G67" i="14" s="1"/>
  <c r="J882" i="2"/>
  <c r="P882" i="2"/>
  <c r="J852" i="2"/>
  <c r="P852" i="2"/>
  <c r="J902" i="2"/>
  <c r="P902" i="2"/>
  <c r="J846" i="2"/>
  <c r="P846" i="2"/>
  <c r="J850" i="2"/>
  <c r="P850" i="2"/>
  <c r="J895" i="2"/>
  <c r="P895" i="2"/>
  <c r="J904" i="2"/>
  <c r="P904" i="2"/>
  <c r="J896" i="2"/>
  <c r="P896" i="2"/>
  <c r="J899" i="2"/>
  <c r="P899" i="2"/>
  <c r="J862" i="2"/>
  <c r="P862" i="2"/>
  <c r="J871" i="2"/>
  <c r="P871" i="2"/>
  <c r="J890" i="2"/>
  <c r="P890" i="2"/>
  <c r="J892" i="2"/>
  <c r="P892" i="2"/>
  <c r="J884" i="2"/>
  <c r="P884" i="2"/>
  <c r="J873" i="2"/>
  <c r="P873" i="2"/>
  <c r="P803" i="2"/>
  <c r="J891" i="2"/>
  <c r="P891" i="2"/>
  <c r="J886" i="2"/>
  <c r="P886" i="2"/>
  <c r="J888" i="2"/>
  <c r="P888" i="2"/>
  <c r="J894" i="2"/>
  <c r="P894" i="2"/>
  <c r="J877" i="2"/>
  <c r="P877" i="2"/>
  <c r="P841" i="2"/>
  <c r="J849" i="2"/>
  <c r="P849" i="2"/>
  <c r="P815" i="2"/>
  <c r="J883" i="2"/>
  <c r="P883" i="2"/>
  <c r="J851" i="2"/>
  <c r="P851" i="2"/>
  <c r="J844" i="2"/>
  <c r="P844" i="2"/>
  <c r="P826" i="2"/>
  <c r="P827" i="2"/>
  <c r="P836" i="2"/>
  <c r="P831" i="2"/>
  <c r="J867" i="2"/>
  <c r="P867" i="2"/>
  <c r="J872" i="2"/>
  <c r="P872" i="2"/>
  <c r="P829" i="2"/>
  <c r="J869" i="2"/>
  <c r="P869" i="2"/>
  <c r="J874" i="2"/>
  <c r="P874" i="2"/>
  <c r="P837" i="2"/>
  <c r="P838" i="2"/>
  <c r="J861" i="2"/>
  <c r="P861" i="2"/>
  <c r="P830" i="2"/>
  <c r="J876" i="2"/>
  <c r="P876" i="2"/>
  <c r="J866" i="2"/>
  <c r="P866" i="2"/>
  <c r="J860" i="2"/>
  <c r="P860" i="2"/>
  <c r="J854" i="2"/>
  <c r="P854" i="2"/>
  <c r="P856" i="2"/>
  <c r="P784" i="2"/>
  <c r="P791" i="2"/>
  <c r="P817" i="2"/>
  <c r="P839" i="2"/>
  <c r="P840" i="2"/>
  <c r="P765" i="2"/>
  <c r="F12" i="10"/>
  <c r="E12" i="10"/>
  <c r="D12" i="10"/>
  <c r="C12" i="10"/>
  <c r="P801" i="2"/>
  <c r="P795" i="2"/>
  <c r="P787" i="2"/>
  <c r="P783" i="2"/>
  <c r="P833" i="2"/>
  <c r="P812" i="2"/>
  <c r="P824" i="2"/>
  <c r="P834" i="2"/>
  <c r="J819" i="2"/>
  <c r="P819" i="2"/>
  <c r="P789" i="2"/>
  <c r="P832" i="2"/>
  <c r="P792" i="2"/>
  <c r="P828" i="2"/>
  <c r="P766" i="2"/>
  <c r="P772" i="2"/>
  <c r="P793" i="2"/>
  <c r="P796" i="2"/>
  <c r="P821" i="2"/>
  <c r="P825" i="2"/>
  <c r="P809" i="2"/>
  <c r="P677" i="2"/>
  <c r="P709" i="2"/>
  <c r="P757" i="2"/>
  <c r="P780" i="2"/>
  <c r="P814" i="2"/>
  <c r="P753" i="2"/>
  <c r="P761" i="2"/>
  <c r="P776" i="2"/>
  <c r="P764" i="2"/>
  <c r="P810" i="2"/>
  <c r="P777" i="2"/>
  <c r="P747" i="2"/>
  <c r="P807" i="2"/>
  <c r="P782" i="2"/>
  <c r="P769" i="2"/>
  <c r="P781" i="2"/>
  <c r="P775" i="2"/>
  <c r="P797" i="2"/>
  <c r="P794" i="2"/>
  <c r="P758" i="2"/>
  <c r="P798" i="2"/>
  <c r="P762" i="2"/>
  <c r="P759" i="2"/>
  <c r="P771" i="2"/>
  <c r="P760" i="2"/>
  <c r="P751" i="2"/>
  <c r="P786" i="2"/>
  <c r="P773" i="2"/>
  <c r="P785" i="2"/>
  <c r="P745" i="2"/>
  <c r="J790" i="2"/>
  <c r="P790" i="2"/>
  <c r="P741" i="2"/>
  <c r="P734" i="2"/>
  <c r="P763" i="2"/>
  <c r="P748" i="2"/>
  <c r="P779" i="2"/>
  <c r="P768" i="2"/>
  <c r="P738" i="2"/>
  <c r="P733" i="2"/>
  <c r="P767" i="2"/>
  <c r="P755" i="2"/>
  <c r="P661" i="2"/>
  <c r="P739" i="2"/>
  <c r="P684" i="2"/>
  <c r="P717" i="2"/>
  <c r="P679" i="2"/>
  <c r="P691" i="2"/>
  <c r="P682" i="2"/>
  <c r="P744" i="2"/>
  <c r="P715" i="2"/>
  <c r="P713" i="2"/>
  <c r="P735" i="2"/>
  <c r="P732" i="2"/>
  <c r="P711" i="2"/>
  <c r="P551" i="2"/>
  <c r="P663" i="2"/>
  <c r="P708" i="2"/>
  <c r="P746" i="2"/>
  <c r="P737" i="2"/>
  <c r="P718" i="2"/>
  <c r="P675" i="2"/>
  <c r="P450" i="2"/>
  <c r="P699" i="2"/>
  <c r="P693" i="2"/>
  <c r="P749" i="2"/>
  <c r="P678" i="2"/>
  <c r="P740" i="2"/>
  <c r="P680" i="2"/>
  <c r="P712" i="2"/>
  <c r="P736" i="2"/>
  <c r="P652" i="2"/>
  <c r="P696" i="2"/>
  <c r="P681" i="2"/>
  <c r="P695" i="2"/>
  <c r="J704" i="2"/>
  <c r="P704" i="2"/>
  <c r="P701" i="2"/>
  <c r="P700" i="2"/>
  <c r="P698" i="2"/>
  <c r="P714" i="2"/>
  <c r="P728" i="2"/>
  <c r="P672" i="2"/>
  <c r="P653" i="2"/>
  <c r="P645" i="2"/>
  <c r="P723" i="2"/>
  <c r="P674" i="2"/>
  <c r="P685" i="2"/>
  <c r="P705" i="2"/>
  <c r="P650" i="2"/>
  <c r="P686" i="2"/>
  <c r="P606" i="2"/>
  <c r="P641" i="2"/>
  <c r="P644" i="2"/>
  <c r="P646" i="2"/>
  <c r="P624" i="2"/>
  <c r="P719" i="2"/>
  <c r="P707" i="2"/>
  <c r="P656" i="2"/>
  <c r="J706" i="2"/>
  <c r="P706" i="2"/>
  <c r="P694" i="2"/>
  <c r="P657" i="2"/>
  <c r="P710" i="2"/>
  <c r="P662" i="2"/>
  <c r="P632" i="2"/>
  <c r="P660" i="2"/>
  <c r="P642" i="2"/>
  <c r="P667" i="2"/>
  <c r="P659" i="2"/>
  <c r="P716" i="2"/>
  <c r="P673" i="2"/>
  <c r="J655" i="2"/>
  <c r="P655" i="2"/>
  <c r="P658" i="2"/>
  <c r="P615" i="2"/>
  <c r="P688" i="2"/>
  <c r="P649" i="2"/>
  <c r="P617" i="2"/>
  <c r="P692" i="2"/>
  <c r="P621" i="2"/>
  <c r="P664" i="2"/>
  <c r="P654" i="2"/>
  <c r="P625" i="2"/>
  <c r="P590" i="2"/>
  <c r="P689" i="2"/>
  <c r="P671" i="2"/>
  <c r="P703" i="2"/>
  <c r="P612" i="2"/>
  <c r="P591" i="2"/>
  <c r="P697" i="2"/>
  <c r="P610" i="2"/>
  <c r="P613" i="2"/>
  <c r="C26" i="12"/>
  <c r="D26" i="12"/>
  <c r="E26" i="12"/>
  <c r="F26" i="12"/>
  <c r="P588" i="2"/>
  <c r="P683" i="2"/>
  <c r="P676" i="2"/>
  <c r="P620" i="2"/>
  <c r="P647" i="2"/>
  <c r="P630" i="2"/>
  <c r="P665" i="2"/>
  <c r="P648" i="2"/>
  <c r="P498" i="2"/>
  <c r="P539" i="2"/>
  <c r="P614" i="2"/>
  <c r="P636" i="2"/>
  <c r="P605" i="2"/>
  <c r="P643" i="2"/>
  <c r="P635" i="2"/>
  <c r="P602" i="2"/>
  <c r="P309" i="2"/>
  <c r="P640" i="2"/>
  <c r="P629" i="2"/>
  <c r="P599" i="2"/>
  <c r="P581" i="2"/>
  <c r="P593" i="2"/>
  <c r="P616" i="2"/>
  <c r="P628" i="2"/>
  <c r="P603" i="2"/>
  <c r="P568" i="2"/>
  <c r="P601" i="2"/>
  <c r="P536" i="2"/>
  <c r="P637" i="2"/>
  <c r="P543" i="2"/>
  <c r="P604" i="2"/>
  <c r="P634" i="2"/>
  <c r="P569" i="2"/>
  <c r="P627" i="2"/>
  <c r="P585" i="2"/>
  <c r="P562" i="2"/>
  <c r="P592" i="2"/>
  <c r="P597" i="2"/>
  <c r="P623" i="2"/>
  <c r="P598" i="2"/>
  <c r="P580" i="2"/>
  <c r="P594" i="2"/>
  <c r="P571" i="2"/>
  <c r="P611" i="2"/>
  <c r="P619" i="2"/>
  <c r="P618" i="2"/>
  <c r="P607" i="2"/>
  <c r="P576" i="2"/>
  <c r="P574" i="2"/>
  <c r="P534" i="2"/>
  <c r="P589" i="2"/>
  <c r="P572" i="2"/>
  <c r="P583" i="2"/>
  <c r="P577" i="2"/>
  <c r="P586" i="2"/>
  <c r="P556" i="2"/>
  <c r="P584" i="2"/>
  <c r="P578" i="2"/>
  <c r="P563" i="2"/>
  <c r="P579" i="2"/>
  <c r="P527" i="2"/>
  <c r="P587" i="2"/>
  <c r="P559" i="2"/>
  <c r="P547" i="2"/>
  <c r="P570" i="2"/>
  <c r="P550" i="2"/>
  <c r="P560" i="2"/>
  <c r="P510" i="2"/>
  <c r="P538" i="2"/>
  <c r="P523" i="2"/>
  <c r="P514" i="2"/>
  <c r="P477" i="2"/>
  <c r="P553" i="2"/>
  <c r="P537" i="2"/>
  <c r="P545" i="2"/>
  <c r="P567" i="2"/>
  <c r="P544" i="2"/>
  <c r="P561" i="2"/>
  <c r="P526" i="2"/>
  <c r="P565" i="2"/>
  <c r="P520" i="2"/>
  <c r="P505" i="2"/>
  <c r="P566" i="2"/>
  <c r="P546" i="2"/>
  <c r="P558" i="2"/>
  <c r="P529" i="2"/>
  <c r="P509" i="2"/>
  <c r="P548" i="2"/>
  <c r="P531" i="2"/>
  <c r="P515" i="2"/>
  <c r="P555" i="2"/>
  <c r="P521" i="2"/>
  <c r="P292" i="2"/>
  <c r="P542" i="2"/>
  <c r="P552" i="2"/>
  <c r="P296" i="2"/>
  <c r="P518" i="2"/>
  <c r="P519" i="2"/>
  <c r="P502" i="2"/>
  <c r="P478" i="2"/>
  <c r="P512" i="2"/>
  <c r="P511" i="2"/>
  <c r="P460" i="2"/>
  <c r="P507" i="2"/>
  <c r="P445" i="2"/>
  <c r="P495" i="2"/>
  <c r="P499" i="2"/>
  <c r="P444" i="2"/>
  <c r="P501" i="2"/>
  <c r="P456" i="2"/>
  <c r="P459" i="2"/>
  <c r="P528" i="2"/>
  <c r="P447" i="2"/>
  <c r="P508" i="2"/>
  <c r="P530" i="2"/>
  <c r="P476" i="2"/>
  <c r="P525" i="2"/>
  <c r="P486" i="2"/>
  <c r="P479" i="2"/>
  <c r="P496" i="2"/>
  <c r="P481" i="2"/>
  <c r="P513" i="2"/>
  <c r="P473" i="2"/>
  <c r="P466" i="2"/>
  <c r="P475" i="2"/>
  <c r="P469" i="2"/>
  <c r="P462" i="2"/>
  <c r="P437" i="2"/>
  <c r="P517" i="2"/>
  <c r="P448" i="2"/>
  <c r="P446" i="2"/>
  <c r="P493" i="2"/>
  <c r="P497" i="2"/>
  <c r="P482" i="2"/>
  <c r="P490" i="2"/>
  <c r="P500" i="2"/>
  <c r="P483" i="2"/>
  <c r="P313" i="2"/>
  <c r="P488" i="2"/>
  <c r="P458" i="2"/>
  <c r="P457" i="2"/>
  <c r="P451" i="2"/>
  <c r="P442" i="2"/>
  <c r="P489" i="2"/>
  <c r="P471" i="2"/>
  <c r="P431" i="2"/>
  <c r="P468" i="2"/>
  <c r="P485" i="2"/>
  <c r="P465" i="2"/>
  <c r="P484" i="2"/>
  <c r="P414" i="2"/>
  <c r="P428" i="2"/>
  <c r="P474" i="2"/>
  <c r="P467" i="2"/>
  <c r="P441" i="2"/>
  <c r="P435" i="2"/>
  <c r="P453" i="2"/>
  <c r="P434" i="2"/>
  <c r="P452" i="2"/>
  <c r="P433" i="2"/>
  <c r="P427" i="2"/>
  <c r="P470" i="2"/>
  <c r="P407" i="2"/>
  <c r="P430" i="2"/>
  <c r="P463" i="2"/>
  <c r="P438" i="2"/>
  <c r="P412" i="2"/>
  <c r="P449" i="2"/>
  <c r="P436" i="2"/>
  <c r="P432" i="2"/>
  <c r="P454" i="2"/>
  <c r="P360" i="2"/>
  <c r="P353" i="2"/>
  <c r="P383" i="2"/>
  <c r="P410" i="2"/>
  <c r="P389" i="2"/>
  <c r="P393" i="2"/>
  <c r="P423" i="2"/>
  <c r="P345" i="2"/>
  <c r="P409" i="2"/>
  <c r="P426" i="2"/>
  <c r="P411" i="2"/>
  <c r="P415" i="2"/>
  <c r="P404" i="2"/>
  <c r="P384" i="2"/>
  <c r="P363" i="2"/>
  <c r="P425" i="2"/>
  <c r="P388" i="2"/>
  <c r="P375" i="2"/>
  <c r="J429" i="2"/>
  <c r="P429" i="2"/>
  <c r="P424" i="2"/>
  <c r="P310" i="2"/>
  <c r="P386" i="2"/>
  <c r="P422" i="2"/>
  <c r="P405" i="2"/>
  <c r="P361" i="2"/>
  <c r="P379" i="2"/>
  <c r="P408" i="2"/>
  <c r="P421" i="2"/>
  <c r="P342" i="2"/>
  <c r="P402" i="2"/>
  <c r="P392" i="2"/>
  <c r="P413" i="2"/>
  <c r="P356" i="2"/>
  <c r="P403" i="2"/>
  <c r="P385" i="2"/>
  <c r="P336" i="2"/>
  <c r="P347" i="2"/>
  <c r="P396" i="2"/>
  <c r="P391" i="2"/>
  <c r="P406" i="2"/>
  <c r="P387" i="2"/>
  <c r="P397" i="2"/>
  <c r="P357" i="2"/>
  <c r="P339" i="2"/>
  <c r="P398" i="2"/>
  <c r="P319" i="2"/>
  <c r="P381" i="2"/>
  <c r="P395" i="2"/>
  <c r="P316" i="2"/>
  <c r="P240" i="2"/>
  <c r="P332" i="2"/>
  <c r="P348" i="2"/>
  <c r="P394" i="2"/>
  <c r="P300" i="2"/>
  <c r="P302" i="2"/>
  <c r="P382" i="2"/>
  <c r="P376" i="2"/>
  <c r="P377" i="2"/>
  <c r="P372" i="2"/>
  <c r="F31" i="12"/>
  <c r="E31" i="12"/>
  <c r="D31" i="12"/>
  <c r="C31" i="12"/>
  <c r="P320" i="2"/>
  <c r="C20" i="10"/>
  <c r="C18" i="10"/>
  <c r="C8" i="10"/>
  <c r="C9" i="11" s="1"/>
  <c r="C16" i="10"/>
  <c r="C17" i="10"/>
  <c r="C9" i="10"/>
  <c r="P343" i="2"/>
  <c r="P378" i="2"/>
  <c r="P373" i="2"/>
  <c r="P335" i="2"/>
  <c r="P340" i="2"/>
  <c r="P322" i="2"/>
  <c r="P317" i="2"/>
  <c r="P268" i="2"/>
  <c r="P334" i="2"/>
  <c r="P315" i="2"/>
  <c r="P337" i="2"/>
  <c r="P346" i="2"/>
  <c r="P333" i="2"/>
  <c r="P306" i="2"/>
  <c r="P364" i="2"/>
  <c r="P359" i="2"/>
  <c r="P365" i="2"/>
  <c r="P355" i="2"/>
  <c r="P303" i="2"/>
  <c r="P341" i="2"/>
  <c r="P256" i="2"/>
  <c r="P283" i="2"/>
  <c r="P351" i="2"/>
  <c r="P311" i="2"/>
  <c r="P323" i="2"/>
  <c r="P271" i="2"/>
  <c r="P288" i="2"/>
  <c r="P282" i="2"/>
  <c r="P265" i="2"/>
  <c r="P321" i="2"/>
  <c r="P326" i="2"/>
  <c r="P325" i="2"/>
  <c r="P272" i="2"/>
  <c r="P262" i="2"/>
  <c r="P312" i="2"/>
  <c r="P308" i="2"/>
  <c r="P286" i="2"/>
  <c r="P330" i="2"/>
  <c r="J327" i="2"/>
  <c r="P327" i="2"/>
  <c r="P314" i="2"/>
  <c r="P324" i="2"/>
  <c r="P281" i="2"/>
  <c r="P318" i="2"/>
  <c r="P279" i="2"/>
  <c r="P307" i="2"/>
  <c r="P301" i="2"/>
  <c r="P298" i="2"/>
  <c r="P254" i="2"/>
  <c r="P289" i="2"/>
  <c r="P304" i="2"/>
  <c r="P305" i="2"/>
  <c r="P239" i="2"/>
  <c r="P275" i="2"/>
  <c r="P273" i="2"/>
  <c r="P264" i="2"/>
  <c r="P258" i="2"/>
  <c r="P253" i="2"/>
  <c r="P280" i="2"/>
  <c r="P249" i="2"/>
  <c r="P297" i="2"/>
  <c r="P277" i="2"/>
  <c r="P255" i="2"/>
  <c r="P291" i="2"/>
  <c r="P290" i="2"/>
  <c r="P222" i="2"/>
  <c r="P229" i="2"/>
  <c r="P241" i="2"/>
  <c r="P276" i="2"/>
  <c r="E30" i="12"/>
  <c r="C30" i="12"/>
  <c r="D30" i="12"/>
  <c r="F30" i="12"/>
  <c r="P260" i="2"/>
  <c r="P267" i="2"/>
  <c r="P259" i="2"/>
  <c r="P274" i="2"/>
  <c r="P278" i="2"/>
  <c r="P263" i="2"/>
  <c r="E10" i="12"/>
  <c r="D10" i="12"/>
  <c r="C10" i="12"/>
  <c r="F10" i="12"/>
  <c r="P261" i="2"/>
  <c r="P270" i="2"/>
  <c r="P266" i="2"/>
  <c r="P233" i="2"/>
  <c r="P252" i="2"/>
  <c r="P237" i="2"/>
  <c r="P232" i="2"/>
  <c r="P247" i="2"/>
  <c r="P248" i="2"/>
  <c r="P244" i="2"/>
  <c r="P230" i="2"/>
  <c r="P238" i="2"/>
  <c r="F20" i="10"/>
  <c r="P243" i="2"/>
  <c r="P231" i="2"/>
  <c r="P235" i="2"/>
  <c r="P234" i="2"/>
  <c r="P236" i="2"/>
  <c r="P226" i="2"/>
  <c r="AX2" i="2" a="1"/>
  <c r="L18" i="12"/>
  <c r="K18" i="12"/>
  <c r="J18" i="12"/>
  <c r="I18" i="12"/>
  <c r="AS2" i="3" a="1"/>
  <c r="P210" i="2"/>
  <c r="P140" i="2"/>
  <c r="D8" i="10"/>
  <c r="D9" i="11" s="1"/>
  <c r="P156" i="2"/>
  <c r="P176" i="2"/>
  <c r="C32" i="12"/>
  <c r="F32" i="12"/>
  <c r="E32" i="12"/>
  <c r="D32" i="12"/>
  <c r="E19" i="12"/>
  <c r="D19" i="12"/>
  <c r="C19" i="12"/>
  <c r="F19" i="12"/>
  <c r="E9" i="12"/>
  <c r="D9" i="12"/>
  <c r="C9" i="12"/>
  <c r="F9" i="12"/>
  <c r="P174" i="2"/>
  <c r="D29" i="12"/>
  <c r="C29" i="12"/>
  <c r="F29" i="12"/>
  <c r="E29" i="12"/>
  <c r="P165" i="2"/>
  <c r="P201" i="2"/>
  <c r="E20" i="10"/>
  <c r="D20" i="10"/>
  <c r="P181" i="2"/>
  <c r="P124" i="2"/>
  <c r="P213" i="2"/>
  <c r="F18" i="11"/>
  <c r="F10" i="11"/>
  <c r="E17" i="10"/>
  <c r="F9" i="10"/>
  <c r="P215" i="2"/>
  <c r="F8" i="10"/>
  <c r="F9" i="11" s="1"/>
  <c r="D17" i="10"/>
  <c r="F17" i="10"/>
  <c r="C18" i="11"/>
  <c r="D9" i="10"/>
  <c r="D16" i="10"/>
  <c r="D18" i="10"/>
  <c r="D18" i="11"/>
  <c r="E9" i="10"/>
  <c r="E16" i="10"/>
  <c r="E18" i="10"/>
  <c r="E18" i="11"/>
  <c r="P173" i="2"/>
  <c r="F16" i="10"/>
  <c r="F18" i="10"/>
  <c r="E8" i="10"/>
  <c r="E9" i="11" s="1"/>
  <c r="C10" i="11"/>
  <c r="D10" i="11"/>
  <c r="E10" i="11"/>
  <c r="P160" i="2"/>
  <c r="P177" i="2"/>
  <c r="P195" i="2"/>
  <c r="P204" i="2"/>
  <c r="P162" i="2"/>
  <c r="P202" i="2"/>
  <c r="P214" i="2"/>
  <c r="P208" i="2"/>
  <c r="P206" i="2"/>
  <c r="P211" i="2"/>
  <c r="P189" i="2"/>
  <c r="P197" i="2"/>
  <c r="P180" i="2"/>
  <c r="P207" i="2"/>
  <c r="P203" i="2"/>
  <c r="P146" i="2"/>
  <c r="P209" i="2"/>
  <c r="P205" i="2"/>
  <c r="P154" i="2"/>
  <c r="P128" i="2"/>
  <c r="P148" i="2"/>
  <c r="P157" i="2"/>
  <c r="P186" i="2"/>
  <c r="P149" i="2"/>
  <c r="P147" i="2"/>
  <c r="P193" i="2"/>
  <c r="P182" i="2"/>
  <c r="P127" i="2"/>
  <c r="P159" i="2"/>
  <c r="P169" i="2"/>
  <c r="P141" i="2"/>
  <c r="P143" i="2"/>
  <c r="P133" i="2"/>
  <c r="P170" i="2"/>
  <c r="P144" i="2"/>
  <c r="P132" i="2"/>
  <c r="P184" i="2"/>
  <c r="P168" i="2"/>
  <c r="P129" i="2"/>
  <c r="P100" i="2"/>
  <c r="P99" i="2"/>
  <c r="P179" i="2"/>
  <c r="P178" i="2"/>
  <c r="P136" i="2"/>
  <c r="P98" i="2"/>
  <c r="P131" i="2"/>
  <c r="P171" i="2"/>
  <c r="P164" i="2"/>
  <c r="P161" i="2"/>
  <c r="P158" i="2"/>
  <c r="P153" i="2"/>
  <c r="P134" i="2"/>
  <c r="P135" i="2"/>
  <c r="P58" i="2"/>
  <c r="P117" i="2"/>
  <c r="P67" i="2"/>
  <c r="P93" i="2"/>
  <c r="P152" i="2"/>
  <c r="P115" i="2"/>
  <c r="P96" i="2"/>
  <c r="P110" i="2"/>
  <c r="P145" i="2"/>
  <c r="P142" i="2"/>
  <c r="P102" i="2"/>
  <c r="P91" i="2"/>
  <c r="P139" i="2"/>
  <c r="P116" i="2"/>
  <c r="P125" i="2"/>
  <c r="P138" i="2"/>
  <c r="P60" i="2"/>
  <c r="P114" i="2"/>
  <c r="P103" i="2"/>
  <c r="P126" i="2"/>
  <c r="P113" i="2"/>
  <c r="P79" i="2"/>
  <c r="P123" i="2"/>
  <c r="P92" i="2"/>
  <c r="P83" i="2"/>
  <c r="P111" i="2"/>
  <c r="P112" i="2"/>
  <c r="P104" i="2"/>
  <c r="P121" i="2"/>
  <c r="P86" i="2"/>
  <c r="P80" i="2"/>
  <c r="P109" i="2"/>
  <c r="P32" i="2"/>
  <c r="P78" i="2"/>
  <c r="P69" i="2"/>
  <c r="P61" i="2"/>
  <c r="P52" i="2"/>
  <c r="P88" i="2"/>
  <c r="P37" i="2"/>
  <c r="P87" i="2"/>
  <c r="P107" i="2"/>
  <c r="P81" i="2"/>
  <c r="P106" i="2"/>
  <c r="P73" i="2"/>
  <c r="P120" i="2"/>
  <c r="P95" i="2"/>
  <c r="P70" i="2"/>
  <c r="P62" i="2"/>
  <c r="P108" i="2"/>
  <c r="P59" i="2"/>
  <c r="P84" i="2"/>
  <c r="P71" i="2"/>
  <c r="P51" i="2"/>
  <c r="P101" i="2"/>
  <c r="P55" i="2"/>
  <c r="P68" i="2"/>
  <c r="P75" i="2"/>
  <c r="P54" i="2"/>
  <c r="P40" i="2"/>
  <c r="P34" i="2"/>
  <c r="P29" i="2"/>
  <c r="P28" i="2"/>
  <c r="P64" i="2"/>
  <c r="P89" i="2"/>
  <c r="P56" i="2"/>
  <c r="P27" i="2"/>
  <c r="P24" i="2"/>
  <c r="P82" i="2"/>
  <c r="P26" i="2"/>
  <c r="P41" i="2"/>
  <c r="P21" i="2"/>
  <c r="P16" i="2"/>
  <c r="P49" i="2"/>
  <c r="P63" i="2"/>
  <c r="P13" i="2"/>
  <c r="P72" i="2"/>
  <c r="P66" i="2"/>
  <c r="P6" i="2"/>
  <c r="P57" i="2"/>
  <c r="P65" i="2"/>
  <c r="P5" i="2"/>
  <c r="AA24" i="3"/>
  <c r="Y27" i="3"/>
  <c r="Y26" i="3"/>
  <c r="Y19" i="3"/>
  <c r="W29" i="3"/>
  <c r="AB29" i="3"/>
  <c r="AB19" i="3"/>
  <c r="AC27" i="3"/>
  <c r="AB18" i="3"/>
  <c r="P45" i="2"/>
  <c r="P36" i="2"/>
  <c r="P48" i="2"/>
  <c r="P25" i="2"/>
  <c r="Y21" i="3"/>
  <c r="Z28" i="3"/>
  <c r="Z27" i="3"/>
  <c r="AB28" i="3"/>
  <c r="AC24" i="3"/>
  <c r="Z18" i="3"/>
  <c r="Y29" i="3"/>
  <c r="AA21" i="3"/>
  <c r="AD25" i="3"/>
  <c r="W28" i="3"/>
  <c r="AC21" i="3"/>
  <c r="AC18" i="3"/>
  <c r="AD29" i="3"/>
  <c r="W20" i="3"/>
  <c r="AA29" i="3"/>
  <c r="AA22" i="3"/>
  <c r="W27" i="3"/>
  <c r="AD23" i="3"/>
  <c r="X27" i="3"/>
  <c r="X18" i="3"/>
  <c r="AA28" i="3"/>
  <c r="X29" i="3"/>
  <c r="Z19" i="3"/>
  <c r="X26" i="3"/>
  <c r="W22" i="3"/>
  <c r="Y20" i="3"/>
  <c r="AA27" i="3"/>
  <c r="W21" i="3"/>
  <c r="AB27" i="3"/>
  <c r="W23" i="3"/>
  <c r="Z25" i="3"/>
  <c r="AA26" i="3"/>
  <c r="AB24" i="3"/>
  <c r="AC22" i="3"/>
  <c r="Z24" i="3"/>
  <c r="AB23" i="3"/>
  <c r="W25" i="3"/>
  <c r="AD27" i="3"/>
  <c r="Z29" i="3"/>
  <c r="AA19" i="3"/>
  <c r="W19" i="3"/>
  <c r="AB20" i="3"/>
  <c r="Z26" i="3"/>
  <c r="AB25" i="3"/>
  <c r="W26" i="3"/>
  <c r="AB21" i="3"/>
  <c r="AA23" i="3"/>
  <c r="AD26" i="3"/>
  <c r="W24" i="3"/>
  <c r="Y24" i="3"/>
  <c r="Y22" i="3"/>
  <c r="AB26" i="3"/>
  <c r="Y28" i="3"/>
  <c r="X20" i="3"/>
  <c r="Z23" i="3"/>
  <c r="AA20" i="3"/>
  <c r="AD24" i="3"/>
  <c r="Z20" i="3"/>
  <c r="AD18" i="3"/>
  <c r="AC28" i="3"/>
  <c r="AD22" i="3"/>
  <c r="X21" i="3"/>
  <c r="X22" i="3"/>
  <c r="AA18" i="3"/>
  <c r="AD19" i="3"/>
  <c r="Y23" i="3"/>
  <c r="Y25" i="3"/>
  <c r="X25" i="3"/>
  <c r="X19" i="3"/>
  <c r="X28" i="3"/>
  <c r="AC25" i="3"/>
  <c r="AD28" i="3"/>
  <c r="AD21" i="3"/>
  <c r="X23" i="3"/>
  <c r="AB22" i="3"/>
  <c r="W18" i="3"/>
  <c r="AC20" i="3"/>
  <c r="AC19" i="3"/>
  <c r="AA25" i="3"/>
  <c r="AD20" i="3"/>
  <c r="AC29" i="3"/>
  <c r="Z21" i="3"/>
  <c r="Z22" i="3"/>
  <c r="X24" i="3"/>
  <c r="AC26" i="3"/>
  <c r="AC23" i="3"/>
  <c r="Y18" i="3"/>
  <c r="M25" i="14" l="1"/>
  <c r="M6" i="14"/>
  <c r="M22" i="14"/>
  <c r="M34" i="14"/>
  <c r="M46" i="14"/>
  <c r="M7" i="14"/>
  <c r="M19" i="14"/>
  <c r="M35" i="14"/>
  <c r="M47" i="14"/>
  <c r="M9" i="14"/>
  <c r="M45" i="14"/>
  <c r="M8" i="14"/>
  <c r="M20" i="14"/>
  <c r="M32" i="14"/>
  <c r="M48" i="14"/>
  <c r="M21" i="14"/>
  <c r="M33" i="14"/>
  <c r="L51" i="14"/>
  <c r="M51" i="14"/>
  <c r="L25" i="14"/>
  <c r="L12" i="14"/>
  <c r="M12" i="14"/>
  <c r="L38" i="14"/>
  <c r="M38" i="14"/>
  <c r="J11" i="14"/>
  <c r="J24" i="14"/>
  <c r="L11" i="14"/>
  <c r="J38" i="14"/>
  <c r="J51" i="14"/>
  <c r="J46" i="14"/>
  <c r="J45" i="14"/>
  <c r="K24" i="14"/>
  <c r="J32" i="14"/>
  <c r="K38" i="14"/>
  <c r="J48" i="14"/>
  <c r="K51" i="14"/>
  <c r="J35" i="14"/>
  <c r="J37" i="14"/>
  <c r="L37" i="14"/>
  <c r="J34" i="14"/>
  <c r="L24" i="14"/>
  <c r="K11" i="14"/>
  <c r="M24" i="14"/>
  <c r="J25" i="14"/>
  <c r="M11" i="14"/>
  <c r="K25" i="14"/>
  <c r="J40" i="14"/>
  <c r="J53" i="14"/>
  <c r="M50" i="14"/>
  <c r="J33" i="14"/>
  <c r="J12" i="14"/>
  <c r="J50" i="14"/>
  <c r="K12" i="14"/>
  <c r="K37" i="14"/>
  <c r="J47" i="14"/>
  <c r="K50" i="14"/>
  <c r="L50" i="14"/>
  <c r="M37" i="14"/>
  <c r="D6" i="14"/>
  <c r="D9" i="14"/>
  <c r="D14" i="14"/>
  <c r="F24" i="14"/>
  <c r="F20" i="14"/>
  <c r="E37" i="14"/>
  <c r="E33" i="14"/>
  <c r="E53" i="14"/>
  <c r="E48" i="14"/>
  <c r="E45" i="14"/>
  <c r="F33" i="14"/>
  <c r="E6" i="14"/>
  <c r="E9" i="14"/>
  <c r="E14" i="14"/>
  <c r="E24" i="14"/>
  <c r="E20" i="14"/>
  <c r="D37" i="14"/>
  <c r="D33" i="14"/>
  <c r="D53" i="14"/>
  <c r="D48" i="14"/>
  <c r="D45" i="14"/>
  <c r="F48" i="14"/>
  <c r="F6" i="14"/>
  <c r="F9" i="14"/>
  <c r="F14" i="14"/>
  <c r="D24" i="14"/>
  <c r="D20" i="14"/>
  <c r="C37" i="14"/>
  <c r="F45" i="14"/>
  <c r="C11" i="14"/>
  <c r="C24" i="14"/>
  <c r="F35" i="14"/>
  <c r="F32" i="14"/>
  <c r="F51" i="14"/>
  <c r="F47" i="14"/>
  <c r="E25" i="14"/>
  <c r="D34" i="14"/>
  <c r="C50" i="14"/>
  <c r="F37" i="14"/>
  <c r="D7" i="14"/>
  <c r="D11" i="14"/>
  <c r="F27" i="14"/>
  <c r="F22" i="14"/>
  <c r="F19" i="14"/>
  <c r="E35" i="14"/>
  <c r="E32" i="14"/>
  <c r="E51" i="14"/>
  <c r="E47" i="14"/>
  <c r="E7" i="14"/>
  <c r="E11" i="14"/>
  <c r="E27" i="14"/>
  <c r="E22" i="14"/>
  <c r="E19" i="14"/>
  <c r="D35" i="14"/>
  <c r="D32" i="14"/>
  <c r="D51" i="14"/>
  <c r="D47" i="14"/>
  <c r="E21" i="14"/>
  <c r="D40" i="14"/>
  <c r="D46" i="14"/>
  <c r="D25" i="14"/>
  <c r="D21" i="14"/>
  <c r="F7" i="14"/>
  <c r="F11" i="14"/>
  <c r="D27" i="14"/>
  <c r="D22" i="14"/>
  <c r="D19" i="14"/>
  <c r="C51" i="14"/>
  <c r="D12" i="14"/>
  <c r="F21" i="14"/>
  <c r="E50" i="14"/>
  <c r="E8" i="14"/>
  <c r="D38" i="14"/>
  <c r="F12" i="14"/>
  <c r="C38" i="14"/>
  <c r="C25" i="14"/>
  <c r="F53" i="14"/>
  <c r="C12" i="14"/>
  <c r="F38" i="14"/>
  <c r="F34" i="14"/>
  <c r="F40" i="14"/>
  <c r="F50" i="14"/>
  <c r="F46" i="14"/>
  <c r="D8" i="14"/>
  <c r="F25" i="14"/>
  <c r="E34" i="14"/>
  <c r="E40" i="14"/>
  <c r="E46" i="14"/>
  <c r="E12" i="14"/>
  <c r="D50" i="14"/>
  <c r="E38" i="14"/>
  <c r="F8" i="14"/>
  <c r="K71" i="3"/>
  <c r="G66" i="3"/>
  <c r="K70" i="3"/>
  <c r="G65" i="3"/>
  <c r="H67" i="3"/>
  <c r="H68" i="3"/>
  <c r="F66" i="3"/>
  <c r="K73" i="3"/>
  <c r="G68" i="3"/>
  <c r="H65" i="3"/>
  <c r="F68" i="3"/>
  <c r="F65" i="3"/>
  <c r="K72" i="3"/>
  <c r="G67" i="3"/>
  <c r="K69" i="3"/>
  <c r="F67" i="3"/>
  <c r="K74" i="3"/>
  <c r="H66" i="3"/>
  <c r="O51" i="3"/>
  <c r="O49" i="3"/>
  <c r="O57" i="3"/>
  <c r="O56" i="3"/>
  <c r="O64" i="3"/>
  <c r="F64" i="3"/>
  <c r="H64" i="3"/>
  <c r="G64" i="3"/>
  <c r="O63" i="3"/>
  <c r="C15" i="10"/>
  <c r="C13" i="10"/>
  <c r="C8" i="11" s="1"/>
  <c r="O59" i="3"/>
  <c r="H63" i="3"/>
  <c r="G63" i="3"/>
  <c r="F63" i="3"/>
  <c r="O62" i="3"/>
  <c r="O52" i="3"/>
  <c r="H62" i="3"/>
  <c r="G62" i="3"/>
  <c r="F62" i="3"/>
  <c r="O58" i="3"/>
  <c r="O60" i="3"/>
  <c r="F61" i="3"/>
  <c r="H61" i="3"/>
  <c r="G61" i="3"/>
  <c r="G60" i="3"/>
  <c r="F60" i="3"/>
  <c r="H60" i="3"/>
  <c r="O43" i="3"/>
  <c r="H59" i="3"/>
  <c r="G59" i="3"/>
  <c r="F59" i="3"/>
  <c r="G58" i="3"/>
  <c r="H58" i="3"/>
  <c r="F58" i="3"/>
  <c r="G57" i="3"/>
  <c r="F57" i="3"/>
  <c r="H57" i="3"/>
  <c r="H56" i="3"/>
  <c r="G56" i="3"/>
  <c r="F56" i="3"/>
  <c r="O55" i="3"/>
  <c r="O53" i="3"/>
  <c r="O54" i="3"/>
  <c r="O50" i="3"/>
  <c r="O46" i="3"/>
  <c r="O48" i="3"/>
  <c r="G55" i="3"/>
  <c r="H55" i="3"/>
  <c r="F55" i="3"/>
  <c r="F54" i="3"/>
  <c r="G54" i="3"/>
  <c r="H54" i="3"/>
  <c r="H53" i="3"/>
  <c r="F53" i="3"/>
  <c r="G53" i="3"/>
  <c r="F52" i="3"/>
  <c r="G52" i="3"/>
  <c r="H52" i="3"/>
  <c r="G51" i="3"/>
  <c r="F51" i="3"/>
  <c r="H51" i="3"/>
  <c r="O45" i="3"/>
  <c r="O47" i="3"/>
  <c r="H50" i="3"/>
  <c r="G50" i="3"/>
  <c r="F50" i="3"/>
  <c r="G49" i="3"/>
  <c r="F49" i="3"/>
  <c r="H49" i="3"/>
  <c r="O35" i="3"/>
  <c r="H48" i="3"/>
  <c r="G48" i="3"/>
  <c r="F48" i="3"/>
  <c r="H47" i="3"/>
  <c r="G47" i="3"/>
  <c r="F47" i="3"/>
  <c r="O44" i="3"/>
  <c r="J27" i="14" s="1"/>
  <c r="O40" i="3"/>
  <c r="F46" i="3"/>
  <c r="G46" i="3"/>
  <c r="H46" i="3"/>
  <c r="G45" i="3"/>
  <c r="F45" i="3"/>
  <c r="H45" i="3"/>
  <c r="H44" i="3"/>
  <c r="G44" i="3"/>
  <c r="F44" i="3"/>
  <c r="O23" i="3"/>
  <c r="O37" i="3"/>
  <c r="F43" i="3"/>
  <c r="H43" i="3"/>
  <c r="G43" i="3"/>
  <c r="O41" i="3"/>
  <c r="O42" i="3"/>
  <c r="H42" i="3"/>
  <c r="G42" i="3"/>
  <c r="F42" i="3"/>
  <c r="O34" i="3"/>
  <c r="H41" i="3"/>
  <c r="G41" i="3"/>
  <c r="F41" i="3"/>
  <c r="O32" i="3"/>
  <c r="G40" i="3"/>
  <c r="F40" i="3"/>
  <c r="H40" i="3"/>
  <c r="O39" i="3"/>
  <c r="H39" i="3"/>
  <c r="G39" i="3"/>
  <c r="F39" i="3"/>
  <c r="O38" i="3"/>
  <c r="G38" i="3"/>
  <c r="F38" i="3"/>
  <c r="H38" i="3"/>
  <c r="F37" i="3"/>
  <c r="G37" i="3"/>
  <c r="H37" i="3"/>
  <c r="O36" i="3"/>
  <c r="F36" i="3"/>
  <c r="G36" i="3"/>
  <c r="H36" i="3"/>
  <c r="H35" i="3"/>
  <c r="G35" i="3"/>
  <c r="F35" i="3"/>
  <c r="O31" i="3"/>
  <c r="O22" i="3"/>
  <c r="H34" i="3"/>
  <c r="G34" i="3"/>
  <c r="F34" i="3"/>
  <c r="O26" i="3"/>
  <c r="O33" i="3"/>
  <c r="H33" i="3"/>
  <c r="G33" i="3"/>
  <c r="F33" i="3"/>
  <c r="O29" i="3"/>
  <c r="H32" i="3"/>
  <c r="H28" i="3"/>
  <c r="G32" i="3"/>
  <c r="H29" i="3"/>
  <c r="F32" i="3"/>
  <c r="H30" i="3"/>
  <c r="H31" i="3"/>
  <c r="F31" i="3"/>
  <c r="G31" i="3"/>
  <c r="O28" i="3"/>
  <c r="O30" i="3"/>
  <c r="G30" i="3"/>
  <c r="F30" i="3"/>
  <c r="O8" i="3"/>
  <c r="O6" i="3"/>
  <c r="O7" i="3"/>
  <c r="O14" i="3"/>
  <c r="O19" i="3"/>
  <c r="O2" i="3"/>
  <c r="O21" i="3"/>
  <c r="J8" i="14" s="1"/>
  <c r="O11" i="3"/>
  <c r="O24" i="3"/>
  <c r="O13" i="3"/>
  <c r="O3" i="3"/>
  <c r="O16" i="3"/>
  <c r="O5" i="3"/>
  <c r="O18" i="3"/>
  <c r="O20" i="3"/>
  <c r="O10" i="3"/>
  <c r="O12" i="3"/>
  <c r="O25" i="3"/>
  <c r="O4" i="3"/>
  <c r="O17" i="3"/>
  <c r="O27" i="3"/>
  <c r="O9" i="3"/>
  <c r="F3" i="3"/>
  <c r="F5" i="3"/>
  <c r="H8" i="3"/>
  <c r="P8" i="3" s="1"/>
  <c r="F10" i="3"/>
  <c r="H13" i="3"/>
  <c r="P13" i="3" s="1"/>
  <c r="H15" i="3"/>
  <c r="H17" i="3"/>
  <c r="P17" i="3" s="1"/>
  <c r="H19" i="3"/>
  <c r="P19" i="3" s="1"/>
  <c r="H21" i="3"/>
  <c r="P21" i="3" s="1"/>
  <c r="H23" i="3"/>
  <c r="F26" i="3"/>
  <c r="G28" i="3"/>
  <c r="H16" i="3"/>
  <c r="P16" i="3" s="1"/>
  <c r="G13" i="3"/>
  <c r="G21" i="3"/>
  <c r="F28" i="3"/>
  <c r="G3" i="3"/>
  <c r="G5" i="3"/>
  <c r="F7" i="3"/>
  <c r="G10" i="3"/>
  <c r="G26" i="3"/>
  <c r="F11" i="3"/>
  <c r="H3" i="3"/>
  <c r="P3" i="3" s="1"/>
  <c r="H5" i="3"/>
  <c r="P5" i="3" s="1"/>
  <c r="G7" i="3"/>
  <c r="H10" i="3"/>
  <c r="P10" i="3" s="1"/>
  <c r="F12" i="3"/>
  <c r="F14" i="3"/>
  <c r="F18" i="3"/>
  <c r="F20" i="3"/>
  <c r="F22" i="3"/>
  <c r="F24" i="3"/>
  <c r="H26" i="3"/>
  <c r="G4" i="3"/>
  <c r="F25" i="3"/>
  <c r="G15" i="3"/>
  <c r="G19" i="3"/>
  <c r="H7" i="3"/>
  <c r="P7" i="3" s="1"/>
  <c r="F9" i="3"/>
  <c r="G12" i="3"/>
  <c r="G14" i="3"/>
  <c r="F16" i="3"/>
  <c r="G18" i="3"/>
  <c r="G20" i="3"/>
  <c r="G22" i="3"/>
  <c r="G24" i="3"/>
  <c r="F29" i="3"/>
  <c r="H9" i="3"/>
  <c r="P9" i="3" s="1"/>
  <c r="F4" i="3"/>
  <c r="F6" i="3"/>
  <c r="G9" i="3"/>
  <c r="H12" i="3"/>
  <c r="P12" i="3" s="1"/>
  <c r="H14" i="3"/>
  <c r="P14" i="3" s="1"/>
  <c r="G16" i="3"/>
  <c r="H18" i="3"/>
  <c r="P18" i="3" s="1"/>
  <c r="H20" i="3"/>
  <c r="P20" i="3" s="1"/>
  <c r="H22" i="3"/>
  <c r="H24" i="3"/>
  <c r="F27" i="3"/>
  <c r="G29" i="3"/>
  <c r="G2" i="3"/>
  <c r="G6" i="3"/>
  <c r="G27" i="3"/>
  <c r="H11" i="3"/>
  <c r="P11" i="3" s="1"/>
  <c r="H25" i="3"/>
  <c r="P25" i="3" s="1"/>
  <c r="H2" i="3"/>
  <c r="P2" i="3" s="1"/>
  <c r="H4" i="3"/>
  <c r="P4" i="3" s="1"/>
  <c r="H6" i="3"/>
  <c r="F8" i="3"/>
  <c r="G11" i="3"/>
  <c r="F13" i="3"/>
  <c r="F15" i="3"/>
  <c r="F17" i="3"/>
  <c r="F19" i="3"/>
  <c r="F21" i="3"/>
  <c r="F23" i="3"/>
  <c r="G25" i="3"/>
  <c r="H27" i="3"/>
  <c r="G8" i="3"/>
  <c r="G17" i="3"/>
  <c r="G23" i="3"/>
  <c r="AX2" i="2"/>
  <c r="AS2" i="3"/>
  <c r="D13" i="10"/>
  <c r="D8" i="11" s="1"/>
  <c r="E15" i="10"/>
  <c r="F15" i="10"/>
  <c r="D15" i="10"/>
  <c r="F13" i="10"/>
  <c r="F8" i="11" s="1"/>
  <c r="E13" i="10"/>
  <c r="E8" i="11" s="1"/>
  <c r="W16" i="3"/>
  <c r="M36" i="14" l="1"/>
  <c r="M49" i="14"/>
  <c r="M54" i="14" s="1"/>
  <c r="M23" i="14"/>
  <c r="M26" i="14" s="1"/>
  <c r="M10" i="14"/>
  <c r="M13" i="14" s="1"/>
  <c r="L26" i="14"/>
  <c r="L52" i="14"/>
  <c r="L13" i="14"/>
  <c r="L39" i="14"/>
  <c r="J14" i="14"/>
  <c r="J7" i="14"/>
  <c r="J21" i="14"/>
  <c r="J22" i="14"/>
  <c r="J19" i="14"/>
  <c r="J9" i="14"/>
  <c r="J20" i="14"/>
  <c r="J6" i="14"/>
  <c r="J58" i="14"/>
  <c r="J60" i="14"/>
  <c r="J66" i="14"/>
  <c r="J59" i="14"/>
  <c r="J61" i="14"/>
  <c r="K58" i="14"/>
  <c r="K60" i="14"/>
  <c r="K61" i="14"/>
  <c r="K59" i="14"/>
  <c r="K66" i="14"/>
  <c r="N66" i="14"/>
  <c r="N38" i="14"/>
  <c r="N25" i="14"/>
  <c r="N50" i="14"/>
  <c r="J36" i="14"/>
  <c r="J41" i="14" s="1"/>
  <c r="N24" i="14"/>
  <c r="K34" i="14"/>
  <c r="N34" i="14" s="1"/>
  <c r="K45" i="14"/>
  <c r="K7" i="14"/>
  <c r="N27" i="14"/>
  <c r="K48" i="14"/>
  <c r="N48" i="14" s="1"/>
  <c r="K47" i="14"/>
  <c r="N47" i="14" s="1"/>
  <c r="K14" i="14"/>
  <c r="K53" i="14"/>
  <c r="N40" i="14"/>
  <c r="K32" i="14"/>
  <c r="N32" i="14" s="1"/>
  <c r="K21" i="14"/>
  <c r="K35" i="14"/>
  <c r="N35" i="14" s="1"/>
  <c r="N14" i="14"/>
  <c r="K46" i="14"/>
  <c r="N46" i="14" s="1"/>
  <c r="K33" i="14"/>
  <c r="N33" i="14" s="1"/>
  <c r="K8" i="14"/>
  <c r="N8" i="14" s="1"/>
  <c r="K40" i="14"/>
  <c r="N53" i="14"/>
  <c r="K9" i="14"/>
  <c r="K19" i="14"/>
  <c r="K6" i="14"/>
  <c r="K27" i="14"/>
  <c r="K22" i="14"/>
  <c r="K20" i="14"/>
  <c r="J49" i="14"/>
  <c r="N12" i="14"/>
  <c r="N11" i="14"/>
  <c r="N51" i="14"/>
  <c r="N37" i="14"/>
  <c r="G38" i="14"/>
  <c r="G11" i="14"/>
  <c r="E49" i="14"/>
  <c r="E52" i="14" s="1"/>
  <c r="G12" i="14"/>
  <c r="G25" i="14"/>
  <c r="F36" i="14"/>
  <c r="F39" i="14" s="1"/>
  <c r="E23" i="14"/>
  <c r="E26" i="14" s="1"/>
  <c r="D23" i="14"/>
  <c r="D26" i="14" s="1"/>
  <c r="G51" i="14"/>
  <c r="F10" i="14"/>
  <c r="F13" i="14" s="1"/>
  <c r="C33" i="14"/>
  <c r="G33" i="14" s="1"/>
  <c r="C53" i="14"/>
  <c r="C48" i="14"/>
  <c r="G48" i="14" s="1"/>
  <c r="C45" i="14"/>
  <c r="C7" i="14"/>
  <c r="G7" i="14" s="1"/>
  <c r="C19" i="14"/>
  <c r="C20" i="14"/>
  <c r="G20" i="14" s="1"/>
  <c r="C40" i="14"/>
  <c r="C9" i="14"/>
  <c r="C21" i="14"/>
  <c r="G21" i="14" s="1"/>
  <c r="C34" i="14"/>
  <c r="G34" i="14" s="1"/>
  <c r="G14" i="14"/>
  <c r="C14" i="14"/>
  <c r="C6" i="14"/>
  <c r="C35" i="14"/>
  <c r="G35" i="14" s="1"/>
  <c r="C32" i="14"/>
  <c r="C47" i="14"/>
  <c r="G47" i="14" s="1"/>
  <c r="G53" i="14"/>
  <c r="C46" i="14"/>
  <c r="G46" i="14" s="1"/>
  <c r="C8" i="14"/>
  <c r="G8" i="14" s="1"/>
  <c r="C27" i="14"/>
  <c r="C22" i="14"/>
  <c r="G22" i="14" s="1"/>
  <c r="G27" i="14"/>
  <c r="G40" i="14"/>
  <c r="G24" i="14"/>
  <c r="E10" i="14"/>
  <c r="E13" i="14" s="1"/>
  <c r="D10" i="14"/>
  <c r="D13" i="14" s="1"/>
  <c r="E36" i="14"/>
  <c r="E39" i="14" s="1"/>
  <c r="G50" i="14"/>
  <c r="D49" i="14"/>
  <c r="D52" i="14" s="1"/>
  <c r="D36" i="14"/>
  <c r="D39" i="14" s="1"/>
  <c r="F49" i="14"/>
  <c r="F52" i="14" s="1"/>
  <c r="F23" i="14"/>
  <c r="F26" i="14" s="1"/>
  <c r="G37" i="14"/>
  <c r="K15" i="3"/>
  <c r="P15" i="3"/>
  <c r="K67" i="3"/>
  <c r="P67" i="3"/>
  <c r="K66" i="3"/>
  <c r="P66" i="3"/>
  <c r="K68" i="3"/>
  <c r="P68" i="3"/>
  <c r="K61" i="3"/>
  <c r="P61" i="3"/>
  <c r="K65" i="3"/>
  <c r="P65" i="3"/>
  <c r="K51" i="3"/>
  <c r="P51" i="3"/>
  <c r="K56" i="3"/>
  <c r="P56" i="3"/>
  <c r="K49" i="3"/>
  <c r="P49" i="3"/>
  <c r="K64" i="3"/>
  <c r="P64" i="3"/>
  <c r="K57" i="3"/>
  <c r="P57" i="3"/>
  <c r="K63" i="3"/>
  <c r="P63" i="3"/>
  <c r="K59" i="3"/>
  <c r="P59" i="3"/>
  <c r="K62" i="3"/>
  <c r="P62" i="3"/>
  <c r="K52" i="3"/>
  <c r="P52" i="3"/>
  <c r="K58" i="3"/>
  <c r="P58" i="3"/>
  <c r="K60" i="3"/>
  <c r="P60" i="3"/>
  <c r="K43" i="3"/>
  <c r="P43" i="3"/>
  <c r="K53" i="3"/>
  <c r="P53" i="3"/>
  <c r="K54" i="3"/>
  <c r="P54" i="3"/>
  <c r="K46" i="3"/>
  <c r="P46" i="3"/>
  <c r="K50" i="3"/>
  <c r="P50" i="3"/>
  <c r="K48" i="3"/>
  <c r="P48" i="3"/>
  <c r="K55" i="3"/>
  <c r="P55" i="3"/>
  <c r="K45" i="3"/>
  <c r="P45" i="3"/>
  <c r="K47" i="3"/>
  <c r="P47" i="3"/>
  <c r="K35" i="3"/>
  <c r="P35" i="3"/>
  <c r="K40" i="3"/>
  <c r="P40" i="3"/>
  <c r="K44" i="3"/>
  <c r="P44" i="3"/>
  <c r="K37" i="3"/>
  <c r="P37" i="3"/>
  <c r="K23" i="3"/>
  <c r="P23" i="3"/>
  <c r="K42" i="3"/>
  <c r="P42" i="3"/>
  <c r="K41" i="3"/>
  <c r="P41" i="3"/>
  <c r="K34" i="3"/>
  <c r="P34" i="3"/>
  <c r="K32" i="3"/>
  <c r="P32" i="3"/>
  <c r="K39" i="3"/>
  <c r="P39" i="3"/>
  <c r="K38" i="3"/>
  <c r="P38" i="3"/>
  <c r="K36" i="3"/>
  <c r="P36" i="3"/>
  <c r="K22" i="3"/>
  <c r="P22" i="3"/>
  <c r="K31" i="3"/>
  <c r="P31" i="3"/>
  <c r="K33" i="3"/>
  <c r="P33" i="3"/>
  <c r="K26" i="3"/>
  <c r="P26" i="3"/>
  <c r="P29" i="3"/>
  <c r="P30" i="3"/>
  <c r="P28" i="3"/>
  <c r="K24" i="3"/>
  <c r="P24" i="3"/>
  <c r="P27" i="3"/>
  <c r="M39" i="14" l="1"/>
  <c r="M52" i="14"/>
  <c r="N20" i="14"/>
  <c r="N22" i="14"/>
  <c r="N59" i="14"/>
  <c r="N19" i="14"/>
  <c r="N6" i="14"/>
  <c r="N9" i="14"/>
  <c r="J10" i="14"/>
  <c r="J15" i="14" s="1"/>
  <c r="N60" i="14"/>
  <c r="N21" i="14"/>
  <c r="J23" i="14"/>
  <c r="J26" i="14" s="1"/>
  <c r="N58" i="14"/>
  <c r="J62" i="14"/>
  <c r="J67" i="14" s="1"/>
  <c r="K62" i="14"/>
  <c r="K65" i="14" s="1"/>
  <c r="N61" i="14"/>
  <c r="J52" i="14"/>
  <c r="K36" i="14"/>
  <c r="K39" i="14" s="1"/>
  <c r="K10" i="14"/>
  <c r="K13" i="14" s="1"/>
  <c r="N7" i="14"/>
  <c r="F15" i="14"/>
  <c r="E41" i="14"/>
  <c r="J54" i="14"/>
  <c r="J39" i="14"/>
  <c r="N45" i="14"/>
  <c r="K23" i="14"/>
  <c r="K26" i="14" s="1"/>
  <c r="K49" i="14"/>
  <c r="K52" i="14" s="1"/>
  <c r="E54" i="14"/>
  <c r="F41" i="14"/>
  <c r="D15" i="14"/>
  <c r="E28" i="14"/>
  <c r="D54" i="14"/>
  <c r="F28" i="14"/>
  <c r="D28" i="14"/>
  <c r="G32" i="14"/>
  <c r="C36" i="14"/>
  <c r="C41" i="14" s="1"/>
  <c r="C10" i="14"/>
  <c r="G9" i="14"/>
  <c r="F54" i="14"/>
  <c r="G6" i="14"/>
  <c r="G19" i="14"/>
  <c r="C23" i="14"/>
  <c r="D41" i="14"/>
  <c r="E15" i="14"/>
  <c r="C49" i="14"/>
  <c r="G45" i="14"/>
  <c r="F16" i="11"/>
  <c r="D16" i="11"/>
  <c r="F12" i="11"/>
  <c r="F15" i="11"/>
  <c r="E13" i="11"/>
  <c r="D15" i="11"/>
  <c r="F13" i="11"/>
  <c r="F11" i="11"/>
  <c r="E12" i="11"/>
  <c r="E15" i="11"/>
  <c r="D14" i="11"/>
  <c r="F14" i="11"/>
  <c r="D11" i="11"/>
  <c r="D12" i="11"/>
  <c r="E11" i="11"/>
  <c r="E16" i="11"/>
  <c r="D13" i="11"/>
  <c r="E14" i="11"/>
  <c r="C11" i="11"/>
  <c r="W3" i="3"/>
  <c r="C12" i="11"/>
  <c r="W2" i="3"/>
  <c r="W4" i="3"/>
  <c r="W5" i="3" s="1"/>
  <c r="C14" i="11"/>
  <c r="C15" i="11"/>
  <c r="C16" i="11"/>
  <c r="C13" i="11"/>
  <c r="L22" i="12" l="1"/>
  <c r="K22" i="12"/>
  <c r="J22" i="12"/>
  <c r="I22" i="12"/>
  <c r="J13" i="14"/>
  <c r="N13" i="14" s="1"/>
  <c r="J28" i="14"/>
  <c r="N10" i="14"/>
  <c r="N15" i="14" s="1"/>
  <c r="K28" i="14"/>
  <c r="K67" i="14"/>
  <c r="N39" i="14"/>
  <c r="N36" i="14"/>
  <c r="N41" i="14" s="1"/>
  <c r="N23" i="14"/>
  <c r="N28" i="14" s="1"/>
  <c r="J65" i="14"/>
  <c r="N65" i="14" s="1"/>
  <c r="N62" i="14"/>
  <c r="N67" i="14" s="1"/>
  <c r="N26" i="14"/>
  <c r="K15" i="14"/>
  <c r="K54" i="14"/>
  <c r="N49" i="14"/>
  <c r="N54" i="14" s="1"/>
  <c r="K41" i="14"/>
  <c r="N52" i="14"/>
  <c r="C13" i="14"/>
  <c r="G13" i="14" s="1"/>
  <c r="G10" i="14"/>
  <c r="G15" i="14" s="1"/>
  <c r="G49" i="14"/>
  <c r="G54" i="14" s="1"/>
  <c r="C52" i="14"/>
  <c r="G52" i="14" s="1"/>
  <c r="C54" i="14"/>
  <c r="G36" i="14"/>
  <c r="G41" i="14" s="1"/>
  <c r="C39" i="14"/>
  <c r="G39" i="14" s="1"/>
  <c r="C28" i="14"/>
  <c r="C26" i="14"/>
  <c r="G26" i="14" s="1"/>
  <c r="G23" i="14"/>
  <c r="G28" i="14" s="1"/>
  <c r="C15" i="14"/>
  <c r="X2"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<sst xmlns="http://schemas.openxmlformats.org/spreadsheetml/2006/main" count="11417" uniqueCount="2128">
  <si>
    <t>Service</t>
  </si>
  <si>
    <t>Directorate</t>
  </si>
  <si>
    <t>Type of Request</t>
  </si>
  <si>
    <t>Adult Social Care - Operations</t>
  </si>
  <si>
    <t>Adults &amp; Communities</t>
  </si>
  <si>
    <t>Resources</t>
  </si>
  <si>
    <t>Media</t>
  </si>
  <si>
    <t xml:space="preserve">Adult Commissioning and Social Care Resources </t>
  </si>
  <si>
    <t>Individual</t>
  </si>
  <si>
    <t>Childrens Commissioning</t>
  </si>
  <si>
    <t>Children &amp; Families</t>
  </si>
  <si>
    <t>Legal</t>
  </si>
  <si>
    <t>Education &amp; Skills</t>
  </si>
  <si>
    <t>Business</t>
  </si>
  <si>
    <t xml:space="preserve">Environment, Sustainability &amp; Culture </t>
  </si>
  <si>
    <t>Charity</t>
  </si>
  <si>
    <t xml:space="preserve">Financial Services </t>
  </si>
  <si>
    <t>Academic</t>
  </si>
  <si>
    <t xml:space="preserve">Governance </t>
  </si>
  <si>
    <t>Via Third Party Site</t>
  </si>
  <si>
    <t>Growth &amp; Enterprise</t>
  </si>
  <si>
    <t>Trade Union</t>
  </si>
  <si>
    <t>HR &amp; Governance</t>
  </si>
  <si>
    <t>Political</t>
  </si>
  <si>
    <t>Neighbourhood Services</t>
  </si>
  <si>
    <t>Council</t>
  </si>
  <si>
    <t>Public Health</t>
  </si>
  <si>
    <t>Social Care &amp; Early Help</t>
  </si>
  <si>
    <t>Subsection</t>
  </si>
  <si>
    <t>Accountancy</t>
  </si>
  <si>
    <t>Achievement</t>
  </si>
  <si>
    <t>Adult Commissioning and Support Services</t>
  </si>
  <si>
    <t>Adult Safeguarding</t>
  </si>
  <si>
    <t>Adults Mental Health</t>
  </si>
  <si>
    <t>Adults Social Work &amp; Safeguarding</t>
  </si>
  <si>
    <t>Business Growth</t>
  </si>
  <si>
    <t>Capital Projects</t>
  </si>
  <si>
    <t>Children In Our Care</t>
  </si>
  <si>
    <t>Childrens Commissioning Services</t>
  </si>
  <si>
    <t>Climate Change</t>
  </si>
  <si>
    <t>Commercial &amp; Legal</t>
  </si>
  <si>
    <t>Communications</t>
  </si>
  <si>
    <t>Corporate Policy &amp; Performance</t>
  </si>
  <si>
    <t>Corporate Support &amp; Improvement</t>
  </si>
  <si>
    <t>Cultural Development &amp; Programmes</t>
  </si>
  <si>
    <t>Customer Services</t>
  </si>
  <si>
    <t>Democratic Services</t>
  </si>
  <si>
    <t>Environmental Health</t>
  </si>
  <si>
    <t>Environmental Protection</t>
  </si>
  <si>
    <t>Facilities Management</t>
  </si>
  <si>
    <t>Family Hubs</t>
  </si>
  <si>
    <t>Financial Assessments</t>
  </si>
  <si>
    <t>Financial Services</t>
  </si>
  <si>
    <t>Fleet Management</t>
  </si>
  <si>
    <t>Fostering</t>
  </si>
  <si>
    <t>Governance Services</t>
  </si>
  <si>
    <t>Health &amp; Safety</t>
  </si>
  <si>
    <t>Health Partnership</t>
  </si>
  <si>
    <t>Health Services</t>
  </si>
  <si>
    <t>Health Visiting &amp; School Nursing</t>
  </si>
  <si>
    <t>Healthy Communities</t>
  </si>
  <si>
    <t>Highways</t>
  </si>
  <si>
    <t>Housing Options</t>
  </si>
  <si>
    <t>Housing Standards</t>
  </si>
  <si>
    <t xml:space="preserve">Human Resources </t>
  </si>
  <si>
    <t>Inclusion</t>
  </si>
  <si>
    <t>Information Governance</t>
  </si>
  <si>
    <t>IT</t>
  </si>
  <si>
    <t>Learning and Skills</t>
  </si>
  <si>
    <t>Libraries</t>
  </si>
  <si>
    <t xml:space="preserve">Licensing </t>
  </si>
  <si>
    <t>Local Taxation</t>
  </si>
  <si>
    <t>Multi Agency Children's Hub</t>
  </si>
  <si>
    <t>Museum Service</t>
  </si>
  <si>
    <t>Occupational Therapy</t>
  </si>
  <si>
    <t>Organisation and Workforce Development</t>
  </si>
  <si>
    <t xml:space="preserve">Parking enforcement </t>
  </si>
  <si>
    <t xml:space="preserve">Pathways to Independence </t>
  </si>
  <si>
    <t>Place Development &amp; Investment</t>
  </si>
  <si>
    <t>Planning &amp; Development</t>
  </si>
  <si>
    <t>Procurement</t>
  </si>
  <si>
    <t>Property &amp; Commercial</t>
  </si>
  <si>
    <t>Property &amp; Financial Affairs</t>
  </si>
  <si>
    <t>Property Operations</t>
  </si>
  <si>
    <t>Public Transport</t>
  </si>
  <si>
    <t>Registrars</t>
  </si>
  <si>
    <t>Safeguarding</t>
  </si>
  <si>
    <t xml:space="preserve">Safer Communities &amp; Streetscene </t>
  </si>
  <si>
    <t>School Crossing Patrol</t>
  </si>
  <si>
    <t>Social Care</t>
  </si>
  <si>
    <t xml:space="preserve">Social Care Payments &amp; Income </t>
  </si>
  <si>
    <t>Special Educational Needs</t>
  </si>
  <si>
    <t xml:space="preserve">Trading Standards </t>
  </si>
  <si>
    <t>Vulnerabilities</t>
  </si>
  <si>
    <t xml:space="preserve">Waste &amp; Recycling </t>
  </si>
  <si>
    <t xml:space="preserve">Youth &amp; Community Services </t>
  </si>
  <si>
    <t>Request
Reference</t>
  </si>
  <si>
    <t xml:space="preserve">Organisation </t>
  </si>
  <si>
    <t>Subject of the Information Requested</t>
  </si>
  <si>
    <t>Date Received</t>
  </si>
  <si>
    <t>Day 1</t>
  </si>
  <si>
    <t>Day 10</t>
  </si>
  <si>
    <t>Day 20</t>
  </si>
  <si>
    <t>Request Received Month</t>
  </si>
  <si>
    <t>Days Left</t>
  </si>
  <si>
    <t>Response
Sent
Date</t>
  </si>
  <si>
    <t>Days taken to complete FOI</t>
  </si>
  <si>
    <t>Response
Within
20 Days</t>
  </si>
  <si>
    <t>Request
Status</t>
  </si>
  <si>
    <t>Response Type</t>
  </si>
  <si>
    <t>Exemption(s)
Applicable</t>
  </si>
  <si>
    <t>Additional Notes</t>
  </si>
  <si>
    <t>Qtr</t>
  </si>
  <si>
    <t>FOI/2425/0001</t>
  </si>
  <si>
    <t>Staff names and contact details</t>
  </si>
  <si>
    <t>Apr</t>
  </si>
  <si>
    <t>Yes</t>
  </si>
  <si>
    <t>Complete</t>
  </si>
  <si>
    <t>Full disclosure</t>
  </si>
  <si>
    <t xml:space="preserve">S40: Personal Information </t>
  </si>
  <si>
    <t xml:space="preserve">S12: Exceed the Cost Limit </t>
  </si>
  <si>
    <t>Within 20 days</t>
  </si>
  <si>
    <t>FOI/2425/0002</t>
  </si>
  <si>
    <t>Planning Application Refunds</t>
  </si>
  <si>
    <t>Growth Enterprise &amp; Environment</t>
  </si>
  <si>
    <t>In Progress</t>
  </si>
  <si>
    <t>Partial disclosure</t>
  </si>
  <si>
    <t>Outside 20 days</t>
  </si>
  <si>
    <t>FOI/2425/0003</t>
  </si>
  <si>
    <t>Dunlop Heywood</t>
  </si>
  <si>
    <t>Credit balances on business rates</t>
  </si>
  <si>
    <t>Clarification Sought</t>
  </si>
  <si>
    <t>Refused</t>
  </si>
  <si>
    <t>Elapsed</t>
  </si>
  <si>
    <t>S31: Law Enforcement</t>
  </si>
  <si>
    <t>S21: Accessible by Other Means</t>
  </si>
  <si>
    <t>N/A</t>
  </si>
  <si>
    <t>FOI/2425/0004</t>
  </si>
  <si>
    <t>What do they know</t>
  </si>
  <si>
    <t>Covid Marshalls</t>
  </si>
  <si>
    <t>Withdrawn</t>
  </si>
  <si>
    <t>Some information not held</t>
  </si>
  <si>
    <t>S22: Intended for Future Publication</t>
  </si>
  <si>
    <t>Total minus N/A 
(for percentage formula)</t>
  </si>
  <si>
    <t>FOI/2425/0005</t>
  </si>
  <si>
    <t>Bureau Local</t>
  </si>
  <si>
    <t>Refugees and Transgender people owed housing duty</t>
  </si>
  <si>
    <t>FOI/2425/0006</t>
  </si>
  <si>
    <t>Curtis Legal</t>
  </si>
  <si>
    <t>Public  Health Funerals</t>
  </si>
  <si>
    <t>Information not held</t>
  </si>
  <si>
    <t>FOI/2425/0007</t>
  </si>
  <si>
    <t>TES</t>
  </si>
  <si>
    <t>Consultation on special school places</t>
  </si>
  <si>
    <t>FOI/2425/0008</t>
  </si>
  <si>
    <t>Fleishman Hillard</t>
  </si>
  <si>
    <t>Car park charges and fines</t>
  </si>
  <si>
    <t>FOI/2425/0009</t>
  </si>
  <si>
    <t>RVU</t>
  </si>
  <si>
    <t>Parking offences</t>
  </si>
  <si>
    <t>FOI/2425/0010</t>
  </si>
  <si>
    <t>Trade Unions recognised by RCBC</t>
  </si>
  <si>
    <t>FOI/2425/0011</t>
  </si>
  <si>
    <t>School PFI contracts</t>
  </si>
  <si>
    <t>FOI/2425/0012</t>
  </si>
  <si>
    <t>Schools week</t>
  </si>
  <si>
    <t>RESPONSE TYPE</t>
  </si>
  <si>
    <t>FOI/2425/0013</t>
  </si>
  <si>
    <t>Taxation on Green Waste Collections</t>
  </si>
  <si>
    <t>Requests</t>
  </si>
  <si>
    <t>Full</t>
  </si>
  <si>
    <t>Partial</t>
  </si>
  <si>
    <t>Not Held</t>
  </si>
  <si>
    <t>FOI/2425/0014</t>
  </si>
  <si>
    <t>Tax payers alliance</t>
  </si>
  <si>
    <t>Council bins</t>
  </si>
  <si>
    <t>FOI/2425/0015</t>
  </si>
  <si>
    <t>Print and design contract</t>
  </si>
  <si>
    <t xml:space="preserve">S43: Commercial Interests </t>
  </si>
  <si>
    <t>Full Year</t>
  </si>
  <si>
    <t>FOI/2425/0016</t>
  </si>
  <si>
    <t xml:space="preserve">Business rates collection </t>
  </si>
  <si>
    <t>FOI/2425/0017</t>
  </si>
  <si>
    <t>January</t>
  </si>
  <si>
    <t>FOI/2425/0018</t>
  </si>
  <si>
    <t>Polling districts</t>
  </si>
  <si>
    <t>February</t>
  </si>
  <si>
    <t>FOI/2425/0019</t>
  </si>
  <si>
    <t>The Times</t>
  </si>
  <si>
    <t>Complaints about private rental properties</t>
  </si>
  <si>
    <t>March</t>
  </si>
  <si>
    <t>FOI/2425/0020</t>
  </si>
  <si>
    <t>Octavian Group</t>
  </si>
  <si>
    <t>Security services procurement</t>
  </si>
  <si>
    <t>S38: Health and Safety</t>
  </si>
  <si>
    <t>April</t>
  </si>
  <si>
    <t>FOI/2425/0021</t>
  </si>
  <si>
    <t>SEND reform</t>
  </si>
  <si>
    <t>Post 16 transport</t>
  </si>
  <si>
    <t>Some information provided under consultation so proposals provided</t>
  </si>
  <si>
    <t>May</t>
  </si>
  <si>
    <t>FOI/2425/0022</t>
  </si>
  <si>
    <t>June</t>
  </si>
  <si>
    <t>FOI/2425/0023</t>
  </si>
  <si>
    <t>ID Hammar Systems</t>
  </si>
  <si>
    <t>Maintenance Software used</t>
  </si>
  <si>
    <t xml:space="preserve">S41: Provided in Confidence </t>
  </si>
  <si>
    <t>July</t>
  </si>
  <si>
    <t>FOI/2425/0024</t>
  </si>
  <si>
    <t>Fore View</t>
  </si>
  <si>
    <t>Non domestic completions</t>
  </si>
  <si>
    <t>S42: Legal Professional Privilege</t>
  </si>
  <si>
    <t>August</t>
  </si>
  <si>
    <t>FOI/2425/0025</t>
  </si>
  <si>
    <t>EPI</t>
  </si>
  <si>
    <t>Services for young people's mental health</t>
  </si>
  <si>
    <t>September</t>
  </si>
  <si>
    <t>FOI/2425/0026</t>
  </si>
  <si>
    <t>TUSSELL</t>
  </si>
  <si>
    <t>Mobile phone contract</t>
  </si>
  <si>
    <t>October</t>
  </si>
  <si>
    <t>FOI/2425/0027</t>
  </si>
  <si>
    <t>Contact centre/UC contracts</t>
  </si>
  <si>
    <t>November</t>
  </si>
  <si>
    <t>FOI/2425/0028</t>
  </si>
  <si>
    <t>Void properties and homelessness</t>
  </si>
  <si>
    <t>December</t>
  </si>
  <si>
    <t>FOI/2425/0029</t>
  </si>
  <si>
    <t>BWB</t>
  </si>
  <si>
    <t>Business rates information</t>
  </si>
  <si>
    <t>FOI/2425/0030</t>
  </si>
  <si>
    <t>Flood recovery grants</t>
  </si>
  <si>
    <t>FOI/2425/0031</t>
  </si>
  <si>
    <t>Cambridge Univeristy</t>
  </si>
  <si>
    <t>Sports facilities</t>
  </si>
  <si>
    <t>FOI/2425/0032</t>
  </si>
  <si>
    <t>New Trade</t>
  </si>
  <si>
    <t>Enforcement - single use plastic</t>
  </si>
  <si>
    <t>FOI/2425/0033</t>
  </si>
  <si>
    <t>Selective Licensing</t>
  </si>
  <si>
    <t>FOI/2425/0034</t>
  </si>
  <si>
    <t>This is digital</t>
  </si>
  <si>
    <t>PCN</t>
  </si>
  <si>
    <t>FOI/2425/0035</t>
  </si>
  <si>
    <t>Andor Cards</t>
  </si>
  <si>
    <t>Number of Adults &amp; Children in receipt of Direct payments</t>
  </si>
  <si>
    <t>FOI/2425/0036</t>
  </si>
  <si>
    <t>Library consultation</t>
  </si>
  <si>
    <t>FOI/2425/0037</t>
  </si>
  <si>
    <t>Potholes</t>
  </si>
  <si>
    <t>FOI/2425/0038</t>
  </si>
  <si>
    <t>Wheelchair accessible hire cars/taxis</t>
  </si>
  <si>
    <t>FOI/2425/0039</t>
  </si>
  <si>
    <t>Schools Organograms and Recruitment Agency Spends</t>
  </si>
  <si>
    <t>FOI/2425/0040</t>
  </si>
  <si>
    <t>PA for MP North Shropshire</t>
  </si>
  <si>
    <t>Levelling up funding</t>
  </si>
  <si>
    <t>FOI/2425/0041</t>
  </si>
  <si>
    <t>Data News</t>
  </si>
  <si>
    <t>Noise complaints</t>
  </si>
  <si>
    <t>FOI/2425/0042</t>
  </si>
  <si>
    <t>QNI</t>
  </si>
  <si>
    <t>No of nurses employed</t>
  </si>
  <si>
    <t>FOI/2425/0043</t>
  </si>
  <si>
    <t>Revenue from filming and tv</t>
  </si>
  <si>
    <t>FOI/2425/0044</t>
  </si>
  <si>
    <t>Care England</t>
  </si>
  <si>
    <t>Care Providers fee uplift for 24-25</t>
  </si>
  <si>
    <t>FOI/2425/0045</t>
  </si>
  <si>
    <t>Inline Travel</t>
  </si>
  <si>
    <t>Transport contracts</t>
  </si>
  <si>
    <t>FOI/2425/0046</t>
  </si>
  <si>
    <t>Independent</t>
  </si>
  <si>
    <t>Section 202 appeals</t>
  </si>
  <si>
    <t>FOI/2425/0047</t>
  </si>
  <si>
    <t xml:space="preserve">Taxi, Hackney Carriage or for Private Hire information </t>
  </si>
  <si>
    <t>FOI/2425/0048</t>
  </si>
  <si>
    <t>Insequa</t>
  </si>
  <si>
    <t>Adult social care services  Domiciliary care &amp; Supported living  commissioning</t>
  </si>
  <si>
    <t>FOI/2425/0049</t>
  </si>
  <si>
    <t>CMS Platform</t>
  </si>
  <si>
    <t>FOI/2425/0050</t>
  </si>
  <si>
    <t>School crossing patrols</t>
  </si>
  <si>
    <t>FOI/2425/0051</t>
  </si>
  <si>
    <t>Grass cutting contracts</t>
  </si>
  <si>
    <t>FOI/2425/0052</t>
  </si>
  <si>
    <t>Green waste collections</t>
  </si>
  <si>
    <t>FOI/2425/0053</t>
  </si>
  <si>
    <t>Public Health Funerals</t>
  </si>
  <si>
    <t>FOI/2425/0054</t>
  </si>
  <si>
    <t>Darlington Council</t>
  </si>
  <si>
    <t>MP enquiries relating to transport</t>
  </si>
  <si>
    <t>FOI/2425/0055</t>
  </si>
  <si>
    <t>BBC</t>
  </si>
  <si>
    <t>SEND</t>
  </si>
  <si>
    <t>FOI/2425/0056</t>
  </si>
  <si>
    <t>Suicide action plan</t>
  </si>
  <si>
    <t>FOI/2425/0057</t>
  </si>
  <si>
    <t>Banksearch Consultancy</t>
  </si>
  <si>
    <t>Economic Development</t>
  </si>
  <si>
    <t>FOI/2425/0058</t>
  </si>
  <si>
    <t>Councillor Training</t>
  </si>
  <si>
    <t>FOI/2425/0059</t>
  </si>
  <si>
    <t>End Furniture Poverty</t>
  </si>
  <si>
    <t>Local welfare assistance</t>
  </si>
  <si>
    <t>FOI/2425/0060</t>
  </si>
  <si>
    <t>Software</t>
  </si>
  <si>
    <t>FOI/2425/0061</t>
  </si>
  <si>
    <t>Household Support Fund</t>
  </si>
  <si>
    <t>FOI/2425/0062</t>
  </si>
  <si>
    <t>Telegraph</t>
  </si>
  <si>
    <t>Dog poo bins</t>
  </si>
  <si>
    <t>FOI/2425/0063</t>
  </si>
  <si>
    <t>Renewable projects</t>
  </si>
  <si>
    <t>FOI/2425/0064</t>
  </si>
  <si>
    <t>S106 Affordable Housing</t>
  </si>
  <si>
    <t>FOI/2425/0065</t>
  </si>
  <si>
    <t>Potholes and compensation</t>
  </si>
  <si>
    <t>FOI/2425/0066</t>
  </si>
  <si>
    <t>Transracial adoptions</t>
  </si>
  <si>
    <t>FOI/2425/0067</t>
  </si>
  <si>
    <t>FOI/2425/0068</t>
  </si>
  <si>
    <t>Non disclosure agreements with staff</t>
  </si>
  <si>
    <t>FOI/2425/0069</t>
  </si>
  <si>
    <t>Race and culture in council area</t>
  </si>
  <si>
    <t>FOI/2425/0070</t>
  </si>
  <si>
    <t>Slate Software</t>
  </si>
  <si>
    <t>Adult Care Joint Funding</t>
  </si>
  <si>
    <t>FOI/2425/0071</t>
  </si>
  <si>
    <t>Payments made to Stonewall</t>
  </si>
  <si>
    <t>FOI/2425/0072</t>
  </si>
  <si>
    <t>Consultation costs for Saltburn Masterplan and TOR</t>
  </si>
  <si>
    <t>FOI/2425/0073</t>
  </si>
  <si>
    <t>Illegal subletting by council tenants</t>
  </si>
  <si>
    <t>FOI/2425/0074</t>
  </si>
  <si>
    <t>Digital poverty alliance</t>
  </si>
  <si>
    <t>Distribution of SIM Cards and Devices by Libraries</t>
  </si>
  <si>
    <t>FOI/2425/0075</t>
  </si>
  <si>
    <t>BDB Pitmans</t>
  </si>
  <si>
    <t>Bye laws made by TPHA</t>
  </si>
  <si>
    <t>FOI/2425/0076</t>
  </si>
  <si>
    <t>Refugee Council</t>
  </si>
  <si>
    <t xml:space="preserve">Missing asylum seeking children </t>
  </si>
  <si>
    <t>FOI/2425/0077</t>
  </si>
  <si>
    <t>Cambridge University</t>
  </si>
  <si>
    <t>Tax increment financing</t>
  </si>
  <si>
    <t>FOI/2425/0078</t>
  </si>
  <si>
    <t>Banking contract</t>
  </si>
  <si>
    <t>FOI/2425/0079</t>
  </si>
  <si>
    <t>Council Tax reductions for foster carers v kinship carers</t>
  </si>
  <si>
    <t>FOI/2425/0080</t>
  </si>
  <si>
    <t>Council tax reduction scheme</t>
  </si>
  <si>
    <t>FOI/2425/0081</t>
  </si>
  <si>
    <t>Third Way Law</t>
  </si>
  <si>
    <t>Home educated children</t>
  </si>
  <si>
    <t>FOI/2425/0082</t>
  </si>
  <si>
    <t>Animals/pets cared for by the council where owner unable to</t>
  </si>
  <si>
    <t>FOI/2425/0083</t>
  </si>
  <si>
    <t>Animal feed/Health and Welfare of Animals/Licensing.</t>
  </si>
  <si>
    <t>FOI/2425/0084</t>
  </si>
  <si>
    <t>Xcession</t>
  </si>
  <si>
    <t>AI</t>
  </si>
  <si>
    <t>FOI/2425/0085</t>
  </si>
  <si>
    <t>TPO on Sycamore Tree</t>
  </si>
  <si>
    <t>FOI/2425/0086</t>
  </si>
  <si>
    <t>Social Prescribing Link Workers</t>
  </si>
  <si>
    <t>FOI/2425/0087</t>
  </si>
  <si>
    <t>Send.org</t>
  </si>
  <si>
    <t>Direct payments</t>
  </si>
  <si>
    <t>FOI/2425/0088</t>
  </si>
  <si>
    <t>Residential Noise Complaints</t>
  </si>
  <si>
    <t>FOI/2425/0089</t>
  </si>
  <si>
    <t>School lockdowns</t>
  </si>
  <si>
    <t>FOI/2425/0090</t>
  </si>
  <si>
    <t>Learning Disabilities and Supported Living Care Home Fees</t>
  </si>
  <si>
    <t>FOI/2425/0091</t>
  </si>
  <si>
    <t>JMW solicitors</t>
  </si>
  <si>
    <t>Redcar beach accesses maintenance</t>
  </si>
  <si>
    <t>FOI/2425/0092</t>
  </si>
  <si>
    <t>Planning - Pearl Street</t>
  </si>
  <si>
    <t>FOI/2425/0093</t>
  </si>
  <si>
    <t>Temporary accommodation</t>
  </si>
  <si>
    <t>FOI/2425/0094</t>
  </si>
  <si>
    <t>ECHP/EHCNA</t>
  </si>
  <si>
    <t>FOI/2425/0095</t>
  </si>
  <si>
    <t>CPCE</t>
  </si>
  <si>
    <t>Adult social Care administrative data</t>
  </si>
  <si>
    <t>Some information not held in format requested</t>
  </si>
  <si>
    <t>FOI/2425/0096</t>
  </si>
  <si>
    <t>Stephenson Halliday</t>
  </si>
  <si>
    <t>Information on Highways maintained at public expense</t>
  </si>
  <si>
    <t>FOI/2425/0097</t>
  </si>
  <si>
    <t>Safeguarding statistics</t>
  </si>
  <si>
    <t>Internal Review</t>
  </si>
  <si>
    <t>FOI/2425/0098</t>
  </si>
  <si>
    <t>Health needs assessments by Public Health Dept</t>
  </si>
  <si>
    <t>FOI/2425/0099</t>
  </si>
  <si>
    <t>National Aids Trust</t>
  </si>
  <si>
    <t>Complaints about discrimination</t>
  </si>
  <si>
    <t>FOI/2425/0100</t>
  </si>
  <si>
    <t>Adult social care and public health organisational structure</t>
  </si>
  <si>
    <t>FOI/2425/0101</t>
  </si>
  <si>
    <t>Child Care Services</t>
  </si>
  <si>
    <t>FOI/2425/0102</t>
  </si>
  <si>
    <t>Add People</t>
  </si>
  <si>
    <t>Cyber attacks</t>
  </si>
  <si>
    <t>FOI/2425/0103</t>
  </si>
  <si>
    <t>Use of alternatives for emergency housing</t>
  </si>
  <si>
    <t>FOI/2425/0104</t>
  </si>
  <si>
    <t>Boarding kennels</t>
  </si>
  <si>
    <t>Requestor found information on-line</t>
  </si>
  <si>
    <t>FOI/2425/0105</t>
  </si>
  <si>
    <t>UCL</t>
  </si>
  <si>
    <t>Inter authority lending and borrowing</t>
  </si>
  <si>
    <t>FOI/2425/0106</t>
  </si>
  <si>
    <t>Use of AI in recruitment process</t>
  </si>
  <si>
    <t>FOI/2425/0107</t>
  </si>
  <si>
    <t>Stray Dog Project</t>
  </si>
  <si>
    <t xml:space="preserve">Stray dogs </t>
  </si>
  <si>
    <t>FOI/2425/0108</t>
  </si>
  <si>
    <t>The Guardian</t>
  </si>
  <si>
    <t>Equality and Diversity - staff roles</t>
  </si>
  <si>
    <t>FOI/2425/0109</t>
  </si>
  <si>
    <t>Stationery/ office supplies contracts/spending</t>
  </si>
  <si>
    <t>FOI/2425/0110</t>
  </si>
  <si>
    <t>Sycamore tree documentation</t>
  </si>
  <si>
    <t>FOI/2425/0111</t>
  </si>
  <si>
    <t>FOI/2425/0112</t>
  </si>
  <si>
    <t>Operational challenges (Finance Team)</t>
  </si>
  <si>
    <t>FOI/2425/0113</t>
  </si>
  <si>
    <t>Public toilets</t>
  </si>
  <si>
    <t>FOI/2425/0114</t>
  </si>
  <si>
    <t>Language translation spending</t>
  </si>
  <si>
    <t>FOI/2425/0115</t>
  </si>
  <si>
    <t>Children in care who left and re-entered care</t>
  </si>
  <si>
    <t>FOI/2425/0116</t>
  </si>
  <si>
    <t>PMSI Consulting</t>
  </si>
  <si>
    <t>Property Maintenance</t>
  </si>
  <si>
    <t>FOI/2425/0117</t>
  </si>
  <si>
    <t>FOI/2425/0118</t>
  </si>
  <si>
    <t>Children's Homes</t>
  </si>
  <si>
    <t>FOI/2425/0119</t>
  </si>
  <si>
    <t>Contact details</t>
  </si>
  <si>
    <t>FOI/2425/0120</t>
  </si>
  <si>
    <t>Electric Heating Company</t>
  </si>
  <si>
    <t>Heating in tower blocks</t>
  </si>
  <si>
    <t>FOI/2425/0121</t>
  </si>
  <si>
    <t>Nature Watch</t>
  </si>
  <si>
    <t>Dog breeding licences</t>
  </si>
  <si>
    <t>FOI/2425/0122</t>
  </si>
  <si>
    <t>Blue badge applications</t>
  </si>
  <si>
    <t>FOI/2425/0123</t>
  </si>
  <si>
    <t>Mencap</t>
  </si>
  <si>
    <t>Short breaks</t>
  </si>
  <si>
    <t>FOI/2425/0124</t>
  </si>
  <si>
    <t>Procured products and prices</t>
  </si>
  <si>
    <t>FOI/2425/0125</t>
  </si>
  <si>
    <t>Sky</t>
  </si>
  <si>
    <t>Section 114</t>
  </si>
  <si>
    <t>FOI/2425/0126</t>
  </si>
  <si>
    <t>Ion HQ</t>
  </si>
  <si>
    <t>Maintained schools software</t>
  </si>
  <si>
    <t>FOI/2425/0127</t>
  </si>
  <si>
    <t>FOI/2425/0128</t>
  </si>
  <si>
    <t>ECHP/Special schools</t>
  </si>
  <si>
    <t>FOI/2425/0129</t>
  </si>
  <si>
    <t>Stop to swap - Vapes</t>
  </si>
  <si>
    <t>FOI/2425/0130</t>
  </si>
  <si>
    <t>Child Care Providers</t>
  </si>
  <si>
    <t>FOI/2425/0131</t>
  </si>
  <si>
    <t>University of London</t>
  </si>
  <si>
    <t>Looked after children statistics</t>
  </si>
  <si>
    <t>FOI/2425/0132</t>
  </si>
  <si>
    <t>Northern Powerhouse Partnership</t>
  </si>
  <si>
    <t>Shared Prosperity Fund</t>
  </si>
  <si>
    <t>FOI/2425/0133</t>
  </si>
  <si>
    <t>Town Deal</t>
  </si>
  <si>
    <t>FOI/2425/0134</t>
  </si>
  <si>
    <t>Unison</t>
  </si>
  <si>
    <t>Funding shortfall</t>
  </si>
  <si>
    <t>FOI/2425/0135</t>
  </si>
  <si>
    <t>ITV</t>
  </si>
  <si>
    <t>ECHP/SEN</t>
  </si>
  <si>
    <t>FOI/2425/0136</t>
  </si>
  <si>
    <t>Project 17</t>
  </si>
  <si>
    <t>S17 assistance where no recourse to public funds</t>
  </si>
  <si>
    <t>FOI/2425/0137</t>
  </si>
  <si>
    <t>Christie</t>
  </si>
  <si>
    <t>Fee rates - adult care</t>
  </si>
  <si>
    <t>FOI/2425/0138</t>
  </si>
  <si>
    <t>Highways budget - 2020-2021</t>
  </si>
  <si>
    <t>FOI/2425/0139</t>
  </si>
  <si>
    <t>CCA</t>
  </si>
  <si>
    <t>Commissioned services from community pharmacies</t>
  </si>
  <si>
    <t>FOI/2425/0140</t>
  </si>
  <si>
    <t>Portsmouth University</t>
  </si>
  <si>
    <t>Advertising</t>
  </si>
  <si>
    <t>FOI/2425/0141</t>
  </si>
  <si>
    <t>Mayoral election results and turn out</t>
  </si>
  <si>
    <t>FOI/2425/0142</t>
  </si>
  <si>
    <t>Distinctly PR</t>
  </si>
  <si>
    <t>Test sales of vapes</t>
  </si>
  <si>
    <t>FOI/2425/0143</t>
  </si>
  <si>
    <t>Nue Professionals</t>
  </si>
  <si>
    <t>Global healthcare recruitment</t>
  </si>
  <si>
    <t>FOI/2425/0144</t>
  </si>
  <si>
    <t>FOI/2425/0145</t>
  </si>
  <si>
    <t>Social care OT waiting times</t>
  </si>
  <si>
    <t>FOI/2425/0146</t>
  </si>
  <si>
    <t>Information about children's homes in Brotton and Skelton</t>
  </si>
  <si>
    <t>FOI/2425/0147</t>
  </si>
  <si>
    <t>FOI/2425/0148</t>
  </si>
  <si>
    <t>International recruitment</t>
  </si>
  <si>
    <t>FOI/2425/0149</t>
  </si>
  <si>
    <t>Use of bailiffs/debt collectors in council tax and business rates collection</t>
  </si>
  <si>
    <t>FOI/2425/0150</t>
  </si>
  <si>
    <t>Compensation claims by students</t>
  </si>
  <si>
    <t>FOI/2425/0151</t>
  </si>
  <si>
    <t>Thompsons Solicitors</t>
  </si>
  <si>
    <t>Keldholme School</t>
  </si>
  <si>
    <t>FOI/2425/0152</t>
  </si>
  <si>
    <t>Costs - Parish Council Poll</t>
  </si>
  <si>
    <t>FOI/2425/0153</t>
  </si>
  <si>
    <t>Unregulated placements</t>
  </si>
  <si>
    <t>FOI/2425/0154</t>
  </si>
  <si>
    <t>Noise complaints about public houses</t>
  </si>
  <si>
    <t>FOI/2425/0155</t>
  </si>
  <si>
    <t>Ignite Nursing</t>
  </si>
  <si>
    <t>Social Care providers - payments</t>
  </si>
  <si>
    <t>FOI/2425/0156</t>
  </si>
  <si>
    <t>ITN</t>
  </si>
  <si>
    <t>CIOC placed out of area</t>
  </si>
  <si>
    <t>FOI/2425/0157</t>
  </si>
  <si>
    <t>Weapons in schools</t>
  </si>
  <si>
    <t>FOI/2425/0158</t>
  </si>
  <si>
    <t>The Sun</t>
  </si>
  <si>
    <t>Council tax arrears and liability orders</t>
  </si>
  <si>
    <t>FOI/2425/0159</t>
  </si>
  <si>
    <t>Radio Newcastle</t>
  </si>
  <si>
    <t>CIOC missing/Criminal exploitation</t>
  </si>
  <si>
    <t>FOI/2425/0160</t>
  </si>
  <si>
    <t>Residential leaseholds</t>
  </si>
  <si>
    <t>FOI/2425/0161</t>
  </si>
  <si>
    <t>Live streaming</t>
  </si>
  <si>
    <t>FOI/2425/0162</t>
  </si>
  <si>
    <t>LHL PA</t>
  </si>
  <si>
    <t>FOI/2425/0163</t>
  </si>
  <si>
    <t>Council tax credits</t>
  </si>
  <si>
    <t>FOI/2425/0164</t>
  </si>
  <si>
    <t>Community stores equipment</t>
  </si>
  <si>
    <t>FOI/2425/0165</t>
  </si>
  <si>
    <t>Missing People</t>
  </si>
  <si>
    <t>Missing CIOC children</t>
  </si>
  <si>
    <t>FOI/2425/0166</t>
  </si>
  <si>
    <t>MP for Dulwich</t>
  </si>
  <si>
    <t>CIOC placements</t>
  </si>
  <si>
    <t>FOI/2425/0167</t>
  </si>
  <si>
    <t>Early years childcare provision and disabled children</t>
  </si>
  <si>
    <t>FOI/2425/0168</t>
  </si>
  <si>
    <t>Ocean Media</t>
  </si>
  <si>
    <t>Heat networks</t>
  </si>
  <si>
    <t>FOI/2425/0169</t>
  </si>
  <si>
    <t>Costs re Guisborough Town Hall and Bakehouse Square</t>
  </si>
  <si>
    <t>FOI/2425/0170</t>
  </si>
  <si>
    <t>South Staffordshire Council</t>
  </si>
  <si>
    <t>Online forms for council tax and benefits</t>
  </si>
  <si>
    <t>FOI/2425/0171</t>
  </si>
  <si>
    <t>Education services and Health &amp; Safety staff details</t>
  </si>
  <si>
    <t>FOI/2425/0172</t>
  </si>
  <si>
    <t>SEND transport</t>
  </si>
  <si>
    <t>FOI/2425/0173</t>
  </si>
  <si>
    <t>FOI/2425/0174</t>
  </si>
  <si>
    <t>SEN placements</t>
  </si>
  <si>
    <t>FOI/2425/0175</t>
  </si>
  <si>
    <t>Flatts Lane Flooding</t>
  </si>
  <si>
    <t>FOI/2425/0176</t>
  </si>
  <si>
    <t>FOI/2425/0177</t>
  </si>
  <si>
    <t>Ealing Council</t>
  </si>
  <si>
    <t>Housing Communications Staff</t>
  </si>
  <si>
    <t>FOI/2425/0178</t>
  </si>
  <si>
    <t>TAL Agency</t>
  </si>
  <si>
    <t>CCTV cameras</t>
  </si>
  <si>
    <t>FOI/2425/0179</t>
  </si>
  <si>
    <t>EHCP</t>
  </si>
  <si>
    <t>FOI/2425/0180</t>
  </si>
  <si>
    <t>Translation services - spend and contracts</t>
  </si>
  <si>
    <t>FOI/2425/0181</t>
  </si>
  <si>
    <t>Bournemouth University</t>
  </si>
  <si>
    <t>Cloud service utilisation</t>
  </si>
  <si>
    <t>FOI/2425/0182</t>
  </si>
  <si>
    <t>Third party investigative software</t>
  </si>
  <si>
    <t>FOI/2425/0183</t>
  </si>
  <si>
    <t>CRBE</t>
  </si>
  <si>
    <t>FOI/2425/0184</t>
  </si>
  <si>
    <t>School repair backlog</t>
  </si>
  <si>
    <t>FOI/2425/0185</t>
  </si>
  <si>
    <t>Foster care rates</t>
  </si>
  <si>
    <t>FOI/2425/0186</t>
  </si>
  <si>
    <t>Social housing ECP ratings</t>
  </si>
  <si>
    <t>FOI/2425/0187</t>
  </si>
  <si>
    <t>Groups at risk of homelessness</t>
  </si>
  <si>
    <t>FOI/2425/0188</t>
  </si>
  <si>
    <t>Attacks on refuse workers</t>
  </si>
  <si>
    <t>FOI/2425/0189</t>
  </si>
  <si>
    <t>FOI/2425/0190</t>
  </si>
  <si>
    <t>Mitie</t>
  </si>
  <si>
    <t>Contracts available re property services</t>
  </si>
  <si>
    <t>FOI/2425/0191</t>
  </si>
  <si>
    <t>Auto Trader</t>
  </si>
  <si>
    <t xml:space="preserve">Taxi, Hackney Carriage or for Private Hire </t>
  </si>
  <si>
    <t>FOI/2425/0192</t>
  </si>
  <si>
    <t>Birmingham Carpet Cleaning Company</t>
  </si>
  <si>
    <t>Pest control</t>
  </si>
  <si>
    <t>FOI/2425/0193</t>
  </si>
  <si>
    <t>Peace Pledge Union</t>
  </si>
  <si>
    <t>Armed Forces Day</t>
  </si>
  <si>
    <t>FOI/2425/0194</t>
  </si>
  <si>
    <t>Ascendant Lifts</t>
  </si>
  <si>
    <t>Lift contracts</t>
  </si>
  <si>
    <t>FOI/2425/0195</t>
  </si>
  <si>
    <t>Tank PR</t>
  </si>
  <si>
    <t xml:space="preserve">Social housing  </t>
  </si>
  <si>
    <t>FOI/2425/0196</t>
  </si>
  <si>
    <t>Israel/Palestine conflict - guidance given to schools</t>
  </si>
  <si>
    <t>FOI/2425/0197</t>
  </si>
  <si>
    <t>Spend on Profit Making Providers - SEND/Care placements</t>
  </si>
  <si>
    <t>FOI/2425/0198</t>
  </si>
  <si>
    <t>IE Hub</t>
  </si>
  <si>
    <t>Council tax</t>
  </si>
  <si>
    <t>FOI/2425/0199</t>
  </si>
  <si>
    <t>Business rates fraud</t>
  </si>
  <si>
    <t>FOI/2425/0200</t>
  </si>
  <si>
    <t>Birdie Care</t>
  </si>
  <si>
    <t>Care in the home services</t>
  </si>
  <si>
    <t>FOI/2425/0201</t>
  </si>
  <si>
    <t>Licensed premises</t>
  </si>
  <si>
    <t>FOI/2425/0202</t>
  </si>
  <si>
    <t>Tender Response</t>
  </si>
  <si>
    <t>Furniture procurement</t>
  </si>
  <si>
    <t>FOI/2425/0203</t>
  </si>
  <si>
    <t>Staff - elective home education</t>
  </si>
  <si>
    <t>FOI/2425/0204</t>
  </si>
  <si>
    <t>Sales of children's homes</t>
  </si>
  <si>
    <t>FOI/2425/0205</t>
  </si>
  <si>
    <t>FOI/2425/0206</t>
  </si>
  <si>
    <t>Hazelgrove Park site licence</t>
  </si>
  <si>
    <t>FOI/2425/0207</t>
  </si>
  <si>
    <t>Info Track</t>
  </si>
  <si>
    <t>Live CPO's</t>
  </si>
  <si>
    <t>FOI/2425/0208</t>
  </si>
  <si>
    <t>FOI/2425/0209</t>
  </si>
  <si>
    <t>Unauthorised school absences</t>
  </si>
  <si>
    <t>FOI/2425/0210</t>
  </si>
  <si>
    <t>PEL UK</t>
  </si>
  <si>
    <t>Councillor/staff contact details</t>
  </si>
  <si>
    <t>FOI/2425/0211</t>
  </si>
  <si>
    <t>DSC</t>
  </si>
  <si>
    <t>Grants made to VCSE sector</t>
  </si>
  <si>
    <t>FOI/2425/0212</t>
  </si>
  <si>
    <t>Social media platforms</t>
  </si>
  <si>
    <t>FOI/2425/0213</t>
  </si>
  <si>
    <t>Transport for all</t>
  </si>
  <si>
    <t>Blue badge scheme</t>
  </si>
  <si>
    <t>FOI/2425/0214</t>
  </si>
  <si>
    <t>Contract details for solo CIOC placement</t>
  </si>
  <si>
    <t>FOI/2425/0215</t>
  </si>
  <si>
    <t>Agin Care</t>
  </si>
  <si>
    <t>Adults complex care commissioning</t>
  </si>
  <si>
    <t>FOI/2425/0216</t>
  </si>
  <si>
    <t>Centrepoint</t>
  </si>
  <si>
    <t>Youth homelessness information</t>
  </si>
  <si>
    <t>FOI/2425/0217</t>
  </si>
  <si>
    <t>Tees</t>
  </si>
  <si>
    <t>Furniture packages - Refugee scheme costs</t>
  </si>
  <si>
    <t>FOI/2425/0218</t>
  </si>
  <si>
    <t>EHCP assessments</t>
  </si>
  <si>
    <t>FOI/2425/0219</t>
  </si>
  <si>
    <t>Flowchart for CIOC placements</t>
  </si>
  <si>
    <t>FOI/2425/0220</t>
  </si>
  <si>
    <t>Council tax, debt and pensions</t>
  </si>
  <si>
    <t>FOI/2425/0221</t>
  </si>
  <si>
    <t xml:space="preserve">Library service review </t>
  </si>
  <si>
    <t>FOI/2425/0222</t>
  </si>
  <si>
    <t>RSPCA</t>
  </si>
  <si>
    <t>Cat Cafes</t>
  </si>
  <si>
    <t>FOI/2425/0223</t>
  </si>
  <si>
    <t>LBC Radio</t>
  </si>
  <si>
    <t>Social Housing</t>
  </si>
  <si>
    <t>FOI/2425/0224</t>
  </si>
  <si>
    <t>Hackney carriages</t>
  </si>
  <si>
    <t>FOI/2425/0225</t>
  </si>
  <si>
    <t>Private hire vehicles</t>
  </si>
  <si>
    <t>FOI/2425/0226</t>
  </si>
  <si>
    <t>Private hire operators</t>
  </si>
  <si>
    <t>FOI/2425/0227</t>
  </si>
  <si>
    <t>Fraser &amp; Fraser</t>
  </si>
  <si>
    <t>Public funerals</t>
  </si>
  <si>
    <t>FOI/2425/0228</t>
  </si>
  <si>
    <t>Medical records of deceased person</t>
  </si>
  <si>
    <t>FOI/2425/0229</t>
  </si>
  <si>
    <t>Costs relating to vandalism of Teesville Black Path chicane barriers</t>
  </si>
  <si>
    <t>Some information not held/Internal review requested</t>
  </si>
  <si>
    <t>FOI/2425/0230</t>
  </si>
  <si>
    <t>Women's Aid</t>
  </si>
  <si>
    <t>Refuge and community based services</t>
  </si>
  <si>
    <t>FOI/2425/0231</t>
  </si>
  <si>
    <t>Market Sustainability and Improvement Fund</t>
  </si>
  <si>
    <t>FOI/2425/0232</t>
  </si>
  <si>
    <t>CIOC statistics</t>
  </si>
  <si>
    <t>FOI/2425/0233</t>
  </si>
  <si>
    <t>CIOC statistics - physical violence</t>
  </si>
  <si>
    <t>FOI/2425/0234</t>
  </si>
  <si>
    <t>Asylum seekers/Migrants living in Brotton and Skelton</t>
  </si>
  <si>
    <t>FOI/2425/0235</t>
  </si>
  <si>
    <t>Calvacere</t>
  </si>
  <si>
    <t>Election management systems</t>
  </si>
  <si>
    <t>FOI/2425/0236</t>
  </si>
  <si>
    <t>Commissioned care services</t>
  </si>
  <si>
    <t>FOI/2425/0237</t>
  </si>
  <si>
    <t>HMO staff</t>
  </si>
  <si>
    <t>FOI/2425/0238</t>
  </si>
  <si>
    <t>Spending on Carillion Projects</t>
  </si>
  <si>
    <t>FOI/2425/0239</t>
  </si>
  <si>
    <t>Parents disabilities - neuro-divergent</t>
  </si>
  <si>
    <t>FOI/2425/0240</t>
  </si>
  <si>
    <t>Lad Bible Group</t>
  </si>
  <si>
    <t>Ask for Angela Campaign</t>
  </si>
  <si>
    <t>FOI/2425/0241</t>
  </si>
  <si>
    <t>Refugee - accommodation utilities costs</t>
  </si>
  <si>
    <t>FOI/2425/0242</t>
  </si>
  <si>
    <t>Households moving from other areas</t>
  </si>
  <si>
    <t>FOI/2425/0243</t>
  </si>
  <si>
    <t>Automotive Software Solutions</t>
  </si>
  <si>
    <t>FOI/2425/0244</t>
  </si>
  <si>
    <t>Jun</t>
  </si>
  <si>
    <t>FOI was intended for PCC panel</t>
  </si>
  <si>
    <t>FOI/2425/0245</t>
  </si>
  <si>
    <t>Information about compliance with dog breeding licencing</t>
  </si>
  <si>
    <t>FOI/2425/0246</t>
  </si>
  <si>
    <t>Discriminatory social work practices</t>
  </si>
  <si>
    <t>FOI/2425/0247</t>
  </si>
  <si>
    <t>Enforcement - Dogs in exclusion zone</t>
  </si>
  <si>
    <t>FOI/2425/0248</t>
  </si>
  <si>
    <t>Children's outreach services</t>
  </si>
  <si>
    <t>FOI/2425/0249</t>
  </si>
  <si>
    <t>Inside Housing</t>
  </si>
  <si>
    <t>Council House Building</t>
  </si>
  <si>
    <t>FOI/2425/0250</t>
  </si>
  <si>
    <t>Quantum</t>
  </si>
  <si>
    <t>Mobile advertising vehicle and crime information</t>
  </si>
  <si>
    <t>FOI/2425/0251</t>
  </si>
  <si>
    <t>Billion Media</t>
  </si>
  <si>
    <t>FOI/2425/0252</t>
  </si>
  <si>
    <t>Access Pay</t>
  </si>
  <si>
    <t>National Fraud Initiative</t>
  </si>
  <si>
    <t>FOI/2425/0253</t>
  </si>
  <si>
    <t>News Media Association</t>
  </si>
  <si>
    <t>Spend on advertising</t>
  </si>
  <si>
    <t>FOI/2425/0254</t>
  </si>
  <si>
    <t>Clean up costs of the Stray following Travellers visit</t>
  </si>
  <si>
    <t>FOI/2425/0255</t>
  </si>
  <si>
    <t>Councillors council tax arrears</t>
  </si>
  <si>
    <t>FOI/2425/0256</t>
  </si>
  <si>
    <t>Contract register and procurement strategy</t>
  </si>
  <si>
    <t xml:space="preserve">Sought clarification but no response received </t>
  </si>
  <si>
    <t>FOI/2425/0257</t>
  </si>
  <si>
    <t>Global Data</t>
  </si>
  <si>
    <t>IT information - hardware held and software packages used</t>
  </si>
  <si>
    <t>FOI/2425/0258</t>
  </si>
  <si>
    <t>Dog daycare businesses</t>
  </si>
  <si>
    <t>FOI/2425/0259</t>
  </si>
  <si>
    <t>RCBC</t>
  </si>
  <si>
    <t xml:space="preserve">Emails - council,TVCA and STDC </t>
  </si>
  <si>
    <t>FOI/2425/0260</t>
  </si>
  <si>
    <t>FOI/2425/0261</t>
  </si>
  <si>
    <t>Councillors emails</t>
  </si>
  <si>
    <t>FOI/2425/0262</t>
  </si>
  <si>
    <t>S47 referrals - nurseries</t>
  </si>
  <si>
    <t>FOI/2425/0263</t>
  </si>
  <si>
    <t>Services for adults with disabilities</t>
  </si>
  <si>
    <t>FOI/2425/0264</t>
  </si>
  <si>
    <t>Pavement inspections schedule for Kirkleatham Ward</t>
  </si>
  <si>
    <t>FOI/2425/0265</t>
  </si>
  <si>
    <t>Uncollected council tax</t>
  </si>
  <si>
    <t>FOI/2425/0266</t>
  </si>
  <si>
    <t>NDNA</t>
  </si>
  <si>
    <t>Local Authority provider payments, capital grants and childcare sufficiency assessments</t>
  </si>
  <si>
    <t>FOI/2425/0267</t>
  </si>
  <si>
    <t>Planning staffing</t>
  </si>
  <si>
    <t>FOI/2425/0268</t>
  </si>
  <si>
    <t>Business rates - credit balances</t>
  </si>
  <si>
    <t>FOI/2425/0269</t>
  </si>
  <si>
    <t>Exacta</t>
  </si>
  <si>
    <t>Empty rate charge levied on business rates accounts</t>
  </si>
  <si>
    <t>De Montford University</t>
  </si>
  <si>
    <t>Budget for CIOC</t>
  </si>
  <si>
    <t>Fleet information</t>
  </si>
  <si>
    <t>CIOC - transgender</t>
  </si>
  <si>
    <t>Dogs Trust</t>
  </si>
  <si>
    <t xml:space="preserve">Stray dogs survey </t>
  </si>
  <si>
    <t>Journalistic</t>
  </si>
  <si>
    <t>Public toilets complaints</t>
  </si>
  <si>
    <t>Marske Football Club - emails</t>
  </si>
  <si>
    <t>GMB</t>
  </si>
  <si>
    <t>RIDDOR reports - Asda</t>
  </si>
  <si>
    <t>Assaults on traffic wardens</t>
  </si>
  <si>
    <t>Campaign against Anti-Semitism</t>
  </si>
  <si>
    <t xml:space="preserve">Adoption of International Holocaust Remembrance Alliance Definition of Antisemitism </t>
  </si>
  <si>
    <t>Tees Law</t>
  </si>
  <si>
    <t>EHC plans - diabetes</t>
  </si>
  <si>
    <t>Ambition Personnel</t>
  </si>
  <si>
    <t>Temporary workers</t>
  </si>
  <si>
    <t>Pride month events</t>
  </si>
  <si>
    <t>Commissioner for Children's services details</t>
  </si>
  <si>
    <t>Luxury brand car thefts</t>
  </si>
  <si>
    <t>Blue Yonder</t>
  </si>
  <si>
    <t>IMD data</t>
  </si>
  <si>
    <t>Beecham Peacock</t>
  </si>
  <si>
    <t>Emails - re Redcar Esplanade</t>
  </si>
  <si>
    <t>Complete Non-Residential / Business Property Rates Data</t>
  </si>
  <si>
    <t>EHCP/EP information</t>
  </si>
  <si>
    <t>Teesworks business rates</t>
  </si>
  <si>
    <t>Election results</t>
  </si>
  <si>
    <t>Add Clarity</t>
  </si>
  <si>
    <t>Homeless households placed with private landlord</t>
  </si>
  <si>
    <t>My Space Housing Solutions</t>
  </si>
  <si>
    <t>Ultraframe</t>
  </si>
  <si>
    <t>Social housing information</t>
  </si>
  <si>
    <t>Vacant council properties and waiting lists</t>
  </si>
  <si>
    <t>Irwin Mitchell</t>
  </si>
  <si>
    <t>Bertram Ramsey School</t>
  </si>
  <si>
    <t>Emails re R/2023/0181/FFM</t>
  </si>
  <si>
    <t>Emails re Cat Flatt</t>
  </si>
  <si>
    <t>Boarding school placements for CIOC</t>
  </si>
  <si>
    <t>Which</t>
  </si>
  <si>
    <t>Trading Standards</t>
  </si>
  <si>
    <t xml:space="preserve">School admissions - fair banding </t>
  </si>
  <si>
    <t>Resourced provision and SEN unit places</t>
  </si>
  <si>
    <t>Jewish Chronicle</t>
  </si>
  <si>
    <t>Palestinian Protests</t>
  </si>
  <si>
    <t>FOI/2425/0306</t>
  </si>
  <si>
    <t>VAT on private schools</t>
  </si>
  <si>
    <t>Schools lowering age to below 4 and creating nursery places</t>
  </si>
  <si>
    <t xml:space="preserve">DV victims and housing </t>
  </si>
  <si>
    <t>Irvings Law</t>
  </si>
  <si>
    <t>Social care records of a deceased person</t>
  </si>
  <si>
    <t>Full Volume PR</t>
  </si>
  <si>
    <t>Quit Smoking initiatives</t>
  </si>
  <si>
    <t>E-signatures</t>
  </si>
  <si>
    <t>Organisational Structure and Training available to staff</t>
  </si>
  <si>
    <t>Resolve Poverty</t>
  </si>
  <si>
    <t>Anti poverty strategy</t>
  </si>
  <si>
    <t>DA training for staff</t>
  </si>
  <si>
    <t>National Send Movement</t>
  </si>
  <si>
    <t>Information re SEND/EHCP</t>
  </si>
  <si>
    <t>School deficit projections and licensed deficit arrangements 2024/2025</t>
  </si>
  <si>
    <t>Applications for SEN units</t>
  </si>
  <si>
    <t>Tussell</t>
  </si>
  <si>
    <t>Call off contracts</t>
  </si>
  <si>
    <t>Ship Inn</t>
  </si>
  <si>
    <t>Salvation Army</t>
  </si>
  <si>
    <t xml:space="preserve">Temporary accommodation </t>
  </si>
  <si>
    <t>Software - Childrens Services</t>
  </si>
  <si>
    <t>School attendance orders</t>
  </si>
  <si>
    <t>Homeowners in arrears</t>
  </si>
  <si>
    <t>Ethnicity of people moving into area and their priority on housing waiting lists</t>
  </si>
  <si>
    <t xml:space="preserve">School local authority support units </t>
  </si>
  <si>
    <t>First Choice Nursing Group</t>
  </si>
  <si>
    <t>Supported living sites</t>
  </si>
  <si>
    <t>Jul</t>
  </si>
  <si>
    <t>Survey tools</t>
  </si>
  <si>
    <t>Dark Kitchens</t>
  </si>
  <si>
    <t>PCN's - Majuba Road</t>
  </si>
  <si>
    <t>Newtrade Media</t>
  </si>
  <si>
    <t>Trading Standards - fair pricing investigations</t>
  </si>
  <si>
    <t>Become</t>
  </si>
  <si>
    <t>Care leavers and housing options</t>
  </si>
  <si>
    <t>Safeguarding referrals and information sharing</t>
  </si>
  <si>
    <t>Adult social care spending - under 65's</t>
  </si>
  <si>
    <t>Referrals to Children's Services</t>
  </si>
  <si>
    <t>Emails re 5G masts</t>
  </si>
  <si>
    <t>FOI/2425/0337</t>
  </si>
  <si>
    <t>Youth immigration homes</t>
  </si>
  <si>
    <t>Redcar Railway Station</t>
  </si>
  <si>
    <t>Bauer</t>
  </si>
  <si>
    <t>Children being taken into care</t>
  </si>
  <si>
    <t>Internal audits on LA maintained schools</t>
  </si>
  <si>
    <t>Helen Bamber Foundation</t>
  </si>
  <si>
    <t>Referrals of unaccompanied asylum seeking children determined to be adults by the Home Office</t>
  </si>
  <si>
    <t>Childcare Development Officer details</t>
  </si>
  <si>
    <t>Homeslessness costs</t>
  </si>
  <si>
    <t>Drug and alcohol services</t>
  </si>
  <si>
    <t xml:space="preserve">Telecare monitoring </t>
  </si>
  <si>
    <t>Black Path - Teesville</t>
  </si>
  <si>
    <t>Change of use planning applications</t>
  </si>
  <si>
    <t>Hollow block and beam in council buildings</t>
  </si>
  <si>
    <t>Maze Media</t>
  </si>
  <si>
    <t>Motorcycle parking</t>
  </si>
  <si>
    <t>Tenancy fraud</t>
  </si>
  <si>
    <t>Care leavers SAR completion rates</t>
  </si>
  <si>
    <t>Emails between members and TW/P</t>
  </si>
  <si>
    <t>Colliers</t>
  </si>
  <si>
    <t>Credit balances on council tax</t>
  </si>
  <si>
    <t>Facilities management</t>
  </si>
  <si>
    <t>BACS payment software</t>
  </si>
  <si>
    <t>Costs of at-home and in-community social care</t>
  </si>
  <si>
    <t>Street Votes</t>
  </si>
  <si>
    <t>Healthy Child Programme</t>
  </si>
  <si>
    <t>5G mast emails</t>
  </si>
  <si>
    <t>Seven Consultancy</t>
  </si>
  <si>
    <t>IT support renewal</t>
  </si>
  <si>
    <t>Private parking operators</t>
  </si>
  <si>
    <t>IT compliance</t>
  </si>
  <si>
    <t>Shelter</t>
  </si>
  <si>
    <t>Homelessness and social care policies</t>
  </si>
  <si>
    <t>Training budgets</t>
  </si>
  <si>
    <t>Community asset closures</t>
  </si>
  <si>
    <t>Cabfusion</t>
  </si>
  <si>
    <t>Elective home education and children not in school</t>
  </si>
  <si>
    <t>Emails re Cat Flatt: Cllrs to developers.</t>
  </si>
  <si>
    <t>Hazelgrove Park site licence/planning</t>
  </si>
  <si>
    <t>SRP &amp; SEN units</t>
  </si>
  <si>
    <t>Emails re steps/esplanade/seafront</t>
  </si>
  <si>
    <t>Rila Properties</t>
  </si>
  <si>
    <t>Article 4 Area GeoJson Data</t>
  </si>
  <si>
    <t>Suzy Lamplugh Trust</t>
  </si>
  <si>
    <t>Perceptiona</t>
  </si>
  <si>
    <t>Padel Tennis Clubs</t>
  </si>
  <si>
    <t>Care home complaints</t>
  </si>
  <si>
    <t>Local byelaws</t>
  </si>
  <si>
    <t>Time spent in temporary accommodation</t>
  </si>
  <si>
    <t xml:space="preserve">Placement Suffiency </t>
  </si>
  <si>
    <t>Planning - access roads</t>
  </si>
  <si>
    <t>POAO seizures</t>
  </si>
  <si>
    <t>PCNs</t>
  </si>
  <si>
    <t>Planning - Children's homes</t>
  </si>
  <si>
    <t>Emails re Boxing day</t>
  </si>
  <si>
    <t>Underage vape ages</t>
  </si>
  <si>
    <t>Public notices</t>
  </si>
  <si>
    <t>GB News</t>
  </si>
  <si>
    <t>Blue Badge fines</t>
  </si>
  <si>
    <t>PCN information</t>
  </si>
  <si>
    <t>Marske Cricket Club - netting</t>
  </si>
  <si>
    <t>Audio Visual announcements at bus stops</t>
  </si>
  <si>
    <t>Judical reviews - homelessness</t>
  </si>
  <si>
    <t>Councillor sickness/holidays</t>
  </si>
  <si>
    <t>Not in scope of the FOIA</t>
  </si>
  <si>
    <t>Sunrise Software</t>
  </si>
  <si>
    <t>HR software</t>
  </si>
  <si>
    <t>Banking and insurance</t>
  </si>
  <si>
    <t>Automated decision making tools</t>
  </si>
  <si>
    <t>Foster care data</t>
  </si>
  <si>
    <t>Oakdale</t>
  </si>
  <si>
    <t>Communication between Highways and NYM</t>
  </si>
  <si>
    <t>Trueman Change</t>
  </si>
  <si>
    <t>Conference spending</t>
  </si>
  <si>
    <t>AI policy</t>
  </si>
  <si>
    <t>Bakehouse Square levelling up work</t>
  </si>
  <si>
    <t>SENDIST tribunals</t>
  </si>
  <si>
    <t>Stray dogs information</t>
  </si>
  <si>
    <t>Cllrs emails with residents - Teesville ward</t>
  </si>
  <si>
    <t>Jaywing</t>
  </si>
  <si>
    <t>CCTV locations</t>
  </si>
  <si>
    <t>Tenders for translation services</t>
  </si>
  <si>
    <t xml:space="preserve">Productivity and Efficiency Statement </t>
  </si>
  <si>
    <t>Redcar Cemetery</t>
  </si>
  <si>
    <t>Migration Watch UK</t>
  </si>
  <si>
    <t xml:space="preserve">Social housing tenants </t>
  </si>
  <si>
    <t>Goodman Nash</t>
  </si>
  <si>
    <t>Reach PLC</t>
  </si>
  <si>
    <t>Planning appeal - Boosbeck</t>
  </si>
  <si>
    <t>Social care staffing information</t>
  </si>
  <si>
    <t>Abortion clinics - PSPO</t>
  </si>
  <si>
    <t>Traffic surveys for Stokesley Road</t>
  </si>
  <si>
    <t>Traffic collisions - Silverdale Gardens</t>
  </si>
  <si>
    <t>Kennel Club</t>
  </si>
  <si>
    <t>FOI information</t>
  </si>
  <si>
    <t>Access Control contract information</t>
  </si>
  <si>
    <t>Christmas lights spending</t>
  </si>
  <si>
    <t>Medical Locum Services</t>
  </si>
  <si>
    <t>Care packages awarded to agencies</t>
  </si>
  <si>
    <t>Dog fouling complaints and enforcement</t>
  </si>
  <si>
    <t>Kieran Lynch</t>
  </si>
  <si>
    <t>Paid VAT to adult/children's care suppliers</t>
  </si>
  <si>
    <t xml:space="preserve">Emails re Redcar/steps </t>
  </si>
  <si>
    <t>Public bus routes</t>
  </si>
  <si>
    <t>Highways maintenance</t>
  </si>
  <si>
    <t>Stantec</t>
  </si>
  <si>
    <t>Bran Sands planning applications</t>
  </si>
  <si>
    <t>Total noise complaints within the borough</t>
  </si>
  <si>
    <t>Electrical vehicle charging points for public use.</t>
  </si>
  <si>
    <t>Home educator letters and EHE policy</t>
  </si>
  <si>
    <t>Funding regarding Coatham arena</t>
  </si>
  <si>
    <t>Sep</t>
  </si>
  <si>
    <t>Processed under EIR</t>
  </si>
  <si>
    <t>Section 44a certificates in business rates hereditament database</t>
  </si>
  <si>
    <t>Regulation 19 certificates</t>
  </si>
  <si>
    <t>Stray Paddling Pool emails</t>
  </si>
  <si>
    <t>EHCP questionnaire</t>
  </si>
  <si>
    <t>Tier two weight management</t>
  </si>
  <si>
    <t>Children accommodated under S17</t>
  </si>
  <si>
    <t>Homelessness applications and interim accommodation</t>
  </si>
  <si>
    <t>Legal Team</t>
  </si>
  <si>
    <t>Optimor Labs</t>
  </si>
  <si>
    <t>Pay Plan</t>
  </si>
  <si>
    <t>Council debt recovery policy</t>
  </si>
  <si>
    <t xml:space="preserve">Elective home education </t>
  </si>
  <si>
    <t>Cllr emails with resident</t>
  </si>
  <si>
    <t>SSI task force minutes</t>
  </si>
  <si>
    <t>Road maintenance A171</t>
  </si>
  <si>
    <t>Council spending</t>
  </si>
  <si>
    <t>Agency staff</t>
  </si>
  <si>
    <t>Staff working abroad</t>
  </si>
  <si>
    <t>Lancaster University</t>
  </si>
  <si>
    <t>Cate UK</t>
  </si>
  <si>
    <t>Social Services recording systems</t>
  </si>
  <si>
    <t>Children not in school</t>
  </si>
  <si>
    <t>Deputyships and Appointeeships</t>
  </si>
  <si>
    <t>Telephony information</t>
  </si>
  <si>
    <t>Smoke Vents</t>
  </si>
  <si>
    <t>Fire dampers and smoke vents</t>
  </si>
  <si>
    <t>S21</t>
  </si>
  <si>
    <t>Marine Parade parking restrictions</t>
  </si>
  <si>
    <t>Supported living and residential care services care package costs</t>
  </si>
  <si>
    <t>Staff absences</t>
  </si>
  <si>
    <t>Staff dismissals</t>
  </si>
  <si>
    <t>Calls UK</t>
  </si>
  <si>
    <t>Staff convictions</t>
  </si>
  <si>
    <t>Number of complaints, data breaches within 21/22, 22/23, 23/24</t>
  </si>
  <si>
    <t>Staff with pre-existing relationships with members of staff already employed/in office</t>
  </si>
  <si>
    <t>Council Tax Policies</t>
  </si>
  <si>
    <t>Overpayments of benefits</t>
  </si>
  <si>
    <t>Council's armorial bearings</t>
  </si>
  <si>
    <t>School suspensions</t>
  </si>
  <si>
    <t>Housing services / homelessness</t>
  </si>
  <si>
    <t>Financial assessments</t>
  </si>
  <si>
    <t>Brunant Arms</t>
  </si>
  <si>
    <t>Animal Health and Welfare</t>
  </si>
  <si>
    <t>Education systems</t>
  </si>
  <si>
    <t>Emails re Friends of Laburnum Library</t>
  </si>
  <si>
    <t>Processed as a DSAR due to personal data being requested</t>
  </si>
  <si>
    <t xml:space="preserve">Council Tax arrears  </t>
  </si>
  <si>
    <t>Single person discounts in East Cleveland area</t>
  </si>
  <si>
    <t>Care home fees - Park House Guisborough</t>
  </si>
  <si>
    <t>Staff with permission to work abroad</t>
  </si>
  <si>
    <t>Placements with parents</t>
  </si>
  <si>
    <t>Cancelled public events</t>
  </si>
  <si>
    <t>State school applications from private schools</t>
  </si>
  <si>
    <t>Homelessness data</t>
  </si>
  <si>
    <t>Guardian</t>
  </si>
  <si>
    <t>Human remains held by museums</t>
  </si>
  <si>
    <t>Thanet Council</t>
  </si>
  <si>
    <t xml:space="preserve"> Section 13A discretionary relief policy allowing for Council Tax debt write-off</t>
  </si>
  <si>
    <t>Figure telecoms</t>
  </si>
  <si>
    <t>Diversion of telecoms utilities</t>
  </si>
  <si>
    <t>Bright Sprout digital marketing</t>
  </si>
  <si>
    <t xml:space="preserve">Compensation claims  </t>
  </si>
  <si>
    <t>Contracts  - list of named companies</t>
  </si>
  <si>
    <t>School cleaning contracts</t>
  </si>
  <si>
    <t>Alternative provision</t>
  </si>
  <si>
    <t>Licensing for cosmetic procedures</t>
  </si>
  <si>
    <t>Safeguarding, child abuse and neglect</t>
  </si>
  <si>
    <t>AI use</t>
  </si>
  <si>
    <t>Tax payers money</t>
  </si>
  <si>
    <t>City Press</t>
  </si>
  <si>
    <t>Council expenditure</t>
  </si>
  <si>
    <t>Electrical Safety First</t>
  </si>
  <si>
    <t>Rogue Traders</t>
  </si>
  <si>
    <t>ITV News</t>
  </si>
  <si>
    <t>Aesthetic procedures</t>
  </si>
  <si>
    <t>AI in schools</t>
  </si>
  <si>
    <t>Overseas travel</t>
  </si>
  <si>
    <t>Children's SAR data</t>
  </si>
  <si>
    <t>York University</t>
  </si>
  <si>
    <t>Hybrid working</t>
  </si>
  <si>
    <t>Warwick University</t>
  </si>
  <si>
    <t>Children accommodated under S20</t>
  </si>
  <si>
    <t>Revised response issued</t>
  </si>
  <si>
    <t>Teesport Health Authority - charges accrued</t>
  </si>
  <si>
    <t>Disabled facilities grant</t>
  </si>
  <si>
    <t>Unite</t>
  </si>
  <si>
    <t>Contract with Veolia</t>
  </si>
  <si>
    <t>Spending on Consultants</t>
  </si>
  <si>
    <t>Safeguarding complaints - care homes</t>
  </si>
  <si>
    <t>Payments made to Psychologists</t>
  </si>
  <si>
    <t>Driving offences</t>
  </si>
  <si>
    <t>Clear recycling</t>
  </si>
  <si>
    <t>IT recycling and disposal of hard drives</t>
  </si>
  <si>
    <t>Referrals to children's services</t>
  </si>
  <si>
    <t>PMSI</t>
  </si>
  <si>
    <t>Healthwatch</t>
  </si>
  <si>
    <t>Complaints - Advocacy Services</t>
  </si>
  <si>
    <t>Suvera</t>
  </si>
  <si>
    <t>Reimbursement of NHS health checks</t>
  </si>
  <si>
    <t>NSPCC</t>
  </si>
  <si>
    <t>Elective home education</t>
  </si>
  <si>
    <t>Lease - 338 Laburnum Road</t>
  </si>
  <si>
    <t>Ground maintenance contract</t>
  </si>
  <si>
    <t>Thomson Screening</t>
  </si>
  <si>
    <t>Supported accommodation - Children's services</t>
  </si>
  <si>
    <t>Homelessness waiting times</t>
  </si>
  <si>
    <t>CCE &amp; CSE data</t>
  </si>
  <si>
    <t>Care 4 Calais</t>
  </si>
  <si>
    <t>Homelessness - refugees  - asked to leave accommodation by Home Office</t>
  </si>
  <si>
    <t>Fleet vehicles</t>
  </si>
  <si>
    <t>CIOC information</t>
  </si>
  <si>
    <t>Oct</t>
  </si>
  <si>
    <t>Stirling University</t>
  </si>
  <si>
    <t>Budget Gap data</t>
  </si>
  <si>
    <t>SWGfl</t>
  </si>
  <si>
    <t>Online Safety Questions from 2024 Safeguarding Audit</t>
  </si>
  <si>
    <t xml:space="preserve">Trade unions  </t>
  </si>
  <si>
    <t>Care charges debt</t>
  </si>
  <si>
    <t>Ethical Consumer</t>
  </si>
  <si>
    <t>Amazon procurement/spending</t>
  </si>
  <si>
    <t>Damp/mould complaints</t>
  </si>
  <si>
    <t>Some information not held.</t>
  </si>
  <si>
    <t>Adults supported living (LD/ASD)</t>
  </si>
  <si>
    <t xml:space="preserve">Funding utilisation in social care for exacerbating bronchiectasis </t>
  </si>
  <si>
    <t>Illicit seizure prosecutions</t>
  </si>
  <si>
    <t>Council spending on EHCP placements at independent settings</t>
  </si>
  <si>
    <t>Staze</t>
  </si>
  <si>
    <t>Hotel Expenditures - homeless and refugees</t>
  </si>
  <si>
    <t>Landlord prosecutions</t>
  </si>
  <si>
    <t>West Northampton Council</t>
  </si>
  <si>
    <t>Stray and Dangerous Dog Kennelling Data</t>
  </si>
  <si>
    <t>The 10 Group</t>
  </si>
  <si>
    <t>Armstrong Foulkes Solicitors</t>
  </si>
  <si>
    <t>Information regarding a deceased person</t>
  </si>
  <si>
    <t>Confused.com</t>
  </si>
  <si>
    <t>MOT information</t>
  </si>
  <si>
    <t>Avison Young</t>
  </si>
  <si>
    <t>Leisure Centres</t>
  </si>
  <si>
    <t>Mass Graves</t>
  </si>
  <si>
    <t>Haulage of Waste Contract</t>
  </si>
  <si>
    <t>Care placements</t>
  </si>
  <si>
    <t>Staff well being in the public sector</t>
  </si>
  <si>
    <t>Data management in housing department</t>
  </si>
  <si>
    <t>Teacher compensation</t>
  </si>
  <si>
    <t>Illegal Vaping product Seized</t>
  </si>
  <si>
    <t>Newcastle University</t>
  </si>
  <si>
    <t>City Deal Projects</t>
  </si>
  <si>
    <t>171 Birchington Ave lease</t>
  </si>
  <si>
    <t>Hotel use for Afghan asylum seekers and refugees</t>
  </si>
  <si>
    <t>Inews</t>
  </si>
  <si>
    <t>Debt enforcement agencies</t>
  </si>
  <si>
    <t>Communications with Reach plc</t>
  </si>
  <si>
    <t>Live animal prizes</t>
  </si>
  <si>
    <t>Staff data</t>
  </si>
  <si>
    <t>Laing Buisson</t>
  </si>
  <si>
    <t>External Provider of Care Fee Rates</t>
  </si>
  <si>
    <t>Withdrawn at requestors request</t>
  </si>
  <si>
    <t>Residential family centres</t>
  </si>
  <si>
    <t>Council run nurseries</t>
  </si>
  <si>
    <t>Cllr complaints</t>
  </si>
  <si>
    <t>UK Shared Prosperity Funding: People and Skills</t>
  </si>
  <si>
    <t>Service Care</t>
  </si>
  <si>
    <t>Agency spending</t>
  </si>
  <si>
    <t>Evolved Search</t>
  </si>
  <si>
    <t>Personal injury claims</t>
  </si>
  <si>
    <t>Health visitor data</t>
  </si>
  <si>
    <t>Children at risk of forced marriages</t>
  </si>
  <si>
    <t>Floating bus stops</t>
  </si>
  <si>
    <t>People coming into the area</t>
  </si>
  <si>
    <t>Illegal Vaping/cigarette products seized</t>
  </si>
  <si>
    <t>School staff absences</t>
  </si>
  <si>
    <t>Sky News</t>
  </si>
  <si>
    <t>NJC Pay scales</t>
  </si>
  <si>
    <t>Misconduct of trade union representatives</t>
  </si>
  <si>
    <t>Mail Online</t>
  </si>
  <si>
    <t>Enforcement notices - caravans and mobile homes</t>
  </si>
  <si>
    <t>Foster placements</t>
  </si>
  <si>
    <t>Cost charged council tax and business rates summons/liability orders</t>
  </si>
  <si>
    <t>Council fleet information</t>
  </si>
  <si>
    <t>Council run youth clubs</t>
  </si>
  <si>
    <t>Parking Transactions and Income Data</t>
  </si>
  <si>
    <t>Kennel Build</t>
  </si>
  <si>
    <t>Licensed boarding kennels</t>
  </si>
  <si>
    <t>Local Authority funding for Government funded entitlement for two, three and four-year-olds</t>
  </si>
  <si>
    <t>IPS Group</t>
  </si>
  <si>
    <t>Car Parking information</t>
  </si>
  <si>
    <t>Social care and education systems</t>
  </si>
  <si>
    <t>Aspire Strategies</t>
  </si>
  <si>
    <t>Digital mental health and wellbeing applications</t>
  </si>
  <si>
    <t>PA news agency</t>
  </si>
  <si>
    <t xml:space="preserve">Summer born children deferral requests </t>
  </si>
  <si>
    <t>DPG Law</t>
  </si>
  <si>
    <t>Range Consult</t>
  </si>
  <si>
    <t>Desktop information (IT)</t>
  </si>
  <si>
    <t>Qarousel</t>
  </si>
  <si>
    <t>Council house data</t>
  </si>
  <si>
    <t>Protest injunctions</t>
  </si>
  <si>
    <t>Children in temporary accommodation - Dec 23</t>
  </si>
  <si>
    <t>Children in temporary accommodation - Nov 24</t>
  </si>
  <si>
    <t>SEND provision</t>
  </si>
  <si>
    <t>Festivities costs</t>
  </si>
  <si>
    <t>Fines issued for 'deliberate depriving' re care costs</t>
  </si>
  <si>
    <t>Housing waiting lists</t>
  </si>
  <si>
    <t>Council housing disrepair</t>
  </si>
  <si>
    <t>Bayview Management</t>
  </si>
  <si>
    <t>Council housing information</t>
  </si>
  <si>
    <t>Home education</t>
  </si>
  <si>
    <t>Councillors in arrears with council tax payments</t>
  </si>
  <si>
    <t xml:space="preserve">IT information  </t>
  </si>
  <si>
    <t xml:space="preserve">Public Interest Test completed </t>
  </si>
  <si>
    <t>Vuelio</t>
  </si>
  <si>
    <t>Christmas spending</t>
  </si>
  <si>
    <t>Youth Clubs information</t>
  </si>
  <si>
    <t>Leaders expenses claims</t>
  </si>
  <si>
    <t>Assaults on school staff</t>
  </si>
  <si>
    <t>Direct payments - prepaid cards</t>
  </si>
  <si>
    <t>Public Procurement Review Service</t>
  </si>
  <si>
    <t>Total Workforce Solution HTE or RM6281 Workforce Alliance Framework for Social Services (Lot 4)</t>
  </si>
  <si>
    <t>Nov</t>
  </si>
  <si>
    <t>KS training group</t>
  </si>
  <si>
    <t>Staff training</t>
  </si>
  <si>
    <t>Sheffield Council</t>
  </si>
  <si>
    <t>Education services for deaf and blind children</t>
  </si>
  <si>
    <t>Answered by Middlesbrough BC</t>
  </si>
  <si>
    <t>SLA for Community group at Laburnum Library</t>
  </si>
  <si>
    <t>Job roles with 'well-being' in the title</t>
  </si>
  <si>
    <t>Bus information</t>
  </si>
  <si>
    <t>Most information not held</t>
  </si>
  <si>
    <t>Procurement opportunities in health and social care services</t>
  </si>
  <si>
    <t>Drug and alcohol testing for children</t>
  </si>
  <si>
    <t>S40</t>
  </si>
  <si>
    <t>School teacher recruitment agencies</t>
  </si>
  <si>
    <t>SNAP</t>
  </si>
  <si>
    <t xml:space="preserve">Blank chalet agreement </t>
  </si>
  <si>
    <t>Encircle HA</t>
  </si>
  <si>
    <t xml:space="preserve">Housing benefit rates - supported housing </t>
  </si>
  <si>
    <t>ICT information</t>
  </si>
  <si>
    <t>Complaints about landlords</t>
  </si>
  <si>
    <t>Reform UK</t>
  </si>
  <si>
    <t>Regulatory Committee voting behaviour</t>
  </si>
  <si>
    <t>Hardware disposal</t>
  </si>
  <si>
    <t>Day centres offering respite</t>
  </si>
  <si>
    <t>Liability orders and use of bailiffs</t>
  </si>
  <si>
    <t>Yorkshire Gas &amp; Power</t>
  </si>
  <si>
    <t>Details regarding address in Vicarage Drive</t>
  </si>
  <si>
    <t>Parking information</t>
  </si>
  <si>
    <t>QPEquity</t>
  </si>
  <si>
    <t>SEN Placements</t>
  </si>
  <si>
    <t>Vechicle noise complaints</t>
  </si>
  <si>
    <t>People with Portuguese Nationality living in the area</t>
  </si>
  <si>
    <t>People with Polish Nationality living in the area</t>
  </si>
  <si>
    <t>Veterans registered as living in a home at risk of homelessness</t>
  </si>
  <si>
    <t>Sickness absence</t>
  </si>
  <si>
    <t>Veterans on a social housing waiting list.</t>
  </si>
  <si>
    <t>Schools Week</t>
  </si>
  <si>
    <t>Home Education</t>
  </si>
  <si>
    <t>For Babys Sake</t>
  </si>
  <si>
    <t>Infants taken into care</t>
  </si>
  <si>
    <t>Households with children in temporary accommodation</t>
  </si>
  <si>
    <t>Public Land Sold or Relinquished</t>
  </si>
  <si>
    <t>Reindeer Parade</t>
  </si>
  <si>
    <t>Information recorded by officer in recent visit to complainant</t>
  </si>
  <si>
    <t>Grant Information</t>
  </si>
  <si>
    <t>Spend on consultancy services</t>
  </si>
  <si>
    <t>Wheelie bin collections</t>
  </si>
  <si>
    <t>Educational Freedom</t>
  </si>
  <si>
    <t>Children deregistered from special school and home education</t>
  </si>
  <si>
    <t>Hobans Group</t>
  </si>
  <si>
    <t>School transport spend</t>
  </si>
  <si>
    <t>Elective Home Education</t>
  </si>
  <si>
    <t>Vacant Commerical Properties</t>
  </si>
  <si>
    <t>Spend on domestic abuse support services</t>
  </si>
  <si>
    <t xml:space="preserve">        </t>
  </si>
  <si>
    <t>Number of Households that have signed up for green waste collection</t>
  </si>
  <si>
    <t>Council Tax Credit</t>
  </si>
  <si>
    <t>Spend of refuge for women with specialist needs</t>
  </si>
  <si>
    <t>Contact centre contracts &amp; inbound network services contracts</t>
  </si>
  <si>
    <t>We Are With You prescriptions</t>
  </si>
  <si>
    <t>Recycling centres in the area</t>
  </si>
  <si>
    <t>Organisation structure, spend on agency social workers</t>
  </si>
  <si>
    <t xml:space="preserve">Local Plan </t>
  </si>
  <si>
    <t>Employees on sick leave between 3 months and 12 months long</t>
  </si>
  <si>
    <t>Naturewatch Foundation</t>
  </si>
  <si>
    <t>Dog breeding and welfare</t>
  </si>
  <si>
    <t>Impression Digital</t>
  </si>
  <si>
    <t>Penalty Charge Notices issued</t>
  </si>
  <si>
    <t>Refugee settlement costs</t>
  </si>
  <si>
    <t xml:space="preserve">Some information not held
</t>
  </si>
  <si>
    <t>Clawback and refunds from care providers and residential homes</t>
  </si>
  <si>
    <t>Meeting minutes</t>
  </si>
  <si>
    <t>The Royal Automobile Car Foundation</t>
  </si>
  <si>
    <t>Road Bridges and Walls maintenance</t>
  </si>
  <si>
    <t>Playground closures, inspections and vandalism</t>
  </si>
  <si>
    <t>Procurement contracts awarded to companies</t>
  </si>
  <si>
    <t>YMCA</t>
  </si>
  <si>
    <t>Youth Provisions / Centres</t>
  </si>
  <si>
    <t>Spend on Special Education Appeals</t>
  </si>
  <si>
    <t>Missing children</t>
  </si>
  <si>
    <t>Number of Missing Children in the area</t>
  </si>
  <si>
    <t>Snow Clearance by farmers</t>
  </si>
  <si>
    <t>Energy Costs &amp; Providers</t>
  </si>
  <si>
    <t>Funds given to Friends of Redcar Community Group</t>
  </si>
  <si>
    <t>Daily Telegraph</t>
  </si>
  <si>
    <t>Suspected Multiple Contract Working</t>
  </si>
  <si>
    <t>Mental Health Support Services.</t>
  </si>
  <si>
    <t>Total spent on SEND</t>
  </si>
  <si>
    <t>Spend on Private Schools for children with SEND</t>
  </si>
  <si>
    <t>Adult Autism and Learning Disabilities services</t>
  </si>
  <si>
    <t>Support and accommodation for refugees and asylum seekers</t>
  </si>
  <si>
    <t>Nursery referrals LADO</t>
  </si>
  <si>
    <t>Tenders-UK.com</t>
  </si>
  <si>
    <t xml:space="preserve">Care Contracts commissioned </t>
  </si>
  <si>
    <t xml:space="preserve">Services that offer respite care for SEN </t>
  </si>
  <si>
    <t>Hackney carriages &amp; Private hire vehicles</t>
  </si>
  <si>
    <t>GCSE's and A Levels exams with RAAC in buildings</t>
  </si>
  <si>
    <t>Special school applications</t>
  </si>
  <si>
    <t>Temporary school buildings</t>
  </si>
  <si>
    <t>Transport for refugee children to/from schools</t>
  </si>
  <si>
    <t>Houses owned by the Council and how many are allocated to refugees</t>
  </si>
  <si>
    <t>RNIB (Royal National Institute of Blind People)</t>
  </si>
  <si>
    <t>Certificate Visual Impairment, Vision rehab assessments</t>
  </si>
  <si>
    <t>University of Reading</t>
  </si>
  <si>
    <t>Social Care Approved Mental Health Professional Re-approval</t>
  </si>
  <si>
    <t>Solar panels on council owned homes</t>
  </si>
  <si>
    <t>SEV licences</t>
  </si>
  <si>
    <t>Infotrack</t>
  </si>
  <si>
    <t>Randstad</t>
  </si>
  <si>
    <t>Coram</t>
  </si>
  <si>
    <t>Childcare Survey</t>
  </si>
  <si>
    <t>Translation and interpretation services</t>
  </si>
  <si>
    <t>Clydesdale Engineering</t>
  </si>
  <si>
    <t>Street furniture and bins</t>
  </si>
  <si>
    <t>Reach plc</t>
  </si>
  <si>
    <t>SEND spending</t>
  </si>
  <si>
    <t>Dec</t>
  </si>
  <si>
    <t>Cyber security role requirements</t>
  </si>
  <si>
    <t>Refugee schemes</t>
  </si>
  <si>
    <t>Care Leavers</t>
  </si>
  <si>
    <t>Flash Flooding/mental health of children in school/potholes</t>
  </si>
  <si>
    <t>Modern day slavery training for staff</t>
  </si>
  <si>
    <t>MND association</t>
  </si>
  <si>
    <t>South Kesteven Council</t>
  </si>
  <si>
    <t>Customer Services performance</t>
  </si>
  <si>
    <t>Temporary accommodation for under 2 year olds</t>
  </si>
  <si>
    <t>School immunisations contract</t>
  </si>
  <si>
    <t>Marriages between first cousins</t>
  </si>
  <si>
    <t>Registrars are not a public body under the FOI Act so request refused.</t>
  </si>
  <si>
    <t>Third City</t>
  </si>
  <si>
    <t>Children in our Care</t>
  </si>
  <si>
    <t>Diversity, Equality &amp; Inclusion budgets</t>
  </si>
  <si>
    <t>Thornton and Lowe</t>
  </si>
  <si>
    <t>Cashless car parking payments</t>
  </si>
  <si>
    <t>Senate Media</t>
  </si>
  <si>
    <t>Nicotine inhaling products</t>
  </si>
  <si>
    <t>PCNs cancelled due to cloning</t>
  </si>
  <si>
    <t>VAT on care invoices</t>
  </si>
  <si>
    <t>Fully costed clients</t>
  </si>
  <si>
    <t>Ukrainian Refugee Help</t>
  </si>
  <si>
    <t>Ukrainian monies received and spend to date</t>
  </si>
  <si>
    <t>Parenting programmes in non-English languages</t>
  </si>
  <si>
    <t>Deaths due to domestic violence</t>
  </si>
  <si>
    <t>SEND tribunals costs</t>
  </si>
  <si>
    <t>Guidance issued to SENDIASS &amp; schools re SEND/rights of parents</t>
  </si>
  <si>
    <t>Refugee costs</t>
  </si>
  <si>
    <t>Blue Plaques</t>
  </si>
  <si>
    <t>Internships</t>
  </si>
  <si>
    <t>Child Protection Proceedings</t>
  </si>
  <si>
    <t>LADO referrals</t>
  </si>
  <si>
    <t>Private hire and hackney carriages information</t>
  </si>
  <si>
    <t>Centre for Young People</t>
  </si>
  <si>
    <t>Children's centres and family hubs</t>
  </si>
  <si>
    <t>Funding for unaccredited online courses</t>
  </si>
  <si>
    <t>Parking permits</t>
  </si>
  <si>
    <t>Software used for facilities and estates management</t>
  </si>
  <si>
    <t>Da'aro youth project</t>
  </si>
  <si>
    <t>UASC numbers and deaths</t>
  </si>
  <si>
    <t>Cats and dogs</t>
  </si>
  <si>
    <t>PCNs refunds given</t>
  </si>
  <si>
    <t>Rutland CP</t>
  </si>
  <si>
    <t xml:space="preserve">Adult social care domiciliary care, supported living, and complex care services </t>
  </si>
  <si>
    <t>Adult Social Care directory/budgets/ PA and director details.</t>
  </si>
  <si>
    <t xml:space="preserve">Credit balances on non domestic rates accounts </t>
  </si>
  <si>
    <t>LHLPA</t>
  </si>
  <si>
    <t>Drug and alcohol deaths - partnership review processes</t>
  </si>
  <si>
    <t>Accessible housing</t>
  </si>
  <si>
    <t>Barnardos</t>
  </si>
  <si>
    <t>Cost of elections</t>
  </si>
  <si>
    <t>Deceased Persons DOLS referral</t>
  </si>
  <si>
    <t>Information requested not provided</t>
  </si>
  <si>
    <t>Fines for school absences</t>
  </si>
  <si>
    <t>FiLiA</t>
  </si>
  <si>
    <t>Service provision for sex industry workers</t>
  </si>
  <si>
    <t>Social housing provision</t>
  </si>
  <si>
    <t>Example of Primary School lunch menu</t>
  </si>
  <si>
    <t>Children's services</t>
  </si>
  <si>
    <t>Forecasted pupil numbers 2025-26</t>
  </si>
  <si>
    <t>Drug services</t>
  </si>
  <si>
    <t>Transfers from private to state school requests</t>
  </si>
  <si>
    <t>Enclosed beds</t>
  </si>
  <si>
    <t xml:space="preserve">Skin whitening product seizures </t>
  </si>
  <si>
    <t>Local food partnerships</t>
  </si>
  <si>
    <t>Costs relating to interventions regarding a Guisborough family</t>
  </si>
  <si>
    <t>Neither confirmed nor denied</t>
  </si>
  <si>
    <t>Elderly Care information</t>
  </si>
  <si>
    <t>SAR's</t>
  </si>
  <si>
    <t>Requests for alternative provision</t>
  </si>
  <si>
    <t>Vaping raids</t>
  </si>
  <si>
    <t>Channel 4 news</t>
  </si>
  <si>
    <t>Home Education &amp; Child Protection Plans</t>
  </si>
  <si>
    <t>Illegal vape seizures</t>
  </si>
  <si>
    <t>Food hygiene report</t>
  </si>
  <si>
    <t>Contact details for service leads</t>
  </si>
  <si>
    <t>Housing priority for person living with AIDS</t>
  </si>
  <si>
    <t>Out of area homelessness offers</t>
  </si>
  <si>
    <t>Carers (Staff)</t>
  </si>
  <si>
    <t>Hotels used for asylum seekers</t>
  </si>
  <si>
    <t>Accidents in leisure facilities</t>
  </si>
  <si>
    <t>Blue Cross</t>
  </si>
  <si>
    <t>Dog walkers licensing</t>
  </si>
  <si>
    <t>Togetha</t>
  </si>
  <si>
    <t>Software - property management</t>
  </si>
  <si>
    <t>Contract information</t>
  </si>
  <si>
    <t>Copies of anonymised ECHP documents</t>
  </si>
  <si>
    <t>SEND/FIS/ASC directories/local offer</t>
  </si>
  <si>
    <t>ITSM Software expenditure</t>
  </si>
  <si>
    <t>Agency executives</t>
  </si>
  <si>
    <t>SLM</t>
  </si>
  <si>
    <t>Digital services and transformation</t>
  </si>
  <si>
    <t>Highways Management Systems</t>
  </si>
  <si>
    <t xml:space="preserve">Some information not held </t>
  </si>
  <si>
    <t>The Care Partnership</t>
  </si>
  <si>
    <t>Adult care spending</t>
  </si>
  <si>
    <t>Jan</t>
  </si>
  <si>
    <t>Emailed to confirm full name but no response</t>
  </si>
  <si>
    <t>Equality training for staff</t>
  </si>
  <si>
    <t>Committee Management System</t>
  </si>
  <si>
    <t>Unaccompanied ASC referred by Home Office</t>
  </si>
  <si>
    <t>Capita one contract information</t>
  </si>
  <si>
    <t>Local Government Association</t>
  </si>
  <si>
    <t>Personal budgets in education</t>
  </si>
  <si>
    <t>Social housing sales</t>
  </si>
  <si>
    <t>Rosedene Nurseries</t>
  </si>
  <si>
    <t>Early years capital grant funding</t>
  </si>
  <si>
    <t xml:space="preserve">S47 enquiries - Puberty blockers </t>
  </si>
  <si>
    <t>Education - S19 and alternative provision</t>
  </si>
  <si>
    <t>Storage of people's possessions who are living in temporary accommodation</t>
  </si>
  <si>
    <t>Permanent vacancies in social worker positions and agency spend</t>
  </si>
  <si>
    <t>IT service model and future plans</t>
  </si>
  <si>
    <t>School repairs</t>
  </si>
  <si>
    <t>Training and conferences attended plus associated costs</t>
  </si>
  <si>
    <t>Fraudulent school admissions applications</t>
  </si>
  <si>
    <t>Beebot AI</t>
  </si>
  <si>
    <t>Website directories</t>
  </si>
  <si>
    <t>Council finances - payments in and out</t>
  </si>
  <si>
    <t>Emails from PH estates regarding occupancy of properties</t>
  </si>
  <si>
    <t>NE26 Ltd</t>
  </si>
  <si>
    <t>AI strategy</t>
  </si>
  <si>
    <t>Consultant spending</t>
  </si>
  <si>
    <t>PA Media</t>
  </si>
  <si>
    <t>Library books</t>
  </si>
  <si>
    <t>Print contracts</t>
  </si>
  <si>
    <t>Provision of BIA &amp; S12 Doctor Assessments</t>
  </si>
  <si>
    <t>Clear Vehicle Data</t>
  </si>
  <si>
    <t>Nine Points Property</t>
  </si>
  <si>
    <t>Children's care home weekly fees</t>
  </si>
  <si>
    <t>Private school placements</t>
  </si>
  <si>
    <t>Tenant complaints</t>
  </si>
  <si>
    <t>Costs and revenue of community sports facilities</t>
  </si>
  <si>
    <t>Public swimming pools</t>
  </si>
  <si>
    <t>ECHP consultations</t>
  </si>
  <si>
    <t>Homeless housed in HMOs</t>
  </si>
  <si>
    <t>Autism Society</t>
  </si>
  <si>
    <t>ECHP needs assessments</t>
  </si>
  <si>
    <t>Councillors allowances and expense claims plus land assets and sales</t>
  </si>
  <si>
    <t>Dark Matter</t>
  </si>
  <si>
    <t>AI readiness</t>
  </si>
  <si>
    <t>Arthur Communications</t>
  </si>
  <si>
    <t>Schools not meeting their Pupil Admission Numbers</t>
  </si>
  <si>
    <t>Dedicated schools grant budget</t>
  </si>
  <si>
    <t>Household support fund</t>
  </si>
  <si>
    <t>Adult learning disability support on care provided in both Residential care and Supported living settings</t>
  </si>
  <si>
    <t>Domestic Violence Refuge Places - women with no recourse to public funds</t>
  </si>
  <si>
    <t>Education Company</t>
  </si>
  <si>
    <t>Apprenticeship levy</t>
  </si>
  <si>
    <t>Deceased persons social care record</t>
  </si>
  <si>
    <t>Diversity in the senior management team</t>
  </si>
  <si>
    <t>Staff complaints regarding racism and islamaphobia</t>
  </si>
  <si>
    <t>Council tax practices</t>
  </si>
  <si>
    <t>Big cat licences</t>
  </si>
  <si>
    <t>Care4Calais</t>
  </si>
  <si>
    <t>Asylum Seekers - age assessments</t>
  </si>
  <si>
    <t>Council budget and forecast</t>
  </si>
  <si>
    <t>ECHP information</t>
  </si>
  <si>
    <t>Post 16 transport spend for SEND</t>
  </si>
  <si>
    <t>Traffic lights data</t>
  </si>
  <si>
    <t>Justify Foundation</t>
  </si>
  <si>
    <t>Section 20 information - Children's Act</t>
  </si>
  <si>
    <t>Birmingham University</t>
  </si>
  <si>
    <t>Children and families with no recourse to public funds</t>
  </si>
  <si>
    <t>Section 21 evictions - policy and staff training</t>
  </si>
  <si>
    <t>SEND appeals</t>
  </si>
  <si>
    <t>Correspondence from named advertising companies</t>
  </si>
  <si>
    <t>ECHP backlog and costs</t>
  </si>
  <si>
    <t>Vape shops</t>
  </si>
  <si>
    <t>Teacher retention and SEND data</t>
  </si>
  <si>
    <t>List of names and numbers assigned to properties</t>
  </si>
  <si>
    <t>Learning disabilities (residential care and supported living)/Prader Willi Syndrome</t>
  </si>
  <si>
    <t>Twelve questions about the council</t>
  </si>
  <si>
    <t>Customer Services staffing</t>
  </si>
  <si>
    <t>Edapt</t>
  </si>
  <si>
    <t>Teachers currently suspended</t>
  </si>
  <si>
    <t>SAR redaction time</t>
  </si>
  <si>
    <t>Children in our Care service contact details</t>
  </si>
  <si>
    <t>Nicotine pouch seizures</t>
  </si>
  <si>
    <t>Building maintenance - gas and electric</t>
  </si>
  <si>
    <t>Children in our Care information</t>
  </si>
  <si>
    <t>Academies - new powers</t>
  </si>
  <si>
    <t>Missing UASC</t>
  </si>
  <si>
    <t>Feb</t>
  </si>
  <si>
    <t>No name provided and no response to emails</t>
  </si>
  <si>
    <t>Information about public toilets</t>
  </si>
  <si>
    <t>Clearly PR</t>
  </si>
  <si>
    <t xml:space="preserve">Suppliers information </t>
  </si>
  <si>
    <t>Zergles</t>
  </si>
  <si>
    <t>Elective Home Education information</t>
  </si>
  <si>
    <t>Contract information regarding next of kin searches for public health funerals</t>
  </si>
  <si>
    <t>Adults with learning disabilities - recording of gender</t>
  </si>
  <si>
    <t>Bathroom complaints in council housing</t>
  </si>
  <si>
    <t>Appointee Care</t>
  </si>
  <si>
    <t>Appointee Services</t>
  </si>
  <si>
    <t>The I Paper</t>
  </si>
  <si>
    <t>Chief Executive expenses</t>
  </si>
  <si>
    <t>Sex establishment licences</t>
  </si>
  <si>
    <t>Spending on taxis for school children</t>
  </si>
  <si>
    <t>Deceased persons social care information relating to care home and costs</t>
  </si>
  <si>
    <t>Private special school placements</t>
  </si>
  <si>
    <t>Education Health and Care Plan Data (EHE and EOTAS)</t>
  </si>
  <si>
    <t>Students moving from private to state schools</t>
  </si>
  <si>
    <t>Council staff, training and procurement: Equality, diversity, and inclusivity</t>
  </si>
  <si>
    <t>Knives in schools</t>
  </si>
  <si>
    <t>Council and social housing information and housing waiting lists</t>
  </si>
  <si>
    <t>Complaints information</t>
  </si>
  <si>
    <t>Women with no recourse to public funds - domestic violence</t>
  </si>
  <si>
    <t>Civil enforcement officers</t>
  </si>
  <si>
    <t>Road traffic accident data</t>
  </si>
  <si>
    <t>First class flights</t>
  </si>
  <si>
    <t>Employee theft offences</t>
  </si>
  <si>
    <t>Brokerage and Contracting systems used in Social Care</t>
  </si>
  <si>
    <t>Office of Vikki Slade MP</t>
  </si>
  <si>
    <t>Closures of tips and leisure facilities</t>
  </si>
  <si>
    <t>Individual Service Funds - people aged 18-64</t>
  </si>
  <si>
    <t>Parliament</t>
  </si>
  <si>
    <t>Temporary accommodation and council housing</t>
  </si>
  <si>
    <t>Temporary traffic lights</t>
  </si>
  <si>
    <t>Contracts with Serco</t>
  </si>
  <si>
    <t>Edgehill University</t>
  </si>
  <si>
    <t>Recruitment and retention of social workers</t>
  </si>
  <si>
    <t>Council house sales</t>
  </si>
  <si>
    <t>Fines for unauthorised holidays in term time</t>
  </si>
  <si>
    <t>Care Commissioning framework</t>
  </si>
  <si>
    <t>North Tyneside Council</t>
  </si>
  <si>
    <t>Staffing structures and salaries of four named teams</t>
  </si>
  <si>
    <t>HMO information</t>
  </si>
  <si>
    <t>Task and finish groups for Cllrs</t>
  </si>
  <si>
    <t>Office of Sarah Gibson MP</t>
  </si>
  <si>
    <t>Commercial units for let and rents</t>
  </si>
  <si>
    <t>Banking branches</t>
  </si>
  <si>
    <t>Muslim and Pakistani children receiving social care</t>
  </si>
  <si>
    <t>Spending on temporary school buildings</t>
  </si>
  <si>
    <t>Duty to refer - homelessness</t>
  </si>
  <si>
    <t>Staff paid over £50,000</t>
  </si>
  <si>
    <t>Major IT systems</t>
  </si>
  <si>
    <t>Care Home occupancy</t>
  </si>
  <si>
    <t>Condition complaints about sports facilities</t>
  </si>
  <si>
    <t>Business rates accounts in credit</t>
  </si>
  <si>
    <t>Age of school buildings</t>
  </si>
  <si>
    <t>High cost residential places</t>
  </si>
  <si>
    <t>Swimming pools</t>
  </si>
  <si>
    <t>British Dyslexia Association</t>
  </si>
  <si>
    <t>Dyslexia assessment policies</t>
  </si>
  <si>
    <t>Coastal car parking information</t>
  </si>
  <si>
    <t>Digital transformation</t>
  </si>
  <si>
    <t>Liberal Democrats</t>
  </si>
  <si>
    <t>Mar</t>
  </si>
  <si>
    <t>No response to request for clarification</t>
  </si>
  <si>
    <t>Digital strategy</t>
  </si>
  <si>
    <t>Blue badge parking</t>
  </si>
  <si>
    <t>FTI consulting</t>
  </si>
  <si>
    <t>Use of meat containing nitrates</t>
  </si>
  <si>
    <t xml:space="preserve">Procurement frameworks, agreements, or systems used by the council </t>
  </si>
  <si>
    <t>Become Charity</t>
  </si>
  <si>
    <t>Children in our Care - school and placement moves</t>
  </si>
  <si>
    <t>EHCP Mediation, Tribunal Outcomes &amp; Parental Complaints in Gateshead</t>
  </si>
  <si>
    <t>Safeguarding social care records for deceased</t>
  </si>
  <si>
    <t>ECHP data</t>
  </si>
  <si>
    <t>MOD accommodation</t>
  </si>
  <si>
    <t>Children living in temporary accommodation</t>
  </si>
  <si>
    <t>Sailence</t>
  </si>
  <si>
    <t>Wellness Businesses &amp; Saunas</t>
  </si>
  <si>
    <t>Sense</t>
  </si>
  <si>
    <t>Numbers of multisensory impairment teachers and residential respite and holiday clubs</t>
  </si>
  <si>
    <t>Suspended claims for housing benefit for supported housing providers</t>
  </si>
  <si>
    <t>Fiscal Technologies</t>
  </si>
  <si>
    <t>Accounts Payable team capabilities and protections against fraud, errors, duplicates and compliance.</t>
  </si>
  <si>
    <t>My Fines</t>
  </si>
  <si>
    <t>PCNs - paid and unpaid</t>
  </si>
  <si>
    <t>Resolution Foundation</t>
  </si>
  <si>
    <t>HSF and local welfare support</t>
  </si>
  <si>
    <t>Freedom for animals</t>
  </si>
  <si>
    <t>Zoo licencing</t>
  </si>
  <si>
    <t>Support Services Midland</t>
  </si>
  <si>
    <t>Child in our Care numbers and placement costs</t>
  </si>
  <si>
    <t>Children Placements Team details and CQC Commissioning team details</t>
  </si>
  <si>
    <t>Special schools with more than one site and split site funding</t>
  </si>
  <si>
    <t>University of Southampton</t>
  </si>
  <si>
    <t>Children in our Care and diagnosis of health conditions</t>
  </si>
  <si>
    <t>Mail online</t>
  </si>
  <si>
    <t>Bus gates</t>
  </si>
  <si>
    <t>Care Property Hub</t>
  </si>
  <si>
    <t>Care &amp; Housing Providers Contracts</t>
  </si>
  <si>
    <t>Venn Group</t>
  </si>
  <si>
    <t>Children's Services Structure</t>
  </si>
  <si>
    <t>Email platform</t>
  </si>
  <si>
    <t>Religious services in council offices</t>
  </si>
  <si>
    <t>Chesterfield Council</t>
  </si>
  <si>
    <t>Centre for Social Justice</t>
  </si>
  <si>
    <t>Housing First programme</t>
  </si>
  <si>
    <t>Swimming pool temperatures</t>
  </si>
  <si>
    <t>Wylo Solutions</t>
  </si>
  <si>
    <t>IT service management contracts</t>
  </si>
  <si>
    <t>Contact with the tobacco industry</t>
  </si>
  <si>
    <t>Museum of Homelessness</t>
  </si>
  <si>
    <t>Homelessness deaths 2024</t>
  </si>
  <si>
    <t>Temporary agency spend</t>
  </si>
  <si>
    <t>Investments in Arms Industries</t>
  </si>
  <si>
    <t>Assets for sale</t>
  </si>
  <si>
    <t>Information on Cemetery/Crematorium Management Solution</t>
  </si>
  <si>
    <t>Details of referrals of chief constable and PCC to IOPC</t>
  </si>
  <si>
    <t>Manchester University</t>
  </si>
  <si>
    <t>Published data information</t>
  </si>
  <si>
    <t>Vape ban funding</t>
  </si>
  <si>
    <t>Gateshead Council</t>
  </si>
  <si>
    <t>Housing application form</t>
  </si>
  <si>
    <t>Bath University</t>
  </si>
  <si>
    <t>Quality Years</t>
  </si>
  <si>
    <t>Contact details for Early Years service lead</t>
  </si>
  <si>
    <t>Council staffing</t>
  </si>
  <si>
    <t>Rent to rent properties</t>
  </si>
  <si>
    <t>DASH risk assessment scores</t>
  </si>
  <si>
    <t>Payment/Reimbursement of Social Work England registration fee for 2024/25</t>
  </si>
  <si>
    <t>Box Power</t>
  </si>
  <si>
    <t>Staff on long term sick</t>
  </si>
  <si>
    <t>MASH and NVR referrals</t>
  </si>
  <si>
    <t>IT Support Renewal &amp; Upgrade contract</t>
  </si>
  <si>
    <t>Rough sleepers and priority target groups</t>
  </si>
  <si>
    <t>Procurement of staff</t>
  </si>
  <si>
    <t>Complex home care</t>
  </si>
  <si>
    <t>Gambling - licencing and planning applications</t>
  </si>
  <si>
    <t>Cat Nab and Cowbar parking</t>
  </si>
  <si>
    <t>Foreshore building in Saltburn</t>
  </si>
  <si>
    <t>Request
Received
Date</t>
  </si>
  <si>
    <t>Day 40</t>
  </si>
  <si>
    <t>Request
Received
Period</t>
  </si>
  <si>
    <t xml:space="preserve">Directorate </t>
  </si>
  <si>
    <t>Days taken to complete EIR</t>
  </si>
  <si>
    <t>Exception(s)
Applicable</t>
  </si>
  <si>
    <t>Household waste</t>
  </si>
  <si>
    <t>Growth, Enterprise &amp; Environment</t>
  </si>
  <si>
    <t>Regulation 6(1)(b) Already publicly available</t>
  </si>
  <si>
    <t>Low traffic neighbourhoods</t>
  </si>
  <si>
    <t xml:space="preserve">Regulation 13 Personal data </t>
  </si>
  <si>
    <t>The Telegraph</t>
  </si>
  <si>
    <t>Landfill and fly tipping</t>
  </si>
  <si>
    <t>Regulation 12(4)(b) - Manifestly unreasonable requests</t>
  </si>
  <si>
    <t>RS Bonds</t>
  </si>
  <si>
    <t>S38 &amp; S278 approvals</t>
  </si>
  <si>
    <t>Regulation 12(4)(c) Too general a manner</t>
  </si>
  <si>
    <t>Disposal of floor coverings</t>
  </si>
  <si>
    <t>Water complaints</t>
  </si>
  <si>
    <t>Edinburgh Napier University</t>
  </si>
  <si>
    <t>Transport and planning</t>
  </si>
  <si>
    <t>Green Waste</t>
  </si>
  <si>
    <t>Regulation 12(5)(d) Adversely affect the confidentiality of proceedings of any public authority</t>
  </si>
  <si>
    <t>EV transition strategy</t>
  </si>
  <si>
    <t xml:space="preserve">Regulation 12(5) (e) Confidentiality of commercial or industrial information  </t>
  </si>
  <si>
    <t>5G masts</t>
  </si>
  <si>
    <t>Some information not held
Internal review requested.</t>
  </si>
  <si>
    <t>Box Power CIC</t>
  </si>
  <si>
    <t>Fuel usage for financial year</t>
  </si>
  <si>
    <t>S106</t>
  </si>
  <si>
    <t>Lapsed</t>
  </si>
  <si>
    <t>Development sites in the Local Plan</t>
  </si>
  <si>
    <t>Flooding reports - Sycamore Crescent</t>
  </si>
  <si>
    <t>Tree felling</t>
  </si>
  <si>
    <t>Enva</t>
  </si>
  <si>
    <t>WEEE collections</t>
  </si>
  <si>
    <t>E waste collections</t>
  </si>
  <si>
    <t>S106 agreements</t>
  </si>
  <si>
    <t>Transport schemes</t>
  </si>
  <si>
    <t>Legacy unadopted spaces</t>
  </si>
  <si>
    <t>Planning application statistics</t>
  </si>
  <si>
    <t>D4B Studio</t>
  </si>
  <si>
    <t>Planning information re article 4</t>
  </si>
  <si>
    <t>New Economics Foundation</t>
  </si>
  <si>
    <t>S106 enforcement and completions</t>
  </si>
  <si>
    <t>Performance Communications</t>
  </si>
  <si>
    <t>EV charging stations</t>
  </si>
  <si>
    <t>Noise complaints data</t>
  </si>
  <si>
    <t>Complaints about private gardens</t>
  </si>
  <si>
    <t>Nunthorpe Gospel Hall Trust</t>
  </si>
  <si>
    <t>Noise complaints information - Nunthorpe</t>
  </si>
  <si>
    <t>Flood risk groups</t>
  </si>
  <si>
    <t>LBC</t>
  </si>
  <si>
    <t>Environmental health complaints</t>
  </si>
  <si>
    <t>Airly</t>
  </si>
  <si>
    <t>Air Quality</t>
  </si>
  <si>
    <t>YLEM energy</t>
  </si>
  <si>
    <t>CHP units</t>
  </si>
  <si>
    <t>Tax Payers Alliance</t>
  </si>
  <si>
    <t>Pests in council buildings</t>
  </si>
  <si>
    <t>Bin Fines</t>
  </si>
  <si>
    <t>Correspondence re R/2023/0181/FFM</t>
  </si>
  <si>
    <t>Flood exposure metrics</t>
  </si>
  <si>
    <t>University of Law</t>
  </si>
  <si>
    <t xml:space="preserve">Minimum Energy Efficiency Standards </t>
  </si>
  <si>
    <t>Asda stores - Environmental Health</t>
  </si>
  <si>
    <t>Dorset road parking scheme</t>
  </si>
  <si>
    <t>Unearthed news</t>
  </si>
  <si>
    <t>Housing Inspections - lead, damp and cold</t>
  </si>
  <si>
    <t>Screaming Frog</t>
  </si>
  <si>
    <t>Pothole claims</t>
  </si>
  <si>
    <t>Tree removals and removal requests for insurance or building damage reasons</t>
  </si>
  <si>
    <t xml:space="preserve">Shrub beds, grass cutting and weed control. </t>
  </si>
  <si>
    <t>Dow Jones</t>
  </si>
  <si>
    <t>Environment Act Biodiversity Duty</t>
  </si>
  <si>
    <t>Housing developments and No. of houses built</t>
  </si>
  <si>
    <t>Axis</t>
  </si>
  <si>
    <t>Potholes and claims</t>
  </si>
  <si>
    <t>Tenby Road open space maintenance</t>
  </si>
  <si>
    <t>Section 38 &amp; Section 278 Agreements</t>
  </si>
  <si>
    <t xml:space="preserve">EV charging </t>
  </si>
  <si>
    <t>PROW</t>
  </si>
  <si>
    <t>Keoghs</t>
  </si>
  <si>
    <t>Loftus flood information</t>
  </si>
  <si>
    <t>Guisborough 106 agreements</t>
  </si>
  <si>
    <t>Blocked drains</t>
  </si>
  <si>
    <t>West of England University</t>
  </si>
  <si>
    <t>Rising damp in council buildings</t>
  </si>
  <si>
    <t>Costs of recycling service</t>
  </si>
  <si>
    <t>Fly tipping</t>
  </si>
  <si>
    <t>Biodiversity net gain</t>
  </si>
  <si>
    <t>Section 106 - affordable housing</t>
  </si>
  <si>
    <t>Council run allotments</t>
  </si>
  <si>
    <t>Hold the Line policies</t>
  </si>
  <si>
    <t>EV charging points statistics</t>
  </si>
  <si>
    <t xml:space="preserve">S106 for R/2012/0617/OOM  </t>
  </si>
  <si>
    <t>S106 and S38/278 information for R/2013/0651/FFM</t>
  </si>
  <si>
    <t xml:space="preserve">R/2018/0621/OOM - Copy of the 'Checking Survey by the Project Ecologist' </t>
  </si>
  <si>
    <t>S106 information for R/2011/0717/RSM</t>
  </si>
  <si>
    <t>Council home EPC ratings &amp; MEES</t>
  </si>
  <si>
    <t>Climate awareness training for senior councillors and staff</t>
  </si>
  <si>
    <t>Staff engagement on climate change</t>
  </si>
  <si>
    <t>Council electricity tariffs and renewable electricity generation</t>
  </si>
  <si>
    <t xml:space="preserve">Council staff working on climate action </t>
  </si>
  <si>
    <t xml:space="preserve">High carbon Transport infrastructure </t>
  </si>
  <si>
    <t>Lobbying for climate action &amp; funding</t>
  </si>
  <si>
    <t>Water Fluoridation expansion in North East England</t>
  </si>
  <si>
    <t>Flooded sports facilities</t>
  </si>
  <si>
    <t>Disposal of King George playing fields</t>
  </si>
  <si>
    <t>Grass Cutting at De Brus playing fields in relation to Belway development</t>
  </si>
  <si>
    <t>Mums for Lungs</t>
  </si>
  <si>
    <t>Domestic fire complaints</t>
  </si>
  <si>
    <t>Environmental health report for a property</t>
  </si>
  <si>
    <t>Coatham arena</t>
  </si>
  <si>
    <t>Harvey and Hugo</t>
  </si>
  <si>
    <t>Wind and storm damage</t>
  </si>
  <si>
    <t>Tree preservations orders</t>
  </si>
  <si>
    <t>Some information not held - revised response was issued</t>
  </si>
  <si>
    <t>Adopted road</t>
  </si>
  <si>
    <t>Wheelie bin replacement</t>
  </si>
  <si>
    <t>Highway Carriageway Capital Budget Strategy</t>
  </si>
  <si>
    <t>Repayment of S106 contributions</t>
  </si>
  <si>
    <t>Wildlife and Countryside Link</t>
  </si>
  <si>
    <t xml:space="preserve">Biodiversity  </t>
  </si>
  <si>
    <t>Hardings Solicitors</t>
  </si>
  <si>
    <t>Saltburn pier</t>
  </si>
  <si>
    <t>Design code adoption in planning</t>
  </si>
  <si>
    <t>Severe weather protocol</t>
  </si>
  <si>
    <t>Planning Permissions for Rio Tinto and Green Lithium Collaboration</t>
  </si>
  <si>
    <t>Wooden lamp posts/columns in Skelton Green</t>
  </si>
  <si>
    <t>Woodsmith Tunnel</t>
  </si>
  <si>
    <t>Jacobs</t>
  </si>
  <si>
    <t>Wildlife sites</t>
  </si>
  <si>
    <t>Levelling up costs - Guisborough</t>
  </si>
  <si>
    <t>Clean Air Zones</t>
  </si>
  <si>
    <t>Food hygiene inspection report</t>
  </si>
  <si>
    <t>National planning policy framework</t>
  </si>
  <si>
    <t>Redcar Town FC lease</t>
  </si>
  <si>
    <t xml:space="preserve">Minutes of meetings - Tees Valley Energy Recovery Facility </t>
  </si>
  <si>
    <t>Light pollution complaints</t>
  </si>
  <si>
    <t>Contaminated land</t>
  </si>
  <si>
    <t>Pothole data</t>
  </si>
  <si>
    <t>Food waste collected</t>
  </si>
  <si>
    <t>Shared use routes</t>
  </si>
  <si>
    <t>Cycle routes</t>
  </si>
  <si>
    <t>Tees Valley Energy Recovery Facility costings and forecast</t>
  </si>
  <si>
    <t>complete</t>
  </si>
  <si>
    <t>Road repairs</t>
  </si>
  <si>
    <t>PIT completed</t>
  </si>
  <si>
    <t>Tree planting, removals and TPO's</t>
  </si>
  <si>
    <t>The Ramblers</t>
  </si>
  <si>
    <t>Stiles</t>
  </si>
  <si>
    <t>Aecom</t>
  </si>
  <si>
    <t>Fly tipping and illegal waste incidents</t>
  </si>
  <si>
    <t>Oakdale Ltd</t>
  </si>
  <si>
    <t>Communications between NYM and Highways</t>
  </si>
  <si>
    <t>Street light locations</t>
  </si>
  <si>
    <t>South Bank Railway Station - footbridge</t>
  </si>
  <si>
    <t>Mission Heru</t>
  </si>
  <si>
    <t>Plastic waste/recycling</t>
  </si>
  <si>
    <t>Missed bin collections</t>
  </si>
  <si>
    <t>Half-joint bridges</t>
  </si>
  <si>
    <t>Cowbar works and plans</t>
  </si>
  <si>
    <t>Cat Flatt/Silverdale Planning correspondence</t>
  </si>
  <si>
    <t>Plus Regulation 13 Personal data</t>
  </si>
  <si>
    <t>Roadworks fines</t>
  </si>
  <si>
    <t>Bin collections</t>
  </si>
  <si>
    <t>Haymarket</t>
  </si>
  <si>
    <t>Planning appeals costs</t>
  </si>
  <si>
    <t>Groundwise</t>
  </si>
  <si>
    <t>Up to date list of utilities</t>
  </si>
  <si>
    <t>Vape and cigarette waste reports &amp; FPNs for littering</t>
  </si>
  <si>
    <t>High rise residential buildings</t>
  </si>
  <si>
    <t>S38 adoption of Rothwell Mews</t>
  </si>
  <si>
    <t>Planning permissions for garden rooms</t>
  </si>
  <si>
    <t>Logs for pavements outside of the Zetland</t>
  </si>
  <si>
    <t>S19 Flood recommendations implementation</t>
  </si>
  <si>
    <t>Sinkhole - Eston Recreational ground</t>
  </si>
  <si>
    <t>Resourcing Group</t>
  </si>
  <si>
    <t>Highways and Road maintenance</t>
  </si>
  <si>
    <t>Pesticide Action Network</t>
  </si>
  <si>
    <t>Herbicide use</t>
  </si>
  <si>
    <t>Figure Telecoms</t>
  </si>
  <si>
    <t>NRSWA code of practice for diversionary works</t>
  </si>
  <si>
    <t>Traffic flow at Normanby top - new road lay out &amp; traffic light sequencing</t>
  </si>
  <si>
    <t>Pedestrian crossings</t>
  </si>
  <si>
    <t>The proposed procurement of the Tees Valley Energy Recovery Facility</t>
  </si>
  <si>
    <t>Employment of ecologists</t>
  </si>
  <si>
    <t>Ecological expertise</t>
  </si>
  <si>
    <t>Communications re access road onto A174 with Taylor Wimpey</t>
  </si>
  <si>
    <t>Elsworth Projects</t>
  </si>
  <si>
    <t>Self build and custom house building</t>
  </si>
  <si>
    <t xml:space="preserve">Tees Valley Energy Recovery Facility </t>
  </si>
  <si>
    <t>Emissions based parking</t>
  </si>
  <si>
    <t>Household recycling and waste processing</t>
  </si>
  <si>
    <t>Council housing projects and infrastructure projects of national significance</t>
  </si>
  <si>
    <t>Clarification sought but no response from requestor</t>
  </si>
  <si>
    <t>Fleishman</t>
  </si>
  <si>
    <t>Pest control services</t>
  </si>
  <si>
    <t>Tuned in building - future use and funding</t>
  </si>
  <si>
    <t>Large Panel Systems in high rise blocks</t>
  </si>
  <si>
    <t>Developer contributions</t>
  </si>
  <si>
    <t>Lidl planning permission</t>
  </si>
  <si>
    <t>Planning staff</t>
  </si>
  <si>
    <t>RAC</t>
  </si>
  <si>
    <t>Vegetation blocking footpaths</t>
  </si>
  <si>
    <t xml:space="preserve">Correspondence and visits re R/2023/0837/LB &amp; R/2023/0836/FFM </t>
  </si>
  <si>
    <t>Not refused in its entirety and some information provided</t>
  </si>
  <si>
    <t>Section 106 agreements</t>
  </si>
  <si>
    <t>Heritage Design Access &amp; Justification Statement</t>
  </si>
  <si>
    <t>Cedarwood Digital</t>
  </si>
  <si>
    <t>Neighbour complaints</t>
  </si>
  <si>
    <t>Hazelgrove Caravan Park - licence and planning permissions</t>
  </si>
  <si>
    <t>Regulation 13</t>
  </si>
  <si>
    <t>Evidence used for local plan 2018 re Normanby Hall Park</t>
  </si>
  <si>
    <t>Hastings Direct</t>
  </si>
  <si>
    <t>Gully locations and defects</t>
  </si>
  <si>
    <t>Countryside Alliance</t>
  </si>
  <si>
    <t>Procurement of food produced the UK</t>
  </si>
  <si>
    <t>Significant/multi load fly tipping</t>
  </si>
  <si>
    <t>Future Traffic</t>
  </si>
  <si>
    <t>Highways software</t>
  </si>
  <si>
    <t>Plus regulation 6</t>
  </si>
  <si>
    <t>Street lighting classifications for footways and cycleways</t>
  </si>
  <si>
    <t>Nimbus Property</t>
  </si>
  <si>
    <t xml:space="preserve">Planning information  </t>
  </si>
  <si>
    <t>Some information subject to licencing by OS and not held as open data set by the council</t>
  </si>
  <si>
    <t>Land ownership/adoption - Redcar Coatham Ward alley</t>
  </si>
  <si>
    <t>Building control and use of consultants</t>
  </si>
  <si>
    <t>Investment in Ormesby Village Hall</t>
  </si>
  <si>
    <t>Planning Officers</t>
  </si>
  <si>
    <t>Hybrid/Fully electric vehicles statistics</t>
  </si>
  <si>
    <t>Lucion Group</t>
  </si>
  <si>
    <t>Surveying and Geospatial activities</t>
  </si>
  <si>
    <t>Waste statistics</t>
  </si>
  <si>
    <t>Regulation 6</t>
  </si>
  <si>
    <t>Complaints about gardens including service requests</t>
  </si>
  <si>
    <t>Information about buses</t>
  </si>
  <si>
    <t>Roadworks data</t>
  </si>
  <si>
    <t>Bin lorries</t>
  </si>
  <si>
    <t>Sewage Trucks</t>
  </si>
  <si>
    <t>Roadworks caused by sewerage</t>
  </si>
  <si>
    <t>Children's Parks</t>
  </si>
  <si>
    <t>Buildings reliant on oil deliveries</t>
  </si>
  <si>
    <t>Complaints about school conditions</t>
  </si>
  <si>
    <t>Road report for Ormesby Bank</t>
  </si>
  <si>
    <t>Live Compulsory Purchase Orders</t>
  </si>
  <si>
    <t>Electric Vehicle Charge Point Utilisation Information</t>
  </si>
  <si>
    <t>Derby University</t>
  </si>
  <si>
    <t>Private water supplies</t>
  </si>
  <si>
    <t>Allotments</t>
  </si>
  <si>
    <t>RAAC and asbestos in school buildings</t>
  </si>
  <si>
    <t>Heat pumps installation in council housing</t>
  </si>
  <si>
    <t>Food waste</t>
  </si>
  <si>
    <t>Section 106</t>
  </si>
  <si>
    <t>Sale of open space land</t>
  </si>
  <si>
    <t>CIOB</t>
  </si>
  <si>
    <t>Planning permission information for William St, Skelton</t>
  </si>
  <si>
    <t>Direct Line</t>
  </si>
  <si>
    <t>Fixed penalty notices for littering</t>
  </si>
  <si>
    <t xml:space="preserve">Electric and gas usage </t>
  </si>
  <si>
    <t>RAAC in council buildings</t>
  </si>
  <si>
    <t xml:space="preserve">Flooding  </t>
  </si>
  <si>
    <t>Planning policy criteria for Class A5 (or "Sui generis") hot food takeaways</t>
  </si>
  <si>
    <t>Planning statistics and policy regarding social housing</t>
  </si>
  <si>
    <t>Environmental Health Enforcement Policy</t>
  </si>
  <si>
    <t>Local Authority Utility-Scale Assets</t>
  </si>
  <si>
    <t>Sodali</t>
  </si>
  <si>
    <t>Local buses</t>
  </si>
  <si>
    <t>Bubblegum Search</t>
  </si>
  <si>
    <t>Smoke complaints</t>
  </si>
  <si>
    <t>Carbon 3 Energy</t>
  </si>
  <si>
    <t>Waste composition report</t>
  </si>
  <si>
    <t>Total FOI's</t>
  </si>
  <si>
    <t>Review Request Date</t>
  </si>
  <si>
    <t>Review Completion Date - Day 20</t>
  </si>
  <si>
    <t>Review Completion Date Response provided</t>
  </si>
  <si>
    <t>Response provided before completion date</t>
  </si>
  <si>
    <t>Outcome</t>
  </si>
  <si>
    <t>Comments/ Notes</t>
  </si>
  <si>
    <t>FOI-23-1340</t>
  </si>
  <si>
    <t>Original response upheld</t>
  </si>
  <si>
    <t>FOI-23-1469</t>
  </si>
  <si>
    <t>FOI-23-1445</t>
  </si>
  <si>
    <t>EIR-2425-0011</t>
  </si>
  <si>
    <t>EIR-2425-0012</t>
  </si>
  <si>
    <t>Original response not upheld</t>
  </si>
  <si>
    <t>FOI-2425-0097</t>
  </si>
  <si>
    <t>FOI-2425-0229</t>
  </si>
  <si>
    <t>EIR-2425-0078</t>
  </si>
  <si>
    <t>FOI-2425-0586</t>
  </si>
  <si>
    <t>FOI-2425-0577</t>
  </si>
  <si>
    <t>FOI-2425-0578</t>
  </si>
  <si>
    <t>FOI-2425-0530</t>
  </si>
  <si>
    <t>FOI-2425-0633</t>
  </si>
  <si>
    <t>EIR-2425-0097</t>
  </si>
  <si>
    <t>FOI-2425-0883</t>
  </si>
  <si>
    <t>FOI-2425-0862</t>
  </si>
  <si>
    <t>Key data collection</t>
  </si>
  <si>
    <t>Name of organisation:</t>
  </si>
  <si>
    <t>Redcar &amp; Cleveland Borough Council</t>
  </si>
  <si>
    <t>Date of most recent data collection:</t>
  </si>
  <si>
    <t>Quarter 1</t>
  </si>
  <si>
    <t>Quarter 2</t>
  </si>
  <si>
    <t>Quarter 3</t>
  </si>
  <si>
    <t>Quarter 4</t>
  </si>
  <si>
    <t>Total requests received</t>
  </si>
  <si>
    <t>Total open requests</t>
  </si>
  <si>
    <t>Total of open requests with permitted extensions – public interest test</t>
  </si>
  <si>
    <t>Total of open requests with permitted extensions – complex and voluminous</t>
  </si>
  <si>
    <t>Total requests closed</t>
  </si>
  <si>
    <t>Total requests closed within statutory timescale</t>
  </si>
  <si>
    <t>Total requests closed with a permitted extension</t>
  </si>
  <si>
    <t>Total requests closed outside statutory timescale</t>
  </si>
  <si>
    <t>Total closed requests where information was granted in full</t>
  </si>
  <si>
    <t>Total closed requests where information was withheld in full</t>
  </si>
  <si>
    <t>Total closed requests where information was partially provided</t>
  </si>
  <si>
    <t>Total internal reviews received</t>
  </si>
  <si>
    <t>Total requests with a stopped clock for clarification</t>
  </si>
  <si>
    <r>
      <t xml:space="preserve">Total requests with a </t>
    </r>
    <r>
      <rPr>
        <sz val="12"/>
        <rFont val="Verdana"/>
        <family val="2"/>
      </rPr>
      <t>paused</t>
    </r>
    <r>
      <rPr>
        <sz val="12"/>
        <color theme="1"/>
        <rFont val="Verdana"/>
        <family val="2"/>
      </rPr>
      <t xml:space="preserve"> clock for fees notice</t>
    </r>
  </si>
  <si>
    <t>Additional data collection</t>
  </si>
  <si>
    <t>Total FOI requests received</t>
  </si>
  <si>
    <t>Total EIR requests received</t>
  </si>
  <si>
    <t>Total of overdue requests over one month old at the end of the period.</t>
  </si>
  <si>
    <t>Total of overdue requests over three months old</t>
  </si>
  <si>
    <t>Total of overdue requests over six months old</t>
  </si>
  <si>
    <t>Total of overdue requests over nine months old</t>
  </si>
  <si>
    <t>Total of overdue requests over one year old</t>
  </si>
  <si>
    <t>Exemptions and exceptions applied</t>
  </si>
  <si>
    <t>See Exemptions and exceptions tab, please use the additional tables provided</t>
  </si>
  <si>
    <t>Total closed requests where information was withheld under the provision at section 12</t>
  </si>
  <si>
    <t>Total closed requests where information was withheld under the provision at section 14</t>
  </si>
  <si>
    <t>Total internal reviews closed</t>
  </si>
  <si>
    <t>Total internal reviews closed within code of practice and statutory timescales</t>
  </si>
  <si>
    <t>Total internal reviews closed outside code of practice and statutory timescales</t>
  </si>
  <si>
    <t>Total internal reviews closed and original decision upheld</t>
  </si>
  <si>
    <t>Total internal reviews closed and partially upheld</t>
  </si>
  <si>
    <t>Total internal reviews closed and decision overturned</t>
  </si>
  <si>
    <t>Total internal reviews open</t>
  </si>
  <si>
    <t>Exemptions and exceptions data collection</t>
  </si>
  <si>
    <t>Exemptions applied (FOIA)</t>
  </si>
  <si>
    <t>Exceptions applied (EIR)</t>
  </si>
  <si>
    <t xml:space="preserve">Exemption </t>
  </si>
  <si>
    <t>Exception</t>
  </si>
  <si>
    <t>Section 21 - Information accessible by other means</t>
  </si>
  <si>
    <t>Regulation 12(4)(a) - Information not held</t>
  </si>
  <si>
    <t>Section 22 - Information Intended for Future Publication</t>
  </si>
  <si>
    <t>Section 22A - Research Information</t>
  </si>
  <si>
    <t>Regulation 12(4)(c) - Requests formulated in too general a manner</t>
  </si>
  <si>
    <t>Section 23 - National Security (Security Bodies)</t>
  </si>
  <si>
    <t>Regulation 12(4)(d) - Material in the course of completion, unfinished documents and incomplete data</t>
  </si>
  <si>
    <t>Section 24 - National Security</t>
  </si>
  <si>
    <t>Regulation 12(4)(e) - Internal communications</t>
  </si>
  <si>
    <t>Section 26 - Defence</t>
  </si>
  <si>
    <t>Regulation 12(5)(a) - International relations, defence, national security or public safety</t>
  </si>
  <si>
    <t>Section 27 - International Relations</t>
  </si>
  <si>
    <t>Regulation 12(5)(b) – The course of justice and inquiries exception</t>
  </si>
  <si>
    <t>Section 28 - Relations within the UK</t>
  </si>
  <si>
    <t>Regulation 12(5)(c) - Intellectual property rights</t>
  </si>
  <si>
    <t>Section 29 - The Economy</t>
  </si>
  <si>
    <t>Regulation 12(5)(d) - Confidentiality of proceedings</t>
  </si>
  <si>
    <t>Section 30 - Investigations and Proceedings Conducted by Public Authorities</t>
  </si>
  <si>
    <t>Regulation 12(5)(e) - Confidentiality of commercial or industrial information</t>
  </si>
  <si>
    <t>Section 31 - Law Enforcement</t>
  </si>
  <si>
    <t>Regulation 12(5)(f) - Interests of the person who provided the information to the public authority</t>
  </si>
  <si>
    <t>Section 32 - Court Records</t>
  </si>
  <si>
    <t>Regulation 12(5)(g) - Protection of the environment</t>
  </si>
  <si>
    <t>Section 33 - Audit Function</t>
  </si>
  <si>
    <t>Regulation 13 - Personal information</t>
  </si>
  <si>
    <t>Section 34 - Parliamentary Privilege</t>
  </si>
  <si>
    <t>Regulation 6(1)(b) - Already Publicly Available</t>
  </si>
  <si>
    <t>Section 35 - Formulation of government policy and Ministerial Communications</t>
  </si>
  <si>
    <t>Section 36 - Effective Conduct of Public Affairs</t>
  </si>
  <si>
    <t>Section 37 - Communications with the Royal Family and the granting of honours</t>
  </si>
  <si>
    <t>Section 38 - Health and Safety</t>
  </si>
  <si>
    <t>Section 39 - Environmental Information</t>
  </si>
  <si>
    <t>Section 40(1) - Personal Information of the requester</t>
  </si>
  <si>
    <t>Section 40(2) - Personal Information</t>
  </si>
  <si>
    <t>Section 41 - Information provided 'In Confidence'</t>
  </si>
  <si>
    <t>Section 42 - Legal Professional Privilege</t>
  </si>
  <si>
    <t>Section 43 - Commercial Interest</t>
  </si>
  <si>
    <t>Section 44 - Prohibitions on Disclosure</t>
  </si>
  <si>
    <t>FOI</t>
  </si>
  <si>
    <t>EIR</t>
  </si>
  <si>
    <t>Time Taken to Complete FOI</t>
  </si>
  <si>
    <t>Total</t>
  </si>
  <si>
    <t>Time Taken to Complete EIR</t>
  </si>
  <si>
    <t>FOI's Completed within 5 working days</t>
  </si>
  <si>
    <t>EIR's Completed within 5 working days</t>
  </si>
  <si>
    <t>FOI's Completed between 5-10 working days</t>
  </si>
  <si>
    <t>EIR's Completed between 5-10 working days</t>
  </si>
  <si>
    <t>FOI's Completed between 10-20 working days</t>
  </si>
  <si>
    <t>EIR's Completed between 10-20 working days</t>
  </si>
  <si>
    <t>FOI's Completed outside of the 20 working days timeframe</t>
  </si>
  <si>
    <t>EIR's Completed outside of the 20 working days timeframe</t>
  </si>
  <si>
    <t>Completed FOI's</t>
  </si>
  <si>
    <t>Elapsed FOI's</t>
  </si>
  <si>
    <t>Elapsed EIR's</t>
  </si>
  <si>
    <t>Open FOI's</t>
  </si>
  <si>
    <t>Open EIR's</t>
  </si>
  <si>
    <t>Total EIR's</t>
  </si>
  <si>
    <t>Average days taken to complete FOI</t>
  </si>
  <si>
    <t>Average days taken to complete EIR</t>
  </si>
  <si>
    <t>% of FOI's Completed within 20 working days</t>
  </si>
  <si>
    <t>% of EIR's Completed within 20 working days</t>
  </si>
  <si>
    <t>Annual</t>
  </si>
  <si>
    <t>Completed EIR's</t>
  </si>
  <si>
    <t>Home schooled children</t>
  </si>
  <si>
    <t>Council tax bills</t>
  </si>
  <si>
    <t>Cogora</t>
  </si>
  <si>
    <t>GP practices and S106 contributions</t>
  </si>
  <si>
    <t>Local IQ</t>
  </si>
  <si>
    <t>Business Waste</t>
  </si>
  <si>
    <t>Sunbed shops &amp; enforcement actvity</t>
  </si>
  <si>
    <t>Animal Equality</t>
  </si>
  <si>
    <t>Farmed Animal Welfare Enforcement (2019–2024)</t>
  </si>
  <si>
    <t>Fires in listed buildings</t>
  </si>
  <si>
    <t>Problems with school buildings</t>
  </si>
  <si>
    <t>Mabo</t>
  </si>
  <si>
    <t>Fine for contaminated recycling</t>
  </si>
  <si>
    <t>Heaton Projects</t>
  </si>
  <si>
    <t>Physical assaults by pupils in Pupil Referral Units</t>
  </si>
  <si>
    <t>Children's transformation projects</t>
  </si>
  <si>
    <t>JKC</t>
  </si>
  <si>
    <t>Reporting serious defects through thorough examination</t>
  </si>
  <si>
    <t>Spend on road signs</t>
  </si>
  <si>
    <t>Labunum Library - Stepping Stones</t>
  </si>
  <si>
    <t>SEND funding</t>
  </si>
  <si>
    <t>EV charging outlets</t>
  </si>
  <si>
    <t>Social Work Team Managers contact details</t>
  </si>
  <si>
    <t>Sport England</t>
  </si>
  <si>
    <t>Marshall Drive Playing Field</t>
  </si>
  <si>
    <t>Social Housing Registers</t>
  </si>
  <si>
    <t>Mears Group</t>
  </si>
  <si>
    <t>Facilities Management / Estate Management / Commercial Building Maintenance Tenders</t>
  </si>
  <si>
    <t>Payment Solutions Used</t>
  </si>
  <si>
    <t>Oakview Recoveries Ltd</t>
  </si>
  <si>
    <t>Late supplier payments</t>
  </si>
  <si>
    <t>Relay event road closures</t>
  </si>
  <si>
    <t>Thorntree Farm, Stokesley - Residents and expenditure</t>
  </si>
  <si>
    <t>Number of reports made to the Council of fraudulent attempts to secure a school place.</t>
  </si>
  <si>
    <t>Misogyny and Sexual Harassment in Schools</t>
  </si>
  <si>
    <t>Children in temporary accommodation</t>
  </si>
  <si>
    <t>Crustacean Compassion</t>
  </si>
  <si>
    <t>Welfare of decapod crustaceans during transport and killing</t>
  </si>
  <si>
    <t>Online and Offline media advertising budgets</t>
  </si>
  <si>
    <t>Contact details for key members of staff</t>
  </si>
  <si>
    <t>ZKTecho</t>
  </si>
  <si>
    <t>Discharge of Conditions Applications</t>
  </si>
  <si>
    <t>Licensed dog breeders</t>
  </si>
  <si>
    <t>Royal College of Nursing</t>
  </si>
  <si>
    <t>School nursing service</t>
  </si>
  <si>
    <t>Health visiting service</t>
  </si>
  <si>
    <t>Finance software</t>
  </si>
  <si>
    <t>Land South of Marske</t>
  </si>
  <si>
    <t>Children in care and care leavers</t>
  </si>
  <si>
    <t>Contact details for staff</t>
  </si>
  <si>
    <t>Businesses newly liable for business rates during March</t>
  </si>
  <si>
    <t>Connexin</t>
  </si>
  <si>
    <t>Streetlighting data</t>
  </si>
  <si>
    <t>Stockton Borough Council</t>
  </si>
  <si>
    <t>Proof of Life/Residency forms</t>
  </si>
  <si>
    <t xml:space="preserve">S40 </t>
  </si>
  <si>
    <t xml:space="preserve">S21
</t>
  </si>
  <si>
    <t>S43 &amp; S21</t>
  </si>
  <si>
    <t xml:space="preserve">S21 </t>
  </si>
  <si>
    <t xml:space="preserve">S31 </t>
  </si>
  <si>
    <t>Some informtion not held</t>
  </si>
  <si>
    <t>R/2023/0746/RSM Newitt Homes, Proposed Hutton Meadows Development</t>
  </si>
  <si>
    <t>Internal review requested</t>
  </si>
  <si>
    <t>Freedom of Information Requests</t>
  </si>
  <si>
    <t>Compliance rate - FOI</t>
  </si>
  <si>
    <t>Total of overdue FOI/EIR requests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</si>
</sst>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quot;EIR/2425/&quot;0000"/>
    <numFmt numFmtId="166" formatCode="&quot;FOI/2425/&quot;0000"/>
  </numFmts>
  <fonts count="22" x14ac:knownFonts="1">
    <font>
      <sz val="10"/>
      <name val="Arial"/>
    </font>
    <font>
      <sz val="8"/>
      <name val="Arial"/>
      <family val="2"/>
    </font>
    <font>
      <u/>
      <sz val="10"/>
      <color indexed="12"/>
      <name val="Arial"/>
      <family val="2"/>
    </font>
    <font>
      <b/>
      <sz val="12"/>
      <name val="Arial"/>
      <family val="2"/>
    </font>
    <font>
      <sz val="12"/>
      <name val="Arial"/>
      <family val="2"/>
    </font>
    <font>
      <sz val="10"/>
      <name val="Arial"/>
      <family val="2"/>
    </font>
    <font>
      <sz val="11"/>
      <name val="Arial"/>
      <family val="2"/>
    </font>
    <font>
      <sz val="8"/>
      <name val="Arial"/>
      <family val="2"/>
    </font>
    <font>
      <sz val="12"/>
      <color theme="1"/>
      <name val="Arial"/>
      <family val="2"/>
    </font>
    <font>
      <sz val="12"/>
      <color theme="1"/>
      <name val="Verdana"/>
      <family val="2"/>
    </font>
    <font>
      <u/>
      <sz val="12"/>
      <color theme="10"/>
      <name val="Verdana"/>
      <family val="2"/>
    </font>
    <font>
      <sz val="16"/>
      <color theme="1"/>
      <name val="Georgia"/>
      <family val="1"/>
    </font>
    <font>
      <b/>
      <sz val="12"/>
      <name val="Verdana"/>
      <family val="2"/>
    </font>
    <font>
      <sz val="12"/>
      <name val="Verdana"/>
      <family val="2"/>
    </font>
    <font>
      <sz val="14"/>
      <color theme="0"/>
      <name val="Georgia"/>
      <family val="1"/>
    </font>
    <font>
      <u/>
      <sz val="16"/>
      <color theme="1"/>
      <name val="Georgia"/>
      <family val="1"/>
    </font>
    <font>
      <sz val="14"/>
      <color theme="1"/>
      <name val="Georgia"/>
      <family val="1"/>
    </font>
    <font>
      <sz val="12"/>
      <color rgb="FF000000"/>
      <name val="Arial"/>
      <family val="2"/>
    </font>
    <font>
      <sz val="10"/>
      <name val="Verdana"/>
      <family val="2"/>
    </font>
    <font>
      <sz val="12"/>
      <color theme="0"/>
      <name val="Verdana"/>
      <family val="2"/>
    </font>
    <font>
      <sz val="14"/>
      <color theme="1"/>
      <name val="Verdana"/>
      <family val="2"/>
    </font>
    <font>
      <sz val="10"/>
      <color theme="1"/>
      <name val="Verdana"/>
      <family val="2"/>
    </font>
  </fonts>
  <fills count="14">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55"/>
        <bgColor indexed="64"/>
      </patternFill>
    </fill>
    <fill>
      <patternFill patternType="solid">
        <fgColor indexed="15"/>
        <bgColor indexed="64"/>
      </patternFill>
    </fill>
    <fill>
      <patternFill patternType="solid">
        <fgColor rgb="FFCCFFFF"/>
        <bgColor indexed="64"/>
      </patternFill>
    </fill>
    <fill>
      <patternFill patternType="solid">
        <fgColor rgb="FF66FFFF"/>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24997711111789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5" fillId="0" borderId="0"/>
  </cellStyleXfs>
  <cellXfs count="238">
    <xf numFmtId="0" fontId="0" fillId="0" borderId="0" xfId="0"/>
    <xf numFmtId="0" fontId="0" fillId="0" borderId="0" xfId="0" applyAlignment="1">
      <alignment horizontal="center"/>
    </xf>
    <xf numFmtId="0" fontId="3" fillId="8" borderId="1" xfId="0" applyFont="1" applyFill="1" applyBorder="1" applyAlignment="1">
      <alignment horizontal="left" vertical="center" wrapText="1"/>
    </xf>
    <xf numFmtId="49" fontId="0" fillId="7" borderId="3" xfId="0" applyNumberFormat="1" applyFill="1" applyBorder="1" applyAlignment="1">
      <alignment horizontal="left" vertical="center" wrapText="1"/>
    </xf>
    <xf numFmtId="0" fontId="4" fillId="4" borderId="1" xfId="0" applyFont="1" applyFill="1" applyBorder="1" applyAlignment="1">
      <alignment wrapText="1"/>
    </xf>
    <xf numFmtId="0" fontId="4" fillId="3" borderId="1" xfId="0" applyFont="1" applyFill="1" applyBorder="1" applyAlignment="1">
      <alignment wrapText="1"/>
    </xf>
    <xf numFmtId="0" fontId="4" fillId="0" borderId="1" xfId="0" applyFont="1" applyBorder="1"/>
    <xf numFmtId="0" fontId="4" fillId="7" borderId="1" xfId="0" applyFont="1" applyFill="1" applyBorder="1" applyAlignment="1">
      <alignment wrapText="1"/>
    </xf>
    <xf numFmtId="0" fontId="4" fillId="0" borderId="1" xfId="0" applyFont="1" applyBorder="1" applyAlignment="1">
      <alignment wrapText="1"/>
    </xf>
    <xf numFmtId="14" fontId="4" fillId="4" borderId="1" xfId="0" applyNumberFormat="1" applyFont="1" applyFill="1" applyBorder="1" applyAlignment="1">
      <alignment wrapText="1"/>
    </xf>
    <xf numFmtId="0" fontId="4" fillId="7" borderId="1" xfId="0" applyFont="1" applyFill="1" applyBorder="1"/>
    <xf numFmtId="0" fontId="3" fillId="6" borderId="1" xfId="0" applyFont="1" applyFill="1" applyBorder="1" applyAlignment="1">
      <alignment wrapText="1"/>
    </xf>
    <xf numFmtId="14" fontId="3" fillId="6" borderId="1" xfId="0" applyNumberFormat="1" applyFont="1" applyFill="1" applyBorder="1" applyAlignment="1">
      <alignment wrapText="1"/>
    </xf>
    <xf numFmtId="1" fontId="3" fillId="10" borderId="1" xfId="0" applyNumberFormat="1" applyFont="1" applyFill="1" applyBorder="1" applyAlignment="1">
      <alignment wrapText="1"/>
    </xf>
    <xf numFmtId="1" fontId="3" fillId="11" borderId="1" xfId="0" applyNumberFormat="1" applyFont="1" applyFill="1" applyBorder="1"/>
    <xf numFmtId="0" fontId="3" fillId="0" borderId="1" xfId="0" applyFont="1" applyBorder="1"/>
    <xf numFmtId="14" fontId="4" fillId="7" borderId="1" xfId="0" applyNumberFormat="1" applyFont="1" applyFill="1" applyBorder="1" applyAlignment="1">
      <alignment wrapText="1"/>
    </xf>
    <xf numFmtId="1" fontId="3" fillId="4" borderId="1" xfId="0" applyNumberFormat="1" applyFont="1" applyFill="1" applyBorder="1" applyAlignment="1">
      <alignment wrapText="1"/>
    </xf>
    <xf numFmtId="0" fontId="4" fillId="5" borderId="1" xfId="0" applyFont="1" applyFill="1" applyBorder="1" applyAlignment="1">
      <alignment wrapText="1"/>
    </xf>
    <xf numFmtId="1" fontId="3" fillId="0" borderId="1" xfId="0" applyNumberFormat="1" applyFont="1" applyBorder="1" applyAlignment="1">
      <alignment wrapText="1"/>
    </xf>
    <xf numFmtId="14" fontId="4" fillId="0" borderId="1" xfId="0" applyNumberFormat="1" applyFont="1" applyBorder="1" applyAlignment="1">
      <alignment wrapText="1"/>
    </xf>
    <xf numFmtId="0" fontId="5" fillId="7" borderId="1" xfId="0" applyFont="1" applyFill="1" applyBorder="1" applyAlignment="1">
      <alignment wrapText="1"/>
    </xf>
    <xf numFmtId="0" fontId="5" fillId="4" borderId="1" xfId="0" applyFont="1" applyFill="1" applyBorder="1" applyAlignment="1">
      <alignment wrapText="1"/>
    </xf>
    <xf numFmtId="0" fontId="0" fillId="0" borderId="1" xfId="0" applyBorder="1"/>
    <xf numFmtId="164" fontId="3" fillId="6" borderId="1" xfId="0" applyNumberFormat="1" applyFont="1" applyFill="1" applyBorder="1" applyAlignment="1">
      <alignment wrapText="1"/>
    </xf>
    <xf numFmtId="164" fontId="4" fillId="7" borderId="1" xfId="0" applyNumberFormat="1" applyFont="1" applyFill="1" applyBorder="1" applyAlignment="1">
      <alignment wrapText="1"/>
    </xf>
    <xf numFmtId="49" fontId="5" fillId="7" borderId="3" xfId="0" applyNumberFormat="1" applyFont="1" applyFill="1" applyBorder="1" applyAlignment="1">
      <alignment horizontal="left" vertical="center" wrapText="1"/>
    </xf>
    <xf numFmtId="0" fontId="0" fillId="12" borderId="0" xfId="0" applyFill="1"/>
    <xf numFmtId="0" fontId="10" fillId="12" borderId="0" xfId="1" applyFont="1" applyFill="1" applyAlignment="1" applyProtection="1">
      <alignment horizontal="center" vertical="center" wrapText="1"/>
    </xf>
    <xf numFmtId="0" fontId="12" fillId="12" borderId="1" xfId="1" applyFont="1" applyFill="1" applyBorder="1" applyAlignment="1" applyProtection="1">
      <alignment horizontal="center" vertical="center" wrapText="1"/>
    </xf>
    <xf numFmtId="0" fontId="14" fillId="13" borderId="9" xfId="0" applyFont="1" applyFill="1" applyBorder="1" applyAlignment="1">
      <alignment horizontal="center" vertical="center"/>
    </xf>
    <xf numFmtId="0" fontId="14" fillId="13" borderId="10" xfId="0" applyFont="1" applyFill="1" applyBorder="1" applyAlignment="1">
      <alignment horizontal="center" vertical="center"/>
    </xf>
    <xf numFmtId="0" fontId="14" fillId="13" borderId="11" xfId="0" applyFont="1" applyFill="1" applyBorder="1" applyAlignment="1">
      <alignment horizontal="center" vertical="center"/>
    </xf>
    <xf numFmtId="0" fontId="9" fillId="11" borderId="12" xfId="0" applyFont="1" applyFill="1" applyBorder="1" applyAlignment="1">
      <alignment vertical="center" wrapText="1"/>
    </xf>
    <xf numFmtId="1" fontId="9" fillId="11" borderId="1" xfId="0" applyNumberFormat="1" applyFont="1" applyFill="1" applyBorder="1" applyAlignment="1" applyProtection="1">
      <alignment horizontal="center" vertical="center" wrapText="1"/>
      <protection locked="0"/>
    </xf>
    <xf numFmtId="1" fontId="9" fillId="11" borderId="13" xfId="0" applyNumberFormat="1" applyFont="1" applyFill="1" applyBorder="1" applyAlignment="1" applyProtection="1">
      <alignment horizontal="center" vertical="center" wrapText="1"/>
      <protection locked="0"/>
    </xf>
    <xf numFmtId="0" fontId="9" fillId="12" borderId="12" xfId="0" applyFont="1" applyFill="1" applyBorder="1" applyAlignment="1">
      <alignment vertical="center" wrapText="1"/>
    </xf>
    <xf numFmtId="1" fontId="13" fillId="11" borderId="1" xfId="0" applyNumberFormat="1" applyFont="1" applyFill="1" applyBorder="1" applyAlignment="1" applyProtection="1">
      <alignment horizontal="center" vertical="center" wrapText="1"/>
      <protection locked="0"/>
    </xf>
    <xf numFmtId="1" fontId="13" fillId="11" borderId="13" xfId="0" applyNumberFormat="1" applyFont="1" applyFill="1" applyBorder="1" applyAlignment="1" applyProtection="1">
      <alignment horizontal="center" vertical="center" wrapText="1"/>
      <protection locked="0"/>
    </xf>
    <xf numFmtId="0" fontId="13" fillId="12" borderId="12" xfId="0" applyFont="1" applyFill="1" applyBorder="1" applyAlignment="1">
      <alignment vertical="center" wrapText="1"/>
    </xf>
    <xf numFmtId="1" fontId="13" fillId="12" borderId="1" xfId="0" applyNumberFormat="1" applyFont="1" applyFill="1" applyBorder="1" applyAlignment="1" applyProtection="1">
      <alignment horizontal="center" vertical="center" wrapText="1"/>
      <protection locked="0"/>
    </xf>
    <xf numFmtId="1" fontId="13" fillId="12" borderId="13" xfId="0" applyNumberFormat="1" applyFont="1" applyFill="1" applyBorder="1" applyAlignment="1" applyProtection="1">
      <alignment horizontal="center" vertical="center" wrapText="1"/>
      <protection locked="0"/>
    </xf>
    <xf numFmtId="0" fontId="9" fillId="0" borderId="12" xfId="0" applyFont="1" applyBorder="1" applyAlignment="1">
      <alignment vertical="center" wrapText="1"/>
    </xf>
    <xf numFmtId="0" fontId="9" fillId="12" borderId="14" xfId="0" applyFont="1" applyFill="1" applyBorder="1" applyAlignment="1">
      <alignment vertical="center" wrapText="1"/>
    </xf>
    <xf numFmtId="1" fontId="13" fillId="12" borderId="15" xfId="0" applyNumberFormat="1" applyFont="1" applyFill="1" applyBorder="1" applyAlignment="1" applyProtection="1">
      <alignment horizontal="center" vertical="center" wrapText="1"/>
      <protection locked="0"/>
    </xf>
    <xf numFmtId="1" fontId="13" fillId="12" borderId="16" xfId="0" applyNumberFormat="1" applyFont="1" applyFill="1" applyBorder="1" applyAlignment="1" applyProtection="1">
      <alignment horizontal="center" vertical="center" wrapText="1"/>
      <protection locked="0"/>
    </xf>
    <xf numFmtId="0" fontId="15" fillId="12" borderId="0" xfId="0" applyFont="1" applyFill="1" applyAlignment="1">
      <alignment vertical="center" wrapText="1"/>
    </xf>
    <xf numFmtId="0" fontId="0" fillId="12" borderId="0" xfId="0" applyFill="1" applyAlignment="1">
      <alignment vertical="center"/>
    </xf>
    <xf numFmtId="0" fontId="15" fillId="12" borderId="0" xfId="0" applyFont="1" applyFill="1" applyAlignment="1">
      <alignment horizontal="center" vertical="center" wrapText="1"/>
    </xf>
    <xf numFmtId="0" fontId="14" fillId="13" borderId="9" xfId="0" applyFont="1" applyFill="1" applyBorder="1" applyAlignment="1">
      <alignment horizontal="center"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2" borderId="0" xfId="0" applyFont="1" applyFill="1" applyAlignment="1">
      <alignment horizontal="center" vertical="center" wrapText="1"/>
    </xf>
    <xf numFmtId="1" fontId="9" fillId="12" borderId="1" xfId="0" applyNumberFormat="1" applyFont="1" applyFill="1" applyBorder="1" applyAlignment="1">
      <alignment horizontal="center" vertical="center" wrapText="1"/>
    </xf>
    <xf numFmtId="1" fontId="9" fillId="11" borderId="1" xfId="0" applyNumberFormat="1" applyFont="1" applyFill="1" applyBorder="1" applyAlignment="1">
      <alignment horizontal="center" vertical="center" wrapText="1"/>
    </xf>
    <xf numFmtId="1" fontId="9" fillId="11" borderId="13" xfId="0" applyNumberFormat="1" applyFont="1" applyFill="1" applyBorder="1" applyAlignment="1">
      <alignment horizontal="center" vertical="center" wrapText="1"/>
    </xf>
    <xf numFmtId="0" fontId="9" fillId="12" borderId="0" xfId="0" applyFont="1" applyFill="1" applyAlignment="1">
      <alignment vertical="center" wrapText="1"/>
    </xf>
    <xf numFmtId="1" fontId="9" fillId="12" borderId="0" xfId="0" applyNumberFormat="1" applyFont="1" applyFill="1" applyAlignment="1">
      <alignment vertical="center" wrapText="1"/>
    </xf>
    <xf numFmtId="0" fontId="9" fillId="11" borderId="14" xfId="0" applyFont="1" applyFill="1" applyBorder="1" applyAlignment="1">
      <alignment vertical="center" wrapText="1"/>
    </xf>
    <xf numFmtId="1" fontId="9" fillId="12" borderId="0" xfId="0" applyNumberFormat="1" applyFont="1" applyFill="1" applyAlignment="1">
      <alignment vertical="center"/>
    </xf>
    <xf numFmtId="0" fontId="0" fillId="12" borderId="0" xfId="0" applyFill="1" applyAlignment="1">
      <alignment vertical="center" wrapText="1"/>
    </xf>
    <xf numFmtId="0" fontId="9" fillId="12" borderId="0" xfId="0" applyFont="1" applyFill="1" applyAlignment="1">
      <alignment horizontal="center" vertical="center" wrapText="1"/>
    </xf>
    <xf numFmtId="0" fontId="0" fillId="12" borderId="0" xfId="0" applyFill="1" applyAlignment="1">
      <alignment horizontal="left" vertical="center" wrapText="1"/>
    </xf>
    <xf numFmtId="0" fontId="9" fillId="11" borderId="12" xfId="0" applyFont="1" applyFill="1" applyBorder="1" applyAlignment="1">
      <alignment horizontal="left" vertical="center" wrapText="1"/>
    </xf>
    <xf numFmtId="0" fontId="9" fillId="12" borderId="12" xfId="0" applyFont="1" applyFill="1" applyBorder="1" applyAlignment="1">
      <alignment horizontal="left" vertical="center" wrapText="1"/>
    </xf>
    <xf numFmtId="0" fontId="0" fillId="12" borderId="0" xfId="0" applyFill="1" applyAlignment="1">
      <alignment wrapText="1"/>
    </xf>
    <xf numFmtId="0" fontId="9" fillId="11" borderId="14" xfId="0" applyFont="1" applyFill="1" applyBorder="1" applyAlignment="1">
      <alignment horizontal="left" vertical="center" wrapText="1"/>
    </xf>
    <xf numFmtId="0" fontId="3" fillId="8" borderId="1" xfId="0" applyFont="1" applyFill="1" applyBorder="1" applyAlignment="1">
      <alignment horizontal="left" wrapText="1"/>
    </xf>
    <xf numFmtId="0" fontId="4" fillId="4" borderId="1" xfId="0" applyFont="1" applyFill="1" applyBorder="1" applyAlignment="1">
      <alignment horizontal="left" wrapText="1"/>
    </xf>
    <xf numFmtId="0" fontId="4" fillId="7" borderId="1" xfId="0" applyFont="1" applyFill="1" applyBorder="1" applyAlignment="1">
      <alignment horizontal="left" wrapText="1"/>
    </xf>
    <xf numFmtId="164" fontId="4" fillId="7" borderId="1" xfId="0" applyNumberFormat="1" applyFont="1" applyFill="1" applyBorder="1" applyAlignment="1">
      <alignment horizontal="left" wrapText="1"/>
    </xf>
    <xf numFmtId="14" fontId="4" fillId="7" borderId="1" xfId="0" applyNumberFormat="1" applyFont="1" applyFill="1" applyBorder="1" applyAlignment="1">
      <alignment horizontal="left" wrapText="1"/>
    </xf>
    <xf numFmtId="164" fontId="4" fillId="4" borderId="1" xfId="0" applyNumberFormat="1" applyFont="1" applyFill="1" applyBorder="1" applyAlignment="1">
      <alignment horizontal="left" wrapText="1"/>
    </xf>
    <xf numFmtId="49" fontId="4" fillId="7" borderId="1" xfId="0" applyNumberFormat="1" applyFont="1" applyFill="1" applyBorder="1" applyAlignment="1">
      <alignment horizontal="left" wrapText="1"/>
    </xf>
    <xf numFmtId="165" fontId="3" fillId="8" borderId="1" xfId="0" applyNumberFormat="1" applyFont="1" applyFill="1" applyBorder="1" applyAlignment="1">
      <alignment horizontal="left" wrapText="1"/>
    </xf>
    <xf numFmtId="165" fontId="4" fillId="7" borderId="1" xfId="0" applyNumberFormat="1" applyFont="1" applyFill="1" applyBorder="1" applyAlignment="1">
      <alignment horizontal="left" wrapText="1"/>
    </xf>
    <xf numFmtId="0" fontId="3" fillId="0" borderId="1" xfId="0" applyFont="1" applyBorder="1" applyAlignment="1">
      <alignment horizontal="left"/>
    </xf>
    <xf numFmtId="0" fontId="4" fillId="7" borderId="1" xfId="0" applyFont="1" applyFill="1" applyBorder="1" applyAlignment="1">
      <alignment horizontal="left"/>
    </xf>
    <xf numFmtId="164" fontId="3" fillId="8" borderId="1" xfId="0" applyNumberFormat="1" applyFont="1" applyFill="1" applyBorder="1" applyAlignment="1">
      <alignment horizontal="left" vertical="center" wrapText="1"/>
    </xf>
    <xf numFmtId="164" fontId="0" fillId="0" borderId="1" xfId="0" applyNumberFormat="1" applyBorder="1"/>
    <xf numFmtId="164" fontId="0" fillId="0" borderId="0" xfId="0" applyNumberFormat="1"/>
    <xf numFmtId="14" fontId="0" fillId="7" borderId="3" xfId="0" applyNumberFormat="1" applyFill="1" applyBorder="1" applyAlignment="1">
      <alignment horizontal="left" vertical="center" wrapText="1"/>
    </xf>
    <xf numFmtId="14" fontId="0" fillId="7" borderId="1" xfId="0" applyNumberFormat="1" applyFill="1" applyBorder="1" applyAlignment="1">
      <alignment horizontal="left"/>
    </xf>
    <xf numFmtId="0" fontId="0" fillId="7" borderId="1" xfId="0" applyFill="1" applyBorder="1" applyAlignment="1">
      <alignment horizontal="left"/>
    </xf>
    <xf numFmtId="14" fontId="5" fillId="7" borderId="3" xfId="0" applyNumberFormat="1" applyFont="1" applyFill="1" applyBorder="1" applyAlignment="1">
      <alignment horizontal="left" vertical="center" wrapText="1"/>
    </xf>
    <xf numFmtId="1" fontId="9" fillId="12" borderId="13" xfId="0" applyNumberFormat="1" applyFont="1" applyFill="1" applyBorder="1" applyAlignment="1">
      <alignment horizontal="center" vertical="center" wrapText="1"/>
    </xf>
    <xf numFmtId="1" fontId="9" fillId="0" borderId="1" xfId="0" applyNumberFormat="1" applyFont="1" applyBorder="1" applyAlignment="1">
      <alignment horizontal="center" vertical="center" wrapText="1"/>
    </xf>
    <xf numFmtId="1" fontId="9" fillId="0" borderId="13" xfId="0" applyNumberFormat="1" applyFont="1" applyBorder="1" applyAlignment="1">
      <alignment horizontal="center" vertical="center" wrapText="1"/>
    </xf>
    <xf numFmtId="1" fontId="13" fillId="11" borderId="1" xfId="0" applyNumberFormat="1" applyFont="1" applyFill="1" applyBorder="1" applyAlignment="1">
      <alignment horizontal="center" vertical="center" wrapText="1"/>
    </xf>
    <xf numFmtId="1" fontId="13" fillId="11" borderId="13" xfId="0" applyNumberFormat="1" applyFont="1" applyFill="1" applyBorder="1" applyAlignment="1">
      <alignment horizontal="center" vertical="center" wrapText="1"/>
    </xf>
    <xf numFmtId="1" fontId="13" fillId="12" borderId="1" xfId="0" applyNumberFormat="1" applyFont="1" applyFill="1" applyBorder="1" applyAlignment="1">
      <alignment horizontal="center" vertical="center" wrapText="1"/>
    </xf>
    <xf numFmtId="1" fontId="13" fillId="12" borderId="13" xfId="0" applyNumberFormat="1" applyFont="1" applyFill="1" applyBorder="1" applyAlignment="1">
      <alignment horizontal="center" vertical="center" wrapText="1"/>
    </xf>
    <xf numFmtId="14" fontId="0" fillId="7" borderId="1" xfId="0" applyNumberFormat="1" applyFill="1" applyBorder="1" applyAlignment="1">
      <alignment horizontal="center"/>
    </xf>
    <xf numFmtId="49" fontId="5" fillId="7" borderId="1" xfId="0" applyNumberFormat="1" applyFont="1" applyFill="1" applyBorder="1" applyAlignment="1">
      <alignment horizontal="left" vertical="center" wrapText="1"/>
    </xf>
    <xf numFmtId="49" fontId="0" fillId="7" borderId="1" xfId="0" applyNumberFormat="1" applyFill="1" applyBorder="1" applyAlignment="1">
      <alignment horizontal="left" vertical="center" wrapText="1"/>
    </xf>
    <xf numFmtId="49" fontId="5" fillId="7" borderId="3" xfId="0" applyNumberFormat="1" applyFont="1" applyFill="1" applyBorder="1" applyAlignment="1">
      <alignment horizontal="center" vertical="center" wrapText="1"/>
    </xf>
    <xf numFmtId="49" fontId="0" fillId="7" borderId="3" xfId="0" applyNumberFormat="1" applyFill="1" applyBorder="1" applyAlignment="1">
      <alignment horizontal="center" vertical="center" wrapText="1"/>
    </xf>
    <xf numFmtId="0" fontId="0" fillId="0" borderId="1" xfId="0" applyBorder="1" applyAlignment="1">
      <alignment horizontal="center"/>
    </xf>
    <xf numFmtId="14" fontId="5" fillId="7" borderId="3" xfId="0" applyNumberFormat="1" applyFont="1" applyFill="1" applyBorder="1" applyAlignment="1">
      <alignment horizontal="center" vertical="center" wrapText="1"/>
    </xf>
    <xf numFmtId="14" fontId="0" fillId="7" borderId="3" xfId="0" applyNumberFormat="1" applyFill="1" applyBorder="1" applyAlignment="1">
      <alignment horizontal="center" vertical="center" wrapText="1"/>
    </xf>
    <xf numFmtId="164" fontId="0" fillId="0" borderId="1" xfId="0" applyNumberFormat="1" applyBorder="1" applyAlignment="1">
      <alignment horizontal="center"/>
    </xf>
    <xf numFmtId="164" fontId="0" fillId="0" borderId="0" xfId="0" applyNumberFormat="1" applyAlignment="1">
      <alignment horizontal="center"/>
    </xf>
    <xf numFmtId="1" fontId="13" fillId="12" borderId="0" xfId="0" applyNumberFormat="1" applyFont="1" applyFill="1" applyAlignment="1">
      <alignment horizontal="center" vertical="center"/>
    </xf>
    <xf numFmtId="1" fontId="13" fillId="12" borderId="1" xfId="0" applyNumberFormat="1" applyFont="1" applyFill="1" applyBorder="1" applyAlignment="1">
      <alignment horizontal="center" vertical="center"/>
    </xf>
    <xf numFmtId="1" fontId="9" fillId="12" borderId="13" xfId="0" applyNumberFormat="1" applyFont="1" applyFill="1" applyBorder="1" applyAlignment="1">
      <alignment horizontal="center" vertical="center"/>
    </xf>
    <xf numFmtId="1" fontId="13" fillId="11" borderId="1" xfId="0" applyNumberFormat="1" applyFont="1" applyFill="1" applyBorder="1" applyAlignment="1">
      <alignment horizontal="center" vertical="center"/>
    </xf>
    <xf numFmtId="1" fontId="9" fillId="11" borderId="13" xfId="0" applyNumberFormat="1" applyFont="1" applyFill="1" applyBorder="1" applyAlignment="1">
      <alignment horizontal="center" vertical="center"/>
    </xf>
    <xf numFmtId="1" fontId="13" fillId="11" borderId="15" xfId="0" applyNumberFormat="1" applyFont="1" applyFill="1" applyBorder="1" applyAlignment="1">
      <alignment horizontal="center" vertical="center" wrapText="1"/>
    </xf>
    <xf numFmtId="1" fontId="13" fillId="11" borderId="16" xfId="0" applyNumberFormat="1" applyFont="1" applyFill="1" applyBorder="1" applyAlignment="1">
      <alignment horizontal="center" vertical="center" wrapText="1"/>
    </xf>
    <xf numFmtId="0" fontId="13" fillId="11" borderId="1" xfId="0" applyFont="1" applyFill="1" applyBorder="1" applyAlignment="1">
      <alignment horizontal="center" vertical="center"/>
    </xf>
    <xf numFmtId="0" fontId="13" fillId="11" borderId="13" xfId="0" applyFont="1" applyFill="1" applyBorder="1" applyAlignment="1">
      <alignment horizontal="center" vertical="center"/>
    </xf>
    <xf numFmtId="1" fontId="13" fillId="11" borderId="13" xfId="0" applyNumberFormat="1" applyFont="1" applyFill="1" applyBorder="1" applyAlignment="1">
      <alignment horizontal="center" vertical="center"/>
    </xf>
    <xf numFmtId="1" fontId="13" fillId="12" borderId="13" xfId="0" applyNumberFormat="1" applyFont="1" applyFill="1" applyBorder="1" applyAlignment="1">
      <alignment horizontal="center" vertical="center"/>
    </xf>
    <xf numFmtId="0" fontId="13" fillId="12" borderId="1" xfId="0" applyFont="1" applyFill="1" applyBorder="1" applyAlignment="1">
      <alignment horizontal="center" vertical="center"/>
    </xf>
    <xf numFmtId="0" fontId="13" fillId="12" borderId="13" xfId="0" applyFont="1" applyFill="1" applyBorder="1" applyAlignment="1">
      <alignment horizontal="center" vertical="center"/>
    </xf>
    <xf numFmtId="0" fontId="13" fillId="11" borderId="15" xfId="0" applyFont="1" applyFill="1" applyBorder="1" applyAlignment="1">
      <alignment horizontal="center" vertical="center"/>
    </xf>
    <xf numFmtId="0" fontId="13" fillId="11" borderId="16" xfId="0" applyFont="1" applyFill="1" applyBorder="1" applyAlignment="1">
      <alignment horizontal="center" vertical="center"/>
    </xf>
    <xf numFmtId="0" fontId="9" fillId="12" borderId="18" xfId="0" applyFont="1" applyFill="1" applyBorder="1" applyAlignment="1">
      <alignment vertical="center" wrapText="1"/>
    </xf>
    <xf numFmtId="1" fontId="13" fillId="12" borderId="18" xfId="0" applyNumberFormat="1" applyFont="1" applyFill="1" applyBorder="1" applyAlignment="1">
      <alignment horizontal="center" vertical="center"/>
    </xf>
    <xf numFmtId="0" fontId="9" fillId="12" borderId="19" xfId="0" applyFont="1" applyFill="1" applyBorder="1" applyAlignment="1">
      <alignment vertical="center" wrapText="1"/>
    </xf>
    <xf numFmtId="1" fontId="13" fillId="12" borderId="20" xfId="0" applyNumberFormat="1" applyFont="1" applyFill="1" applyBorder="1" applyAlignment="1">
      <alignment horizontal="center" vertical="center"/>
    </xf>
    <xf numFmtId="1" fontId="13" fillId="12" borderId="21" xfId="0" applyNumberFormat="1" applyFont="1" applyFill="1" applyBorder="1" applyAlignment="1">
      <alignment horizontal="center" vertical="center"/>
    </xf>
    <xf numFmtId="10" fontId="9" fillId="11" borderId="1" xfId="0" applyNumberFormat="1" applyFont="1" applyFill="1" applyBorder="1" applyAlignment="1">
      <alignment horizontal="center" vertical="center" wrapText="1"/>
    </xf>
    <xf numFmtId="0" fontId="18" fillId="12" borderId="0" xfId="0" applyFont="1" applyFill="1"/>
    <xf numFmtId="0" fontId="18" fillId="0" borderId="0" xfId="0" applyFont="1"/>
    <xf numFmtId="0" fontId="13" fillId="12" borderId="0" xfId="0" applyFont="1" applyFill="1" applyAlignment="1">
      <alignment wrapText="1"/>
    </xf>
    <xf numFmtId="0" fontId="13" fillId="0" borderId="0" xfId="0" applyFont="1" applyAlignment="1">
      <alignment wrapText="1"/>
    </xf>
    <xf numFmtId="0" fontId="13" fillId="12" borderId="0" xfId="0" applyFont="1" applyFill="1" applyAlignment="1">
      <alignment vertical="center" wrapText="1"/>
    </xf>
    <xf numFmtId="0" fontId="18" fillId="12" borderId="0" xfId="0" applyFont="1" applyFill="1" applyAlignment="1">
      <alignment vertical="center"/>
    </xf>
    <xf numFmtId="0" fontId="18" fillId="11" borderId="1" xfId="0" applyFont="1" applyFill="1" applyBorder="1" applyAlignment="1">
      <alignment horizontal="center" vertical="center"/>
    </xf>
    <xf numFmtId="0" fontId="18" fillId="11" borderId="13" xfId="0" applyFont="1" applyFill="1" applyBorder="1" applyAlignment="1">
      <alignment horizontal="center" vertical="center"/>
    </xf>
    <xf numFmtId="0" fontId="18" fillId="12" borderId="1" xfId="0" applyFont="1" applyFill="1" applyBorder="1" applyAlignment="1">
      <alignment horizontal="center" vertical="center"/>
    </xf>
    <xf numFmtId="0" fontId="18" fillId="12" borderId="13" xfId="0" applyFont="1" applyFill="1" applyBorder="1" applyAlignment="1">
      <alignment horizontal="center" vertical="center"/>
    </xf>
    <xf numFmtId="0" fontId="18" fillId="12" borderId="0" xfId="0" applyFont="1" applyFill="1" applyAlignment="1">
      <alignment horizontal="center" vertical="center"/>
    </xf>
    <xf numFmtId="1" fontId="18" fillId="12" borderId="0" xfId="0" applyNumberFormat="1" applyFont="1" applyFill="1"/>
    <xf numFmtId="166" fontId="3" fillId="6" borderId="1" xfId="0" applyNumberFormat="1" applyFont="1" applyFill="1" applyBorder="1" applyAlignment="1">
      <alignment horizontal="left" wrapText="1"/>
    </xf>
    <xf numFmtId="166" fontId="4" fillId="7" borderId="1" xfId="0" applyNumberFormat="1" applyFont="1" applyFill="1" applyBorder="1" applyAlignment="1">
      <alignment horizontal="left" wrapText="1"/>
    </xf>
    <xf numFmtId="9" fontId="18" fillId="12" borderId="15" xfId="0" applyNumberFormat="1" applyFont="1" applyFill="1" applyBorder="1" applyAlignment="1">
      <alignment horizontal="center" vertical="center"/>
    </xf>
    <xf numFmtId="2" fontId="18" fillId="11" borderId="1" xfId="0" applyNumberFormat="1" applyFont="1" applyFill="1" applyBorder="1" applyAlignment="1">
      <alignment horizontal="center" vertical="center"/>
    </xf>
    <xf numFmtId="2" fontId="18" fillId="11" borderId="13" xfId="0" applyNumberFormat="1" applyFont="1" applyFill="1" applyBorder="1" applyAlignment="1">
      <alignment horizontal="center" vertical="center"/>
    </xf>
    <xf numFmtId="0" fontId="18" fillId="12" borderId="0" xfId="0" applyFont="1" applyFill="1" applyAlignment="1">
      <alignment horizontal="left" vertical="center" wrapText="1"/>
    </xf>
    <xf numFmtId="0" fontId="4" fillId="4" borderId="1" xfId="0" quotePrefix="1" applyFont="1" applyFill="1" applyBorder="1" applyAlignment="1">
      <alignment wrapText="1"/>
    </xf>
    <xf numFmtId="1" fontId="3" fillId="11" borderId="1" xfId="0" applyNumberFormat="1" applyFont="1" applyFill="1" applyBorder="1" applyAlignment="1">
      <alignment wrapText="1"/>
    </xf>
    <xf numFmtId="0" fontId="3" fillId="3" borderId="1" xfId="0" applyFont="1" applyFill="1" applyBorder="1" applyAlignment="1">
      <alignment horizontal="left" wrapText="1"/>
    </xf>
    <xf numFmtId="0" fontId="4" fillId="0" borderId="1" xfId="0" applyFont="1" applyBorder="1" applyAlignment="1">
      <alignment horizontal="left"/>
    </xf>
    <xf numFmtId="1" fontId="4" fillId="7" borderId="1" xfId="0" applyNumberFormat="1" applyFont="1" applyFill="1" applyBorder="1" applyAlignment="1">
      <alignment horizontal="left" wrapText="1"/>
    </xf>
    <xf numFmtId="0" fontId="6" fillId="7" borderId="1" xfId="0" applyFont="1" applyFill="1" applyBorder="1" applyAlignment="1">
      <alignment horizontal="left"/>
    </xf>
    <xf numFmtId="10" fontId="3" fillId="0" borderId="1" xfId="0" applyNumberFormat="1" applyFont="1" applyBorder="1" applyAlignment="1">
      <alignment horizontal="left"/>
    </xf>
    <xf numFmtId="0" fontId="4" fillId="0" borderId="1" xfId="0" applyFont="1" applyBorder="1" applyAlignment="1">
      <alignment horizontal="left" wrapText="1"/>
    </xf>
    <xf numFmtId="14" fontId="4" fillId="4" borderId="1" xfId="0" applyNumberFormat="1" applyFont="1" applyFill="1" applyBorder="1" applyAlignment="1">
      <alignment horizontal="left" wrapText="1"/>
    </xf>
    <xf numFmtId="0" fontId="3" fillId="2" borderId="1" xfId="0" applyFont="1" applyFill="1" applyBorder="1" applyAlignment="1">
      <alignment horizontal="left" wrapText="1"/>
    </xf>
    <xf numFmtId="0" fontId="3" fillId="9" borderId="1" xfId="0" applyFont="1" applyFill="1" applyBorder="1" applyAlignment="1">
      <alignment horizontal="left" wrapText="1"/>
    </xf>
    <xf numFmtId="0" fontId="3" fillId="9" borderId="1" xfId="0" applyFont="1" applyFill="1" applyBorder="1" applyAlignment="1">
      <alignment horizontal="left"/>
    </xf>
    <xf numFmtId="14" fontId="4" fillId="0" borderId="1" xfId="0" applyNumberFormat="1" applyFont="1" applyBorder="1"/>
    <xf numFmtId="0" fontId="17" fillId="7" borderId="1" xfId="0" applyFont="1" applyFill="1" applyBorder="1"/>
    <xf numFmtId="165" fontId="4" fillId="0" borderId="1" xfId="0" applyNumberFormat="1" applyFont="1" applyBorder="1" applyAlignment="1">
      <alignment horizontal="left"/>
    </xf>
    <xf numFmtId="49" fontId="4" fillId="0" borderId="1" xfId="0" applyNumberFormat="1" applyFont="1" applyBorder="1" applyAlignment="1">
      <alignment horizontal="left"/>
    </xf>
    <xf numFmtId="164" fontId="4" fillId="4" borderId="1" xfId="0" applyNumberFormat="1" applyFont="1" applyFill="1" applyBorder="1" applyAlignment="1">
      <alignment wrapText="1"/>
    </xf>
    <xf numFmtId="0" fontId="3" fillId="8" borderId="1" xfId="0" applyFont="1" applyFill="1" applyBorder="1" applyAlignment="1">
      <alignment wrapText="1"/>
    </xf>
    <xf numFmtId="1" fontId="4" fillId="7" borderId="1" xfId="0" applyNumberFormat="1" applyFont="1" applyFill="1" applyBorder="1" applyAlignment="1">
      <alignment wrapText="1"/>
    </xf>
    <xf numFmtId="10" fontId="3" fillId="0" borderId="1" xfId="0" applyNumberFormat="1" applyFont="1" applyBorder="1" applyAlignment="1">
      <alignment wrapText="1"/>
    </xf>
    <xf numFmtId="0" fontId="4" fillId="7" borderId="1" xfId="0" quotePrefix="1" applyFont="1" applyFill="1" applyBorder="1" applyAlignment="1">
      <alignment wrapText="1"/>
    </xf>
    <xf numFmtId="166" fontId="4" fillId="4" borderId="1" xfId="0" applyNumberFormat="1" applyFont="1" applyFill="1" applyBorder="1" applyAlignment="1">
      <alignment horizontal="left" wrapText="1"/>
    </xf>
    <xf numFmtId="14" fontId="4" fillId="7" borderId="1" xfId="0" applyNumberFormat="1" applyFont="1" applyFill="1" applyBorder="1"/>
    <xf numFmtId="0" fontId="8" fillId="4" borderId="1" xfId="1" applyFont="1" applyFill="1" applyBorder="1" applyAlignment="1" applyProtection="1">
      <alignment wrapText="1"/>
    </xf>
    <xf numFmtId="0" fontId="8" fillId="4" borderId="1" xfId="0" applyFont="1" applyFill="1" applyBorder="1" applyAlignment="1">
      <alignment wrapText="1"/>
    </xf>
    <xf numFmtId="0" fontId="4" fillId="12" borderId="1" xfId="0" applyFont="1" applyFill="1" applyBorder="1" applyAlignment="1">
      <alignment wrapText="1"/>
    </xf>
    <xf numFmtId="166" fontId="4" fillId="0" borderId="1" xfId="0" applyNumberFormat="1" applyFont="1" applyBorder="1" applyAlignment="1">
      <alignment horizontal="left" wrapText="1"/>
    </xf>
    <xf numFmtId="164" fontId="4" fillId="0" borderId="1" xfId="0" applyNumberFormat="1" applyFont="1" applyBorder="1" applyAlignment="1">
      <alignment wrapText="1"/>
    </xf>
    <xf numFmtId="0" fontId="20" fillId="12" borderId="0" xfId="0" applyFont="1" applyFill="1" applyAlignment="1">
      <alignment horizontal="center" vertical="center" wrapText="1"/>
    </xf>
    <xf numFmtId="0" fontId="18" fillId="11" borderId="2" xfId="0" applyFont="1" applyFill="1" applyBorder="1" applyAlignment="1">
      <alignment horizontal="center" vertical="center"/>
    </xf>
    <xf numFmtId="0" fontId="18" fillId="12" borderId="2" xfId="0" applyFont="1" applyFill="1" applyBorder="1" applyAlignment="1">
      <alignment horizontal="center" vertical="center"/>
    </xf>
    <xf numFmtId="2" fontId="18" fillId="11" borderId="2" xfId="0" applyNumberFormat="1" applyFont="1" applyFill="1" applyBorder="1" applyAlignment="1">
      <alignment horizontal="center" vertical="center"/>
    </xf>
    <xf numFmtId="9" fontId="18" fillId="12" borderId="28" xfId="0" applyNumberFormat="1" applyFont="1" applyFill="1" applyBorder="1" applyAlignment="1">
      <alignment horizontal="center" vertical="center"/>
    </xf>
    <xf numFmtId="0" fontId="18" fillId="11" borderId="29" xfId="0" applyFont="1" applyFill="1" applyBorder="1" applyAlignment="1">
      <alignment horizontal="center" vertical="center"/>
    </xf>
    <xf numFmtId="2" fontId="18" fillId="11" borderId="22" xfId="0" applyNumberFormat="1" applyFont="1" applyFill="1" applyBorder="1" applyAlignment="1">
      <alignment horizontal="center" vertical="center"/>
    </xf>
    <xf numFmtId="9" fontId="18" fillId="12" borderId="30" xfId="0" applyNumberFormat="1" applyFont="1" applyFill="1" applyBorder="1" applyAlignment="1">
      <alignment horizontal="center" vertical="center"/>
    </xf>
    <xf numFmtId="0" fontId="18" fillId="11" borderId="23"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2" xfId="0" applyFont="1" applyFill="1" applyBorder="1" applyAlignment="1">
      <alignment horizontal="center" vertical="center"/>
    </xf>
    <xf numFmtId="0" fontId="18" fillId="11" borderId="4" xfId="0" applyFont="1" applyFill="1" applyBorder="1" applyAlignment="1">
      <alignment horizontal="center" vertical="center"/>
    </xf>
    <xf numFmtId="0" fontId="18" fillId="12" borderId="4" xfId="0" applyFont="1" applyFill="1" applyBorder="1" applyAlignment="1">
      <alignment horizontal="center" vertical="center"/>
    </xf>
    <xf numFmtId="2" fontId="18" fillId="11" borderId="4" xfId="0" applyNumberFormat="1" applyFont="1" applyFill="1" applyBorder="1" applyAlignment="1">
      <alignment horizontal="center" vertical="center"/>
    </xf>
    <xf numFmtId="9" fontId="18" fillId="12" borderId="31" xfId="0" applyNumberFormat="1" applyFont="1" applyFill="1" applyBorder="1" applyAlignment="1">
      <alignment horizontal="center" vertical="center"/>
    </xf>
    <xf numFmtId="0" fontId="21" fillId="11" borderId="22" xfId="0" applyFont="1" applyFill="1" applyBorder="1" applyAlignment="1">
      <alignment horizontal="left" vertical="center" wrapText="1"/>
    </xf>
    <xf numFmtId="0" fontId="21" fillId="12" borderId="22" xfId="0" applyFont="1" applyFill="1" applyBorder="1" applyAlignment="1">
      <alignment horizontal="left" vertical="center" wrapText="1"/>
    </xf>
    <xf numFmtId="0" fontId="21" fillId="12" borderId="30" xfId="0" applyFont="1" applyFill="1" applyBorder="1" applyAlignment="1">
      <alignment horizontal="left" vertical="center" wrapText="1"/>
    </xf>
    <xf numFmtId="0" fontId="21" fillId="11" borderId="25" xfId="0" applyFont="1" applyFill="1" applyBorder="1" applyAlignment="1">
      <alignment horizontal="left" vertical="center" wrapText="1"/>
    </xf>
    <xf numFmtId="0" fontId="18" fillId="11" borderId="8" xfId="0" applyFont="1" applyFill="1" applyBorder="1" applyAlignment="1">
      <alignment horizontal="center" vertical="center"/>
    </xf>
    <xf numFmtId="0" fontId="18" fillId="11" borderId="5" xfId="0" applyFont="1" applyFill="1" applyBorder="1" applyAlignment="1">
      <alignment horizontal="center" vertical="center"/>
    </xf>
    <xf numFmtId="0" fontId="18" fillId="11" borderId="26" xfId="0" applyFont="1" applyFill="1" applyBorder="1" applyAlignment="1">
      <alignment horizontal="center" vertical="center"/>
    </xf>
    <xf numFmtId="0" fontId="19" fillId="13" borderId="6"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19" fillId="13" borderId="32" xfId="0" applyFont="1" applyFill="1" applyBorder="1" applyAlignment="1">
      <alignment horizontal="center" vertical="center" wrapText="1"/>
    </xf>
    <xf numFmtId="0" fontId="19" fillId="13" borderId="24" xfId="0" applyFont="1" applyFill="1" applyBorder="1" applyAlignment="1">
      <alignment horizontal="center" vertical="center" wrapText="1"/>
    </xf>
    <xf numFmtId="0" fontId="18" fillId="11" borderId="34" xfId="0" applyFont="1" applyFill="1" applyBorder="1" applyAlignment="1">
      <alignment horizontal="center" vertical="center"/>
    </xf>
    <xf numFmtId="0" fontId="19" fillId="13" borderId="35" xfId="0" applyFont="1" applyFill="1" applyBorder="1" applyAlignment="1">
      <alignment horizontal="center" vertical="center" wrapText="1"/>
    </xf>
    <xf numFmtId="0" fontId="19" fillId="13" borderId="36" xfId="0" applyFont="1" applyFill="1" applyBorder="1" applyAlignment="1">
      <alignment horizontal="center" vertical="center" wrapText="1"/>
    </xf>
    <xf numFmtId="0" fontId="18" fillId="12" borderId="22" xfId="0" applyFont="1" applyFill="1" applyBorder="1" applyAlignment="1">
      <alignment horizontal="left" vertical="center" wrapText="1"/>
    </xf>
    <xf numFmtId="0" fontId="18" fillId="12" borderId="30" xfId="0" applyFont="1" applyFill="1" applyBorder="1" applyAlignment="1">
      <alignment horizontal="left" vertical="center" wrapText="1"/>
    </xf>
    <xf numFmtId="1" fontId="21" fillId="12" borderId="22" xfId="0" applyNumberFormat="1" applyFont="1" applyFill="1" applyBorder="1" applyAlignment="1">
      <alignment horizontal="left" vertical="center" wrapText="1"/>
    </xf>
    <xf numFmtId="2" fontId="18" fillId="11" borderId="33" xfId="0" applyNumberFormat="1" applyFont="1" applyFill="1" applyBorder="1" applyAlignment="1">
      <alignment horizontal="center" vertical="center"/>
    </xf>
    <xf numFmtId="0" fontId="4" fillId="7" borderId="0" xfId="0" applyFont="1" applyFill="1"/>
    <xf numFmtId="0" fontId="5" fillId="7" borderId="1" xfId="0" applyFont="1" applyFill="1" applyBorder="1" applyAlignment="1">
      <alignment horizontal="left" vertical="center"/>
    </xf>
    <xf numFmtId="0" fontId="5" fillId="7" borderId="1" xfId="0" applyFont="1" applyFill="1" applyBorder="1" applyAlignment="1">
      <alignment horizontal="center" vertical="center"/>
    </xf>
    <xf numFmtId="14" fontId="0" fillId="7" borderId="1" xfId="0" applyNumberFormat="1" applyFill="1" applyBorder="1" applyAlignment="1">
      <alignment horizontal="left" vertical="center"/>
    </xf>
    <xf numFmtId="14" fontId="0" fillId="7" borderId="1" xfId="0" applyNumberFormat="1" applyFill="1" applyBorder="1" applyAlignment="1">
      <alignment horizontal="center" vertical="center"/>
    </xf>
    <xf numFmtId="0" fontId="0" fillId="0" borderId="0" xfId="0" applyAlignment="1">
      <alignment vertical="center"/>
    </xf>
    <xf numFmtId="0" fontId="5" fillId="7" borderId="1" xfId="0" applyFont="1" applyFill="1" applyBorder="1" applyAlignment="1">
      <alignment horizontal="left"/>
    </xf>
    <xf numFmtId="0" fontId="5" fillId="7" borderId="1" xfId="0" applyFont="1" applyFill="1" applyBorder="1" applyAlignment="1">
      <alignment horizontal="center"/>
    </xf>
    <xf numFmtId="0" fontId="4" fillId="7" borderId="1" xfId="0" applyFont="1" applyFill="1" applyBorder="1" applyAlignment="1">
      <alignment vertical="center"/>
    </xf>
    <xf numFmtId="0" fontId="4" fillId="7" borderId="1" xfId="0" applyFont="1" applyFill="1" applyBorder="1" applyAlignment="1">
      <alignment vertical="center" wrapText="1"/>
    </xf>
    <xf numFmtId="164" fontId="0" fillId="0" borderId="1" xfId="0" applyNumberFormat="1" applyBorder="1" applyAlignment="1">
      <alignment horizontal="left"/>
    </xf>
    <xf numFmtId="14" fontId="0" fillId="0" borderId="1" xfId="0" applyNumberFormat="1" applyBorder="1" applyAlignment="1">
      <alignment horizontal="left"/>
    </xf>
    <xf numFmtId="49" fontId="5" fillId="0" borderId="1" xfId="0" applyNumberFormat="1" applyFont="1" applyBorder="1" applyAlignment="1">
      <alignment horizontal="left" vertical="center" wrapText="1"/>
    </xf>
    <xf numFmtId="0" fontId="0" fillId="0" borderId="1" xfId="0" applyBorder="1" applyAlignment="1">
      <alignment horizontal="left"/>
    </xf>
    <xf numFmtId="49" fontId="0" fillId="0" borderId="1" xfId="0" applyNumberFormat="1" applyBorder="1" applyAlignment="1">
      <alignment horizontal="left" vertical="center" wrapText="1"/>
    </xf>
    <xf numFmtId="165" fontId="4" fillId="7" borderId="1" xfId="0" applyNumberFormat="1" applyFont="1" applyFill="1" applyBorder="1" applyAlignment="1">
      <alignment horizontal="left"/>
    </xf>
    <xf numFmtId="49" fontId="4" fillId="7" borderId="1" xfId="0" applyNumberFormat="1" applyFont="1" applyFill="1" applyBorder="1" applyAlignment="1">
      <alignment horizontal="left"/>
    </xf>
    <xf numFmtId="14" fontId="4" fillId="7" borderId="1" xfId="0" applyNumberFormat="1" applyFont="1" applyFill="1" applyBorder="1" applyAlignment="1">
      <alignment horizontal="left"/>
    </xf>
    <xf numFmtId="14" fontId="4" fillId="0" borderId="1" xfId="0" applyNumberFormat="1" applyFont="1" applyBorder="1" applyAlignment="1">
      <alignment horizontal="right"/>
    </xf>
    <xf numFmtId="0" fontId="4" fillId="12" borderId="1" xfId="0" applyFont="1" applyFill="1" applyBorder="1"/>
    <xf numFmtId="0" fontId="3" fillId="12" borderId="1" xfId="0" applyFont="1" applyFill="1" applyBorder="1"/>
    <xf numFmtId="0" fontId="3" fillId="12" borderId="1" xfId="0" applyFont="1" applyFill="1" applyBorder="1" applyAlignment="1">
      <alignment wrapText="1"/>
    </xf>
    <xf numFmtId="0" fontId="4" fillId="12" borderId="1" xfId="0" applyFont="1" applyFill="1" applyBorder="1" applyAlignment="1">
      <alignment wrapText="1"/>
    </xf>
    <xf numFmtId="0" fontId="3" fillId="3" borderId="1" xfId="0" applyFont="1" applyFill="1" applyBorder="1" applyAlignment="1">
      <alignment horizontal="left" wrapText="1"/>
    </xf>
    <xf numFmtId="0" fontId="4" fillId="0" borderId="1" xfId="0" applyFont="1" applyBorder="1" applyAlignment="1">
      <alignment horizontal="left" wrapText="1"/>
    </xf>
    <xf numFmtId="0" fontId="11" fillId="12" borderId="0" xfId="0" applyFont="1" applyFill="1" applyAlignment="1">
      <alignment horizontal="left" vertical="center"/>
    </xf>
    <xf numFmtId="0" fontId="13" fillId="12" borderId="2" xfId="1" applyFont="1" applyFill="1" applyBorder="1" applyAlignment="1" applyProtection="1">
      <alignment horizontal="center" vertical="center" wrapText="1"/>
    </xf>
    <xf numFmtId="0" fontId="13" fillId="12" borderId="7" xfId="1" applyFont="1" applyFill="1" applyBorder="1" applyAlignment="1" applyProtection="1">
      <alignment horizontal="center" vertical="center" wrapText="1"/>
    </xf>
    <xf numFmtId="0" fontId="13" fillId="12" borderId="4" xfId="1" applyFont="1" applyFill="1" applyBorder="1" applyAlignment="1" applyProtection="1">
      <alignment horizontal="center" vertical="center" wrapText="1"/>
    </xf>
    <xf numFmtId="15" fontId="13" fillId="12" borderId="1" xfId="1" applyNumberFormat="1" applyFont="1" applyFill="1" applyBorder="1" applyAlignment="1" applyProtection="1">
      <alignment horizontal="center" vertical="center" wrapText="1"/>
    </xf>
    <xf numFmtId="0" fontId="13" fillId="12" borderId="1" xfId="1" applyFont="1" applyFill="1" applyBorder="1" applyAlignment="1" applyProtection="1">
      <alignment horizontal="center" vertical="center" wrapText="1"/>
    </xf>
    <xf numFmtId="0" fontId="11" fillId="12" borderId="0" xfId="0" applyFont="1" applyFill="1" applyAlignment="1">
      <alignment horizontal="left" vertical="center" wrapText="1"/>
    </xf>
    <xf numFmtId="49" fontId="13" fillId="12" borderId="1" xfId="0" applyNumberFormat="1" applyFont="1" applyFill="1" applyBorder="1" applyAlignment="1" applyProtection="1">
      <alignment horizontal="center" vertical="center" wrapText="1"/>
      <protection locked="0"/>
    </xf>
    <xf numFmtId="49" fontId="13" fillId="12" borderId="13" xfId="0" applyNumberFormat="1" applyFont="1" applyFill="1" applyBorder="1" applyAlignment="1" applyProtection="1">
      <alignment horizontal="center" vertical="center" wrapText="1"/>
      <protection locked="0"/>
    </xf>
    <xf numFmtId="0" fontId="16" fillId="12" borderId="17" xfId="0" applyFont="1" applyFill="1" applyBorder="1" applyAlignment="1">
      <alignment horizontal="center" vertical="center" wrapText="1"/>
    </xf>
    <xf numFmtId="0" fontId="20" fillId="12" borderId="17" xfId="0" applyFont="1" applyFill="1" applyBorder="1" applyAlignment="1">
      <alignment horizontal="center" vertical="center" wrapText="1"/>
    </xf>
  </cellXfs>
  <cellStyles count="3">
    <cellStyle name="Hyperlink" xfId="1" builtinId="8"/>
    <cellStyle name="Normal" xfId="0" builtinId="0"/>
    <cellStyle name="Normal 2" xfId="2" xr:uid="{00000000-0005-0000-0000-000002000000}"/>
  </cellStyles>
  <dxfs count="11">
    <dxf>
      <fill>
        <patternFill>
          <bgColor rgb="FF92D050"/>
        </patternFill>
      </fill>
    </dxf>
    <dxf>
      <fill>
        <patternFill>
          <bgColor rgb="FFFF0000"/>
        </patternFill>
      </fill>
    </dxf>
    <dxf>
      <font>
        <b/>
        <i val="0"/>
        <color theme="0"/>
      </font>
      <fill>
        <patternFill>
          <bgColor rgb="FFC000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tint="-0.24994659260841701"/>
        </patternFill>
      </fill>
    </dxf>
    <dxf>
      <font>
        <b/>
        <i val="0"/>
        <color theme="0"/>
      </font>
      <fill>
        <patternFill>
          <bgColor rgb="FFC00000"/>
        </patternFill>
      </fill>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CCFFFF"/>
      <color rgb="FF66FFFF"/>
      <color rgb="FFA8E8FA"/>
      <color rgb="FFB1EBF1"/>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X6896"/>
  <sheetViews>
    <sheetView tabSelected="1" zoomScale="70" zoomScaleNormal="70" zoomScaleSheetLayoutView="75" workbookViewId="0">
      <pane ySplit="1" topLeftCell="A2" activePane="bottomLeft" state="frozen"/>
      <selection pane="bottomLeft" activeCell="AE14" sqref="AE14:AE15"/>
    </sheetView>
  </sheetViews>
  <sheetFormatPr defaultColWidth="8.81640625" defaultRowHeight="31.4" customHeight="1" x14ac:dyDescent="0.35"/>
  <cols>
    <col min="1" max="1" width="16" style="167" bestFit="1" customWidth="1"/>
    <col min="2" max="3" width="24.1796875" style="8" customWidth="1"/>
    <col min="4" max="4" width="38.453125" style="8" customWidth="1"/>
    <col min="5" max="5" width="15.54296875" style="168" customWidth="1"/>
    <col min="6" max="7" width="13.54296875" style="8" customWidth="1"/>
    <col min="8" max="8" width="14.453125" style="20" customWidth="1"/>
    <col min="9" max="9" width="11.54296875" style="8" customWidth="1"/>
    <col min="10" max="10" width="11.54296875" style="19" customWidth="1"/>
    <col min="11" max="11" width="43.453125" style="8" customWidth="1"/>
    <col min="12" max="12" width="23.1796875" style="8" customWidth="1"/>
    <col min="13" max="13" width="27.54296875" style="8" customWidth="1"/>
    <col min="14" max="14" width="23.1796875" style="8" customWidth="1"/>
    <col min="15" max="16" width="22.453125" style="20" customWidth="1"/>
    <col min="17" max="17" width="22" style="7" customWidth="1"/>
    <col min="18" max="18" width="10.6328125" style="5" customWidth="1"/>
    <col min="19" max="19" width="15.26953125" style="5" customWidth="1"/>
    <col min="20" max="20" width="17.453125" style="8" customWidth="1"/>
    <col min="21" max="21" width="12.1796875" style="8" customWidth="1"/>
    <col min="22" max="22" width="15.81640625" style="8" customWidth="1"/>
    <col min="23" max="24" width="15.81640625" style="18" customWidth="1"/>
    <col min="25" max="25" width="62" style="18" customWidth="1"/>
    <col min="26" max="26" width="18.81640625" style="18" customWidth="1"/>
    <col min="27" max="27" width="18.453125" style="6" customWidth="1"/>
    <col min="28" max="28" width="28" style="6" customWidth="1"/>
    <col min="29" max="31" width="12.54296875" style="6" customWidth="1"/>
    <col min="32" max="32" width="13" style="6" customWidth="1"/>
    <col min="33" max="35" width="12.54296875" style="6" customWidth="1"/>
    <col min="36" max="36" width="13.453125" style="6" customWidth="1"/>
    <col min="37" max="37" width="12.453125" style="6" customWidth="1"/>
    <col min="38" max="55" width="8.81640625" style="6"/>
    <col min="56" max="56" width="9.81640625" style="6" bestFit="1" customWidth="1"/>
    <col min="57" max="16384" width="8.81640625" style="6"/>
  </cols>
  <sheetData>
    <row r="1" spans="1:50" ht="45" customHeight="1" x14ac:dyDescent="0.35">
      <c r="A1" s="135" t="s">
        <v>96</v>
      </c>
      <c r="B1" s="11" t="s">
        <v>97</v>
      </c>
      <c r="C1" s="11" t="s">
        <v>2</v>
      </c>
      <c r="D1" s="11" t="s">
        <v>98</v>
      </c>
      <c r="E1" s="24" t="s">
        <v>99</v>
      </c>
      <c r="F1" s="11" t="s">
        <v>100</v>
      </c>
      <c r="G1" s="11" t="s">
        <v>101</v>
      </c>
      <c r="H1" s="12" t="s">
        <v>102</v>
      </c>
      <c r="I1" s="11" t="s">
        <v>103</v>
      </c>
      <c r="J1" s="13" t="s">
        <v>104</v>
      </c>
      <c r="K1" s="11" t="s">
        <v>1</v>
      </c>
      <c r="L1" s="11" t="s">
        <v>0</v>
      </c>
      <c r="M1" s="11" t="s">
        <v>28</v>
      </c>
      <c r="N1" s="12" t="s">
        <v>105</v>
      </c>
      <c r="O1" s="12" t="s">
        <v>106</v>
      </c>
      <c r="P1" s="158" t="s">
        <v>107</v>
      </c>
      <c r="Q1" s="11" t="s">
        <v>108</v>
      </c>
      <c r="R1" s="11" t="s">
        <v>109</v>
      </c>
      <c r="S1" s="11" t="s">
        <v>110</v>
      </c>
      <c r="T1" s="11" t="s">
        <v>111</v>
      </c>
      <c r="U1" s="6"/>
      <c r="V1" s="6"/>
      <c r="W1" s="6"/>
      <c r="X1" s="6"/>
      <c r="Y1" s="6"/>
      <c r="Z1" s="6"/>
      <c r="AX1" s="6" t="s">
        <v>112</v>
      </c>
    </row>
    <row r="2" spans="1:50" ht="31.4" customHeight="1" x14ac:dyDescent="0.35">
      <c r="A2" s="136" t="s">
        <v>113</v>
      </c>
      <c r="B2" s="4" t="s">
        <v>8</v>
      </c>
      <c r="C2" s="4" t="s">
        <v>8</v>
      </c>
      <c r="D2" s="4" t="s">
        <v>114</v>
      </c>
      <c r="E2" s="157">
        <v>45384</v>
      </c>
      <c r="F2" s="9">
        <f>IF($E2="","",WORKDAY($E2,1,$V$33:$V$47))</f>
        <v>45385</v>
      </c>
      <c r="G2" s="9">
        <f>IF($E2="","",WORKDAY($E2,10,$V$33:$V$47))</f>
        <v>45398</v>
      </c>
      <c r="H2" s="9">
        <f>IF($E2="","",WORKDAY($E2,20,$V$33:$V$47))</f>
        <v>45412</v>
      </c>
      <c r="I2" s="157" t="s">
        <v>115</v>
      </c>
      <c r="J2" s="14" t="str">
        <f ca="1">IF(E2="","",IF(N2="",H2-TODAY(),""))</f>
        <v/>
      </c>
      <c r="K2" s="25" t="s">
        <v>5</v>
      </c>
      <c r="L2" s="25" t="s">
        <v>18</v>
      </c>
      <c r="M2" s="25" t="s">
        <v>66</v>
      </c>
      <c r="N2" s="16">
        <v>45384</v>
      </c>
      <c r="O2" s="159">
        <f>IF($N2="","",NETWORKDAYS($E2,$N2,$V$33:$V$47)-1)</f>
        <v>0</v>
      </c>
      <c r="P2" s="10" t="str">
        <f>IF(ISBLANK(N2),"",IF(N2&gt;H2,"No","Yes"))</f>
        <v>Yes</v>
      </c>
      <c r="Q2" s="9" t="s">
        <v>117</v>
      </c>
      <c r="R2" s="4" t="s">
        <v>118</v>
      </c>
      <c r="S2" s="4" t="s">
        <v>119</v>
      </c>
      <c r="T2" s="4"/>
      <c r="U2" s="6"/>
      <c r="V2" s="15"/>
      <c r="W2" s="15"/>
      <c r="X2" s="160"/>
      <c r="Y2" s="6"/>
      <c r="Z2" s="6"/>
      <c r="AX2" s="6" t="str" cm="1">
        <f t="array" ref="AX2:AX2000">_xlfn.IFS($I$2:$I$2000="Apr","Quarter 1", $I$2:$I$2000="May","Quarter 1", $I$2:$I$2000="Jun","Quarter 1", $I$2:$I$2000="Jul","Quarter 2", $I$2:$I$2000="Aug","Quarter 2", $I$2:$I$2000="Sep","Quarter 2",$I$2:$I$2000="Oct","Quarter 3", $I$2:$I$2000="Nov","Quarter 3", $I$2:$I$2000="Dec","Quarter 3", $I$2:$I$2000="Jan","Quarter 4", $I$2:$I$2000="Feb","Quarter 4", $I$2:$I$2000="Mar","Quarter 4")</f>
        <v>Quarter 1</v>
      </c>
    </row>
    <row r="3" spans="1:50" ht="31.4" customHeight="1" x14ac:dyDescent="0.35">
      <c r="A3" s="136" t="s">
        <v>122</v>
      </c>
      <c r="B3" s="4" t="s">
        <v>8</v>
      </c>
      <c r="C3" s="4" t="s">
        <v>8</v>
      </c>
      <c r="D3" s="4" t="s">
        <v>123</v>
      </c>
      <c r="E3" s="157">
        <v>45383</v>
      </c>
      <c r="F3" s="9">
        <f>IF($E3="","",WORKDAY($E3,1,$V$33:$V$47))</f>
        <v>45384</v>
      </c>
      <c r="G3" s="9">
        <f>IF($E3="","",WORKDAY($E3,10,$V$33:$V$47))</f>
        <v>45397</v>
      </c>
      <c r="H3" s="9">
        <f>IF($E3="","",WORKDAY($E3,20,$V$33:$V$47))</f>
        <v>45411</v>
      </c>
      <c r="I3" s="157" t="s">
        <v>115</v>
      </c>
      <c r="J3" s="14" t="str">
        <f ca="1">IF(E3="","",IF(N3="",H3-TODAY(),""))</f>
        <v/>
      </c>
      <c r="K3" s="25" t="s">
        <v>124</v>
      </c>
      <c r="L3" s="25" t="s">
        <v>20</v>
      </c>
      <c r="M3" s="25" t="s">
        <v>79</v>
      </c>
      <c r="N3" s="16">
        <v>45397</v>
      </c>
      <c r="O3" s="159">
        <f>IF($N3="","",NETWORKDAYS($E3,$N3,$V$33:$V$47)-1)</f>
        <v>10</v>
      </c>
      <c r="P3" s="10" t="str">
        <f>IF(ISBLANK(N3),"",IF(N3&gt;H3,"No","Yes"))</f>
        <v>Yes</v>
      </c>
      <c r="Q3" s="9" t="s">
        <v>117</v>
      </c>
      <c r="R3" s="4" t="s">
        <v>118</v>
      </c>
      <c r="S3" s="4"/>
      <c r="T3" s="4"/>
      <c r="U3" s="6"/>
      <c r="V3" s="15"/>
      <c r="W3" s="15"/>
      <c r="X3" s="6"/>
      <c r="Y3" s="6"/>
      <c r="Z3" s="6"/>
      <c r="AX3" s="6" t="str">
        <v>Quarter 1</v>
      </c>
    </row>
    <row r="4" spans="1:50" ht="31.4" customHeight="1" x14ac:dyDescent="0.35">
      <c r="A4" s="136" t="s">
        <v>128</v>
      </c>
      <c r="B4" s="4" t="s">
        <v>129</v>
      </c>
      <c r="C4" s="4" t="s">
        <v>13</v>
      </c>
      <c r="D4" s="4" t="s">
        <v>130</v>
      </c>
      <c r="E4" s="157">
        <v>45383</v>
      </c>
      <c r="F4" s="9">
        <f>IF($E4="","",WORKDAY($E4,1,$V$33:$V$47))</f>
        <v>45384</v>
      </c>
      <c r="G4" s="9">
        <f>IF($E4="","",WORKDAY($E4,10,$V$33:$V$47))</f>
        <v>45397</v>
      </c>
      <c r="H4" s="9">
        <f>IF($E4="","",WORKDAY($E4,20,$V$33:$V$47))</f>
        <v>45411</v>
      </c>
      <c r="I4" s="157" t="s">
        <v>115</v>
      </c>
      <c r="J4" s="14" t="str">
        <f ca="1">IF(E4="","",IF(N4="",H4-TODAY(),""))</f>
        <v/>
      </c>
      <c r="K4" s="25" t="s">
        <v>5</v>
      </c>
      <c r="L4" s="25" t="s">
        <v>16</v>
      </c>
      <c r="M4" s="25" t="s">
        <v>71</v>
      </c>
      <c r="N4" s="16">
        <v>45384</v>
      </c>
      <c r="O4" s="159">
        <f>IF($N4="","",NETWORKDAYS($E4,$N4,$V$33:$V$47)-1)</f>
        <v>1</v>
      </c>
      <c r="P4" s="10" t="str">
        <f>IF(ISBLANK(N4),"",IF(N4&gt;H4,"No","Yes"))</f>
        <v>Yes</v>
      </c>
      <c r="Q4" s="9" t="s">
        <v>117</v>
      </c>
      <c r="R4" s="4" t="s">
        <v>132</v>
      </c>
      <c r="S4" s="4" t="s">
        <v>134</v>
      </c>
      <c r="T4" s="7"/>
      <c r="U4" s="6"/>
      <c r="V4" s="15"/>
      <c r="W4" s="15"/>
      <c r="X4" s="15"/>
      <c r="Y4" s="6"/>
      <c r="Z4" s="6"/>
      <c r="AX4" s="6" t="str">
        <v>Quarter 1</v>
      </c>
    </row>
    <row r="5" spans="1:50" ht="31.4" customHeight="1" x14ac:dyDescent="0.35">
      <c r="A5" s="136" t="s">
        <v>137</v>
      </c>
      <c r="B5" s="4" t="s">
        <v>138</v>
      </c>
      <c r="C5" s="4" t="s">
        <v>19</v>
      </c>
      <c r="D5" s="4" t="s">
        <v>139</v>
      </c>
      <c r="E5" s="157">
        <v>45384</v>
      </c>
      <c r="F5" s="9">
        <f>IF($E5="","",WORKDAY($E5,1,$V$33:$V$47))</f>
        <v>45385</v>
      </c>
      <c r="G5" s="9">
        <f>IF($E5="","",WORKDAY($E5,10,$V$33:$V$47))</f>
        <v>45398</v>
      </c>
      <c r="H5" s="9">
        <f>IF($E5="","",WORKDAY($E5,20,$V$33:$V$47))</f>
        <v>45412</v>
      </c>
      <c r="I5" s="157" t="s">
        <v>115</v>
      </c>
      <c r="J5" s="14" t="str">
        <f ca="1">IF(E5="","",IF(N5="",H5-TODAY(),""))</f>
        <v/>
      </c>
      <c r="K5" s="25" t="s">
        <v>5</v>
      </c>
      <c r="L5" s="25" t="s">
        <v>22</v>
      </c>
      <c r="M5" s="25" t="s">
        <v>64</v>
      </c>
      <c r="N5" s="16">
        <v>45398</v>
      </c>
      <c r="O5" s="159">
        <f>IF($N5="","",NETWORKDAYS($E5,$N5,$V$33:$V$47)-1)</f>
        <v>10</v>
      </c>
      <c r="P5" s="10" t="str">
        <f>IF(ISBLANK(N5),"",IF(N5&gt;H5,"No","Yes"))</f>
        <v>Yes</v>
      </c>
      <c r="Q5" s="9" t="s">
        <v>117</v>
      </c>
      <c r="R5" s="4" t="s">
        <v>118</v>
      </c>
      <c r="S5" s="4"/>
      <c r="T5" s="4" t="s">
        <v>141</v>
      </c>
      <c r="U5" s="6"/>
      <c r="W5" s="6"/>
      <c r="X5" s="6"/>
      <c r="Y5" s="6"/>
      <c r="Z5" s="6"/>
      <c r="AX5" s="6" t="str">
        <v>Quarter 1</v>
      </c>
    </row>
    <row r="6" spans="1:50" ht="31.4" customHeight="1" x14ac:dyDescent="0.35">
      <c r="A6" s="136" t="s">
        <v>144</v>
      </c>
      <c r="B6" s="4" t="s">
        <v>145</v>
      </c>
      <c r="C6" s="4" t="s">
        <v>13</v>
      </c>
      <c r="D6" s="4" t="s">
        <v>146</v>
      </c>
      <c r="E6" s="157">
        <v>45384</v>
      </c>
      <c r="F6" s="9">
        <f>IF($E6="","",WORKDAY($E6,1,$V$33:$V$47))</f>
        <v>45385</v>
      </c>
      <c r="G6" s="9">
        <f>IF($E6="","",WORKDAY($E6,10,$V$33:$V$47))</f>
        <v>45398</v>
      </c>
      <c r="H6" s="9">
        <f>IF($E6="","",WORKDAY($E6,20,$V$33:$V$47))</f>
        <v>45412</v>
      </c>
      <c r="I6" s="157" t="s">
        <v>115</v>
      </c>
      <c r="J6" s="14" t="str">
        <f ca="1">IF(E6="","",IF(N6="",H6-TODAY(),""))</f>
        <v/>
      </c>
      <c r="K6" s="25" t="s">
        <v>124</v>
      </c>
      <c r="L6" s="25" t="s">
        <v>20</v>
      </c>
      <c r="M6" s="25" t="s">
        <v>62</v>
      </c>
      <c r="N6" s="16">
        <v>45398</v>
      </c>
      <c r="O6" s="159">
        <f>IF($N6="","",NETWORKDAYS($E6,$N6,$V$33:$V$47)-1)</f>
        <v>10</v>
      </c>
      <c r="P6" s="10" t="str">
        <f>IF(ISBLANK(N6),"",IF(N6&gt;H6,"No","Yes"))</f>
        <v>Yes</v>
      </c>
      <c r="Q6" s="9" t="s">
        <v>117</v>
      </c>
      <c r="R6" s="4" t="s">
        <v>118</v>
      </c>
      <c r="S6" s="4"/>
      <c r="T6" s="4"/>
      <c r="U6" s="6"/>
      <c r="V6" s="6"/>
      <c r="W6" s="6"/>
      <c r="X6" s="6"/>
      <c r="Y6" s="6"/>
      <c r="Z6" s="6"/>
      <c r="AX6" s="6" t="str">
        <v>Quarter 1</v>
      </c>
    </row>
    <row r="7" spans="1:50" ht="31.4" customHeight="1" x14ac:dyDescent="0.35">
      <c r="A7" s="136" t="s">
        <v>147</v>
      </c>
      <c r="B7" s="4" t="s">
        <v>148</v>
      </c>
      <c r="C7" s="4" t="s">
        <v>13</v>
      </c>
      <c r="D7" s="4" t="s">
        <v>149</v>
      </c>
      <c r="E7" s="157">
        <v>45384</v>
      </c>
      <c r="F7" s="9">
        <f>IF($E7="","",WORKDAY($E7,1,$V$33:$V$47))</f>
        <v>45385</v>
      </c>
      <c r="G7" s="9">
        <f>IF($E7="","",WORKDAY($E7,10,$V$33:$V$47))</f>
        <v>45398</v>
      </c>
      <c r="H7" s="9">
        <f>IF($E7="","",WORKDAY($E7,20,$V$33:$V$47))</f>
        <v>45412</v>
      </c>
      <c r="I7" s="157" t="s">
        <v>115</v>
      </c>
      <c r="J7" s="14" t="str">
        <f ca="1">IF(E7="","",IF(N7="",H7-TODAY(),""))</f>
        <v/>
      </c>
      <c r="K7" s="25" t="s">
        <v>4</v>
      </c>
      <c r="L7" s="25" t="s">
        <v>7</v>
      </c>
      <c r="M7" s="25" t="s">
        <v>82</v>
      </c>
      <c r="N7" s="16">
        <v>45393</v>
      </c>
      <c r="O7" s="159">
        <f>IF($N7="","",NETWORKDAYS($E7,$N7,$V$33:$V$47)-1)</f>
        <v>7</v>
      </c>
      <c r="P7" s="10" t="str">
        <f>IF(ISBLANK(N7),"",IF(N7&gt;H7,"No","Yes"))</f>
        <v>Yes</v>
      </c>
      <c r="Q7" s="9" t="s">
        <v>117</v>
      </c>
      <c r="R7" s="4" t="s">
        <v>118</v>
      </c>
      <c r="S7" s="4" t="s">
        <v>135</v>
      </c>
      <c r="T7" s="4"/>
      <c r="U7" s="6"/>
      <c r="V7" s="15"/>
      <c r="W7" s="15"/>
      <c r="X7" s="15"/>
      <c r="Y7" s="6"/>
      <c r="Z7" s="6"/>
      <c r="AX7" s="6" t="str">
        <v>Quarter 1</v>
      </c>
    </row>
    <row r="8" spans="1:50" ht="31.4" customHeight="1" x14ac:dyDescent="0.35">
      <c r="A8" s="136" t="s">
        <v>151</v>
      </c>
      <c r="B8" s="4" t="s">
        <v>152</v>
      </c>
      <c r="C8" s="4" t="s">
        <v>13</v>
      </c>
      <c r="D8" s="4" t="s">
        <v>153</v>
      </c>
      <c r="E8" s="157">
        <v>45384</v>
      </c>
      <c r="F8" s="9">
        <f>IF($E8="","",WORKDAY($E8,1,$V$33:$V$47))</f>
        <v>45385</v>
      </c>
      <c r="G8" s="9">
        <f>IF($E8="","",WORKDAY($E8,10,$V$33:$V$47))</f>
        <v>45398</v>
      </c>
      <c r="H8" s="9">
        <f>IF($E8="","",WORKDAY($E8,20,$V$33:$V$47))</f>
        <v>45412</v>
      </c>
      <c r="I8" s="157" t="str">
        <f t="shared" ref="I8:I65" si="0">IF(ISBLANK(E8),"",TEXT(E8,"mmm"))</f>
        <v>Apr</v>
      </c>
      <c r="J8" s="14" t="str">
        <f ca="1">IF(E8="","",IF(N8="",H8-TODAY(),""))</f>
        <v/>
      </c>
      <c r="K8" s="25" t="s">
        <v>10</v>
      </c>
      <c r="L8" s="25" t="s">
        <v>12</v>
      </c>
      <c r="M8" s="25" t="s">
        <v>91</v>
      </c>
      <c r="N8" s="16">
        <v>45399</v>
      </c>
      <c r="O8" s="159">
        <f>IF($N8="","",NETWORKDAYS($E8,$N8,$V$33:$V$47)-1)</f>
        <v>11</v>
      </c>
      <c r="P8" s="10" t="str">
        <f>IF(ISBLANK(N8),"",IF(N8&gt;H8,"No","Yes"))</f>
        <v>Yes</v>
      </c>
      <c r="Q8" s="9" t="s">
        <v>117</v>
      </c>
      <c r="R8" s="4" t="s">
        <v>118</v>
      </c>
      <c r="S8" s="4"/>
      <c r="T8" s="4"/>
      <c r="U8" s="6"/>
      <c r="V8" s="15"/>
      <c r="W8" s="15"/>
      <c r="X8" s="15"/>
      <c r="Y8" s="15"/>
      <c r="Z8" s="6"/>
      <c r="AX8" s="6" t="str">
        <v>Quarter 1</v>
      </c>
    </row>
    <row r="9" spans="1:50" ht="31.4" customHeight="1" x14ac:dyDescent="0.35">
      <c r="A9" s="136" t="s">
        <v>154</v>
      </c>
      <c r="B9" s="4" t="s">
        <v>155</v>
      </c>
      <c r="C9" s="4" t="s">
        <v>13</v>
      </c>
      <c r="D9" s="4" t="s">
        <v>156</v>
      </c>
      <c r="E9" s="157">
        <v>45384</v>
      </c>
      <c r="F9" s="9">
        <f>IF($E9="","",WORKDAY($E9,1,$V$33:$V$47))</f>
        <v>45385</v>
      </c>
      <c r="G9" s="9">
        <f>IF($E9="","",WORKDAY($E9,10,$V$33:$V$47))</f>
        <v>45398</v>
      </c>
      <c r="H9" s="9">
        <f>IF($E9="","",WORKDAY($E9,20,$V$33:$V$47))</f>
        <v>45412</v>
      </c>
      <c r="I9" s="157" t="str">
        <f t="shared" si="0"/>
        <v>Apr</v>
      </c>
      <c r="J9" s="14" t="str">
        <f ca="1">IF(E9="","",IF(N9="",H9-TODAY(),""))</f>
        <v/>
      </c>
      <c r="K9" s="157" t="s">
        <v>124</v>
      </c>
      <c r="L9" s="157" t="s">
        <v>24</v>
      </c>
      <c r="M9" s="157" t="s">
        <v>76</v>
      </c>
      <c r="N9" s="9">
        <v>45385</v>
      </c>
      <c r="O9" s="159">
        <f>IF($N9="","",NETWORKDAYS($E9,$N9,$V$33:$V$47)-1)</f>
        <v>1</v>
      </c>
      <c r="P9" s="10" t="str">
        <f>IF(ISBLANK(N9),"",IF(N9&gt;H9,"No","Yes"))</f>
        <v>Yes</v>
      </c>
      <c r="Q9" s="9" t="s">
        <v>117</v>
      </c>
      <c r="R9" s="4" t="s">
        <v>118</v>
      </c>
      <c r="S9" s="4"/>
      <c r="T9" s="4"/>
      <c r="U9" s="6"/>
      <c r="V9" s="15"/>
      <c r="W9" s="15"/>
      <c r="X9" s="6"/>
      <c r="Y9" s="6"/>
      <c r="Z9" s="6"/>
      <c r="AX9" s="6" t="str">
        <v>Quarter 1</v>
      </c>
    </row>
    <row r="10" spans="1:50" ht="31.4" customHeight="1" x14ac:dyDescent="0.35">
      <c r="A10" s="136" t="s">
        <v>157</v>
      </c>
      <c r="B10" s="4" t="s">
        <v>158</v>
      </c>
      <c r="C10" s="4" t="s">
        <v>13</v>
      </c>
      <c r="D10" s="4" t="s">
        <v>159</v>
      </c>
      <c r="E10" s="157">
        <v>45384</v>
      </c>
      <c r="F10" s="9">
        <f>IF($E10="","",WORKDAY($E10,1,$V$33:$V$47))</f>
        <v>45385</v>
      </c>
      <c r="G10" s="9">
        <f>IF($E10="","",WORKDAY($E10,10,$V$33:$V$47))</f>
        <v>45398</v>
      </c>
      <c r="H10" s="9">
        <f>IF($E10="","",WORKDAY($E10,20,$V$33:$V$47))</f>
        <v>45412</v>
      </c>
      <c r="I10" s="157" t="str">
        <f t="shared" si="0"/>
        <v>Apr</v>
      </c>
      <c r="J10" s="14" t="str">
        <f ca="1">IF(E10="","",IF(N10="",H10-TODAY(),""))</f>
        <v/>
      </c>
      <c r="K10" s="157" t="s">
        <v>124</v>
      </c>
      <c r="L10" s="157" t="s">
        <v>24</v>
      </c>
      <c r="M10" s="157" t="s">
        <v>76</v>
      </c>
      <c r="N10" s="9">
        <v>45385</v>
      </c>
      <c r="O10" s="159">
        <f>IF($N10="","",NETWORKDAYS($E10,$N10,$V$33:$V$47)-1)</f>
        <v>1</v>
      </c>
      <c r="P10" s="10" t="str">
        <f>IF(ISBLANK(N10),"",IF(N10&gt;H10,"No","Yes"))</f>
        <v>Yes</v>
      </c>
      <c r="Q10" s="9" t="s">
        <v>117</v>
      </c>
      <c r="R10" s="4" t="s">
        <v>118</v>
      </c>
      <c r="S10" s="4" t="s">
        <v>135</v>
      </c>
      <c r="T10" s="4"/>
      <c r="U10" s="6"/>
      <c r="V10" s="15"/>
      <c r="W10" s="15"/>
      <c r="X10" s="6"/>
      <c r="Y10" s="15"/>
      <c r="Z10" s="6"/>
      <c r="AX10" s="6" t="str">
        <v>Quarter 1</v>
      </c>
    </row>
    <row r="11" spans="1:50" ht="31.4" customHeight="1" x14ac:dyDescent="0.35">
      <c r="A11" s="136" t="s">
        <v>160</v>
      </c>
      <c r="B11" s="4" t="s">
        <v>138</v>
      </c>
      <c r="C11" s="4" t="s">
        <v>19</v>
      </c>
      <c r="D11" s="4" t="s">
        <v>161</v>
      </c>
      <c r="E11" s="157">
        <v>45384</v>
      </c>
      <c r="F11" s="9">
        <f>IF($E11="","",WORKDAY($E11,1,$V$33:$V$47))</f>
        <v>45385</v>
      </c>
      <c r="G11" s="9">
        <f>IF($E11="","",WORKDAY($E11,10,$V$33:$V$47))</f>
        <v>45398</v>
      </c>
      <c r="H11" s="9">
        <f>IF($E11="","",WORKDAY($E11,20,$V$33:$V$47))</f>
        <v>45412</v>
      </c>
      <c r="I11" s="157" t="str">
        <f t="shared" si="0"/>
        <v>Apr</v>
      </c>
      <c r="J11" s="14" t="str">
        <f ca="1">IF(E11="","",IF(N11="",H11-TODAY(),""))</f>
        <v/>
      </c>
      <c r="K11" s="157" t="s">
        <v>5</v>
      </c>
      <c r="L11" s="157" t="s">
        <v>22</v>
      </c>
      <c r="M11" s="157" t="s">
        <v>64</v>
      </c>
      <c r="N11" s="9">
        <v>45393</v>
      </c>
      <c r="O11" s="159">
        <f>IF($N11="","",NETWORKDAYS($E11,$N11,$V$33:$V$47)-1)</f>
        <v>7</v>
      </c>
      <c r="P11" s="10" t="str">
        <f>IF(ISBLANK(N11),"",IF(N11&gt;H11,"No","Yes"))</f>
        <v>Yes</v>
      </c>
      <c r="Q11" s="9" t="s">
        <v>117</v>
      </c>
      <c r="R11" s="4" t="s">
        <v>118</v>
      </c>
      <c r="S11" s="4"/>
      <c r="T11" s="4"/>
      <c r="U11" s="6"/>
      <c r="V11" s="15"/>
      <c r="W11" s="15"/>
      <c r="X11" s="6"/>
      <c r="Y11" s="6"/>
      <c r="Z11" s="6"/>
      <c r="AX11" s="6" t="str">
        <v>Quarter 1</v>
      </c>
    </row>
    <row r="12" spans="1:50" ht="31.4" customHeight="1" x14ac:dyDescent="0.35">
      <c r="A12" s="136" t="s">
        <v>162</v>
      </c>
      <c r="B12" s="4" t="s">
        <v>8</v>
      </c>
      <c r="C12" s="4" t="s">
        <v>8</v>
      </c>
      <c r="D12" s="4" t="s">
        <v>163</v>
      </c>
      <c r="E12" s="157">
        <v>45384</v>
      </c>
      <c r="F12" s="9">
        <f>IF($E12="","",WORKDAY($E12,1,$V$33:$V$47))</f>
        <v>45385</v>
      </c>
      <c r="G12" s="9">
        <f>IF($E12="","",WORKDAY($E12,10,$V$33:$V$47))</f>
        <v>45398</v>
      </c>
      <c r="H12" s="9">
        <f>IF($E12="","",WORKDAY($E12,20,$V$33:$V$47))</f>
        <v>45412</v>
      </c>
      <c r="I12" s="157" t="str">
        <f t="shared" si="0"/>
        <v>Apr</v>
      </c>
      <c r="J12" s="14" t="str">
        <f ca="1">IF(E12="","",IF(N12="",H12-TODAY(),""))</f>
        <v/>
      </c>
      <c r="K12" s="157" t="s">
        <v>10</v>
      </c>
      <c r="L12" s="157" t="s">
        <v>12</v>
      </c>
      <c r="M12" s="157" t="s">
        <v>36</v>
      </c>
      <c r="N12" s="9">
        <v>45394</v>
      </c>
      <c r="O12" s="159">
        <f>IF($N12="","",NETWORKDAYS($E12,$N12,$V$33:$V$47)-1)</f>
        <v>8</v>
      </c>
      <c r="P12" s="10" t="str">
        <f>IF(ISBLANK(N12),"",IF(N12&gt;H12,"No","Yes"))</f>
        <v>Yes</v>
      </c>
      <c r="Q12" s="9" t="s">
        <v>117</v>
      </c>
      <c r="R12" s="4" t="s">
        <v>118</v>
      </c>
      <c r="S12" s="4"/>
      <c r="T12" s="4"/>
      <c r="U12" s="6"/>
      <c r="V12" s="6"/>
      <c r="W12" s="6"/>
      <c r="X12" s="6"/>
      <c r="Y12" s="6"/>
      <c r="Z12" s="6"/>
      <c r="AX12" s="6" t="str">
        <v>Quarter 1</v>
      </c>
    </row>
    <row r="13" spans="1:50" ht="31.4" customHeight="1" x14ac:dyDescent="0.35">
      <c r="A13" s="136" t="s">
        <v>164</v>
      </c>
      <c r="B13" s="4" t="s">
        <v>165</v>
      </c>
      <c r="C13" s="4" t="s">
        <v>6</v>
      </c>
      <c r="D13" s="4" t="s">
        <v>163</v>
      </c>
      <c r="E13" s="157">
        <v>45384</v>
      </c>
      <c r="F13" s="9">
        <f>IF($E13="","",WORKDAY($E13,1,$V$33:$V$47))</f>
        <v>45385</v>
      </c>
      <c r="G13" s="9">
        <f>IF($E13="","",WORKDAY($E13,10,$V$33:$V$47))</f>
        <v>45398</v>
      </c>
      <c r="H13" s="9">
        <f>IF($E13="","",WORKDAY($E13,20,$V$33:$V$47))</f>
        <v>45412</v>
      </c>
      <c r="I13" s="157" t="str">
        <f t="shared" si="0"/>
        <v>Apr</v>
      </c>
      <c r="J13" s="14" t="str">
        <f ca="1">IF(E13="","",IF(N13="",H13-TODAY(),""))</f>
        <v/>
      </c>
      <c r="K13" s="157" t="s">
        <v>10</v>
      </c>
      <c r="L13" s="157" t="s">
        <v>12</v>
      </c>
      <c r="M13" s="157" t="s">
        <v>36</v>
      </c>
      <c r="N13" s="9">
        <v>45398</v>
      </c>
      <c r="O13" s="159">
        <f>IF($N13="","",NETWORKDAYS($E13,$N13,$V$33:$V$47)-1)</f>
        <v>10</v>
      </c>
      <c r="P13" s="10" t="str">
        <f>IF(ISBLANK(N13),"",IF(N13&gt;H13,"No","Yes"))</f>
        <v>Yes</v>
      </c>
      <c r="Q13" s="9" t="s">
        <v>117</v>
      </c>
      <c r="R13" s="4" t="s">
        <v>118</v>
      </c>
      <c r="S13" s="4"/>
      <c r="T13" s="4"/>
      <c r="U13" s="6"/>
      <c r="V13" s="221"/>
      <c r="W13" s="221"/>
      <c r="X13" s="223"/>
      <c r="Y13" s="224"/>
      <c r="Z13" s="224"/>
      <c r="AA13" s="224"/>
      <c r="AB13" s="224"/>
      <c r="AC13" s="166"/>
      <c r="AD13" s="221"/>
      <c r="AE13" s="221"/>
      <c r="AX13" s="6" t="str">
        <v>Quarter 1</v>
      </c>
    </row>
    <row r="14" spans="1:50" ht="31.4" customHeight="1" x14ac:dyDescent="0.35">
      <c r="A14" s="136" t="s">
        <v>167</v>
      </c>
      <c r="B14" s="4" t="s">
        <v>8</v>
      </c>
      <c r="C14" s="4" t="s">
        <v>8</v>
      </c>
      <c r="D14" s="4" t="s">
        <v>168</v>
      </c>
      <c r="E14" s="157">
        <v>45385</v>
      </c>
      <c r="F14" s="9">
        <f>IF($E14="","",WORKDAY($E14,1,$V$33:$V$47))</f>
        <v>45386</v>
      </c>
      <c r="G14" s="9">
        <f>IF($E14="","",WORKDAY($E14,10,$V$33:$V$47))</f>
        <v>45399</v>
      </c>
      <c r="H14" s="9">
        <f>IF($E14="","",WORKDAY($E14,20,$V$33:$V$47))</f>
        <v>45413</v>
      </c>
      <c r="I14" s="157" t="str">
        <f t="shared" si="0"/>
        <v>Apr</v>
      </c>
      <c r="J14" s="14" t="str">
        <f ca="1">IF(E14="","",IF(N14="",H14-TODAY(),""))</f>
        <v/>
      </c>
      <c r="K14" s="157" t="s">
        <v>5</v>
      </c>
      <c r="L14" s="157" t="s">
        <v>16</v>
      </c>
      <c r="M14" s="157" t="s">
        <v>52</v>
      </c>
      <c r="N14" s="9">
        <v>45392</v>
      </c>
      <c r="O14" s="159">
        <f>IF($N14="","",NETWORKDAYS($E14,$N14,$V$33:$V$47)-1)</f>
        <v>5</v>
      </c>
      <c r="P14" s="10" t="str">
        <f>IF(ISBLANK(N14),"",IF(N14&gt;H14,"No","Yes"))</f>
        <v>Yes</v>
      </c>
      <c r="Q14" s="9" t="s">
        <v>117</v>
      </c>
      <c r="R14" s="4" t="s">
        <v>118</v>
      </c>
      <c r="S14" s="4"/>
      <c r="T14" s="4"/>
      <c r="U14" s="6"/>
      <c r="V14" s="221"/>
      <c r="W14" s="223"/>
      <c r="X14" s="223"/>
      <c r="Y14" s="223"/>
      <c r="Z14" s="223"/>
      <c r="AA14" s="223"/>
      <c r="AB14" s="223"/>
      <c r="AC14" s="223"/>
      <c r="AD14" s="222"/>
      <c r="AE14" s="221"/>
      <c r="AX14" s="6" t="str">
        <v>Quarter 1</v>
      </c>
    </row>
    <row r="15" spans="1:50" ht="31.4" customHeight="1" x14ac:dyDescent="0.35">
      <c r="A15" s="136" t="s">
        <v>173</v>
      </c>
      <c r="B15" s="4" t="s">
        <v>174</v>
      </c>
      <c r="C15" s="4" t="s">
        <v>23</v>
      </c>
      <c r="D15" s="4" t="s">
        <v>175</v>
      </c>
      <c r="E15" s="157">
        <v>45385</v>
      </c>
      <c r="F15" s="9">
        <f>IF($E15="","",WORKDAY($E15,1,$V$33:$V$47))</f>
        <v>45386</v>
      </c>
      <c r="G15" s="9">
        <f>IF($E15="","",WORKDAY($E15,10,$V$33:$V$47))</f>
        <v>45399</v>
      </c>
      <c r="H15" s="9">
        <f>IF($E15="","",WORKDAY($E15,20,$V$33:$V$47))</f>
        <v>45413</v>
      </c>
      <c r="I15" s="157" t="str">
        <f t="shared" si="0"/>
        <v>Apr</v>
      </c>
      <c r="J15" s="14" t="str">
        <f ca="1">IF(E15="","",IF(N15="",H15-TODAY(),""))</f>
        <v/>
      </c>
      <c r="K15" s="157" t="s">
        <v>124</v>
      </c>
      <c r="L15" s="157" t="s">
        <v>24</v>
      </c>
      <c r="M15" s="157" t="s">
        <v>94</v>
      </c>
      <c r="N15" s="9">
        <v>45391</v>
      </c>
      <c r="O15" s="159">
        <f>IF($N15="","",NETWORKDAYS($E15,$N15,$V$33:$V$47)-1)</f>
        <v>4</v>
      </c>
      <c r="P15" s="10" t="str">
        <f>IF(ISBLANK(N15),"",IF(N15&gt;H15,"No","Yes"))</f>
        <v>Yes</v>
      </c>
      <c r="Q15" s="9" t="s">
        <v>117</v>
      </c>
      <c r="R15" s="4" t="s">
        <v>118</v>
      </c>
      <c r="S15" s="4"/>
      <c r="T15" s="4" t="s">
        <v>141</v>
      </c>
      <c r="U15" s="6"/>
      <c r="V15" s="221"/>
      <c r="W15" s="224"/>
      <c r="X15" s="224"/>
      <c r="Y15" s="224"/>
      <c r="Z15" s="224"/>
      <c r="AA15" s="224"/>
      <c r="AB15" s="223"/>
      <c r="AC15" s="223"/>
      <c r="AD15" s="222"/>
      <c r="AE15" s="221"/>
      <c r="AX15" s="6" t="str">
        <v>Quarter 1</v>
      </c>
    </row>
    <row r="16" spans="1:50" ht="31.4" customHeight="1" x14ac:dyDescent="0.35">
      <c r="A16" s="136" t="s">
        <v>176</v>
      </c>
      <c r="B16" s="4" t="s">
        <v>138</v>
      </c>
      <c r="C16" s="4" t="s">
        <v>19</v>
      </c>
      <c r="D16" s="4" t="s">
        <v>177</v>
      </c>
      <c r="E16" s="157">
        <v>45385</v>
      </c>
      <c r="F16" s="9">
        <f>IF($E16="","",WORKDAY($E16,1,$V$33:$V$47))</f>
        <v>45386</v>
      </c>
      <c r="G16" s="9">
        <f>IF($E16="","",WORKDAY($E16,10,$V$33:$V$47))</f>
        <v>45399</v>
      </c>
      <c r="H16" s="9">
        <f>IF($E16="","",WORKDAY($E16,20,$V$33:$V$47))</f>
        <v>45413</v>
      </c>
      <c r="I16" s="157" t="str">
        <f t="shared" si="0"/>
        <v>Apr</v>
      </c>
      <c r="J16" s="14" t="str">
        <f ca="1">IF(E16="","",IF(N16="",H16-TODAY(),""))</f>
        <v/>
      </c>
      <c r="K16" s="157" t="s">
        <v>5</v>
      </c>
      <c r="L16" s="157" t="s">
        <v>18</v>
      </c>
      <c r="M16" s="157" t="s">
        <v>41</v>
      </c>
      <c r="N16" s="9">
        <v>45400</v>
      </c>
      <c r="O16" s="159">
        <f>IF($N16="","",NETWORKDAYS($E16,$N16,$V$33:$V$47)-1)</f>
        <v>11</v>
      </c>
      <c r="P16" s="10" t="str">
        <f>IF(ISBLANK(N16),"",IF(N16&gt;H16,"No","Yes"))</f>
        <v>Yes</v>
      </c>
      <c r="Q16" s="9" t="s">
        <v>117</v>
      </c>
      <c r="R16" s="4" t="s">
        <v>126</v>
      </c>
      <c r="S16" s="4" t="s">
        <v>178</v>
      </c>
      <c r="T16" s="4"/>
      <c r="U16" s="6"/>
      <c r="V16" s="15"/>
      <c r="W16" s="15"/>
      <c r="X16" s="15"/>
      <c r="Y16" s="15"/>
      <c r="Z16" s="15"/>
      <c r="AA16" s="15"/>
      <c r="AB16" s="15"/>
      <c r="AC16" s="15"/>
      <c r="AD16" s="15"/>
      <c r="AX16" s="6" t="str">
        <v>Quarter 1</v>
      </c>
    </row>
    <row r="17" spans="1:50" ht="31.4" customHeight="1" x14ac:dyDescent="0.35">
      <c r="A17" s="136" t="s">
        <v>180</v>
      </c>
      <c r="B17" s="4" t="s">
        <v>138</v>
      </c>
      <c r="C17" s="4" t="s">
        <v>19</v>
      </c>
      <c r="D17" s="4" t="s">
        <v>181</v>
      </c>
      <c r="E17" s="157">
        <v>45385</v>
      </c>
      <c r="F17" s="9">
        <f>IF($E17="","",WORKDAY($E17,1,$V$33:$V$47))</f>
        <v>45386</v>
      </c>
      <c r="G17" s="9">
        <f>IF($E17="","",WORKDAY($E17,10,$V$33:$V$47))</f>
        <v>45399</v>
      </c>
      <c r="H17" s="9">
        <f>IF($E17="","",WORKDAY($E17,20,$V$33:$V$47))</f>
        <v>45413</v>
      </c>
      <c r="I17" s="157" t="str">
        <f t="shared" si="0"/>
        <v>Apr</v>
      </c>
      <c r="J17" s="14" t="str">
        <f ca="1">IF(E17="","",IF(N17="",H17-TODAY(),""))</f>
        <v/>
      </c>
      <c r="K17" s="157" t="s">
        <v>5</v>
      </c>
      <c r="L17" s="157" t="s">
        <v>16</v>
      </c>
      <c r="M17" s="157" t="s">
        <v>71</v>
      </c>
      <c r="N17" s="9">
        <v>45386</v>
      </c>
      <c r="O17" s="159">
        <f>IF($N17="","",NETWORKDAYS($E17,$N17,$V$33:$V$47)-1)</f>
        <v>1</v>
      </c>
      <c r="P17" s="10" t="str">
        <f>IF(ISBLANK(N17),"",IF(N17&gt;H17,"No","Yes"))</f>
        <v>Yes</v>
      </c>
      <c r="Q17" s="9" t="s">
        <v>117</v>
      </c>
      <c r="R17" s="4" t="s">
        <v>118</v>
      </c>
      <c r="S17" s="4"/>
      <c r="T17" s="4"/>
      <c r="U17" s="6"/>
      <c r="V17" s="6"/>
      <c r="W17" s="6"/>
      <c r="X17" s="6"/>
      <c r="Y17" s="6"/>
      <c r="Z17" s="6"/>
      <c r="AX17" s="6" t="str">
        <v>Quarter 1</v>
      </c>
    </row>
    <row r="18" spans="1:50" ht="31.4" customHeight="1" x14ac:dyDescent="0.35">
      <c r="A18" s="136" t="s">
        <v>182</v>
      </c>
      <c r="B18" s="4" t="s">
        <v>138</v>
      </c>
      <c r="C18" s="4" t="s">
        <v>19</v>
      </c>
      <c r="D18" s="4" t="s">
        <v>177</v>
      </c>
      <c r="E18" s="157">
        <v>45385</v>
      </c>
      <c r="F18" s="9">
        <f>IF($E18="","",WORKDAY($E18,1,$V$33:$V$47))</f>
        <v>45386</v>
      </c>
      <c r="G18" s="9">
        <f>IF($E18="","",WORKDAY($E18,10,$V$33:$V$47))</f>
        <v>45399</v>
      </c>
      <c r="H18" s="9">
        <f>IF($E18="","",WORKDAY($E18,20,$V$33:$V$47))</f>
        <v>45413</v>
      </c>
      <c r="I18" s="157" t="str">
        <f t="shared" si="0"/>
        <v>Apr</v>
      </c>
      <c r="J18" s="14" t="str">
        <f ca="1">IF(E18="","",IF(N18="",H18-TODAY(),""))</f>
        <v/>
      </c>
      <c r="K18" s="157" t="s">
        <v>5</v>
      </c>
      <c r="L18" s="157" t="s">
        <v>18</v>
      </c>
      <c r="M18" s="157" t="s">
        <v>41</v>
      </c>
      <c r="N18" s="9">
        <v>45400</v>
      </c>
      <c r="O18" s="159">
        <f>IF($N18="","",NETWORKDAYS($E18,$N18,$V$33:$V$47)-1)</f>
        <v>11</v>
      </c>
      <c r="P18" s="10" t="str">
        <f>IF(ISBLANK(N18),"",IF(N18&gt;H18,"No","Yes"))</f>
        <v>Yes</v>
      </c>
      <c r="Q18" s="9" t="s">
        <v>117</v>
      </c>
      <c r="R18" s="4" t="s">
        <v>126</v>
      </c>
      <c r="S18" s="4" t="s">
        <v>178</v>
      </c>
      <c r="T18" s="4"/>
      <c r="U18" s="6"/>
      <c r="V18" s="15"/>
      <c r="W18" s="15"/>
      <c r="X18" s="15"/>
      <c r="Y18" s="15"/>
      <c r="Z18" s="15"/>
      <c r="AA18" s="15"/>
      <c r="AB18" s="15"/>
      <c r="AC18" s="15"/>
      <c r="AD18" s="15"/>
      <c r="AX18" s="6" t="str">
        <v>Quarter 1</v>
      </c>
    </row>
    <row r="19" spans="1:50" ht="31.4" customHeight="1" x14ac:dyDescent="0.35">
      <c r="A19" s="136" t="s">
        <v>184</v>
      </c>
      <c r="B19" s="4" t="s">
        <v>8</v>
      </c>
      <c r="C19" s="4" t="s">
        <v>8</v>
      </c>
      <c r="D19" s="4" t="s">
        <v>185</v>
      </c>
      <c r="E19" s="157">
        <v>45385</v>
      </c>
      <c r="F19" s="9">
        <f>IF($E19="","",WORKDAY($E19,1,$V$33:$V$47))</f>
        <v>45386</v>
      </c>
      <c r="G19" s="9">
        <f>IF($E19="","",WORKDAY($E19,10,$V$33:$V$47))</f>
        <v>45399</v>
      </c>
      <c r="H19" s="9">
        <f>IF($E19="","",WORKDAY($E19,20,$V$33:$V$47))</f>
        <v>45413</v>
      </c>
      <c r="I19" s="157" t="str">
        <f t="shared" si="0"/>
        <v>Apr</v>
      </c>
      <c r="J19" s="14" t="str">
        <f ca="1">IF(E19="","",IF(N19="",H19-TODAY(),""))</f>
        <v/>
      </c>
      <c r="K19" s="157" t="s">
        <v>5</v>
      </c>
      <c r="L19" s="157" t="s">
        <v>22</v>
      </c>
      <c r="M19" s="157" t="s">
        <v>55</v>
      </c>
      <c r="N19" s="9">
        <v>45386</v>
      </c>
      <c r="O19" s="159">
        <f>IF($N19="","",NETWORKDAYS($E19,$N19,$V$33:$V$47)-1)</f>
        <v>1</v>
      </c>
      <c r="P19" s="10" t="str">
        <f>IF(ISBLANK(N19),"",IF(N19&gt;H19,"No","Yes"))</f>
        <v>Yes</v>
      </c>
      <c r="Q19" s="9" t="s">
        <v>117</v>
      </c>
      <c r="R19" s="4" t="s">
        <v>118</v>
      </c>
      <c r="S19" s="4" t="s">
        <v>135</v>
      </c>
      <c r="T19" s="4"/>
      <c r="U19" s="6"/>
      <c r="V19" s="15"/>
      <c r="W19" s="15"/>
      <c r="X19" s="15"/>
      <c r="Y19" s="15"/>
      <c r="Z19" s="15"/>
      <c r="AA19" s="15"/>
      <c r="AB19" s="15"/>
      <c r="AC19" s="15"/>
      <c r="AD19" s="15"/>
      <c r="AX19" s="6" t="str">
        <v>Quarter 1</v>
      </c>
    </row>
    <row r="20" spans="1:50" ht="31.4" customHeight="1" x14ac:dyDescent="0.35">
      <c r="A20" s="136" t="s">
        <v>187</v>
      </c>
      <c r="B20" s="4" t="s">
        <v>188</v>
      </c>
      <c r="C20" s="4" t="s">
        <v>6</v>
      </c>
      <c r="D20" s="4" t="s">
        <v>189</v>
      </c>
      <c r="E20" s="157">
        <v>45385</v>
      </c>
      <c r="F20" s="9">
        <f>IF($E20="","",WORKDAY($E20,1,$V$33:$V$47))</f>
        <v>45386</v>
      </c>
      <c r="G20" s="9">
        <f>IF($E20="","",WORKDAY($E20,10,$V$33:$V$47))</f>
        <v>45399</v>
      </c>
      <c r="H20" s="9">
        <f>IF($E20="","",WORKDAY($E20,20,$V$33:$V$47))</f>
        <v>45413</v>
      </c>
      <c r="I20" s="157" t="str">
        <f t="shared" si="0"/>
        <v>Apr</v>
      </c>
      <c r="J20" s="14" t="str">
        <f ca="1">IF(E20="","",IF(N20="",H20-TODAY(),""))</f>
        <v/>
      </c>
      <c r="K20" s="157" t="s">
        <v>124</v>
      </c>
      <c r="L20" s="157" t="s">
        <v>20</v>
      </c>
      <c r="M20" s="157" t="s">
        <v>63</v>
      </c>
      <c r="N20" s="9">
        <v>45401</v>
      </c>
      <c r="O20" s="159">
        <f>IF($N20="","",NETWORKDAYS($E20,$N20,$V$33:$V$47)-1)</f>
        <v>12</v>
      </c>
      <c r="P20" s="10" t="str">
        <f>IF(ISBLANK(N20),"",IF(N20&gt;H20,"No","Yes"))</f>
        <v>Yes</v>
      </c>
      <c r="Q20" s="9" t="s">
        <v>117</v>
      </c>
      <c r="R20" s="4" t="s">
        <v>118</v>
      </c>
      <c r="S20" s="4"/>
      <c r="T20" s="4" t="s">
        <v>141</v>
      </c>
      <c r="U20" s="6"/>
      <c r="V20" s="15"/>
      <c r="W20" s="15"/>
      <c r="X20" s="15"/>
      <c r="Y20" s="15"/>
      <c r="Z20" s="15"/>
      <c r="AA20" s="15"/>
      <c r="AB20" s="15"/>
      <c r="AC20" s="15"/>
      <c r="AD20" s="15"/>
      <c r="AX20" s="6" t="str">
        <v>Quarter 1</v>
      </c>
    </row>
    <row r="21" spans="1:50" ht="31.4" customHeight="1" x14ac:dyDescent="0.35">
      <c r="A21" s="136" t="s">
        <v>191</v>
      </c>
      <c r="B21" s="4" t="s">
        <v>192</v>
      </c>
      <c r="C21" s="4" t="s">
        <v>13</v>
      </c>
      <c r="D21" s="4" t="s">
        <v>193</v>
      </c>
      <c r="E21" s="157">
        <v>45385</v>
      </c>
      <c r="F21" s="9">
        <f>IF($E21="","",WORKDAY($E21,1,$V$33:$V$47))</f>
        <v>45386</v>
      </c>
      <c r="G21" s="9">
        <f>IF($E21="","",WORKDAY($E21,10,$V$33:$V$47))</f>
        <v>45399</v>
      </c>
      <c r="H21" s="9">
        <f>IF($E21="","",WORKDAY($E21,20,$V$33:$V$47))</f>
        <v>45413</v>
      </c>
      <c r="I21" s="157" t="str">
        <f t="shared" si="0"/>
        <v>Apr</v>
      </c>
      <c r="J21" s="14" t="str">
        <f ca="1">IF(E21="","",IF(N21="",H21-TODAY(),""))</f>
        <v/>
      </c>
      <c r="K21" s="157" t="s">
        <v>124</v>
      </c>
      <c r="L21" s="157" t="s">
        <v>24</v>
      </c>
      <c r="M21" s="157" t="s">
        <v>87</v>
      </c>
      <c r="N21" s="9">
        <v>45399</v>
      </c>
      <c r="O21" s="159">
        <f>IF($N21="","",NETWORKDAYS($E21,$N21,$V$33:$V$47)-1)</f>
        <v>10</v>
      </c>
      <c r="P21" s="10" t="str">
        <f>IF(ISBLANK(N21),"",IF(N21&gt;H21,"No","Yes"))</f>
        <v>Yes</v>
      </c>
      <c r="Q21" s="9" t="s">
        <v>117</v>
      </c>
      <c r="R21" s="4" t="s">
        <v>118</v>
      </c>
      <c r="S21" s="4"/>
      <c r="T21" s="4" t="s">
        <v>141</v>
      </c>
      <c r="U21" s="6"/>
      <c r="V21" s="15"/>
      <c r="W21" s="15"/>
      <c r="X21" s="15"/>
      <c r="Y21" s="15"/>
      <c r="Z21" s="15"/>
      <c r="AA21" s="15"/>
      <c r="AB21" s="15"/>
      <c r="AC21" s="15"/>
      <c r="AD21" s="15"/>
      <c r="AX21" s="6" t="str">
        <v>Quarter 1</v>
      </c>
    </row>
    <row r="22" spans="1:50" ht="31.4" customHeight="1" x14ac:dyDescent="0.35">
      <c r="A22" s="136" t="s">
        <v>196</v>
      </c>
      <c r="B22" s="4" t="s">
        <v>197</v>
      </c>
      <c r="C22" s="4" t="s">
        <v>13</v>
      </c>
      <c r="D22" s="4" t="s">
        <v>198</v>
      </c>
      <c r="E22" s="157">
        <v>45386</v>
      </c>
      <c r="F22" s="9">
        <f>IF($E22="","",WORKDAY($E22,1,$V$33:$V$47))</f>
        <v>45387</v>
      </c>
      <c r="G22" s="9">
        <f>IF($E22="","",WORKDAY($E22,10,$V$33:$V$47))</f>
        <v>45400</v>
      </c>
      <c r="H22" s="9">
        <f>IF($E22="","",WORKDAY($E22,20,$V$33:$V$47))</f>
        <v>45414</v>
      </c>
      <c r="I22" s="157" t="str">
        <f t="shared" si="0"/>
        <v>Apr</v>
      </c>
      <c r="J22" s="14" t="str">
        <f ca="1">IF(E22="","",IF(N22="",H22-TODAY(),""))</f>
        <v/>
      </c>
      <c r="K22" s="157" t="s">
        <v>10</v>
      </c>
      <c r="L22" s="157" t="s">
        <v>12</v>
      </c>
      <c r="M22" s="157" t="s">
        <v>36</v>
      </c>
      <c r="N22" s="9">
        <v>45387</v>
      </c>
      <c r="O22" s="159">
        <f>IF($N22="","",NETWORKDAYS($E22,$N22,$V$33:$V$47)-1)</f>
        <v>1</v>
      </c>
      <c r="P22" s="10" t="str">
        <f>IF(ISBLANK(N22),"",IF(N22&gt;H22,"No","Yes"))</f>
        <v>Yes</v>
      </c>
      <c r="Q22" s="9" t="s">
        <v>117</v>
      </c>
      <c r="R22" s="4" t="s">
        <v>118</v>
      </c>
      <c r="S22" s="4"/>
      <c r="T22" s="4" t="s">
        <v>199</v>
      </c>
      <c r="U22" s="6"/>
      <c r="V22" s="15"/>
      <c r="W22" s="15"/>
      <c r="X22" s="15"/>
      <c r="Y22" s="15"/>
      <c r="Z22" s="15"/>
      <c r="AA22" s="15"/>
      <c r="AB22" s="15"/>
      <c r="AC22" s="15"/>
      <c r="AD22" s="15"/>
      <c r="AX22" s="6" t="str">
        <v>Quarter 1</v>
      </c>
    </row>
    <row r="23" spans="1:50" ht="31.4" customHeight="1" x14ac:dyDescent="0.35">
      <c r="A23" s="136" t="s">
        <v>201</v>
      </c>
      <c r="B23" s="4" t="s">
        <v>138</v>
      </c>
      <c r="C23" s="4" t="s">
        <v>19</v>
      </c>
      <c r="D23" s="4" t="s">
        <v>130</v>
      </c>
      <c r="E23" s="157">
        <v>45386</v>
      </c>
      <c r="F23" s="9">
        <f>IF($E23="","",WORKDAY($E23,1,$V$33:$V$47))</f>
        <v>45387</v>
      </c>
      <c r="G23" s="9">
        <f>IF($E23="","",WORKDAY($E23,10,$V$33:$V$47))</f>
        <v>45400</v>
      </c>
      <c r="H23" s="9">
        <f>IF($E23="","",WORKDAY($E23,20,$V$33:$V$47))</f>
        <v>45414</v>
      </c>
      <c r="I23" s="157" t="str">
        <f t="shared" si="0"/>
        <v>Apr</v>
      </c>
      <c r="J23" s="14" t="str">
        <f ca="1">IF(E23="","",IF(N23="",H23-TODAY(),""))</f>
        <v/>
      </c>
      <c r="K23" s="157" t="s">
        <v>5</v>
      </c>
      <c r="L23" s="157" t="s">
        <v>16</v>
      </c>
      <c r="M23" s="157" t="s">
        <v>71</v>
      </c>
      <c r="N23" s="9">
        <v>45386</v>
      </c>
      <c r="O23" s="159">
        <f>IF($N23="","",NETWORKDAYS($E23,$N23,$V$33:$V$47)-1)</f>
        <v>0</v>
      </c>
      <c r="P23" s="10" t="str">
        <f>IF(ISBLANK(N23),"",IF(N23&gt;H23,"No","Yes"))</f>
        <v>Yes</v>
      </c>
      <c r="Q23" s="9" t="s">
        <v>117</v>
      </c>
      <c r="R23" s="4" t="s">
        <v>132</v>
      </c>
      <c r="S23" s="4" t="s">
        <v>134</v>
      </c>
      <c r="T23" s="4"/>
      <c r="U23" s="6"/>
      <c r="V23" s="15"/>
      <c r="W23" s="15"/>
      <c r="X23" s="15"/>
      <c r="Y23" s="15"/>
      <c r="Z23" s="15"/>
      <c r="AA23" s="15"/>
      <c r="AB23" s="15"/>
      <c r="AC23" s="15"/>
      <c r="AD23" s="15"/>
      <c r="AX23" s="6" t="str">
        <v>Quarter 1</v>
      </c>
    </row>
    <row r="24" spans="1:50" ht="31.4" customHeight="1" x14ac:dyDescent="0.35">
      <c r="A24" s="136" t="s">
        <v>203</v>
      </c>
      <c r="B24" s="4" t="s">
        <v>204</v>
      </c>
      <c r="C24" s="4" t="s">
        <v>13</v>
      </c>
      <c r="D24" s="4" t="s">
        <v>205</v>
      </c>
      <c r="E24" s="157">
        <v>45387</v>
      </c>
      <c r="F24" s="9">
        <f>IF($E24="","",WORKDAY($E24,1,$V$33:$V$47))</f>
        <v>45390</v>
      </c>
      <c r="G24" s="9">
        <f>IF($E24="","",WORKDAY($E24,10,$V$33:$V$47))</f>
        <v>45401</v>
      </c>
      <c r="H24" s="9">
        <f>IF($E24="","",WORKDAY($E24,20,$V$33:$V$47))</f>
        <v>45415</v>
      </c>
      <c r="I24" s="157" t="str">
        <f t="shared" si="0"/>
        <v>Apr</v>
      </c>
      <c r="J24" s="14" t="str">
        <f ca="1">IF(E24="","",IF(N24="",H24-TODAY(),""))</f>
        <v/>
      </c>
      <c r="K24" s="157" t="s">
        <v>124</v>
      </c>
      <c r="L24" s="157" t="s">
        <v>14</v>
      </c>
      <c r="M24" s="157" t="s">
        <v>83</v>
      </c>
      <c r="N24" s="9">
        <v>45404</v>
      </c>
      <c r="O24" s="159">
        <f>IF($N24="","",NETWORKDAYS($E24,$N24,$V$33:$V$47)-1)</f>
        <v>11</v>
      </c>
      <c r="P24" s="10" t="str">
        <f>IF(ISBLANK(N24),"",IF(N24&gt;H24,"No","Yes"))</f>
        <v>Yes</v>
      </c>
      <c r="Q24" s="9" t="s">
        <v>117</v>
      </c>
      <c r="R24" s="4" t="s">
        <v>118</v>
      </c>
      <c r="S24" s="4"/>
      <c r="T24" s="4"/>
      <c r="U24" s="6"/>
      <c r="V24" s="15"/>
      <c r="W24" s="15"/>
      <c r="X24" s="15"/>
      <c r="Y24" s="15"/>
      <c r="Z24" s="15"/>
      <c r="AA24" s="15"/>
      <c r="AB24" s="15"/>
      <c r="AC24" s="15"/>
      <c r="AD24" s="15"/>
      <c r="AX24" s="6" t="str">
        <v>Quarter 1</v>
      </c>
    </row>
    <row r="25" spans="1:50" ht="31.4" customHeight="1" x14ac:dyDescent="0.35">
      <c r="A25" s="136" t="s">
        <v>208</v>
      </c>
      <c r="B25" s="4" t="s">
        <v>209</v>
      </c>
      <c r="C25" s="4" t="s">
        <v>13</v>
      </c>
      <c r="D25" s="4" t="s">
        <v>210</v>
      </c>
      <c r="E25" s="157">
        <v>45387</v>
      </c>
      <c r="F25" s="9">
        <f>IF($E25="","",WORKDAY($E25,1,$V$33:$V$47))</f>
        <v>45390</v>
      </c>
      <c r="G25" s="9">
        <f>IF($E25="","",WORKDAY($E25,10,$V$33:$V$47))</f>
        <v>45401</v>
      </c>
      <c r="H25" s="9">
        <f>IF($E25="","",WORKDAY($E25,20,$V$33:$V$47))</f>
        <v>45415</v>
      </c>
      <c r="I25" s="157" t="str">
        <f t="shared" si="0"/>
        <v>Apr</v>
      </c>
      <c r="J25" s="14" t="str">
        <f ca="1">IF(E25="","",IF(N25="",H25-TODAY(),""))</f>
        <v/>
      </c>
      <c r="K25" s="157" t="s">
        <v>5</v>
      </c>
      <c r="L25" s="157" t="s">
        <v>16</v>
      </c>
      <c r="M25" s="157" t="s">
        <v>71</v>
      </c>
      <c r="N25" s="9">
        <v>45392</v>
      </c>
      <c r="O25" s="159">
        <f>IF($N25="","",NETWORKDAYS($E25,$N25,$V$33:$V$47)-1)</f>
        <v>3</v>
      </c>
      <c r="P25" s="10" t="str">
        <f>IF(ISBLANK(N25),"",IF(N25&gt;H25,"No","Yes"))</f>
        <v>Yes</v>
      </c>
      <c r="Q25" s="9" t="s">
        <v>117</v>
      </c>
      <c r="R25" s="4" t="s">
        <v>118</v>
      </c>
      <c r="S25" s="4"/>
      <c r="T25" s="4"/>
      <c r="U25" s="6"/>
      <c r="V25" s="15"/>
      <c r="W25" s="15"/>
      <c r="X25" s="15"/>
      <c r="Y25" s="15"/>
      <c r="Z25" s="15"/>
      <c r="AA25" s="15"/>
      <c r="AB25" s="15"/>
      <c r="AC25" s="15"/>
      <c r="AD25" s="15"/>
      <c r="AX25" s="6" t="str">
        <v>Quarter 1</v>
      </c>
    </row>
    <row r="26" spans="1:50" ht="31.4" customHeight="1" x14ac:dyDescent="0.35">
      <c r="A26" s="136" t="s">
        <v>213</v>
      </c>
      <c r="B26" s="4" t="s">
        <v>214</v>
      </c>
      <c r="C26" s="4" t="s">
        <v>13</v>
      </c>
      <c r="D26" s="4" t="s">
        <v>215</v>
      </c>
      <c r="E26" s="157">
        <v>45387</v>
      </c>
      <c r="F26" s="9">
        <f>IF($E26="","",WORKDAY($E26,1,$V$33:$V$47))</f>
        <v>45390</v>
      </c>
      <c r="G26" s="9">
        <f>IF($E26="","",WORKDAY($E26,10,$V$33:$V$47))</f>
        <v>45401</v>
      </c>
      <c r="H26" s="9">
        <f>IF($E26="","",WORKDAY($E26,20,$V$33:$V$47))</f>
        <v>45415</v>
      </c>
      <c r="I26" s="157" t="str">
        <f t="shared" si="0"/>
        <v>Apr</v>
      </c>
      <c r="J26" s="14" t="str">
        <f ca="1">IF(E26="","",IF(N26="",H26-TODAY(),""))</f>
        <v/>
      </c>
      <c r="K26" s="157" t="s">
        <v>10</v>
      </c>
      <c r="L26" s="157" t="s">
        <v>9</v>
      </c>
      <c r="M26" s="157" t="s">
        <v>38</v>
      </c>
      <c r="N26" s="9">
        <v>45401</v>
      </c>
      <c r="O26" s="159">
        <f>IF($N26="","",NETWORKDAYS($E26,$N26,$V$33:$V$47)-1)</f>
        <v>10</v>
      </c>
      <c r="P26" s="10" t="str">
        <f>IF(ISBLANK(N26),"",IF(N26&gt;H26,"No","Yes"))</f>
        <v>Yes</v>
      </c>
      <c r="Q26" s="9" t="s">
        <v>117</v>
      </c>
      <c r="R26" s="4" t="s">
        <v>118</v>
      </c>
      <c r="S26" s="4"/>
      <c r="T26" s="4"/>
      <c r="U26" s="6"/>
      <c r="V26" s="15"/>
      <c r="W26" s="15"/>
      <c r="X26" s="15"/>
      <c r="Y26" s="15"/>
      <c r="Z26" s="15"/>
      <c r="AA26" s="15"/>
      <c r="AB26" s="15"/>
      <c r="AC26" s="15"/>
      <c r="AD26" s="15"/>
      <c r="AX26" s="6" t="str">
        <v>Quarter 1</v>
      </c>
    </row>
    <row r="27" spans="1:50" ht="31.4" customHeight="1" x14ac:dyDescent="0.35">
      <c r="A27" s="136" t="s">
        <v>217</v>
      </c>
      <c r="B27" s="4" t="s">
        <v>218</v>
      </c>
      <c r="C27" s="4" t="s">
        <v>15</v>
      </c>
      <c r="D27" s="4" t="s">
        <v>219</v>
      </c>
      <c r="E27" s="157">
        <v>45390</v>
      </c>
      <c r="F27" s="9">
        <f>IF($E27="","",WORKDAY($E27,1,$V$33:$V$47))</f>
        <v>45391</v>
      </c>
      <c r="G27" s="9">
        <f>IF($E27="","",WORKDAY($E27,10,$V$33:$V$47))</f>
        <v>45404</v>
      </c>
      <c r="H27" s="9">
        <f>IF($E27="","",WORKDAY($E27,20,$V$33:$V$47))</f>
        <v>45418</v>
      </c>
      <c r="I27" s="157" t="str">
        <f t="shared" si="0"/>
        <v>Apr</v>
      </c>
      <c r="J27" s="14" t="str">
        <f ca="1">IF(E27="","",IF(N27="",H27-TODAY(),""))</f>
        <v/>
      </c>
      <c r="K27" s="157" t="s">
        <v>5</v>
      </c>
      <c r="L27" s="157" t="s">
        <v>16</v>
      </c>
      <c r="M27" s="157" t="s">
        <v>67</v>
      </c>
      <c r="N27" s="9">
        <v>45404</v>
      </c>
      <c r="O27" s="159">
        <f>IF($N27="","",NETWORKDAYS($E27,$N27,$V$33:$V$47)-1)</f>
        <v>10</v>
      </c>
      <c r="P27" s="10" t="str">
        <f>IF(ISBLANK(N27),"",IF(N27&gt;H27,"No","Yes"))</f>
        <v>Yes</v>
      </c>
      <c r="Q27" s="9" t="s">
        <v>117</v>
      </c>
      <c r="R27" s="4" t="s">
        <v>118</v>
      </c>
      <c r="S27" s="4"/>
      <c r="T27" s="4"/>
      <c r="U27" s="6"/>
      <c r="V27" s="15"/>
      <c r="W27" s="15"/>
      <c r="X27" s="15"/>
      <c r="Y27" s="15"/>
      <c r="Z27" s="15"/>
      <c r="AA27" s="15"/>
      <c r="AB27" s="15"/>
      <c r="AC27" s="15"/>
      <c r="AD27" s="15"/>
      <c r="AX27" s="6" t="str">
        <v>Quarter 1</v>
      </c>
    </row>
    <row r="28" spans="1:50" ht="31.4" customHeight="1" x14ac:dyDescent="0.35">
      <c r="A28" s="136" t="s">
        <v>221</v>
      </c>
      <c r="B28" s="4" t="s">
        <v>218</v>
      </c>
      <c r="C28" s="4" t="s">
        <v>15</v>
      </c>
      <c r="D28" s="4" t="s">
        <v>222</v>
      </c>
      <c r="E28" s="157">
        <v>45390</v>
      </c>
      <c r="F28" s="9">
        <f>IF($E28="","",WORKDAY($E28,1,$V$33:$V$47))</f>
        <v>45391</v>
      </c>
      <c r="G28" s="9">
        <f>IF($E28="","",WORKDAY($E28,10,$V$33:$V$47))</f>
        <v>45404</v>
      </c>
      <c r="H28" s="9">
        <f>IF($E28="","",WORKDAY($E28,20,$V$33:$V$47))</f>
        <v>45418</v>
      </c>
      <c r="I28" s="157" t="str">
        <f t="shared" si="0"/>
        <v>Apr</v>
      </c>
      <c r="J28" s="14" t="str">
        <f ca="1">IF(E28="","",IF(N28="",H28-TODAY(),""))</f>
        <v/>
      </c>
      <c r="K28" s="157" t="s">
        <v>5</v>
      </c>
      <c r="L28" s="157" t="s">
        <v>16</v>
      </c>
      <c r="M28" s="157" t="s">
        <v>67</v>
      </c>
      <c r="N28" s="9">
        <v>45404</v>
      </c>
      <c r="O28" s="159">
        <f>IF($N28="","",NETWORKDAYS($E28,$N28,$V$33:$V$47)-1)</f>
        <v>10</v>
      </c>
      <c r="P28" s="10" t="str">
        <f>IF(ISBLANK(N28),"",IF(N28&gt;H28,"No","Yes"))</f>
        <v>Yes</v>
      </c>
      <c r="Q28" s="9" t="s">
        <v>117</v>
      </c>
      <c r="R28" s="4" t="s">
        <v>118</v>
      </c>
      <c r="S28" s="4"/>
      <c r="T28" s="4"/>
      <c r="U28" s="6"/>
      <c r="V28" s="15"/>
      <c r="W28" s="15"/>
      <c r="X28" s="15"/>
      <c r="Y28" s="15"/>
      <c r="Z28" s="15"/>
      <c r="AA28" s="15"/>
      <c r="AB28" s="15"/>
      <c r="AC28" s="15"/>
      <c r="AD28" s="15"/>
      <c r="AX28" s="6" t="str">
        <v>Quarter 1</v>
      </c>
    </row>
    <row r="29" spans="1:50" ht="31.4" customHeight="1" x14ac:dyDescent="0.35">
      <c r="A29" s="136" t="s">
        <v>224</v>
      </c>
      <c r="B29" s="4" t="s">
        <v>138</v>
      </c>
      <c r="C29" s="4" t="s">
        <v>19</v>
      </c>
      <c r="D29" s="4" t="s">
        <v>225</v>
      </c>
      <c r="E29" s="157">
        <v>45390</v>
      </c>
      <c r="F29" s="9">
        <f>IF($E29="","",WORKDAY($E29,1,$V$33:$V$47))</f>
        <v>45391</v>
      </c>
      <c r="G29" s="9">
        <f>IF($E29="","",WORKDAY($E29,10,$V$33:$V$47))</f>
        <v>45404</v>
      </c>
      <c r="H29" s="9">
        <f>IF($E29="","",WORKDAY($E29,20,$V$33:$V$47))</f>
        <v>45418</v>
      </c>
      <c r="I29" s="157" t="str">
        <f t="shared" si="0"/>
        <v>Apr</v>
      </c>
      <c r="J29" s="14" t="str">
        <f ca="1">IF(E29="","",IF(N29="",H29-TODAY(),""))</f>
        <v/>
      </c>
      <c r="K29" s="157" t="s">
        <v>124</v>
      </c>
      <c r="L29" s="157" t="s">
        <v>20</v>
      </c>
      <c r="M29" s="157" t="s">
        <v>62</v>
      </c>
      <c r="N29" s="9">
        <v>45405</v>
      </c>
      <c r="O29" s="159">
        <f>IF($N29="","",NETWORKDAYS($E29,$N29,$V$33:$V$47)-1)</f>
        <v>11</v>
      </c>
      <c r="P29" s="10" t="str">
        <f>IF(ISBLANK(N29),"",IF(N29&gt;H29,"No","Yes"))</f>
        <v>Yes</v>
      </c>
      <c r="Q29" s="9" t="s">
        <v>117</v>
      </c>
      <c r="R29" s="4" t="s">
        <v>118</v>
      </c>
      <c r="S29" s="4"/>
      <c r="T29" s="4" t="s">
        <v>141</v>
      </c>
      <c r="U29" s="6"/>
      <c r="V29" s="15"/>
      <c r="W29" s="15"/>
      <c r="X29" s="15"/>
      <c r="Y29" s="15"/>
      <c r="Z29" s="15"/>
      <c r="AA29" s="15"/>
      <c r="AB29" s="15"/>
      <c r="AC29" s="15"/>
      <c r="AD29" s="15"/>
      <c r="AX29" s="6" t="str">
        <v>Quarter 1</v>
      </c>
    </row>
    <row r="30" spans="1:50" ht="31.4" customHeight="1" x14ac:dyDescent="0.35">
      <c r="A30" s="136" t="s">
        <v>227</v>
      </c>
      <c r="B30" s="4" t="s">
        <v>228</v>
      </c>
      <c r="C30" s="4" t="s">
        <v>13</v>
      </c>
      <c r="D30" s="4" t="s">
        <v>229</v>
      </c>
      <c r="E30" s="157">
        <v>45390</v>
      </c>
      <c r="F30" s="9">
        <f>IF($E30="","",WORKDAY($E30,1,$V$33:$V$47))</f>
        <v>45391</v>
      </c>
      <c r="G30" s="9">
        <f>IF($E30="","",WORKDAY($E30,10,$V$33:$V$47))</f>
        <v>45404</v>
      </c>
      <c r="H30" s="9">
        <f>IF($E30="","",WORKDAY($E30,20,$V$33:$V$47))</f>
        <v>45418</v>
      </c>
      <c r="I30" s="157" t="str">
        <f t="shared" si="0"/>
        <v>Apr</v>
      </c>
      <c r="J30" s="14" t="str">
        <f ca="1">IF(E30="","",IF(N30="",H30-TODAY(),""))</f>
        <v/>
      </c>
      <c r="K30" s="157" t="s">
        <v>5</v>
      </c>
      <c r="L30" s="157" t="s">
        <v>16</v>
      </c>
      <c r="M30" s="157" t="s">
        <v>71</v>
      </c>
      <c r="N30" s="9">
        <v>45392</v>
      </c>
      <c r="O30" s="159">
        <f>IF($N30="","",NETWORKDAYS($E30,$N30,$V$33:$V$47)-1)</f>
        <v>2</v>
      </c>
      <c r="P30" s="10" t="str">
        <f>IF(ISBLANK(N30),"",IF(N30&gt;H30,"No","Yes"))</f>
        <v>Yes</v>
      </c>
      <c r="Q30" s="9" t="s">
        <v>117</v>
      </c>
      <c r="R30" s="4" t="s">
        <v>118</v>
      </c>
      <c r="S30" s="4"/>
      <c r="T30" s="4"/>
      <c r="U30" s="6"/>
      <c r="V30" s="6"/>
      <c r="W30" s="6"/>
      <c r="X30" s="6"/>
      <c r="Y30" s="6"/>
      <c r="Z30" s="6"/>
      <c r="AX30" s="6" t="str">
        <v>Quarter 1</v>
      </c>
    </row>
    <row r="31" spans="1:50" ht="31.4" customHeight="1" x14ac:dyDescent="0.35">
      <c r="A31" s="136" t="s">
        <v>230</v>
      </c>
      <c r="B31" s="4" t="s">
        <v>8</v>
      </c>
      <c r="C31" s="4" t="s">
        <v>8</v>
      </c>
      <c r="D31" s="4" t="s">
        <v>231</v>
      </c>
      <c r="E31" s="157">
        <v>45390</v>
      </c>
      <c r="F31" s="9">
        <f>IF($E31="","",WORKDAY($E31,1,$V$33:$V$47))</f>
        <v>45391</v>
      </c>
      <c r="G31" s="9">
        <f>IF($E31="","",WORKDAY($E31,10,$V$33:$V$47))</f>
        <v>45404</v>
      </c>
      <c r="H31" s="9">
        <f>IF($E31="","",WORKDAY($E31,20,$V$33:$V$47))</f>
        <v>45418</v>
      </c>
      <c r="I31" s="157" t="str">
        <f t="shared" si="0"/>
        <v>Apr</v>
      </c>
      <c r="J31" s="14" t="str">
        <f ca="1">IF(E31="","",IF(N31="",H31-TODAY(),""))</f>
        <v/>
      </c>
      <c r="K31" s="157" t="s">
        <v>124</v>
      </c>
      <c r="L31" s="157" t="s">
        <v>24</v>
      </c>
      <c r="M31" s="157" t="s">
        <v>61</v>
      </c>
      <c r="N31" s="9">
        <v>45397</v>
      </c>
      <c r="O31" s="159">
        <f>IF($N31="","",NETWORKDAYS($E31,$N31,$V$33:$V$47)-1)</f>
        <v>5</v>
      </c>
      <c r="P31" s="10" t="str">
        <f>IF(ISBLANK(N31),"",IF(N31&gt;H31,"No","Yes"))</f>
        <v>Yes</v>
      </c>
      <c r="Q31" s="9" t="s">
        <v>117</v>
      </c>
      <c r="R31" s="4" t="s">
        <v>118</v>
      </c>
      <c r="S31" s="4"/>
      <c r="T31" s="4"/>
      <c r="U31" s="6"/>
      <c r="V31" s="6"/>
      <c r="W31" s="6"/>
      <c r="X31" s="6"/>
      <c r="Y31" s="6"/>
      <c r="Z31" s="6"/>
      <c r="AX31" s="6" t="str">
        <v>Quarter 1</v>
      </c>
    </row>
    <row r="32" spans="1:50" ht="31.4" customHeight="1" x14ac:dyDescent="0.35">
      <c r="A32" s="136" t="s">
        <v>232</v>
      </c>
      <c r="B32" s="4" t="s">
        <v>233</v>
      </c>
      <c r="C32" s="4" t="s">
        <v>17</v>
      </c>
      <c r="D32" s="4" t="s">
        <v>234</v>
      </c>
      <c r="E32" s="157">
        <v>45390</v>
      </c>
      <c r="F32" s="9">
        <f>IF($E32="","",WORKDAY($E32,1,$V$33:$V$47))</f>
        <v>45391</v>
      </c>
      <c r="G32" s="9">
        <f>IF($E32="","",WORKDAY($E32,10,$V$33:$V$47))</f>
        <v>45404</v>
      </c>
      <c r="H32" s="9">
        <f>IF($E32="","",WORKDAY($E32,20,$V$33:$V$47))</f>
        <v>45418</v>
      </c>
      <c r="I32" s="157" t="str">
        <f t="shared" si="0"/>
        <v>Apr</v>
      </c>
      <c r="J32" s="14" t="str">
        <f ca="1">IF(E32="","",IF(N32="",H32-TODAY(),""))</f>
        <v/>
      </c>
      <c r="K32" s="157" t="s">
        <v>124</v>
      </c>
      <c r="L32" s="157" t="s">
        <v>14</v>
      </c>
      <c r="M32" s="157" t="s">
        <v>44</v>
      </c>
      <c r="N32" s="9">
        <v>45415</v>
      </c>
      <c r="O32" s="159">
        <f>IF($N32="","",NETWORKDAYS($E32,$N32,$V$33:$V$47)-1)</f>
        <v>19</v>
      </c>
      <c r="P32" s="10" t="str">
        <f>IF(ISBLANK(N32),"",IF(N32&gt;H32,"No","Yes"))</f>
        <v>Yes</v>
      </c>
      <c r="Q32" s="9" t="s">
        <v>117</v>
      </c>
      <c r="R32" s="4" t="s">
        <v>118</v>
      </c>
      <c r="S32" s="4"/>
      <c r="T32" s="4" t="s">
        <v>141</v>
      </c>
      <c r="U32" s="6"/>
      <c r="V32" s="6"/>
      <c r="W32" s="6"/>
      <c r="X32" s="6"/>
      <c r="Y32" s="6"/>
      <c r="Z32" s="6"/>
      <c r="AX32" s="6" t="str">
        <v>Quarter 1</v>
      </c>
    </row>
    <row r="33" spans="1:50" ht="31.4" customHeight="1" x14ac:dyDescent="0.35">
      <c r="A33" s="136" t="s">
        <v>235</v>
      </c>
      <c r="B33" s="4" t="s">
        <v>236</v>
      </c>
      <c r="C33" s="4" t="s">
        <v>13</v>
      </c>
      <c r="D33" s="4" t="s">
        <v>237</v>
      </c>
      <c r="E33" s="157">
        <v>45390</v>
      </c>
      <c r="F33" s="9">
        <f>IF($E33="","",WORKDAY($E33,1,$V$33:$V$47))</f>
        <v>45391</v>
      </c>
      <c r="G33" s="9">
        <f>IF($E33="","",WORKDAY($E33,10,$V$33:$V$47))</f>
        <v>45404</v>
      </c>
      <c r="H33" s="9">
        <f>IF($E33="","",WORKDAY($E33,20,$V$33:$V$47))</f>
        <v>45418</v>
      </c>
      <c r="I33" s="157" t="str">
        <f t="shared" si="0"/>
        <v>Apr</v>
      </c>
      <c r="J33" s="14" t="str">
        <f ca="1">IF(E33="","",IF(N33="",H33-TODAY(),""))</f>
        <v/>
      </c>
      <c r="K33" s="157" t="s">
        <v>124</v>
      </c>
      <c r="L33" s="157" t="s">
        <v>20</v>
      </c>
      <c r="M33" s="157" t="s">
        <v>47</v>
      </c>
      <c r="N33" s="9">
        <v>45390</v>
      </c>
      <c r="O33" s="159">
        <f>IF($N33="","",NETWORKDAYS($E33,$N33,$V$33:$V$47)-1)</f>
        <v>0</v>
      </c>
      <c r="P33" s="10" t="str">
        <f>IF(ISBLANK(N33),"",IF(N33&gt;H33,"No","Yes"))</f>
        <v>Yes</v>
      </c>
      <c r="Q33" s="9" t="s">
        <v>117</v>
      </c>
      <c r="R33" s="4" t="s">
        <v>118</v>
      </c>
      <c r="S33" s="4"/>
      <c r="T33" s="4"/>
      <c r="U33" s="6"/>
      <c r="V33" s="153"/>
      <c r="W33" s="6"/>
      <c r="X33" s="6"/>
      <c r="Y33" s="6"/>
      <c r="Z33" s="6"/>
      <c r="AX33" s="6" t="str">
        <v>Quarter 1</v>
      </c>
    </row>
    <row r="34" spans="1:50" ht="31.4" customHeight="1" x14ac:dyDescent="0.35">
      <c r="A34" s="136" t="s">
        <v>238</v>
      </c>
      <c r="B34" s="4" t="s">
        <v>155</v>
      </c>
      <c r="C34" s="4" t="s">
        <v>13</v>
      </c>
      <c r="D34" s="4" t="s">
        <v>239</v>
      </c>
      <c r="E34" s="157">
        <v>45390</v>
      </c>
      <c r="F34" s="9">
        <f>IF($E34="","",WORKDAY($E34,1,$V$33:$V$47))</f>
        <v>45391</v>
      </c>
      <c r="G34" s="9">
        <f>IF($E34="","",WORKDAY($E34,10,$V$33:$V$47))</f>
        <v>45404</v>
      </c>
      <c r="H34" s="9">
        <f>IF($E34="","",WORKDAY($E34,20,$V$33:$V$47))</f>
        <v>45418</v>
      </c>
      <c r="I34" s="157" t="str">
        <f t="shared" si="0"/>
        <v>Apr</v>
      </c>
      <c r="J34" s="14" t="str">
        <f ca="1">IF(E34="","",IF(N34="",H34-TODAY(),""))</f>
        <v/>
      </c>
      <c r="K34" s="157" t="s">
        <v>124</v>
      </c>
      <c r="L34" s="157" t="s">
        <v>20</v>
      </c>
      <c r="M34" s="157" t="s">
        <v>63</v>
      </c>
      <c r="N34" s="9">
        <v>45405</v>
      </c>
      <c r="O34" s="159">
        <f>IF($N34="","",NETWORKDAYS($E34,$N34,$V$33:$V$47)-1)</f>
        <v>11</v>
      </c>
      <c r="P34" s="10" t="str">
        <f>IF(ISBLANK(N34),"",IF(N34&gt;H34,"No","Yes"))</f>
        <v>Yes</v>
      </c>
      <c r="Q34" s="9" t="s">
        <v>117</v>
      </c>
      <c r="R34" s="4" t="s">
        <v>118</v>
      </c>
      <c r="S34" s="4"/>
      <c r="T34" s="4"/>
      <c r="U34" s="6"/>
      <c r="V34" s="153"/>
      <c r="W34" s="6"/>
      <c r="X34" s="6"/>
      <c r="Y34" s="6"/>
      <c r="Z34" s="6"/>
      <c r="AX34" s="6" t="str">
        <v>Quarter 1</v>
      </c>
    </row>
    <row r="35" spans="1:50" ht="31.4" customHeight="1" x14ac:dyDescent="0.35">
      <c r="A35" s="136" t="s">
        <v>240</v>
      </c>
      <c r="B35" s="4" t="s">
        <v>241</v>
      </c>
      <c r="C35" s="4" t="s">
        <v>13</v>
      </c>
      <c r="D35" s="4" t="s">
        <v>242</v>
      </c>
      <c r="E35" s="157">
        <v>45390</v>
      </c>
      <c r="F35" s="9">
        <f>IF($E35="","",WORKDAY($E35,1,$V$33:$V$47))</f>
        <v>45391</v>
      </c>
      <c r="G35" s="9">
        <f>IF($E35="","",WORKDAY($E35,10,$V$33:$V$47))</f>
        <v>45404</v>
      </c>
      <c r="H35" s="9">
        <f>IF($E35="","",WORKDAY($E35,20,$V$33:$V$47))</f>
        <v>45418</v>
      </c>
      <c r="I35" s="157" t="str">
        <f t="shared" si="0"/>
        <v>Apr</v>
      </c>
      <c r="J35" s="14" t="str">
        <f ca="1">IF(E35="","",IF(N35="",H35-TODAY(),""))</f>
        <v/>
      </c>
      <c r="K35" s="157" t="s">
        <v>124</v>
      </c>
      <c r="L35" s="157" t="s">
        <v>24</v>
      </c>
      <c r="M35" s="157" t="s">
        <v>76</v>
      </c>
      <c r="N35" s="9">
        <v>45390</v>
      </c>
      <c r="O35" s="159">
        <f>IF($N35="","",NETWORKDAYS($E35,$N35,$V$33:$V$47)-1)</f>
        <v>0</v>
      </c>
      <c r="P35" s="10" t="str">
        <f>IF(ISBLANK(N35),"",IF(N35&gt;H35,"No","Yes"))</f>
        <v>Yes</v>
      </c>
      <c r="Q35" s="9" t="s">
        <v>117</v>
      </c>
      <c r="R35" s="4" t="s">
        <v>118</v>
      </c>
      <c r="S35" s="4" t="s">
        <v>135</v>
      </c>
      <c r="T35" s="4"/>
      <c r="U35" s="6"/>
      <c r="V35" s="153"/>
      <c r="W35" s="6"/>
      <c r="X35" s="6"/>
      <c r="Y35" s="6"/>
      <c r="Z35" s="6"/>
      <c r="AX35" s="6" t="str">
        <v>Quarter 1</v>
      </c>
    </row>
    <row r="36" spans="1:50" ht="31.4" customHeight="1" x14ac:dyDescent="0.35">
      <c r="A36" s="136" t="s">
        <v>243</v>
      </c>
      <c r="B36" s="4" t="s">
        <v>244</v>
      </c>
      <c r="C36" s="4" t="s">
        <v>13</v>
      </c>
      <c r="D36" s="4" t="s">
        <v>245</v>
      </c>
      <c r="E36" s="157">
        <v>45390</v>
      </c>
      <c r="F36" s="9">
        <f>IF($E36="","",WORKDAY($E36,1,$V$33:$V$47))</f>
        <v>45391</v>
      </c>
      <c r="G36" s="9">
        <f>IF($E36="","",WORKDAY($E36,10,$V$33:$V$47))</f>
        <v>45404</v>
      </c>
      <c r="H36" s="9">
        <f>IF($E36="","",WORKDAY($E36,20,$V$33:$V$47))</f>
        <v>45418</v>
      </c>
      <c r="I36" s="157" t="str">
        <f t="shared" si="0"/>
        <v>Apr</v>
      </c>
      <c r="J36" s="14" t="str">
        <f ca="1">IF(E36="","",IF(N36="",H36-TODAY(),""))</f>
        <v/>
      </c>
      <c r="K36" s="157" t="s">
        <v>4</v>
      </c>
      <c r="L36" s="157" t="s">
        <v>7</v>
      </c>
      <c r="M36" s="157" t="s">
        <v>31</v>
      </c>
      <c r="N36" s="9">
        <v>45393</v>
      </c>
      <c r="O36" s="159">
        <f>IF($N36="","",NETWORKDAYS($E36,$N36,$V$33:$V$47)-1)</f>
        <v>3</v>
      </c>
      <c r="P36" s="10" t="str">
        <f>IF(ISBLANK(N36),"",IF(N36&gt;H36,"No","Yes"))</f>
        <v>Yes</v>
      </c>
      <c r="Q36" s="9" t="s">
        <v>117</v>
      </c>
      <c r="R36" s="4" t="s">
        <v>118</v>
      </c>
      <c r="S36" s="4"/>
      <c r="T36" s="4"/>
      <c r="U36" s="6"/>
      <c r="V36" s="153"/>
      <c r="W36" s="6"/>
      <c r="X36" s="6"/>
      <c r="Y36" s="6"/>
      <c r="Z36" s="6"/>
      <c r="AX36" s="6" t="str">
        <v>Quarter 1</v>
      </c>
    </row>
    <row r="37" spans="1:50" ht="31.4" customHeight="1" x14ac:dyDescent="0.35">
      <c r="A37" s="136" t="s">
        <v>246</v>
      </c>
      <c r="B37" s="4" t="s">
        <v>8</v>
      </c>
      <c r="C37" s="4" t="s">
        <v>8</v>
      </c>
      <c r="D37" s="4" t="s">
        <v>247</v>
      </c>
      <c r="E37" s="157">
        <v>45390</v>
      </c>
      <c r="F37" s="9">
        <f>IF($E37="","",WORKDAY($E37,1,$V$33:$V$47))</f>
        <v>45391</v>
      </c>
      <c r="G37" s="9">
        <f>IF($E37="","",WORKDAY($E37,10,$V$33:$V$47))</f>
        <v>45404</v>
      </c>
      <c r="H37" s="9">
        <f>IF($E37="","",WORKDAY($E37,20,$V$33:$V$47))</f>
        <v>45418</v>
      </c>
      <c r="I37" s="157" t="str">
        <f t="shared" si="0"/>
        <v>Apr</v>
      </c>
      <c r="J37" s="14" t="str">
        <f ca="1">IF(E37="","",IF(N37="",H37-TODAY(),""))</f>
        <v/>
      </c>
      <c r="K37" s="157" t="s">
        <v>124</v>
      </c>
      <c r="L37" s="157" t="s">
        <v>14</v>
      </c>
      <c r="M37" s="157" t="s">
        <v>69</v>
      </c>
      <c r="N37" s="9">
        <v>45419</v>
      </c>
      <c r="O37" s="159">
        <f>IF($N37="","",NETWORKDAYS($E37,$N37,$V$33:$V$47)-1)</f>
        <v>21</v>
      </c>
      <c r="P37" s="10" t="str">
        <f>IF(ISBLANK(N37),"",IF(N37&gt;H37,"No","Yes"))</f>
        <v>No</v>
      </c>
      <c r="Q37" s="9" t="s">
        <v>117</v>
      </c>
      <c r="R37" s="4" t="s">
        <v>126</v>
      </c>
      <c r="S37" s="4" t="s">
        <v>119</v>
      </c>
      <c r="T37" s="4" t="s">
        <v>2118</v>
      </c>
      <c r="U37" s="6"/>
      <c r="V37" s="153">
        <v>45651</v>
      </c>
      <c r="W37" s="6"/>
      <c r="X37" s="6"/>
      <c r="Y37" s="6"/>
      <c r="Z37" s="6"/>
      <c r="AX37" s="6" t="str">
        <v>Quarter 1</v>
      </c>
    </row>
    <row r="38" spans="1:50" ht="31.4" customHeight="1" x14ac:dyDescent="0.35">
      <c r="A38" s="136" t="s">
        <v>248</v>
      </c>
      <c r="B38" s="4" t="s">
        <v>138</v>
      </c>
      <c r="C38" s="4" t="s">
        <v>19</v>
      </c>
      <c r="D38" s="4" t="s">
        <v>249</v>
      </c>
      <c r="E38" s="157">
        <v>45390</v>
      </c>
      <c r="F38" s="9">
        <f>IF($E38="","",WORKDAY($E38,1,$V$33:$V$47))</f>
        <v>45391</v>
      </c>
      <c r="G38" s="9">
        <f>IF($E38="","",WORKDAY($E38,10,$V$33:$V$47))</f>
        <v>45404</v>
      </c>
      <c r="H38" s="9">
        <f>IF($E38="","",WORKDAY($E38,20,$V$33:$V$47))</f>
        <v>45418</v>
      </c>
      <c r="I38" s="157" t="str">
        <f t="shared" si="0"/>
        <v>Apr</v>
      </c>
      <c r="J38" s="14" t="str">
        <f ca="1">IF(E38="","",IF(N38="",H38-TODAY(),""))</f>
        <v/>
      </c>
      <c r="K38" s="157" t="s">
        <v>124</v>
      </c>
      <c r="L38" s="157" t="s">
        <v>24</v>
      </c>
      <c r="M38" s="157" t="s">
        <v>61</v>
      </c>
      <c r="N38" s="9">
        <v>45390</v>
      </c>
      <c r="O38" s="159">
        <f>IF($N38="","",NETWORKDAYS($E38,$N38,$V$33:$V$47)-1)</f>
        <v>0</v>
      </c>
      <c r="P38" s="10" t="str">
        <f>IF(ISBLANK(N38),"",IF(N38&gt;H38,"No","Yes"))</f>
        <v>Yes</v>
      </c>
      <c r="Q38" s="9" t="s">
        <v>117</v>
      </c>
      <c r="R38" s="4" t="s">
        <v>150</v>
      </c>
      <c r="S38" s="4"/>
      <c r="T38" s="4"/>
      <c r="U38" s="6"/>
      <c r="V38" s="153">
        <v>45652</v>
      </c>
      <c r="W38" s="6"/>
      <c r="X38" s="6"/>
      <c r="Y38" s="6"/>
      <c r="Z38" s="6"/>
      <c r="AX38" s="6" t="str">
        <v>Quarter 1</v>
      </c>
    </row>
    <row r="39" spans="1:50" ht="31.4" customHeight="1" x14ac:dyDescent="0.35">
      <c r="A39" s="136" t="s">
        <v>250</v>
      </c>
      <c r="B39" s="4" t="s">
        <v>8</v>
      </c>
      <c r="C39" s="4" t="s">
        <v>8</v>
      </c>
      <c r="D39" s="4" t="s">
        <v>251</v>
      </c>
      <c r="E39" s="157">
        <v>45390</v>
      </c>
      <c r="F39" s="9">
        <f>IF($E39="","",WORKDAY($E39,1,$V$33:$V$47))</f>
        <v>45391</v>
      </c>
      <c r="G39" s="9">
        <f>IF($E39="","",WORKDAY($E39,10,$V$33:$V$47))</f>
        <v>45404</v>
      </c>
      <c r="H39" s="9">
        <f>IF($E39="","",WORKDAY($E39,20,$V$33:$V$47))</f>
        <v>45418</v>
      </c>
      <c r="I39" s="157" t="str">
        <f t="shared" si="0"/>
        <v>Apr</v>
      </c>
      <c r="J39" s="14" t="str">
        <f ca="1">IF(E39="","",IF(N39="",H39-TODAY(),""))</f>
        <v/>
      </c>
      <c r="K39" s="157" t="s">
        <v>124</v>
      </c>
      <c r="L39" s="157" t="s">
        <v>24</v>
      </c>
      <c r="M39" s="157" t="s">
        <v>53</v>
      </c>
      <c r="N39" s="9">
        <v>45394</v>
      </c>
      <c r="O39" s="159">
        <f>IF($N39="","",NETWORKDAYS($E39,$N39,$V$33:$V$47)-1)</f>
        <v>4</v>
      </c>
      <c r="P39" s="10" t="str">
        <f>IF(ISBLANK(N39),"",IF(N39&gt;H39,"No","Yes"))</f>
        <v>Yes</v>
      </c>
      <c r="Q39" s="9" t="s">
        <v>117</v>
      </c>
      <c r="R39" s="4" t="s">
        <v>118</v>
      </c>
      <c r="S39" s="4"/>
      <c r="T39" s="4"/>
      <c r="U39" s="6"/>
      <c r="V39" s="153">
        <v>45658</v>
      </c>
      <c r="W39" s="6"/>
      <c r="X39" s="6"/>
      <c r="Y39" s="6"/>
      <c r="Z39" s="6"/>
      <c r="AX39" s="6" t="str">
        <v>Quarter 1</v>
      </c>
    </row>
    <row r="40" spans="1:50" ht="31.4" customHeight="1" x14ac:dyDescent="0.35">
      <c r="A40" s="136" t="s">
        <v>252</v>
      </c>
      <c r="B40" s="4" t="s">
        <v>138</v>
      </c>
      <c r="C40" s="4" t="s">
        <v>19</v>
      </c>
      <c r="D40" s="4" t="s">
        <v>253</v>
      </c>
      <c r="E40" s="157">
        <v>45390</v>
      </c>
      <c r="F40" s="9">
        <f>IF($E40="","",WORKDAY($E40,1,$V$33:$V$47))</f>
        <v>45391</v>
      </c>
      <c r="G40" s="9">
        <f>IF($E40="","",WORKDAY($E40,10,$V$33:$V$47))</f>
        <v>45404</v>
      </c>
      <c r="H40" s="9">
        <f>IF($E40="","",WORKDAY($E40,20,$V$33:$V$47))</f>
        <v>45418</v>
      </c>
      <c r="I40" s="157" t="str">
        <f t="shared" si="0"/>
        <v>Apr</v>
      </c>
      <c r="J40" s="14" t="str">
        <f ca="1">IF(E40="","",IF(N40="",H40-TODAY(),""))</f>
        <v/>
      </c>
      <c r="K40" s="157" t="s">
        <v>10</v>
      </c>
      <c r="L40" s="157" t="s">
        <v>9</v>
      </c>
      <c r="M40" s="157" t="s">
        <v>38</v>
      </c>
      <c r="N40" s="9">
        <v>45406</v>
      </c>
      <c r="O40" s="159">
        <f>IF($N40="","",NETWORKDAYS($E40,$N40,$V$33:$V$47)-1)</f>
        <v>12</v>
      </c>
      <c r="P40" s="10" t="str">
        <f>IF(ISBLANK(N40),"",IF(N40&gt;H40,"No","Yes"))</f>
        <v>Yes</v>
      </c>
      <c r="Q40" s="9" t="s">
        <v>117</v>
      </c>
      <c r="R40" s="4" t="s">
        <v>118</v>
      </c>
      <c r="S40" s="4"/>
      <c r="T40" s="4" t="s">
        <v>141</v>
      </c>
      <c r="U40" s="6"/>
      <c r="V40" s="153">
        <v>45765</v>
      </c>
      <c r="W40" s="6"/>
      <c r="X40" s="6"/>
      <c r="Y40" s="6"/>
      <c r="Z40" s="6"/>
      <c r="AX40" s="6" t="str">
        <v>Quarter 1</v>
      </c>
    </row>
    <row r="41" spans="1:50" ht="31.4" customHeight="1" x14ac:dyDescent="0.35">
      <c r="A41" s="136" t="s">
        <v>254</v>
      </c>
      <c r="B41" s="4" t="s">
        <v>255</v>
      </c>
      <c r="C41" s="4" t="s">
        <v>23</v>
      </c>
      <c r="D41" s="4" t="s">
        <v>256</v>
      </c>
      <c r="E41" s="157">
        <v>45390</v>
      </c>
      <c r="F41" s="9">
        <f>IF($E41="","",WORKDAY($E41,1,$V$33:$V$47))</f>
        <v>45391</v>
      </c>
      <c r="G41" s="9">
        <f>IF($E41="","",WORKDAY($E41,10,$V$33:$V$47))</f>
        <v>45404</v>
      </c>
      <c r="H41" s="9">
        <f>IF($E41="","",WORKDAY($E41,20,$V$33:$V$47))</f>
        <v>45418</v>
      </c>
      <c r="I41" s="157" t="str">
        <f t="shared" si="0"/>
        <v>Apr</v>
      </c>
      <c r="J41" s="14" t="str">
        <f ca="1">IF(E41="","",IF(N41="",H41-TODAY(),""))</f>
        <v/>
      </c>
      <c r="K41" s="157" t="s">
        <v>124</v>
      </c>
      <c r="L41" s="157" t="s">
        <v>20</v>
      </c>
      <c r="M41" s="157" t="s">
        <v>78</v>
      </c>
      <c r="N41" s="9">
        <v>45392</v>
      </c>
      <c r="O41" s="159">
        <f>IF($N41="","",NETWORKDAYS($E41,$N41,$V$33:$V$47)-1)</f>
        <v>2</v>
      </c>
      <c r="P41" s="10" t="str">
        <f>IF(ISBLANK(N41),"",IF(N41&gt;H41,"No","Yes"))</f>
        <v>Yes</v>
      </c>
      <c r="Q41" s="9" t="s">
        <v>117</v>
      </c>
      <c r="R41" s="4" t="s">
        <v>118</v>
      </c>
      <c r="S41" s="4"/>
      <c r="T41" s="7"/>
      <c r="U41" s="6"/>
      <c r="V41" s="153">
        <v>45768</v>
      </c>
      <c r="W41" s="6"/>
      <c r="X41" s="6"/>
      <c r="Y41" s="6"/>
      <c r="Z41" s="6"/>
      <c r="AX41" s="6" t="str">
        <v>Quarter 1</v>
      </c>
    </row>
    <row r="42" spans="1:50" ht="31.4" customHeight="1" x14ac:dyDescent="0.35">
      <c r="A42" s="136" t="s">
        <v>257</v>
      </c>
      <c r="B42" s="4" t="s">
        <v>258</v>
      </c>
      <c r="C42" s="4" t="s">
        <v>6</v>
      </c>
      <c r="D42" s="4" t="s">
        <v>259</v>
      </c>
      <c r="E42" s="157">
        <v>45391</v>
      </c>
      <c r="F42" s="9">
        <f>IF($E42="","",WORKDAY($E42,1,$V$33:$V$47))</f>
        <v>45392</v>
      </c>
      <c r="G42" s="9">
        <f>IF($E42="","",WORKDAY($E42,10,$V$33:$V$47))</f>
        <v>45405</v>
      </c>
      <c r="H42" s="9">
        <f>IF($E42="","",WORKDAY($E42,20,$V$33:$V$47))</f>
        <v>45419</v>
      </c>
      <c r="I42" s="157" t="str">
        <f t="shared" si="0"/>
        <v>Apr</v>
      </c>
      <c r="J42" s="14" t="str">
        <f ca="1">IF(E42="","",IF(N42="",H42-TODAY(),""))</f>
        <v/>
      </c>
      <c r="K42" s="157" t="s">
        <v>124</v>
      </c>
      <c r="L42" s="157" t="s">
        <v>20</v>
      </c>
      <c r="M42" s="157" t="s">
        <v>48</v>
      </c>
      <c r="N42" s="9">
        <v>45391</v>
      </c>
      <c r="O42" s="159">
        <f>IF($N42="","",NETWORKDAYS($E42,$N42,$V$33:$V$47)-1)</f>
        <v>0</v>
      </c>
      <c r="P42" s="10" t="str">
        <f>IF(ISBLANK(N42),"",IF(N42&gt;H42,"No","Yes"))</f>
        <v>Yes</v>
      </c>
      <c r="Q42" s="9" t="s">
        <v>117</v>
      </c>
      <c r="R42" s="4" t="s">
        <v>118</v>
      </c>
      <c r="S42" s="4"/>
      <c r="T42" s="4"/>
      <c r="U42" s="6"/>
      <c r="V42" s="153"/>
      <c r="W42" s="6"/>
      <c r="X42" s="6"/>
      <c r="Y42" s="6"/>
      <c r="Z42" s="6"/>
      <c r="AX42" s="6" t="str">
        <v>Quarter 1</v>
      </c>
    </row>
    <row r="43" spans="1:50" ht="31.4" customHeight="1" x14ac:dyDescent="0.35">
      <c r="A43" s="136" t="s">
        <v>260</v>
      </c>
      <c r="B43" s="4" t="s">
        <v>261</v>
      </c>
      <c r="C43" s="4" t="s">
        <v>13</v>
      </c>
      <c r="D43" s="4" t="s">
        <v>262</v>
      </c>
      <c r="E43" s="157">
        <v>45391</v>
      </c>
      <c r="F43" s="9">
        <f>IF($E43="","",WORKDAY($E43,1,$V$33:$V$47))</f>
        <v>45392</v>
      </c>
      <c r="G43" s="9">
        <f>IF($E43="","",WORKDAY($E43,10,$V$33:$V$47))</f>
        <v>45405</v>
      </c>
      <c r="H43" s="9">
        <f>IF($E43="","",WORKDAY($E43,20,$V$33:$V$47))</f>
        <v>45419</v>
      </c>
      <c r="I43" s="157" t="str">
        <f t="shared" si="0"/>
        <v>Apr</v>
      </c>
      <c r="J43" s="14" t="str">
        <f ca="1">IF(E43="","",IF(N43="",H43-TODAY(),""))</f>
        <v/>
      </c>
      <c r="K43" s="157" t="s">
        <v>5</v>
      </c>
      <c r="L43" s="157" t="s">
        <v>22</v>
      </c>
      <c r="M43" s="157" t="s">
        <v>64</v>
      </c>
      <c r="N43" s="9">
        <v>45397</v>
      </c>
      <c r="O43" s="159">
        <f>IF($N43="","",NETWORKDAYS($E43,$N43,$V$33:$V$47)-1)</f>
        <v>4</v>
      </c>
      <c r="P43" s="10" t="str">
        <f>IF(ISBLANK(N43),"",IF(N43&gt;H43,"No","Yes"))</f>
        <v>Yes</v>
      </c>
      <c r="Q43" s="9" t="s">
        <v>117</v>
      </c>
      <c r="R43" s="4" t="s">
        <v>118</v>
      </c>
      <c r="S43" s="4"/>
      <c r="T43" s="4"/>
      <c r="U43" s="6"/>
      <c r="V43" s="153"/>
      <c r="W43" s="6"/>
      <c r="X43" s="6"/>
      <c r="Y43" s="6"/>
      <c r="Z43" s="6"/>
      <c r="AX43" s="6" t="str">
        <v>Quarter 1</v>
      </c>
    </row>
    <row r="44" spans="1:50" ht="31.4" customHeight="1" x14ac:dyDescent="0.35">
      <c r="A44" s="136" t="s">
        <v>263</v>
      </c>
      <c r="B44" s="4" t="s">
        <v>8</v>
      </c>
      <c r="C44" s="4" t="s">
        <v>8</v>
      </c>
      <c r="D44" s="4" t="s">
        <v>264</v>
      </c>
      <c r="E44" s="157">
        <v>45391</v>
      </c>
      <c r="F44" s="9">
        <f>IF($E44="","",WORKDAY($E44,1,$V$33:$V$47))</f>
        <v>45392</v>
      </c>
      <c r="G44" s="9">
        <f>IF($E44="","",WORKDAY($E44,10,$V$33:$V$47))</f>
        <v>45405</v>
      </c>
      <c r="H44" s="9">
        <f>IF($E44="","",WORKDAY($E44,20,$V$33:$V$47))</f>
        <v>45419</v>
      </c>
      <c r="I44" s="157" t="str">
        <f t="shared" si="0"/>
        <v>Apr</v>
      </c>
      <c r="J44" s="14" t="str">
        <f ca="1">IF(E44="","",IF(N44="",H44-TODAY(),""))</f>
        <v/>
      </c>
      <c r="K44" s="157" t="s">
        <v>124</v>
      </c>
      <c r="L44" s="25" t="s">
        <v>14</v>
      </c>
      <c r="M44" s="25" t="s">
        <v>44</v>
      </c>
      <c r="N44" s="9">
        <v>45398</v>
      </c>
      <c r="O44" s="159">
        <f>IF($N44="","",NETWORKDAYS($E44,$N44,$V$33:$V$47)-1)</f>
        <v>5</v>
      </c>
      <c r="P44" s="10" t="str">
        <f>IF(ISBLANK(N44),"",IF(N44&gt;H44,"No","Yes"))</f>
        <v>Yes</v>
      </c>
      <c r="Q44" s="9" t="s">
        <v>117</v>
      </c>
      <c r="R44" s="4" t="s">
        <v>118</v>
      </c>
      <c r="S44" s="4"/>
      <c r="T44" s="4" t="s">
        <v>141</v>
      </c>
      <c r="U44" s="6"/>
      <c r="V44" s="153"/>
      <c r="W44" s="6"/>
      <c r="X44" s="6"/>
      <c r="Y44" s="6"/>
      <c r="Z44" s="6"/>
      <c r="AX44" s="6" t="str">
        <v>Quarter 1</v>
      </c>
    </row>
    <row r="45" spans="1:50" ht="31.4" customHeight="1" x14ac:dyDescent="0.35">
      <c r="A45" s="136" t="s">
        <v>265</v>
      </c>
      <c r="B45" s="4" t="s">
        <v>266</v>
      </c>
      <c r="C45" s="4" t="s">
        <v>15</v>
      </c>
      <c r="D45" s="4" t="s">
        <v>267</v>
      </c>
      <c r="E45" s="157">
        <v>45391</v>
      </c>
      <c r="F45" s="9">
        <f>IF($E45="","",WORKDAY($E45,1,$V$33:$V$47))</f>
        <v>45392</v>
      </c>
      <c r="G45" s="9">
        <f>IF($E45="","",WORKDAY($E45,10,$V$33:$V$47))</f>
        <v>45405</v>
      </c>
      <c r="H45" s="9">
        <f>IF($E45="","",WORKDAY($E45,20,$V$33:$V$47))</f>
        <v>45419</v>
      </c>
      <c r="I45" s="157" t="str">
        <f t="shared" si="0"/>
        <v>Apr</v>
      </c>
      <c r="J45" s="14" t="str">
        <f ca="1">IF(E45="","",IF(N45="",H45-TODAY(),""))</f>
        <v/>
      </c>
      <c r="K45" s="157" t="s">
        <v>4</v>
      </c>
      <c r="L45" s="25" t="s">
        <v>7</v>
      </c>
      <c r="M45" s="25" t="s">
        <v>31</v>
      </c>
      <c r="N45" s="9">
        <v>45398</v>
      </c>
      <c r="O45" s="159">
        <f>IF($N45="","",NETWORKDAYS($E45,$N45,$V$33:$V$47)-1)</f>
        <v>5</v>
      </c>
      <c r="P45" s="10" t="str">
        <f>IF(ISBLANK(N45),"",IF(N45&gt;H45,"No","Yes"))</f>
        <v>Yes</v>
      </c>
      <c r="Q45" s="9" t="s">
        <v>117</v>
      </c>
      <c r="R45" s="4" t="s">
        <v>118</v>
      </c>
      <c r="S45" s="4"/>
      <c r="T45" s="4" t="s">
        <v>141</v>
      </c>
      <c r="U45" s="6"/>
      <c r="V45" s="153"/>
      <c r="W45" s="6"/>
      <c r="X45" s="6"/>
      <c r="Y45" s="6"/>
      <c r="Z45" s="6"/>
      <c r="AX45" s="6" t="str">
        <v>Quarter 1</v>
      </c>
    </row>
    <row r="46" spans="1:50" ht="31.4" customHeight="1" x14ac:dyDescent="0.35">
      <c r="A46" s="136" t="s">
        <v>268</v>
      </c>
      <c r="B46" s="4" t="s">
        <v>269</v>
      </c>
      <c r="C46" s="4" t="s">
        <v>13</v>
      </c>
      <c r="D46" s="7" t="s">
        <v>270</v>
      </c>
      <c r="E46" s="157">
        <v>45391</v>
      </c>
      <c r="F46" s="9">
        <f>IF($E46="","",WORKDAY($E46,1,$V$33:$V$47))</f>
        <v>45392</v>
      </c>
      <c r="G46" s="9">
        <f>IF($E46="","",WORKDAY($E46,10,$V$33:$V$47))</f>
        <v>45405</v>
      </c>
      <c r="H46" s="9">
        <f>IF($E46="","",WORKDAY($E46,20,$V$33:$V$47))</f>
        <v>45419</v>
      </c>
      <c r="I46" s="157" t="str">
        <f t="shared" si="0"/>
        <v>Apr</v>
      </c>
      <c r="J46" s="14" t="str">
        <f ca="1">IF(E46="","",IF(N46="",H46-TODAY(),""))</f>
        <v/>
      </c>
      <c r="K46" s="157" t="s">
        <v>124</v>
      </c>
      <c r="L46" s="157" t="s">
        <v>24</v>
      </c>
      <c r="M46" s="157" t="s">
        <v>53</v>
      </c>
      <c r="N46" s="9">
        <v>45400</v>
      </c>
      <c r="O46" s="159">
        <f>IF($N46="","",NETWORKDAYS($E46,$N46,$V$33:$V$47)-1)</f>
        <v>7</v>
      </c>
      <c r="P46" s="10" t="str">
        <f>IF(ISBLANK(N46),"",IF(N46&gt;H46,"No","Yes"))</f>
        <v>Yes</v>
      </c>
      <c r="Q46" s="9" t="s">
        <v>117</v>
      </c>
      <c r="R46" s="4" t="s">
        <v>118</v>
      </c>
      <c r="S46" s="4" t="s">
        <v>135</v>
      </c>
      <c r="T46" s="4"/>
      <c r="U46" s="6"/>
      <c r="V46" s="153"/>
      <c r="W46" s="6"/>
      <c r="X46" s="6"/>
      <c r="Y46" s="6"/>
      <c r="Z46" s="6"/>
      <c r="AX46" s="6" t="str">
        <v>Quarter 1</v>
      </c>
    </row>
    <row r="47" spans="1:50" ht="31.4" customHeight="1" x14ac:dyDescent="0.35">
      <c r="A47" s="136" t="s">
        <v>271</v>
      </c>
      <c r="B47" s="4" t="s">
        <v>272</v>
      </c>
      <c r="C47" s="4" t="s">
        <v>6</v>
      </c>
      <c r="D47" s="4" t="s">
        <v>273</v>
      </c>
      <c r="E47" s="157">
        <v>45392</v>
      </c>
      <c r="F47" s="9">
        <f>IF($E47="","",WORKDAY($E47,1,$V$33:$V$47))</f>
        <v>45393</v>
      </c>
      <c r="G47" s="9">
        <f>IF($E47="","",WORKDAY($E47,10,$V$33:$V$47))</f>
        <v>45406</v>
      </c>
      <c r="H47" s="9">
        <f>IF($E47="","",WORKDAY($E47,20,$V$33:$V$47))</f>
        <v>45420</v>
      </c>
      <c r="I47" s="157" t="str">
        <f t="shared" si="0"/>
        <v>Apr</v>
      </c>
      <c r="J47" s="14" t="str">
        <f ca="1">IF(E47="","",IF(N47="",H47-TODAY(),""))</f>
        <v/>
      </c>
      <c r="K47" s="157" t="s">
        <v>124</v>
      </c>
      <c r="L47" s="157" t="s">
        <v>20</v>
      </c>
      <c r="M47" s="157" t="s">
        <v>62</v>
      </c>
      <c r="N47" s="9">
        <v>45393</v>
      </c>
      <c r="O47" s="159">
        <f>IF($N47="","",NETWORKDAYS($E47,$N47,$V$33:$V$47)-1)</f>
        <v>1</v>
      </c>
      <c r="P47" s="10" t="str">
        <f>IF(ISBLANK(N47),"",IF(N47&gt;H47,"No","Yes"))</f>
        <v>Yes</v>
      </c>
      <c r="Q47" s="9" t="s">
        <v>117</v>
      </c>
      <c r="R47" s="4" t="s">
        <v>118</v>
      </c>
      <c r="S47" s="4"/>
      <c r="T47" s="4"/>
      <c r="U47" s="6"/>
      <c r="V47" s="153"/>
      <c r="W47" s="6"/>
      <c r="X47" s="6"/>
      <c r="Y47" s="6"/>
      <c r="Z47" s="6"/>
      <c r="AX47" s="6" t="str">
        <v>Quarter 1</v>
      </c>
    </row>
    <row r="48" spans="1:50" ht="31.4" customHeight="1" x14ac:dyDescent="0.35">
      <c r="A48" s="136" t="s">
        <v>274</v>
      </c>
      <c r="B48" s="4" t="s">
        <v>8</v>
      </c>
      <c r="C48" s="4" t="s">
        <v>8</v>
      </c>
      <c r="D48" s="154" t="s">
        <v>275</v>
      </c>
      <c r="E48" s="157">
        <v>45392</v>
      </c>
      <c r="F48" s="9">
        <f>IF($E48="","",WORKDAY($E48,1,$V$33:$V$47))</f>
        <v>45393</v>
      </c>
      <c r="G48" s="9">
        <f>IF($E48="","",WORKDAY($E48,10,$V$33:$V$47))</f>
        <v>45406</v>
      </c>
      <c r="H48" s="9">
        <f>IF($E48="","",WORKDAY($E48,20,$V$33:$V$47))</f>
        <v>45420</v>
      </c>
      <c r="I48" s="157" t="str">
        <f t="shared" si="0"/>
        <v>Apr</v>
      </c>
      <c r="J48" s="14" t="str">
        <f ca="1">IF(E48="","",IF(N48="",H48-TODAY(),""))</f>
        <v/>
      </c>
      <c r="K48" s="157" t="s">
        <v>124</v>
      </c>
      <c r="L48" s="157" t="s">
        <v>20</v>
      </c>
      <c r="M48" s="157" t="s">
        <v>70</v>
      </c>
      <c r="N48" s="9">
        <v>45393</v>
      </c>
      <c r="O48" s="159">
        <f>IF($N48="","",NETWORKDAYS($E48,$N48,$V$33:$V$47)-1)</f>
        <v>1</v>
      </c>
      <c r="P48" s="10" t="str">
        <f>IF(ISBLANK(N48),"",IF(N48&gt;H48,"No","Yes"))</f>
        <v>Yes</v>
      </c>
      <c r="Q48" s="9" t="s">
        <v>117</v>
      </c>
      <c r="R48" s="4" t="s">
        <v>132</v>
      </c>
      <c r="S48" s="4" t="s">
        <v>134</v>
      </c>
      <c r="T48" s="4"/>
      <c r="U48" s="6"/>
      <c r="V48" s="6"/>
      <c r="W48" s="6"/>
      <c r="X48" s="6"/>
      <c r="Y48" s="6"/>
      <c r="Z48" s="6"/>
      <c r="AX48" s="6" t="str">
        <v>Quarter 1</v>
      </c>
    </row>
    <row r="49" spans="1:50" ht="31.4" customHeight="1" x14ac:dyDescent="0.35">
      <c r="A49" s="136" t="s">
        <v>276</v>
      </c>
      <c r="B49" s="4" t="s">
        <v>277</v>
      </c>
      <c r="C49" s="4" t="s">
        <v>13</v>
      </c>
      <c r="D49" s="4" t="s">
        <v>278</v>
      </c>
      <c r="E49" s="157">
        <v>45392</v>
      </c>
      <c r="F49" s="9">
        <f>IF($E49="","",WORKDAY($E49,1,$V$33:$V$47))</f>
        <v>45393</v>
      </c>
      <c r="G49" s="9">
        <f>IF($E49="","",WORKDAY($E49,10,$V$33:$V$47))</f>
        <v>45406</v>
      </c>
      <c r="H49" s="9">
        <f>IF($E49="","",WORKDAY($E49,20,$V$33:$V$47))</f>
        <v>45420</v>
      </c>
      <c r="I49" s="157" t="str">
        <f t="shared" si="0"/>
        <v>Apr</v>
      </c>
      <c r="J49" s="14" t="str">
        <f ca="1">IF(E49="","",IF(N49="",H49-TODAY(),""))</f>
        <v/>
      </c>
      <c r="K49" s="157" t="s">
        <v>4</v>
      </c>
      <c r="L49" s="157" t="s">
        <v>7</v>
      </c>
      <c r="M49" s="157" t="s">
        <v>31</v>
      </c>
      <c r="N49" s="9">
        <v>45400</v>
      </c>
      <c r="O49" s="159">
        <f>IF($N49="","",NETWORKDAYS($E49,$N49,$V$33:$V$47)-1)</f>
        <v>6</v>
      </c>
      <c r="P49" s="10" t="str">
        <f>IF(ISBLANK(N49),"",IF(N49&gt;H49,"No","Yes"))</f>
        <v>Yes</v>
      </c>
      <c r="Q49" s="9" t="s">
        <v>117</v>
      </c>
      <c r="R49" s="4" t="s">
        <v>118</v>
      </c>
      <c r="S49" s="4" t="s">
        <v>119</v>
      </c>
      <c r="T49" s="4"/>
      <c r="U49" s="6"/>
      <c r="V49" s="6"/>
      <c r="W49" s="6"/>
      <c r="X49" s="6"/>
      <c r="Y49" s="6"/>
      <c r="Z49" s="6"/>
      <c r="AX49" s="6" t="str">
        <v>Quarter 1</v>
      </c>
    </row>
    <row r="50" spans="1:50" ht="31.4" customHeight="1" x14ac:dyDescent="0.35">
      <c r="A50" s="136" t="s">
        <v>279</v>
      </c>
      <c r="B50" s="4" t="s">
        <v>138</v>
      </c>
      <c r="C50" s="4" t="s">
        <v>19</v>
      </c>
      <c r="D50" s="4" t="s">
        <v>280</v>
      </c>
      <c r="E50" s="157">
        <v>45392</v>
      </c>
      <c r="F50" s="9">
        <f>IF($E50="","",WORKDAY($E50,1,$V$33:$V$47))</f>
        <v>45393</v>
      </c>
      <c r="G50" s="9">
        <f>IF($E50="","",WORKDAY($E50,10,$V$33:$V$47))</f>
        <v>45406</v>
      </c>
      <c r="H50" s="9">
        <f>IF($E50="","",WORKDAY($E50,20,$V$33:$V$47))</f>
        <v>45420</v>
      </c>
      <c r="I50" s="157" t="str">
        <f t="shared" si="0"/>
        <v>Apr</v>
      </c>
      <c r="J50" s="14" t="str">
        <f ca="1">IF(E50="","",IF(N50="",H50-TODAY(),""))</f>
        <v/>
      </c>
      <c r="K50" s="157" t="s">
        <v>5</v>
      </c>
      <c r="L50" s="157" t="s">
        <v>16</v>
      </c>
      <c r="M50" s="157" t="s">
        <v>67</v>
      </c>
      <c r="N50" s="9">
        <v>45401</v>
      </c>
      <c r="O50" s="159">
        <f>IF($N50="","",NETWORKDAYS($E50,$N50,$V$33:$V$47)-1)</f>
        <v>7</v>
      </c>
      <c r="P50" s="10" t="str">
        <f>IF(ISBLANK(N50),"",IF(N50&gt;H50,"No","Yes"))</f>
        <v>Yes</v>
      </c>
      <c r="Q50" s="9" t="s">
        <v>117</v>
      </c>
      <c r="R50" s="4" t="s">
        <v>126</v>
      </c>
      <c r="S50" s="4" t="s">
        <v>178</v>
      </c>
      <c r="T50" s="4"/>
      <c r="U50" s="6"/>
      <c r="V50" s="6"/>
      <c r="W50" s="6"/>
      <c r="X50" s="6"/>
      <c r="Y50" s="6"/>
      <c r="Z50" s="6"/>
      <c r="AX50" s="6" t="str">
        <v>Quarter 1</v>
      </c>
    </row>
    <row r="51" spans="1:50" ht="31.4" customHeight="1" x14ac:dyDescent="0.35">
      <c r="A51" s="136" t="s">
        <v>281</v>
      </c>
      <c r="B51" s="4" t="s">
        <v>138</v>
      </c>
      <c r="C51" s="4" t="s">
        <v>19</v>
      </c>
      <c r="D51" s="4" t="s">
        <v>282</v>
      </c>
      <c r="E51" s="157">
        <v>45392</v>
      </c>
      <c r="F51" s="9">
        <f>IF($E51="","",WORKDAY($E51,1,$V$33:$V$47))</f>
        <v>45393</v>
      </c>
      <c r="G51" s="9">
        <f>IF($E51="","",WORKDAY($E51,10,$V$33:$V$47))</f>
        <v>45406</v>
      </c>
      <c r="H51" s="9">
        <f>IF($E51="","",WORKDAY($E51,20,$V$33:$V$47))</f>
        <v>45420</v>
      </c>
      <c r="I51" s="157" t="str">
        <f t="shared" si="0"/>
        <v>Apr</v>
      </c>
      <c r="J51" s="14" t="str">
        <f ca="1">IF(E51="","",IF(N51="",H51-TODAY(),""))</f>
        <v/>
      </c>
      <c r="K51" s="157" t="s">
        <v>10</v>
      </c>
      <c r="L51" s="157" t="s">
        <v>12</v>
      </c>
      <c r="M51" s="157" t="s">
        <v>88</v>
      </c>
      <c r="N51" s="9">
        <v>45412</v>
      </c>
      <c r="O51" s="159">
        <f>IF($N51="","",NETWORKDAYS($E51,$N51,$V$33:$V$47)-1)</f>
        <v>14</v>
      </c>
      <c r="P51" s="10" t="str">
        <f>IF(ISBLANK(N51),"",IF(N51&gt;H51,"No","Yes"))</f>
        <v>Yes</v>
      </c>
      <c r="Q51" s="9" t="s">
        <v>117</v>
      </c>
      <c r="R51" s="4" t="s">
        <v>118</v>
      </c>
      <c r="S51" s="4"/>
      <c r="T51" s="4"/>
      <c r="U51" s="6"/>
      <c r="V51" s="6"/>
      <c r="W51" s="6"/>
      <c r="X51" s="6"/>
      <c r="Y51" s="6"/>
      <c r="Z51" s="6"/>
      <c r="AX51" s="6" t="str">
        <v>Quarter 1</v>
      </c>
    </row>
    <row r="52" spans="1:50" ht="31.4" customHeight="1" x14ac:dyDescent="0.35">
      <c r="A52" s="136" t="s">
        <v>283</v>
      </c>
      <c r="B52" s="4" t="s">
        <v>8</v>
      </c>
      <c r="C52" s="4" t="s">
        <v>8</v>
      </c>
      <c r="D52" s="4" t="s">
        <v>284</v>
      </c>
      <c r="E52" s="157">
        <v>45393</v>
      </c>
      <c r="F52" s="9">
        <f>IF($E52="","",WORKDAY($E52,1,$V$33:$V$47))</f>
        <v>45394</v>
      </c>
      <c r="G52" s="9">
        <f>IF($E52="","",WORKDAY($E52,10,$V$33:$V$47))</f>
        <v>45407</v>
      </c>
      <c r="H52" s="9">
        <f>IF($E52="","",WORKDAY($E52,20,$V$33:$V$47))</f>
        <v>45421</v>
      </c>
      <c r="I52" s="157" t="str">
        <f t="shared" si="0"/>
        <v>Apr</v>
      </c>
      <c r="J52" s="14" t="str">
        <f ca="1">IF(E52="","",IF(N52="",H52-TODAY(),""))</f>
        <v/>
      </c>
      <c r="K52" s="157" t="s">
        <v>124</v>
      </c>
      <c r="L52" s="157" t="s">
        <v>24</v>
      </c>
      <c r="M52" s="157" t="s">
        <v>87</v>
      </c>
      <c r="N52" s="9">
        <v>45407</v>
      </c>
      <c r="O52" s="159">
        <f>IF($N52="","",NETWORKDAYS($E52,$N52,$V$33:$V$47)-1)</f>
        <v>10</v>
      </c>
      <c r="P52" s="10" t="str">
        <f>IF(ISBLANK(N52),"",IF(N52&gt;H52,"No","Yes"))</f>
        <v>Yes</v>
      </c>
      <c r="Q52" s="9" t="s">
        <v>117</v>
      </c>
      <c r="R52" s="4" t="s">
        <v>118</v>
      </c>
      <c r="S52" s="4"/>
      <c r="T52" s="4" t="s">
        <v>141</v>
      </c>
      <c r="U52" s="6"/>
      <c r="V52" s="6"/>
      <c r="W52" s="6"/>
      <c r="X52" s="6"/>
      <c r="Y52" s="6"/>
      <c r="Z52" s="6"/>
      <c r="AX52" s="6" t="str">
        <v>Quarter 1</v>
      </c>
    </row>
    <row r="53" spans="1:50" ht="31.4" customHeight="1" x14ac:dyDescent="0.35">
      <c r="A53" s="136" t="s">
        <v>285</v>
      </c>
      <c r="B53" s="4" t="s">
        <v>8</v>
      </c>
      <c r="C53" s="4" t="s">
        <v>8</v>
      </c>
      <c r="D53" s="7" t="s">
        <v>286</v>
      </c>
      <c r="E53" s="157">
        <v>45393</v>
      </c>
      <c r="F53" s="9">
        <f>IF($E53="","",WORKDAY($E53,1,$V$33:$V$47))</f>
        <v>45394</v>
      </c>
      <c r="G53" s="9">
        <f>IF($E53="","",WORKDAY($E53,10,$V$33:$V$47))</f>
        <v>45407</v>
      </c>
      <c r="H53" s="9">
        <f>IF($E53="","",WORKDAY($E53,20,$V$33:$V$47))</f>
        <v>45421</v>
      </c>
      <c r="I53" s="157" t="str">
        <f t="shared" si="0"/>
        <v>Apr</v>
      </c>
      <c r="J53" s="14" t="str">
        <f ca="1">IF(E53="","",IF(N53="",H53-TODAY(),""))</f>
        <v/>
      </c>
      <c r="K53" s="157" t="s">
        <v>124</v>
      </c>
      <c r="L53" s="25" t="s">
        <v>24</v>
      </c>
      <c r="M53" s="25" t="s">
        <v>94</v>
      </c>
      <c r="N53" s="9">
        <v>45394</v>
      </c>
      <c r="O53" s="159">
        <f>IF($N53="","",NETWORKDAYS($E53,$N53,$V$33:$V$47)-1)</f>
        <v>1</v>
      </c>
      <c r="P53" s="10" t="str">
        <f>IF(ISBLANK(N53),"",IF(N53&gt;H53,"No","Yes"))</f>
        <v>Yes</v>
      </c>
      <c r="Q53" s="9" t="s">
        <v>117</v>
      </c>
      <c r="R53" s="4" t="s">
        <v>118</v>
      </c>
      <c r="S53" s="4"/>
      <c r="T53" s="4"/>
      <c r="U53" s="6"/>
      <c r="V53" s="6"/>
      <c r="W53" s="6"/>
      <c r="X53" s="6"/>
      <c r="Y53" s="6"/>
      <c r="Z53" s="6"/>
      <c r="AX53" s="6" t="str">
        <v>Quarter 1</v>
      </c>
    </row>
    <row r="54" spans="1:50" ht="31.4" customHeight="1" x14ac:dyDescent="0.35">
      <c r="A54" s="136" t="s">
        <v>287</v>
      </c>
      <c r="B54" s="4" t="s">
        <v>138</v>
      </c>
      <c r="C54" s="4" t="s">
        <v>19</v>
      </c>
      <c r="D54" s="4" t="s">
        <v>288</v>
      </c>
      <c r="E54" s="157">
        <v>45393</v>
      </c>
      <c r="F54" s="9">
        <f>IF($E54="","",WORKDAY($E54,1,$V$33:$V$47))</f>
        <v>45394</v>
      </c>
      <c r="G54" s="9">
        <f>IF($E54="","",WORKDAY($E54,10,$V$33:$V$47))</f>
        <v>45407</v>
      </c>
      <c r="H54" s="9">
        <f>IF($E54="","",WORKDAY($E54,20,$V$33:$V$47))</f>
        <v>45421</v>
      </c>
      <c r="I54" s="157" t="str">
        <f t="shared" si="0"/>
        <v>Apr</v>
      </c>
      <c r="J54" s="14" t="str">
        <f ca="1">IF(E54="","",IF(N54="",H54-TODAY(),""))</f>
        <v/>
      </c>
      <c r="K54" s="157" t="s">
        <v>4</v>
      </c>
      <c r="L54" s="157" t="s">
        <v>7</v>
      </c>
      <c r="M54" s="157" t="s">
        <v>82</v>
      </c>
      <c r="N54" s="9">
        <v>45406</v>
      </c>
      <c r="O54" s="159">
        <f>IF($N54="","",NETWORKDAYS($E54,$N54,$V$33:$V$47)-1)</f>
        <v>9</v>
      </c>
      <c r="P54" s="10" t="str">
        <f>IF(ISBLANK(N54),"",IF(N54&gt;H54,"No","Yes"))</f>
        <v>Yes</v>
      </c>
      <c r="Q54" s="9" t="s">
        <v>117</v>
      </c>
      <c r="R54" s="4" t="s">
        <v>118</v>
      </c>
      <c r="S54" s="4" t="s">
        <v>135</v>
      </c>
      <c r="T54" s="7"/>
      <c r="U54" s="6"/>
      <c r="V54" s="6"/>
      <c r="W54" s="6"/>
      <c r="X54" s="6"/>
      <c r="Y54" s="6"/>
      <c r="Z54" s="6"/>
      <c r="AX54" s="6" t="str">
        <v>Quarter 1</v>
      </c>
    </row>
    <row r="55" spans="1:50" ht="31.4" customHeight="1" x14ac:dyDescent="0.35">
      <c r="A55" s="136" t="s">
        <v>289</v>
      </c>
      <c r="B55" s="4" t="s">
        <v>290</v>
      </c>
      <c r="C55" s="4" t="s">
        <v>25</v>
      </c>
      <c r="D55" s="4" t="s">
        <v>291</v>
      </c>
      <c r="E55" s="157">
        <v>45394</v>
      </c>
      <c r="F55" s="9">
        <f>IF($E55="","",WORKDAY($E55,1,$V$33:$V$47))</f>
        <v>45397</v>
      </c>
      <c r="G55" s="9">
        <f>IF($E55="","",WORKDAY($E55,10,$V$33:$V$47))</f>
        <v>45408</v>
      </c>
      <c r="H55" s="9">
        <f>IF($E55="","",WORKDAY($E55,20,$V$33:$V$47))</f>
        <v>45422</v>
      </c>
      <c r="I55" s="157" t="str">
        <f t="shared" si="0"/>
        <v>Apr</v>
      </c>
      <c r="J55" s="14" t="str">
        <f ca="1">IF(E55="","",IF(N55="",H55-TODAY(),""))</f>
        <v/>
      </c>
      <c r="K55" s="157" t="s">
        <v>5</v>
      </c>
      <c r="L55" s="157" t="s">
        <v>18</v>
      </c>
      <c r="M55" s="157" t="s">
        <v>43</v>
      </c>
      <c r="N55" s="9">
        <v>45407</v>
      </c>
      <c r="O55" s="159">
        <f>IF($N55="","",NETWORKDAYS($E55,$N55,$V$33:$V$47)-1)</f>
        <v>9</v>
      </c>
      <c r="P55" s="10" t="str">
        <f>IF(ISBLANK(N55),"",IF(N55&gt;H55,"No","Yes"))</f>
        <v>Yes</v>
      </c>
      <c r="Q55" s="9" t="s">
        <v>117</v>
      </c>
      <c r="R55" s="4" t="s">
        <v>118</v>
      </c>
      <c r="S55" s="4"/>
      <c r="T55" s="4"/>
      <c r="U55" s="6"/>
      <c r="V55" s="6"/>
      <c r="W55" s="6"/>
      <c r="X55" s="6"/>
      <c r="Y55" s="6"/>
      <c r="Z55" s="6"/>
      <c r="AX55" s="6" t="str">
        <v>Quarter 1</v>
      </c>
    </row>
    <row r="56" spans="1:50" ht="31.4" customHeight="1" x14ac:dyDescent="0.35">
      <c r="A56" s="136" t="s">
        <v>292</v>
      </c>
      <c r="B56" s="4" t="s">
        <v>293</v>
      </c>
      <c r="C56" s="4" t="s">
        <v>6</v>
      </c>
      <c r="D56" s="4" t="s">
        <v>294</v>
      </c>
      <c r="E56" s="157">
        <v>45394</v>
      </c>
      <c r="F56" s="9">
        <f>IF($E56="","",WORKDAY($E56,1,$V$33:$V$47))</f>
        <v>45397</v>
      </c>
      <c r="G56" s="9">
        <f>IF($E56="","",WORKDAY($E56,10,$V$33:$V$47))</f>
        <v>45408</v>
      </c>
      <c r="H56" s="9">
        <f>IF($E56="","",WORKDAY($E56,20,$V$33:$V$47))</f>
        <v>45422</v>
      </c>
      <c r="I56" s="157" t="str">
        <f t="shared" si="0"/>
        <v>Apr</v>
      </c>
      <c r="J56" s="14" t="str">
        <f ca="1">IF(E56="","",IF(N56="",H56-TODAY(),""))</f>
        <v/>
      </c>
      <c r="K56" s="157" t="s">
        <v>10</v>
      </c>
      <c r="L56" s="157" t="s">
        <v>12</v>
      </c>
      <c r="M56" s="157" t="s">
        <v>91</v>
      </c>
      <c r="N56" s="9">
        <v>45401</v>
      </c>
      <c r="O56" s="159">
        <f>IF($N56="","",NETWORKDAYS($E56,$N56,$V$33:$V$47)-1)</f>
        <v>5</v>
      </c>
      <c r="P56" s="10" t="str">
        <f>IF(ISBLANK(N56),"",IF(N56&gt;H56,"No","Yes"))</f>
        <v>Yes</v>
      </c>
      <c r="Q56" s="9" t="s">
        <v>117</v>
      </c>
      <c r="R56" s="4" t="s">
        <v>118</v>
      </c>
      <c r="S56" s="4" t="s">
        <v>135</v>
      </c>
      <c r="T56" s="4" t="s">
        <v>141</v>
      </c>
      <c r="U56" s="6"/>
      <c r="V56" s="6"/>
      <c r="W56" s="6"/>
      <c r="X56" s="6"/>
      <c r="Y56" s="6"/>
      <c r="Z56" s="6"/>
      <c r="AX56" s="6" t="str">
        <v>Quarter 1</v>
      </c>
    </row>
    <row r="57" spans="1:50" ht="31.4" customHeight="1" x14ac:dyDescent="0.35">
      <c r="A57" s="136" t="s">
        <v>295</v>
      </c>
      <c r="B57" s="4" t="s">
        <v>8</v>
      </c>
      <c r="C57" s="4" t="s">
        <v>8</v>
      </c>
      <c r="D57" s="4" t="s">
        <v>296</v>
      </c>
      <c r="E57" s="157">
        <v>45394</v>
      </c>
      <c r="F57" s="9">
        <f>IF($E57="","",WORKDAY($E57,1,$V$33:$V$47))</f>
        <v>45397</v>
      </c>
      <c r="G57" s="9">
        <f>IF($E57="","",WORKDAY($E57,10,$V$33:$V$47))</f>
        <v>45408</v>
      </c>
      <c r="H57" s="9">
        <f>IF($E57="","",WORKDAY($E57,20,$V$33:$V$47))</f>
        <v>45422</v>
      </c>
      <c r="I57" s="157" t="str">
        <f t="shared" si="0"/>
        <v>Apr</v>
      </c>
      <c r="J57" s="14" t="str">
        <f ca="1">IF(E57="","",IF(N57="",H57-TODAY(),""))</f>
        <v/>
      </c>
      <c r="K57" s="157" t="s">
        <v>4</v>
      </c>
      <c r="L57" s="157" t="s">
        <v>26</v>
      </c>
      <c r="M57" s="157" t="s">
        <v>57</v>
      </c>
      <c r="N57" s="9">
        <v>45400</v>
      </c>
      <c r="O57" s="159">
        <f>IF($N57="","",NETWORKDAYS($E57,$N57,$V$33:$V$47)-1)</f>
        <v>4</v>
      </c>
      <c r="P57" s="10" t="str">
        <f>IF(ISBLANK(N57),"",IF(N57&gt;H57,"No","Yes"))</f>
        <v>Yes</v>
      </c>
      <c r="Q57" s="9" t="s">
        <v>117</v>
      </c>
      <c r="R57" s="4" t="s">
        <v>118</v>
      </c>
      <c r="S57" s="4"/>
      <c r="T57" s="4" t="s">
        <v>141</v>
      </c>
      <c r="U57" s="6"/>
      <c r="V57" s="6"/>
      <c r="W57" s="6"/>
      <c r="X57" s="6"/>
      <c r="Y57" s="6"/>
      <c r="Z57" s="6"/>
      <c r="AX57" s="6" t="str">
        <v>Quarter 1</v>
      </c>
    </row>
    <row r="58" spans="1:50" ht="31.4" customHeight="1" x14ac:dyDescent="0.35">
      <c r="A58" s="136" t="s">
        <v>297</v>
      </c>
      <c r="B58" s="4" t="s">
        <v>298</v>
      </c>
      <c r="C58" s="4" t="s">
        <v>13</v>
      </c>
      <c r="D58" s="4" t="s">
        <v>299</v>
      </c>
      <c r="E58" s="157">
        <v>45397</v>
      </c>
      <c r="F58" s="9">
        <f>IF($E58="","",WORKDAY($E58,1,$V$33:$V$47))</f>
        <v>45398</v>
      </c>
      <c r="G58" s="9">
        <f>IF($E58="","",WORKDAY($E58,10,$V$33:$V$47))</f>
        <v>45411</v>
      </c>
      <c r="H58" s="9">
        <f>IF($E58="","",WORKDAY($E58,20,$V$33:$V$47))</f>
        <v>45425</v>
      </c>
      <c r="I58" s="157" t="str">
        <f t="shared" si="0"/>
        <v>Apr</v>
      </c>
      <c r="J58" s="14" t="str">
        <f ca="1">IF(E58="","",IF(N58="",H58-TODAY(),""))</f>
        <v/>
      </c>
      <c r="K58" s="157" t="s">
        <v>124</v>
      </c>
      <c r="L58" s="157" t="s">
        <v>20</v>
      </c>
      <c r="M58" s="157" t="s">
        <v>79</v>
      </c>
      <c r="N58" s="9">
        <v>45412</v>
      </c>
      <c r="O58" s="159">
        <f>IF($N58="","",NETWORKDAYS($E58,$N58,$V$33:$V$47)-1)</f>
        <v>11</v>
      </c>
      <c r="P58" s="10" t="str">
        <f>IF(ISBLANK(N58),"",IF(N58&gt;H58,"No","Yes"))</f>
        <v>Yes</v>
      </c>
      <c r="Q58" s="9" t="s">
        <v>117</v>
      </c>
      <c r="R58" s="4" t="s">
        <v>118</v>
      </c>
      <c r="S58" s="4" t="s">
        <v>135</v>
      </c>
      <c r="T58" s="4"/>
      <c r="U58" s="6"/>
      <c r="V58" s="6"/>
      <c r="W58" s="6"/>
      <c r="X58" s="6"/>
      <c r="Y58" s="6"/>
      <c r="Z58" s="6"/>
      <c r="AX58" s="6" t="str">
        <v>Quarter 1</v>
      </c>
    </row>
    <row r="59" spans="1:50" ht="31.4" customHeight="1" x14ac:dyDescent="0.35">
      <c r="A59" s="136" t="s">
        <v>300</v>
      </c>
      <c r="B59" s="7" t="s">
        <v>8</v>
      </c>
      <c r="C59" s="7" t="s">
        <v>8</v>
      </c>
      <c r="D59" s="7" t="s">
        <v>301</v>
      </c>
      <c r="E59" s="157">
        <v>45397</v>
      </c>
      <c r="F59" s="9">
        <f>IF($E59="","",WORKDAY($E59,1,$V$33:$V$47))</f>
        <v>45398</v>
      </c>
      <c r="G59" s="9">
        <f>IF($E59="","",WORKDAY($E59,10,$V$33:$V$47))</f>
        <v>45411</v>
      </c>
      <c r="H59" s="9">
        <f>IF($E59="","",WORKDAY($E59,20,$V$33:$V$47))</f>
        <v>45425</v>
      </c>
      <c r="I59" s="157" t="str">
        <f t="shared" si="0"/>
        <v>Apr</v>
      </c>
      <c r="J59" s="14" t="str">
        <f ca="1">IF(E59="","",IF(N59="",H59-TODAY(),""))</f>
        <v/>
      </c>
      <c r="K59" s="157" t="s">
        <v>5</v>
      </c>
      <c r="L59" s="157" t="s">
        <v>22</v>
      </c>
      <c r="M59" s="157" t="s">
        <v>46</v>
      </c>
      <c r="N59" s="9">
        <v>45407</v>
      </c>
      <c r="O59" s="159">
        <f>IF($N59="","",NETWORKDAYS($E59,$N59,$V$33:$V$47)-1)</f>
        <v>8</v>
      </c>
      <c r="P59" s="10" t="str">
        <f>IF(ISBLANK(N59),"",IF(N59&gt;H59,"No","Yes"))</f>
        <v>Yes</v>
      </c>
      <c r="Q59" s="9" t="s">
        <v>117</v>
      </c>
      <c r="R59" s="4" t="s">
        <v>118</v>
      </c>
      <c r="S59" s="4"/>
      <c r="T59" s="4"/>
      <c r="U59" s="6"/>
      <c r="V59" s="6"/>
      <c r="W59" s="6"/>
      <c r="X59" s="6"/>
      <c r="Y59" s="6"/>
      <c r="Z59" s="6"/>
      <c r="AX59" s="6" t="str">
        <v>Quarter 1</v>
      </c>
    </row>
    <row r="60" spans="1:50" ht="31.4" customHeight="1" x14ac:dyDescent="0.35">
      <c r="A60" s="136" t="s">
        <v>302</v>
      </c>
      <c r="B60" s="7" t="s">
        <v>303</v>
      </c>
      <c r="C60" s="7" t="s">
        <v>15</v>
      </c>
      <c r="D60" s="4" t="s">
        <v>304</v>
      </c>
      <c r="E60" s="157">
        <v>45397</v>
      </c>
      <c r="F60" s="9">
        <f>IF($E60="","",WORKDAY($E60,1,$V$33:$V$47))</f>
        <v>45398</v>
      </c>
      <c r="G60" s="9">
        <f>IF($E60="","",WORKDAY($E60,10,$V$33:$V$47))</f>
        <v>45411</v>
      </c>
      <c r="H60" s="9">
        <f>IF($E60="","",WORKDAY($E60,20,$V$33:$V$47))</f>
        <v>45425</v>
      </c>
      <c r="I60" s="157" t="str">
        <f t="shared" si="0"/>
        <v>Apr</v>
      </c>
      <c r="J60" s="14" t="str">
        <f ca="1">IF(E60="","",IF(N60="",H60-TODAY(),""))</f>
        <v/>
      </c>
      <c r="K60" s="157" t="s">
        <v>5</v>
      </c>
      <c r="L60" s="157" t="s">
        <v>16</v>
      </c>
      <c r="M60" s="157" t="s">
        <v>71</v>
      </c>
      <c r="N60" s="9">
        <v>45425</v>
      </c>
      <c r="O60" s="159">
        <f>IF($N60="","",NETWORKDAYS($E60,$N60,$V$33:$V$47)-1)</f>
        <v>20</v>
      </c>
      <c r="P60" s="10" t="str">
        <f>IF(ISBLANK(N60),"",IF(N60&gt;H60,"No","Yes"))</f>
        <v>Yes</v>
      </c>
      <c r="Q60" s="9" t="s">
        <v>117</v>
      </c>
      <c r="R60" s="4" t="s">
        <v>118</v>
      </c>
      <c r="S60" s="4"/>
      <c r="T60" s="4"/>
      <c r="U60" s="6"/>
      <c r="V60" s="6"/>
      <c r="W60" s="6"/>
      <c r="X60" s="6"/>
      <c r="Y60" s="6"/>
      <c r="Z60" s="6"/>
      <c r="AX60" s="6" t="str">
        <v>Quarter 1</v>
      </c>
    </row>
    <row r="61" spans="1:50" ht="31.4" customHeight="1" x14ac:dyDescent="0.35">
      <c r="A61" s="136" t="s">
        <v>305</v>
      </c>
      <c r="B61" s="4" t="s">
        <v>8</v>
      </c>
      <c r="C61" s="4" t="s">
        <v>8</v>
      </c>
      <c r="D61" s="4" t="s">
        <v>306</v>
      </c>
      <c r="E61" s="157">
        <v>45397</v>
      </c>
      <c r="F61" s="9">
        <f>IF($E61="","",WORKDAY($E61,1,$V$33:$V$47))</f>
        <v>45398</v>
      </c>
      <c r="G61" s="9">
        <f>IF($E61="","",WORKDAY($E61,10,$V$33:$V$47))</f>
        <v>45411</v>
      </c>
      <c r="H61" s="9">
        <f>IF($E61="","",WORKDAY($E61,20,$V$33:$V$47))</f>
        <v>45425</v>
      </c>
      <c r="I61" s="157" t="str">
        <f t="shared" si="0"/>
        <v>Apr</v>
      </c>
      <c r="J61" s="14" t="str">
        <f ca="1">IF(E61="","",IF(N61="",H61-TODAY(),""))</f>
        <v/>
      </c>
      <c r="K61" s="157" t="s">
        <v>5</v>
      </c>
      <c r="L61" s="157" t="s">
        <v>16</v>
      </c>
      <c r="M61" s="157" t="s">
        <v>67</v>
      </c>
      <c r="N61" s="9">
        <v>45412</v>
      </c>
      <c r="O61" s="159">
        <f>IF($N61="","",NETWORKDAYS($E61,$N61,$V$33:$V$47)-1)</f>
        <v>11</v>
      </c>
      <c r="P61" s="10" t="str">
        <f>IF(ISBLANK(N61),"",IF(N61&gt;H61,"No","Yes"))</f>
        <v>Yes</v>
      </c>
      <c r="Q61" s="9" t="s">
        <v>117</v>
      </c>
      <c r="R61" s="4" t="s">
        <v>118</v>
      </c>
      <c r="S61" s="4" t="s">
        <v>135</v>
      </c>
      <c r="T61" s="4"/>
      <c r="U61" s="6"/>
      <c r="V61" s="6"/>
      <c r="W61" s="6"/>
      <c r="X61" s="6"/>
      <c r="Y61" s="6"/>
      <c r="Z61" s="6"/>
      <c r="AX61" s="6" t="str">
        <v>Quarter 1</v>
      </c>
    </row>
    <row r="62" spans="1:50" ht="31.4" customHeight="1" x14ac:dyDescent="0.35">
      <c r="A62" s="136" t="s">
        <v>307</v>
      </c>
      <c r="B62" s="4" t="s">
        <v>303</v>
      </c>
      <c r="C62" s="4" t="s">
        <v>15</v>
      </c>
      <c r="D62" s="4" t="s">
        <v>308</v>
      </c>
      <c r="E62" s="157">
        <v>45398</v>
      </c>
      <c r="F62" s="9">
        <f>IF($E62="","",WORKDAY($E62,1,$V$33:$V$47))</f>
        <v>45399</v>
      </c>
      <c r="G62" s="9">
        <f>IF($E62="","",WORKDAY($E62,10,$V$33:$V$47))</f>
        <v>45412</v>
      </c>
      <c r="H62" s="9">
        <f>IF($E62="","",WORKDAY($E62,20,$V$33:$V$47))</f>
        <v>45426</v>
      </c>
      <c r="I62" s="157" t="str">
        <f t="shared" si="0"/>
        <v>Apr</v>
      </c>
      <c r="J62" s="14" t="str">
        <f ca="1">IF(E62="","",IF(N62="",H62-TODAY(),""))</f>
        <v/>
      </c>
      <c r="K62" s="157" t="s">
        <v>5</v>
      </c>
      <c r="L62" s="157" t="s">
        <v>16</v>
      </c>
      <c r="M62" s="157" t="s">
        <v>71</v>
      </c>
      <c r="N62" s="9">
        <v>45412</v>
      </c>
      <c r="O62" s="159">
        <f>IF($N62="","",NETWORKDAYS($E62,$N62,$V$33:$V$47)-1)</f>
        <v>10</v>
      </c>
      <c r="P62" s="10" t="str">
        <f>IF(ISBLANK(N62),"",IF(N62&gt;H62,"No","Yes"))</f>
        <v>Yes</v>
      </c>
      <c r="Q62" s="9" t="s">
        <v>117</v>
      </c>
      <c r="R62" s="4" t="s">
        <v>118</v>
      </c>
      <c r="S62" s="4"/>
      <c r="T62" s="4"/>
      <c r="U62" s="6"/>
      <c r="V62" s="6"/>
      <c r="W62" s="6"/>
      <c r="X62" s="6"/>
      <c r="Y62" s="6"/>
      <c r="Z62" s="6"/>
      <c r="AX62" s="6" t="str">
        <v>Quarter 1</v>
      </c>
    </row>
    <row r="63" spans="1:50" ht="31.4" customHeight="1" x14ac:dyDescent="0.35">
      <c r="A63" s="136" t="s">
        <v>309</v>
      </c>
      <c r="B63" s="4" t="s">
        <v>310</v>
      </c>
      <c r="C63" s="4" t="s">
        <v>6</v>
      </c>
      <c r="D63" s="4" t="s">
        <v>311</v>
      </c>
      <c r="E63" s="157">
        <v>45398</v>
      </c>
      <c r="F63" s="9">
        <f>IF($E63="","",WORKDAY($E63,1,$V$33:$V$47))</f>
        <v>45399</v>
      </c>
      <c r="G63" s="9">
        <f>IF($E63="","",WORKDAY($E63,10,$V$33:$V$47))</f>
        <v>45412</v>
      </c>
      <c r="H63" s="9">
        <f>IF($E63="","",WORKDAY($E63,20,$V$33:$V$47))</f>
        <v>45426</v>
      </c>
      <c r="I63" s="157" t="str">
        <f t="shared" si="0"/>
        <v>Apr</v>
      </c>
      <c r="J63" s="14" t="str">
        <f ca="1">IF(E63="","",IF(N63="",H63-TODAY(),""))</f>
        <v/>
      </c>
      <c r="K63" s="157" t="s">
        <v>124</v>
      </c>
      <c r="L63" s="157" t="s">
        <v>24</v>
      </c>
      <c r="M63" s="157" t="s">
        <v>87</v>
      </c>
      <c r="N63" s="9">
        <v>45400</v>
      </c>
      <c r="O63" s="159">
        <f>IF($N63="","",NETWORKDAYS($E63,$N63,$V$33:$V$47)-1)</f>
        <v>2</v>
      </c>
      <c r="P63" s="10" t="str">
        <f>IF(ISBLANK(N63),"",IF(N63&gt;H63,"No","Yes"))</f>
        <v>Yes</v>
      </c>
      <c r="Q63" s="9" t="s">
        <v>117</v>
      </c>
      <c r="R63" s="4" t="s">
        <v>118</v>
      </c>
      <c r="S63" s="4"/>
      <c r="T63" s="4" t="s">
        <v>141</v>
      </c>
      <c r="U63" s="6"/>
      <c r="V63" s="6"/>
      <c r="W63" s="6"/>
      <c r="X63" s="6"/>
      <c r="Y63" s="6"/>
      <c r="Z63" s="6"/>
      <c r="AX63" s="6" t="str">
        <v>Quarter 1</v>
      </c>
    </row>
    <row r="64" spans="1:50" ht="31.4" customHeight="1" x14ac:dyDescent="0.35">
      <c r="A64" s="136" t="s">
        <v>312</v>
      </c>
      <c r="B64" s="4" t="s">
        <v>138</v>
      </c>
      <c r="C64" s="4" t="s">
        <v>19</v>
      </c>
      <c r="D64" s="4" t="s">
        <v>313</v>
      </c>
      <c r="E64" s="157">
        <v>45399</v>
      </c>
      <c r="F64" s="9">
        <f>IF($E64="","",WORKDAY($E64,1,$V$33:$V$47))</f>
        <v>45400</v>
      </c>
      <c r="G64" s="9">
        <f>IF($E64="","",WORKDAY($E64,10,$V$33:$V$47))</f>
        <v>45413</v>
      </c>
      <c r="H64" s="9">
        <f>IF($E64="","",WORKDAY($E64,20,$V$33:$V$47))</f>
        <v>45427</v>
      </c>
      <c r="I64" s="157" t="str">
        <f t="shared" si="0"/>
        <v>Apr</v>
      </c>
      <c r="J64" s="14" t="str">
        <f ca="1">IF(E64="","",IF(N64="",H64-TODAY(),""))</f>
        <v/>
      </c>
      <c r="K64" s="157" t="s">
        <v>124</v>
      </c>
      <c r="L64" s="157" t="s">
        <v>20</v>
      </c>
      <c r="M64" s="157" t="s">
        <v>79</v>
      </c>
      <c r="N64" s="9">
        <v>45405</v>
      </c>
      <c r="O64" s="159">
        <f>IF($N64="","",NETWORKDAYS($E64,$N64,$V$33:$V$47)-1)</f>
        <v>4</v>
      </c>
      <c r="P64" s="10" t="str">
        <f>IF(ISBLANK(N64),"",IF(N64&gt;H64,"No","Yes"))</f>
        <v>Yes</v>
      </c>
      <c r="Q64" s="9" t="s">
        <v>117</v>
      </c>
      <c r="R64" s="4" t="s">
        <v>118</v>
      </c>
      <c r="S64" s="4" t="s">
        <v>135</v>
      </c>
      <c r="T64" s="4"/>
      <c r="U64" s="6"/>
      <c r="V64" s="6"/>
      <c r="W64" s="6"/>
      <c r="X64" s="6"/>
      <c r="Y64" s="6"/>
      <c r="Z64" s="6"/>
      <c r="AX64" s="6" t="str">
        <v>Quarter 1</v>
      </c>
    </row>
    <row r="65" spans="1:50" ht="31.4" customHeight="1" x14ac:dyDescent="0.35">
      <c r="A65" s="136" t="s">
        <v>314</v>
      </c>
      <c r="B65" s="7" t="s">
        <v>138</v>
      </c>
      <c r="C65" s="7" t="s">
        <v>19</v>
      </c>
      <c r="D65" s="4" t="s">
        <v>315</v>
      </c>
      <c r="E65" s="157">
        <v>45399</v>
      </c>
      <c r="F65" s="9">
        <f>IF($E65="","",WORKDAY($E65,1,$V$33:$V$47))</f>
        <v>45400</v>
      </c>
      <c r="G65" s="9">
        <f>IF($E65="","",WORKDAY($E65,10,$V$33:$V$47))</f>
        <v>45413</v>
      </c>
      <c r="H65" s="9">
        <f>IF($E65="","",WORKDAY($E65,20,$V$33:$V$47))</f>
        <v>45427</v>
      </c>
      <c r="I65" s="157" t="str">
        <f t="shared" si="0"/>
        <v>Apr</v>
      </c>
      <c r="J65" s="14" t="str">
        <f ca="1">IF(E65="","",IF(N65="",H65-TODAY(),""))</f>
        <v/>
      </c>
      <c r="K65" s="157" t="s">
        <v>124</v>
      </c>
      <c r="L65" s="25" t="s">
        <v>20</v>
      </c>
      <c r="M65" s="25" t="s">
        <v>79</v>
      </c>
      <c r="N65" s="9">
        <v>45400</v>
      </c>
      <c r="O65" s="159">
        <f>IF($N65="","",NETWORKDAYS($E65,$N65,$V$33:$V$47)-1)</f>
        <v>1</v>
      </c>
      <c r="P65" s="10" t="str">
        <f>IF(ISBLANK(N65),"",IF(N65&gt;H65,"No","Yes"))</f>
        <v>Yes</v>
      </c>
      <c r="Q65" s="9" t="s">
        <v>117</v>
      </c>
      <c r="R65" s="4" t="s">
        <v>118</v>
      </c>
      <c r="S65" s="4"/>
      <c r="T65" s="4"/>
      <c r="U65" s="6"/>
      <c r="V65" s="6"/>
      <c r="W65" s="6"/>
      <c r="X65" s="6"/>
      <c r="Y65" s="6"/>
      <c r="Z65" s="6"/>
      <c r="AX65" s="6" t="str">
        <v>Quarter 1</v>
      </c>
    </row>
    <row r="66" spans="1:50" ht="31.4" customHeight="1" x14ac:dyDescent="0.35">
      <c r="A66" s="136" t="s">
        <v>316</v>
      </c>
      <c r="B66" s="4" t="s">
        <v>8</v>
      </c>
      <c r="C66" s="4" t="s">
        <v>8</v>
      </c>
      <c r="D66" s="4" t="s">
        <v>317</v>
      </c>
      <c r="E66" s="157">
        <v>45399</v>
      </c>
      <c r="F66" s="9">
        <f>IF($E66="","",WORKDAY($E66,1,$V$33:$V$47))</f>
        <v>45400</v>
      </c>
      <c r="G66" s="9">
        <f>IF($E66="","",WORKDAY($E66,10,$V$33:$V$47))</f>
        <v>45413</v>
      </c>
      <c r="H66" s="9">
        <f>IF($E66="","",WORKDAY($E66,20,$V$33:$V$47))</f>
        <v>45427</v>
      </c>
      <c r="I66" s="157" t="str">
        <f t="shared" ref="I66:I129" si="1">IF(ISBLANK(E66),"",TEXT(E66,"mmm"))</f>
        <v>Apr</v>
      </c>
      <c r="J66" s="14" t="str">
        <f ca="1">IF(E66="","",IF(N66="",H66-TODAY(),""))</f>
        <v/>
      </c>
      <c r="K66" s="157" t="s">
        <v>124</v>
      </c>
      <c r="L66" s="157" t="s">
        <v>24</v>
      </c>
      <c r="M66" s="157" t="s">
        <v>61</v>
      </c>
      <c r="N66" s="9">
        <v>45400</v>
      </c>
      <c r="O66" s="159">
        <f>IF($N66="","",NETWORKDAYS($E66,$N66,$V$33:$V$47)-1)</f>
        <v>1</v>
      </c>
      <c r="P66" s="10" t="str">
        <f>IF(ISBLANK(N66),"",IF(N66&gt;H66,"No","Yes"))</f>
        <v>Yes</v>
      </c>
      <c r="Q66" s="9" t="s">
        <v>117</v>
      </c>
      <c r="R66" s="4" t="s">
        <v>118</v>
      </c>
      <c r="S66" s="4"/>
      <c r="T66" s="4" t="s">
        <v>141</v>
      </c>
      <c r="U66" s="6"/>
      <c r="V66" s="6"/>
      <c r="W66" s="6"/>
      <c r="X66" s="6"/>
      <c r="Y66" s="6"/>
      <c r="Z66" s="6"/>
      <c r="AX66" s="6" t="str">
        <v>Quarter 1</v>
      </c>
    </row>
    <row r="67" spans="1:50" ht="31.4" customHeight="1" x14ac:dyDescent="0.35">
      <c r="A67" s="136" t="s">
        <v>318</v>
      </c>
      <c r="B67" s="4" t="s">
        <v>8</v>
      </c>
      <c r="C67" s="4" t="s">
        <v>8</v>
      </c>
      <c r="D67" s="4" t="s">
        <v>319</v>
      </c>
      <c r="E67" s="157">
        <v>45399</v>
      </c>
      <c r="F67" s="9">
        <f>IF($E67="","",WORKDAY($E67,1,$V$33:$V$47))</f>
        <v>45400</v>
      </c>
      <c r="G67" s="9">
        <f>IF($E67="","",WORKDAY($E67,10,$V$33:$V$47))</f>
        <v>45413</v>
      </c>
      <c r="H67" s="9">
        <f>IF($E67="","",WORKDAY($E67,20,$V$33:$V$47))</f>
        <v>45427</v>
      </c>
      <c r="I67" s="157" t="str">
        <f t="shared" si="1"/>
        <v>Apr</v>
      </c>
      <c r="J67" s="14" t="str">
        <f ca="1">IF(E67="","",IF(N67="",H67-TODAY(),""))</f>
        <v/>
      </c>
      <c r="K67" s="157" t="s">
        <v>10</v>
      </c>
      <c r="L67" s="157" t="s">
        <v>27</v>
      </c>
      <c r="M67" s="157" t="s">
        <v>86</v>
      </c>
      <c r="N67" s="9">
        <v>45414</v>
      </c>
      <c r="O67" s="159">
        <f>IF($N67="","",NETWORKDAYS($E67,$N67,$V$33:$V$47)-1)</f>
        <v>11</v>
      </c>
      <c r="P67" s="10" t="str">
        <f>IF(ISBLANK(N67),"",IF(N67&gt;H67,"No","Yes"))</f>
        <v>Yes</v>
      </c>
      <c r="Q67" s="9" t="s">
        <v>117</v>
      </c>
      <c r="R67" s="4" t="s">
        <v>118</v>
      </c>
      <c r="S67" s="4"/>
      <c r="T67" s="4" t="s">
        <v>141</v>
      </c>
      <c r="U67" s="6"/>
      <c r="V67" s="6"/>
      <c r="W67" s="6"/>
      <c r="X67" s="6"/>
      <c r="Y67" s="6"/>
      <c r="Z67" s="6"/>
      <c r="AX67" s="6" t="str">
        <v>Quarter 1</v>
      </c>
    </row>
    <row r="68" spans="1:50" ht="31.4" customHeight="1" x14ac:dyDescent="0.35">
      <c r="A68" s="136" t="s">
        <v>320</v>
      </c>
      <c r="B68" s="4" t="s">
        <v>138</v>
      </c>
      <c r="C68" s="4" t="s">
        <v>19</v>
      </c>
      <c r="D68" s="4" t="s">
        <v>229</v>
      </c>
      <c r="E68" s="157">
        <v>45399</v>
      </c>
      <c r="F68" s="9">
        <f>IF($E68="","",WORKDAY($E68,1,$V$33:$V$47))</f>
        <v>45400</v>
      </c>
      <c r="G68" s="9">
        <f>IF($E68="","",WORKDAY($E68,10,$V$33:$V$47))</f>
        <v>45413</v>
      </c>
      <c r="H68" s="9">
        <f>IF($E68="","",WORKDAY($E68,20,$V$33:$V$47))</f>
        <v>45427</v>
      </c>
      <c r="I68" s="157" t="str">
        <f t="shared" si="1"/>
        <v>Apr</v>
      </c>
      <c r="J68" s="14" t="str">
        <f ca="1">IF(E68="","",IF(N68="",H68-TODAY(),""))</f>
        <v/>
      </c>
      <c r="K68" s="157" t="s">
        <v>5</v>
      </c>
      <c r="L68" s="157" t="s">
        <v>16</v>
      </c>
      <c r="M68" s="157" t="s">
        <v>71</v>
      </c>
      <c r="N68" s="9">
        <v>45421</v>
      </c>
      <c r="O68" s="159">
        <f>IF($N68="","",NETWORKDAYS($E68,$N68,$V$33:$V$47)-1)</f>
        <v>16</v>
      </c>
      <c r="P68" s="10" t="str">
        <f>IF(ISBLANK(N68),"",IF(N68&gt;H68,"No","Yes"))</f>
        <v>Yes</v>
      </c>
      <c r="Q68" s="9" t="s">
        <v>117</v>
      </c>
      <c r="R68" s="4" t="s">
        <v>118</v>
      </c>
      <c r="S68" s="4"/>
      <c r="T68" s="4"/>
      <c r="U68" s="6"/>
      <c r="V68" s="6"/>
      <c r="W68" s="6"/>
      <c r="X68" s="6"/>
      <c r="Y68" s="6"/>
      <c r="Z68" s="6"/>
      <c r="AX68" s="6" t="str">
        <v>Quarter 1</v>
      </c>
    </row>
    <row r="69" spans="1:50" ht="31.4" customHeight="1" x14ac:dyDescent="0.35">
      <c r="A69" s="136" t="s">
        <v>321</v>
      </c>
      <c r="B69" s="4" t="s">
        <v>8</v>
      </c>
      <c r="C69" s="4" t="s">
        <v>8</v>
      </c>
      <c r="D69" s="4" t="s">
        <v>322</v>
      </c>
      <c r="E69" s="157">
        <v>45399</v>
      </c>
      <c r="F69" s="9">
        <f>IF($E69="","",WORKDAY($E69,1,$V$33:$V$47))</f>
        <v>45400</v>
      </c>
      <c r="G69" s="9">
        <f>IF($E69="","",WORKDAY($E69,10,$V$33:$V$47))</f>
        <v>45413</v>
      </c>
      <c r="H69" s="9">
        <f>IF($E69="","",WORKDAY($E69,20,$V$33:$V$47))</f>
        <v>45427</v>
      </c>
      <c r="I69" s="157" t="str">
        <f t="shared" si="1"/>
        <v>Apr</v>
      </c>
      <c r="J69" s="14" t="str">
        <f ca="1">IF(E69="","",IF(N69="",H69-TODAY(),""))</f>
        <v/>
      </c>
      <c r="K69" s="157" t="s">
        <v>5</v>
      </c>
      <c r="L69" s="157" t="s">
        <v>22</v>
      </c>
      <c r="M69" s="157" t="s">
        <v>64</v>
      </c>
      <c r="N69" s="9">
        <v>45415</v>
      </c>
      <c r="O69" s="159">
        <f>IF($N69="","",NETWORKDAYS($E69,$N69,$V$33:$V$47)-1)</f>
        <v>12</v>
      </c>
      <c r="P69" s="10" t="str">
        <f>IF(ISBLANK(N69),"",IF(N69&gt;H69,"No","Yes"))</f>
        <v>Yes</v>
      </c>
      <c r="Q69" s="9" t="s">
        <v>117</v>
      </c>
      <c r="R69" s="4" t="s">
        <v>118</v>
      </c>
      <c r="S69" s="4"/>
      <c r="T69" s="4"/>
      <c r="U69" s="6"/>
      <c r="V69" s="6"/>
      <c r="W69" s="6"/>
      <c r="X69" s="6"/>
      <c r="Y69" s="6"/>
      <c r="Z69" s="6"/>
      <c r="AX69" s="6" t="str">
        <v>Quarter 1</v>
      </c>
    </row>
    <row r="70" spans="1:50" ht="31.4" customHeight="1" x14ac:dyDescent="0.35">
      <c r="A70" s="136" t="s">
        <v>323</v>
      </c>
      <c r="B70" s="4" t="s">
        <v>310</v>
      </c>
      <c r="C70" s="4" t="s">
        <v>6</v>
      </c>
      <c r="D70" s="4" t="s">
        <v>324</v>
      </c>
      <c r="E70" s="157">
        <v>45399</v>
      </c>
      <c r="F70" s="9">
        <f>IF($E70="","",WORKDAY($E70,1,$V$33:$V$47))</f>
        <v>45400</v>
      </c>
      <c r="G70" s="9">
        <f>IF($E70="","",WORKDAY($E70,10,$V$33:$V$47))</f>
        <v>45413</v>
      </c>
      <c r="H70" s="9">
        <f>IF($E70="","",WORKDAY($E70,20,$V$33:$V$47))</f>
        <v>45427</v>
      </c>
      <c r="I70" s="157" t="str">
        <f t="shared" si="1"/>
        <v>Apr</v>
      </c>
      <c r="J70" s="14" t="str">
        <f ca="1">IF(E70="","",IF(N70="",H70-TODAY(),""))</f>
        <v/>
      </c>
      <c r="K70" s="157" t="s">
        <v>124</v>
      </c>
      <c r="L70" s="157" t="s">
        <v>20</v>
      </c>
      <c r="M70" s="157" t="s">
        <v>78</v>
      </c>
      <c r="N70" s="9">
        <v>45405</v>
      </c>
      <c r="O70" s="159">
        <f>IF($N70="","",NETWORKDAYS($E70,$N70,$V$33:$V$47)-1)</f>
        <v>4</v>
      </c>
      <c r="P70" s="10" t="str">
        <f>IF(ISBLANK(N70),"",IF(N70&gt;H70,"No","Yes"))</f>
        <v>Yes</v>
      </c>
      <c r="Q70" s="9" t="s">
        <v>117</v>
      </c>
      <c r="R70" s="4" t="s">
        <v>150</v>
      </c>
      <c r="S70" s="4"/>
      <c r="T70" s="4"/>
      <c r="U70" s="6"/>
      <c r="V70" s="6"/>
      <c r="W70" s="6"/>
      <c r="X70" s="6"/>
      <c r="Y70" s="6"/>
      <c r="Z70" s="6"/>
      <c r="AX70" s="6" t="str">
        <v>Quarter 1</v>
      </c>
    </row>
    <row r="71" spans="1:50" ht="31.4" customHeight="1" x14ac:dyDescent="0.35">
      <c r="A71" s="136" t="s">
        <v>325</v>
      </c>
      <c r="B71" s="4" t="s">
        <v>326</v>
      </c>
      <c r="C71" s="4" t="s">
        <v>13</v>
      </c>
      <c r="D71" s="4" t="s">
        <v>327</v>
      </c>
      <c r="E71" s="157">
        <v>45399</v>
      </c>
      <c r="F71" s="9">
        <f>IF($E71="","",WORKDAY($E71,1,$V$33:$V$47))</f>
        <v>45400</v>
      </c>
      <c r="G71" s="9">
        <f>IF($E71="","",WORKDAY($E71,10,$V$33:$V$47))</f>
        <v>45413</v>
      </c>
      <c r="H71" s="9">
        <f>IF($E71="","",WORKDAY($E71,20,$V$33:$V$47))</f>
        <v>45427</v>
      </c>
      <c r="I71" s="157" t="str">
        <f t="shared" si="1"/>
        <v>Apr</v>
      </c>
      <c r="J71" s="14" t="str">
        <f ca="1">IF(E71="","",IF(N71="",H71-TODAY(),""))</f>
        <v/>
      </c>
      <c r="K71" s="157" t="s">
        <v>4</v>
      </c>
      <c r="L71" s="157" t="s">
        <v>7</v>
      </c>
      <c r="M71" s="157" t="s">
        <v>31</v>
      </c>
      <c r="N71" s="9">
        <v>45411</v>
      </c>
      <c r="O71" s="159">
        <f>IF($N71="","",NETWORKDAYS($E71,$N71,$V$33:$V$47)-1)</f>
        <v>8</v>
      </c>
      <c r="P71" s="10" t="str">
        <f>IF(ISBLANK(N71),"",IF(N71&gt;H71,"No","Yes"))</f>
        <v>Yes</v>
      </c>
      <c r="Q71" s="9" t="s">
        <v>117</v>
      </c>
      <c r="R71" s="4" t="s">
        <v>118</v>
      </c>
      <c r="S71" s="4" t="s">
        <v>135</v>
      </c>
      <c r="T71" s="4"/>
      <c r="U71" s="6"/>
      <c r="V71" s="6"/>
      <c r="W71" s="6"/>
      <c r="X71" s="6"/>
      <c r="Y71" s="6"/>
      <c r="Z71" s="6"/>
      <c r="AX71" s="6" t="str">
        <v>Quarter 1</v>
      </c>
    </row>
    <row r="72" spans="1:50" ht="31.4" customHeight="1" x14ac:dyDescent="0.35">
      <c r="A72" s="136" t="s">
        <v>328</v>
      </c>
      <c r="B72" s="4" t="s">
        <v>8</v>
      </c>
      <c r="C72" s="4" t="s">
        <v>8</v>
      </c>
      <c r="D72" s="4" t="s">
        <v>329</v>
      </c>
      <c r="E72" s="157">
        <v>45399</v>
      </c>
      <c r="F72" s="9">
        <f>IF($E72="","",WORKDAY($E72,1,$V$33:$V$47))</f>
        <v>45400</v>
      </c>
      <c r="G72" s="9">
        <f>IF($E72="","",WORKDAY($E72,10,$V$33:$V$47))</f>
        <v>45413</v>
      </c>
      <c r="H72" s="9">
        <f>IF($E72="","",WORKDAY($E72,20,$V$33:$V$47))</f>
        <v>45427</v>
      </c>
      <c r="I72" s="157" t="str">
        <f t="shared" si="1"/>
        <v>Apr</v>
      </c>
      <c r="J72" s="14" t="str">
        <f ca="1">IF(E72="","",IF(N72="",H72-TODAY(),""))</f>
        <v/>
      </c>
      <c r="K72" s="157" t="s">
        <v>5</v>
      </c>
      <c r="L72" s="157" t="s">
        <v>16</v>
      </c>
      <c r="M72" s="157" t="s">
        <v>29</v>
      </c>
      <c r="N72" s="9">
        <v>45400</v>
      </c>
      <c r="O72" s="159">
        <f>IF($N72="","",NETWORKDAYS($E72,$N72,$V$33:$V$47)-1)</f>
        <v>1</v>
      </c>
      <c r="P72" s="10" t="str">
        <f>IF(ISBLANK(N72),"",IF(N72&gt;H72,"No","Yes"))</f>
        <v>Yes</v>
      </c>
      <c r="Q72" s="9" t="s">
        <v>117</v>
      </c>
      <c r="R72" s="4" t="s">
        <v>118</v>
      </c>
      <c r="S72" s="4"/>
      <c r="T72" s="4"/>
      <c r="U72" s="6"/>
      <c r="V72" s="6"/>
      <c r="W72" s="6"/>
      <c r="X72" s="6"/>
      <c r="Y72" s="6"/>
      <c r="Z72" s="6"/>
      <c r="AX72" s="6" t="str">
        <v>Quarter 1</v>
      </c>
    </row>
    <row r="73" spans="1:50" ht="31.4" customHeight="1" x14ac:dyDescent="0.35">
      <c r="A73" s="136" t="s">
        <v>330</v>
      </c>
      <c r="B73" s="4" t="s">
        <v>8</v>
      </c>
      <c r="C73" s="4" t="s">
        <v>8</v>
      </c>
      <c r="D73" s="4" t="s">
        <v>331</v>
      </c>
      <c r="E73" s="157">
        <v>45400</v>
      </c>
      <c r="F73" s="9">
        <f>IF($E73="","",WORKDAY($E73,1,$V$33:$V$47))</f>
        <v>45401</v>
      </c>
      <c r="G73" s="9">
        <f>IF($E73="","",WORKDAY($E73,10,$V$33:$V$47))</f>
        <v>45414</v>
      </c>
      <c r="H73" s="9">
        <f>IF($E73="","",WORKDAY($E73,20,$V$33:$V$47))</f>
        <v>45428</v>
      </c>
      <c r="I73" s="157" t="str">
        <f t="shared" si="1"/>
        <v>Apr</v>
      </c>
      <c r="J73" s="14" t="str">
        <f ca="1">IF(E73="","",IF(N73="",H73-TODAY(),""))</f>
        <v/>
      </c>
      <c r="K73" s="157" t="s">
        <v>124</v>
      </c>
      <c r="L73" s="157" t="s">
        <v>20</v>
      </c>
      <c r="M73" s="157" t="s">
        <v>78</v>
      </c>
      <c r="N73" s="9">
        <v>45414</v>
      </c>
      <c r="O73" s="159">
        <f>IF($N73="","",NETWORKDAYS($E73,$N73,$V$33:$V$47)-1)</f>
        <v>10</v>
      </c>
      <c r="P73" s="10" t="str">
        <f>IF(ISBLANK(N73),"",IF(N73&gt;H73,"No","Yes"))</f>
        <v>Yes</v>
      </c>
      <c r="Q73" s="9" t="s">
        <v>117</v>
      </c>
      <c r="R73" s="4" t="s">
        <v>118</v>
      </c>
      <c r="S73" s="4"/>
      <c r="T73" s="4" t="s">
        <v>141</v>
      </c>
      <c r="U73" s="6"/>
      <c r="V73" s="6"/>
      <c r="W73" s="6"/>
      <c r="X73" s="6"/>
      <c r="Y73" s="6"/>
      <c r="Z73" s="6"/>
      <c r="AX73" s="6" t="str">
        <v>Quarter 1</v>
      </c>
    </row>
    <row r="74" spans="1:50" ht="31.4" customHeight="1" x14ac:dyDescent="0.35">
      <c r="A74" s="136" t="s">
        <v>332</v>
      </c>
      <c r="B74" s="4" t="s">
        <v>138</v>
      </c>
      <c r="C74" s="4" t="s">
        <v>19</v>
      </c>
      <c r="D74" s="4" t="s">
        <v>333</v>
      </c>
      <c r="E74" s="157">
        <v>45400</v>
      </c>
      <c r="F74" s="9">
        <f>IF($E74="","",WORKDAY($E74,1,$V$33:$V$47))</f>
        <v>45401</v>
      </c>
      <c r="G74" s="9">
        <f>IF($E74="","",WORKDAY($E74,10,$V$33:$V$47))</f>
        <v>45414</v>
      </c>
      <c r="H74" s="9">
        <f>IF($E74="","",WORKDAY($E74,20,$V$33:$V$47))</f>
        <v>45428</v>
      </c>
      <c r="I74" s="157" t="str">
        <f t="shared" si="1"/>
        <v>Apr</v>
      </c>
      <c r="J74" s="14" t="str">
        <f ca="1">IF(E74="","",IF(N74="",H74-TODAY(),""))</f>
        <v/>
      </c>
      <c r="K74" s="157" t="s">
        <v>124</v>
      </c>
      <c r="L74" s="157" t="s">
        <v>20</v>
      </c>
      <c r="M74" s="157" t="s">
        <v>63</v>
      </c>
      <c r="N74" s="9">
        <v>45400</v>
      </c>
      <c r="O74" s="159">
        <f>IF($N74="","",NETWORKDAYS($E74,$N74,$V$33:$V$47)-1)</f>
        <v>0</v>
      </c>
      <c r="P74" s="10" t="str">
        <f>IF(ISBLANK(N74),"",IF(N74&gt;H74,"No","Yes"))</f>
        <v>Yes</v>
      </c>
      <c r="Q74" s="9" t="s">
        <v>117</v>
      </c>
      <c r="R74" s="4" t="s">
        <v>150</v>
      </c>
      <c r="S74" s="4"/>
      <c r="T74" s="4"/>
      <c r="U74" s="6"/>
      <c r="V74" s="6"/>
      <c r="W74" s="6"/>
      <c r="X74" s="6"/>
      <c r="Y74" s="6"/>
      <c r="Z74" s="6"/>
      <c r="AX74" s="6" t="str">
        <v>Quarter 1</v>
      </c>
    </row>
    <row r="75" spans="1:50" ht="31.4" customHeight="1" x14ac:dyDescent="0.35">
      <c r="A75" s="136" t="s">
        <v>334</v>
      </c>
      <c r="B75" s="4" t="s">
        <v>335</v>
      </c>
      <c r="C75" s="4" t="s">
        <v>13</v>
      </c>
      <c r="D75" s="4" t="s">
        <v>336</v>
      </c>
      <c r="E75" s="157">
        <v>45400</v>
      </c>
      <c r="F75" s="9">
        <f>IF($E75="","",WORKDAY($E75,1,$V$33:$V$47))</f>
        <v>45401</v>
      </c>
      <c r="G75" s="9">
        <f>IF($E75="","",WORKDAY($E75,10,$V$33:$V$47))</f>
        <v>45414</v>
      </c>
      <c r="H75" s="9">
        <f>IF($E75="","",WORKDAY($E75,20,$V$33:$V$47))</f>
        <v>45428</v>
      </c>
      <c r="I75" s="157" t="str">
        <f t="shared" si="1"/>
        <v>Apr</v>
      </c>
      <c r="J75" s="14" t="str">
        <f ca="1">IF(E75="","",IF(N75="",H75-TODAY(),""))</f>
        <v/>
      </c>
      <c r="K75" s="157" t="s">
        <v>124</v>
      </c>
      <c r="L75" s="157" t="s">
        <v>14</v>
      </c>
      <c r="M75" s="157" t="s">
        <v>69</v>
      </c>
      <c r="N75" s="9">
        <v>45400</v>
      </c>
      <c r="O75" s="159">
        <f>IF($N75="","",NETWORKDAYS($E75,$N75,$V$33:$V$47)-1)</f>
        <v>0</v>
      </c>
      <c r="P75" s="10" t="str">
        <f>IF(ISBLANK(N75),"",IF(N75&gt;H75,"No","Yes"))</f>
        <v>Yes</v>
      </c>
      <c r="Q75" s="9" t="s">
        <v>117</v>
      </c>
      <c r="R75" s="4" t="s">
        <v>118</v>
      </c>
      <c r="S75" s="4"/>
      <c r="T75" s="4"/>
      <c r="U75" s="6"/>
      <c r="V75" s="6"/>
      <c r="W75" s="6"/>
      <c r="X75" s="6"/>
      <c r="Y75" s="6"/>
      <c r="Z75" s="6"/>
      <c r="AX75" s="6" t="str">
        <v>Quarter 1</v>
      </c>
    </row>
    <row r="76" spans="1:50" ht="31.4" customHeight="1" x14ac:dyDescent="0.35">
      <c r="A76" s="136" t="s">
        <v>337</v>
      </c>
      <c r="B76" s="4" t="s">
        <v>338</v>
      </c>
      <c r="C76" s="4" t="s">
        <v>13</v>
      </c>
      <c r="D76" s="4" t="s">
        <v>339</v>
      </c>
      <c r="E76" s="157">
        <v>45400</v>
      </c>
      <c r="F76" s="9">
        <f>IF($E76="","",WORKDAY($E76,1,$V$33:$V$47))</f>
        <v>45401</v>
      </c>
      <c r="G76" s="9">
        <f>IF($E76="","",WORKDAY($E76,10,$V$33:$V$47))</f>
        <v>45414</v>
      </c>
      <c r="H76" s="9">
        <f>IF($E76="","",WORKDAY($E76,20,$V$33:$V$47))</f>
        <v>45428</v>
      </c>
      <c r="I76" s="157" t="str">
        <f t="shared" si="1"/>
        <v>Apr</v>
      </c>
      <c r="J76" s="14" t="str">
        <f ca="1">IF(E76="","",IF(N76="",H76-TODAY(),""))</f>
        <v/>
      </c>
      <c r="K76" s="157" t="s">
        <v>124</v>
      </c>
      <c r="L76" s="157" t="s">
        <v>20</v>
      </c>
      <c r="M76" s="157" t="s">
        <v>48</v>
      </c>
      <c r="N76" s="9">
        <v>45400</v>
      </c>
      <c r="O76" s="159">
        <f>IF($N76="","",NETWORKDAYS($E76,$N76,$V$33:$V$47)-1)</f>
        <v>0</v>
      </c>
      <c r="P76" s="10" t="str">
        <f>IF(ISBLANK(N76),"",IF(N76&gt;H76,"No","Yes"))</f>
        <v>Yes</v>
      </c>
      <c r="Q76" s="9" t="s">
        <v>117</v>
      </c>
      <c r="R76" s="4" t="s">
        <v>118</v>
      </c>
      <c r="S76" s="4"/>
      <c r="T76" s="4"/>
      <c r="U76" s="6"/>
      <c r="V76" s="6"/>
      <c r="W76" s="6"/>
      <c r="X76" s="6"/>
      <c r="Y76" s="6"/>
      <c r="Z76" s="6"/>
      <c r="AX76" s="6" t="str">
        <v>Quarter 1</v>
      </c>
    </row>
    <row r="77" spans="1:50" ht="31.4" customHeight="1" x14ac:dyDescent="0.35">
      <c r="A77" s="136" t="s">
        <v>340</v>
      </c>
      <c r="B77" s="4" t="s">
        <v>341</v>
      </c>
      <c r="C77" s="4" t="s">
        <v>13</v>
      </c>
      <c r="D77" s="7" t="s">
        <v>342</v>
      </c>
      <c r="E77" s="157">
        <v>45401</v>
      </c>
      <c r="F77" s="9">
        <f>IF($E77="","",WORKDAY($E77,1,$V$33:$V$47))</f>
        <v>45404</v>
      </c>
      <c r="G77" s="9">
        <f>IF($E77="","",WORKDAY($E77,10,$V$33:$V$47))</f>
        <v>45415</v>
      </c>
      <c r="H77" s="9">
        <f>IF($E77="","",WORKDAY($E77,20,$V$33:$V$47))</f>
        <v>45429</v>
      </c>
      <c r="I77" s="157" t="str">
        <f t="shared" si="1"/>
        <v>Apr</v>
      </c>
      <c r="J77" s="14" t="str">
        <f ca="1">IF(E77="","",IF(N77="",H77-TODAY(),""))</f>
        <v/>
      </c>
      <c r="K77" s="157" t="s">
        <v>10</v>
      </c>
      <c r="L77" s="25" t="s">
        <v>27</v>
      </c>
      <c r="M77" s="25" t="s">
        <v>37</v>
      </c>
      <c r="N77" s="9">
        <v>45406</v>
      </c>
      <c r="O77" s="159">
        <f>IF($N77="","",NETWORKDAYS($E77,$N77,$V$33:$V$47)-1)</f>
        <v>3</v>
      </c>
      <c r="P77" s="10" t="str">
        <f>IF(ISBLANK(N77),"",IF(N77&gt;H77,"No","Yes"))</f>
        <v>Yes</v>
      </c>
      <c r="Q77" s="9" t="s">
        <v>117</v>
      </c>
      <c r="R77" s="4" t="s">
        <v>118</v>
      </c>
      <c r="S77" s="4"/>
      <c r="T77" s="4"/>
      <c r="U77" s="6"/>
      <c r="V77" s="6"/>
      <c r="W77" s="6"/>
      <c r="X77" s="6"/>
      <c r="Y77" s="6"/>
      <c r="Z77" s="6"/>
      <c r="AX77" s="6" t="str">
        <v>Quarter 1</v>
      </c>
    </row>
    <row r="78" spans="1:50" ht="31.4" customHeight="1" x14ac:dyDescent="0.35">
      <c r="A78" s="136" t="s">
        <v>343</v>
      </c>
      <c r="B78" s="4" t="s">
        <v>344</v>
      </c>
      <c r="C78" s="4" t="s">
        <v>17</v>
      </c>
      <c r="D78" s="7" t="s">
        <v>345</v>
      </c>
      <c r="E78" s="157">
        <v>45401</v>
      </c>
      <c r="F78" s="9">
        <f>IF($E78="","",WORKDAY($E78,1,$V$33:$V$47))</f>
        <v>45404</v>
      </c>
      <c r="G78" s="9">
        <f>IF($E78="","",WORKDAY($E78,10,$V$33:$V$47))</f>
        <v>45415</v>
      </c>
      <c r="H78" s="9">
        <f>IF($E78="","",WORKDAY($E78,20,$V$33:$V$47))</f>
        <v>45429</v>
      </c>
      <c r="I78" s="157" t="str">
        <f t="shared" si="1"/>
        <v>Apr</v>
      </c>
      <c r="J78" s="14" t="str">
        <f ca="1">IF(E78="","",IF(N78="",H78-TODAY(),""))</f>
        <v/>
      </c>
      <c r="K78" s="157" t="s">
        <v>5</v>
      </c>
      <c r="L78" s="25" t="s">
        <v>16</v>
      </c>
      <c r="M78" s="25" t="s">
        <v>52</v>
      </c>
      <c r="N78" s="9">
        <v>45415</v>
      </c>
      <c r="O78" s="159">
        <f>IF($N78="","",NETWORKDAYS($E78,$N78,$V$33:$V$47)-1)</f>
        <v>10</v>
      </c>
      <c r="P78" s="10" t="str">
        <f>IF(ISBLANK(N78),"",IF(N78&gt;H78,"No","Yes"))</f>
        <v>Yes</v>
      </c>
      <c r="Q78" s="9" t="s">
        <v>117</v>
      </c>
      <c r="R78" s="4" t="s">
        <v>118</v>
      </c>
      <c r="S78" s="4"/>
      <c r="T78" s="4"/>
      <c r="U78" s="6"/>
      <c r="V78" s="6"/>
      <c r="W78" s="6"/>
      <c r="X78" s="6"/>
      <c r="Y78" s="6"/>
      <c r="Z78" s="6"/>
      <c r="AX78" s="6" t="str">
        <v>Quarter 1</v>
      </c>
    </row>
    <row r="79" spans="1:50" ht="31.4" customHeight="1" x14ac:dyDescent="0.35">
      <c r="A79" s="136" t="s">
        <v>346</v>
      </c>
      <c r="B79" s="7" t="s">
        <v>8</v>
      </c>
      <c r="C79" s="7" t="s">
        <v>8</v>
      </c>
      <c r="D79" s="7" t="s">
        <v>347</v>
      </c>
      <c r="E79" s="157">
        <v>45401</v>
      </c>
      <c r="F79" s="9">
        <f>IF($E79="","",WORKDAY($E79,1,$V$33:$V$47))</f>
        <v>45404</v>
      </c>
      <c r="G79" s="9">
        <f>IF($E79="","",WORKDAY($E79,10,$V$33:$V$47))</f>
        <v>45415</v>
      </c>
      <c r="H79" s="9">
        <f>IF($E79="","",WORKDAY($E79,20,$V$33:$V$47))</f>
        <v>45429</v>
      </c>
      <c r="I79" s="157" t="str">
        <f t="shared" si="1"/>
        <v>Apr</v>
      </c>
      <c r="J79" s="14" t="str">
        <f ca="1">IF(E79="","",IF(N79="",H79-TODAY(),""))</f>
        <v/>
      </c>
      <c r="K79" s="157" t="s">
        <v>5</v>
      </c>
      <c r="L79" s="25" t="s">
        <v>16</v>
      </c>
      <c r="M79" s="25" t="s">
        <v>52</v>
      </c>
      <c r="N79" s="9">
        <v>45422</v>
      </c>
      <c r="O79" s="159">
        <f>IF($N79="","",NETWORKDAYS($E79,$N79,$V$33:$V$47)-1)</f>
        <v>15</v>
      </c>
      <c r="P79" s="10" t="str">
        <f>IF(ISBLANK(N79),"",IF(N79&gt;H79,"No","Yes"))</f>
        <v>Yes</v>
      </c>
      <c r="Q79" s="9" t="s">
        <v>117</v>
      </c>
      <c r="R79" s="4" t="s">
        <v>118</v>
      </c>
      <c r="S79" s="4" t="s">
        <v>135</v>
      </c>
      <c r="T79" s="4"/>
      <c r="U79" s="6"/>
      <c r="V79" s="6"/>
      <c r="W79" s="6"/>
      <c r="X79" s="6"/>
      <c r="Y79" s="6"/>
      <c r="Z79" s="6"/>
      <c r="AX79" s="6" t="str">
        <v>Quarter 1</v>
      </c>
    </row>
    <row r="80" spans="1:50" ht="31.4" customHeight="1" x14ac:dyDescent="0.35">
      <c r="A80" s="136" t="s">
        <v>348</v>
      </c>
      <c r="B80" s="7" t="s">
        <v>8</v>
      </c>
      <c r="C80" s="7" t="s">
        <v>8</v>
      </c>
      <c r="D80" s="7" t="s">
        <v>349</v>
      </c>
      <c r="E80" s="157">
        <v>45401</v>
      </c>
      <c r="F80" s="9">
        <f>IF($E80="","",WORKDAY($E80,1,$V$33:$V$47))</f>
        <v>45404</v>
      </c>
      <c r="G80" s="9">
        <f>IF($E80="","",WORKDAY($E80,10,$V$33:$V$47))</f>
        <v>45415</v>
      </c>
      <c r="H80" s="9">
        <f>IF($E80="","",WORKDAY($E80,20,$V$33:$V$47))</f>
        <v>45429</v>
      </c>
      <c r="I80" s="157" t="str">
        <f t="shared" si="1"/>
        <v>Apr</v>
      </c>
      <c r="J80" s="14" t="str">
        <f ca="1">IF(E80="","",IF(N80="",H80-TODAY(),""))</f>
        <v/>
      </c>
      <c r="K80" s="157" t="s">
        <v>10</v>
      </c>
      <c r="L80" s="25" t="s">
        <v>27</v>
      </c>
      <c r="M80" s="25" t="s">
        <v>54</v>
      </c>
      <c r="N80" s="9">
        <v>45414</v>
      </c>
      <c r="O80" s="159">
        <f>IF($N80="","",NETWORKDAYS($E80,$N80,$V$33:$V$47)-1)</f>
        <v>9</v>
      </c>
      <c r="P80" s="10" t="str">
        <f>IF(ISBLANK(N80),"",IF(N80&gt;H80,"No","Yes"))</f>
        <v>Yes</v>
      </c>
      <c r="Q80" s="9" t="s">
        <v>117</v>
      </c>
      <c r="R80" s="4" t="s">
        <v>118</v>
      </c>
      <c r="S80" s="4"/>
      <c r="T80" s="4"/>
      <c r="U80" s="6"/>
      <c r="V80" s="6"/>
      <c r="W80" s="6"/>
      <c r="X80" s="6"/>
      <c r="Y80" s="6"/>
      <c r="Z80" s="6"/>
      <c r="AX80" s="6" t="str">
        <v>Quarter 1</v>
      </c>
    </row>
    <row r="81" spans="1:50" ht="31.4" customHeight="1" x14ac:dyDescent="0.35">
      <c r="A81" s="136" t="s">
        <v>350</v>
      </c>
      <c r="B81" s="7" t="s">
        <v>138</v>
      </c>
      <c r="C81" s="7" t="s">
        <v>19</v>
      </c>
      <c r="D81" s="7" t="s">
        <v>351</v>
      </c>
      <c r="E81" s="157">
        <v>45401</v>
      </c>
      <c r="F81" s="9">
        <f>IF($E81="","",WORKDAY($E81,1,$V$33:$V$47))</f>
        <v>45404</v>
      </c>
      <c r="G81" s="9">
        <f>IF($E81="","",WORKDAY($E81,10,$V$33:$V$47))</f>
        <v>45415</v>
      </c>
      <c r="H81" s="9">
        <f>IF($E81="","",WORKDAY($E81,20,$V$33:$V$47))</f>
        <v>45429</v>
      </c>
      <c r="I81" s="157" t="str">
        <f t="shared" si="1"/>
        <v>Apr</v>
      </c>
      <c r="J81" s="14" t="str">
        <f ca="1">IF(E81="","",IF(N81="",H81-TODAY(),""))</f>
        <v/>
      </c>
      <c r="K81" s="157" t="s">
        <v>5</v>
      </c>
      <c r="L81" s="25" t="s">
        <v>16</v>
      </c>
      <c r="M81" s="25" t="s">
        <v>71</v>
      </c>
      <c r="N81" s="9">
        <v>45414</v>
      </c>
      <c r="O81" s="159">
        <f>IF($N81="","",NETWORKDAYS($E81,$N81,$V$33:$V$47)-1)</f>
        <v>9</v>
      </c>
      <c r="P81" s="10" t="str">
        <f>IF(ISBLANK(N81),"",IF(N81&gt;H81,"No","Yes"))</f>
        <v>Yes</v>
      </c>
      <c r="Q81" s="9" t="s">
        <v>117</v>
      </c>
      <c r="R81" s="4" t="s">
        <v>118</v>
      </c>
      <c r="S81" s="4"/>
      <c r="T81" s="4"/>
      <c r="U81" s="6"/>
      <c r="V81" s="6"/>
      <c r="W81" s="6"/>
      <c r="X81" s="6"/>
      <c r="Y81" s="6"/>
      <c r="Z81" s="6"/>
      <c r="AX81" s="6" t="str">
        <v>Quarter 1</v>
      </c>
    </row>
    <row r="82" spans="1:50" ht="31.4" customHeight="1" x14ac:dyDescent="0.35">
      <c r="A82" s="136" t="s">
        <v>352</v>
      </c>
      <c r="B82" s="4" t="s">
        <v>353</v>
      </c>
      <c r="C82" s="4" t="s">
        <v>11</v>
      </c>
      <c r="D82" s="7" t="s">
        <v>354</v>
      </c>
      <c r="E82" s="157">
        <v>45404</v>
      </c>
      <c r="F82" s="9">
        <f>IF($E82="","",WORKDAY($E82,1,$V$33:$V$47))</f>
        <v>45405</v>
      </c>
      <c r="G82" s="9">
        <f>IF($E82="","",WORKDAY($E82,10,$V$33:$V$47))</f>
        <v>45418</v>
      </c>
      <c r="H82" s="9">
        <f>IF($E82="","",WORKDAY($E82,20,$V$33:$V$47))</f>
        <v>45432</v>
      </c>
      <c r="I82" s="157" t="str">
        <f t="shared" si="1"/>
        <v>Apr</v>
      </c>
      <c r="J82" s="14" t="str">
        <f ca="1">IF(E82="","",IF(N82="",H82-TODAY(),""))</f>
        <v/>
      </c>
      <c r="K82" s="157" t="s">
        <v>10</v>
      </c>
      <c r="L82" s="25" t="s">
        <v>12</v>
      </c>
      <c r="M82" s="25" t="s">
        <v>65</v>
      </c>
      <c r="N82" s="9">
        <v>45404</v>
      </c>
      <c r="O82" s="159">
        <f>IF($N82="","",NETWORKDAYS($E82,$N82,$V$33:$V$47)-1)</f>
        <v>0</v>
      </c>
      <c r="P82" s="10" t="str">
        <f>IF(ISBLANK(N82),"",IF(N82&gt;H82,"No","Yes"))</f>
        <v>Yes</v>
      </c>
      <c r="Q82" s="9" t="s">
        <v>117</v>
      </c>
      <c r="R82" s="4" t="s">
        <v>118</v>
      </c>
      <c r="S82" s="4"/>
      <c r="T82" s="4"/>
      <c r="U82" s="6"/>
      <c r="V82" s="6"/>
      <c r="W82" s="6"/>
      <c r="X82" s="6"/>
      <c r="Y82" s="6"/>
      <c r="Z82" s="6"/>
      <c r="AX82" s="6" t="str">
        <v>Quarter 1</v>
      </c>
    </row>
    <row r="83" spans="1:50" ht="31.4" customHeight="1" x14ac:dyDescent="0.35">
      <c r="A83" s="136" t="s">
        <v>355</v>
      </c>
      <c r="B83" s="7" t="s">
        <v>8</v>
      </c>
      <c r="C83" s="7" t="s">
        <v>8</v>
      </c>
      <c r="D83" s="7" t="s">
        <v>356</v>
      </c>
      <c r="E83" s="157">
        <v>45404</v>
      </c>
      <c r="F83" s="9">
        <f>IF($E83="","",WORKDAY($E83,1,$V$33:$V$47))</f>
        <v>45405</v>
      </c>
      <c r="G83" s="9">
        <f>IF($E83="","",WORKDAY($E83,10,$V$33:$V$47))</f>
        <v>45418</v>
      </c>
      <c r="H83" s="9">
        <f>IF($E83="","",WORKDAY($E83,20,$V$33:$V$47))</f>
        <v>45432</v>
      </c>
      <c r="I83" s="157" t="str">
        <f t="shared" si="1"/>
        <v>Apr</v>
      </c>
      <c r="J83" s="14" t="str">
        <f ca="1">IF(E83="","",IF(N83="",H83-TODAY(),""))</f>
        <v/>
      </c>
      <c r="K83" s="157" t="s">
        <v>4</v>
      </c>
      <c r="L83" s="25" t="s">
        <v>7</v>
      </c>
      <c r="M83" s="25" t="s">
        <v>82</v>
      </c>
      <c r="N83" s="9">
        <v>45419</v>
      </c>
      <c r="O83" s="159">
        <f>IF($N83="","",NETWORKDAYS($E83,$N83,$V$33:$V$47)-1)</f>
        <v>11</v>
      </c>
      <c r="P83" s="10" t="str">
        <f>IF(ISBLANK(N83),"",IF(N83&gt;H83,"No","Yes"))</f>
        <v>Yes</v>
      </c>
      <c r="Q83" s="9" t="s">
        <v>117</v>
      </c>
      <c r="R83" s="4" t="s">
        <v>118</v>
      </c>
      <c r="S83" s="4"/>
      <c r="T83" s="4" t="s">
        <v>141</v>
      </c>
      <c r="U83" s="6"/>
      <c r="V83" s="6"/>
      <c r="W83" s="6"/>
      <c r="X83" s="6"/>
      <c r="Y83" s="6"/>
      <c r="Z83" s="6"/>
      <c r="AX83" s="6" t="str">
        <v>Quarter 1</v>
      </c>
    </row>
    <row r="84" spans="1:50" ht="31.4" customHeight="1" x14ac:dyDescent="0.35">
      <c r="A84" s="136" t="s">
        <v>357</v>
      </c>
      <c r="B84" s="4" t="s">
        <v>8</v>
      </c>
      <c r="C84" s="4" t="s">
        <v>8</v>
      </c>
      <c r="D84" s="7" t="s">
        <v>358</v>
      </c>
      <c r="E84" s="157">
        <v>45404</v>
      </c>
      <c r="F84" s="9">
        <f>IF($E84="","",WORKDAY($E84,1,$V$33:$V$47))</f>
        <v>45405</v>
      </c>
      <c r="G84" s="9">
        <f>IF($E84="","",WORKDAY($E84,10,$V$33:$V$47))</f>
        <v>45418</v>
      </c>
      <c r="H84" s="9">
        <f>IF($E84="","",WORKDAY($E84,20,$V$33:$V$47))</f>
        <v>45432</v>
      </c>
      <c r="I84" s="157" t="str">
        <f t="shared" si="1"/>
        <v>Apr</v>
      </c>
      <c r="J84" s="14" t="str">
        <f ca="1">IF(E84="","",IF(N84="",H84-TODAY(),""))</f>
        <v/>
      </c>
      <c r="K84" s="157" t="s">
        <v>124</v>
      </c>
      <c r="L84" s="25" t="s">
        <v>20</v>
      </c>
      <c r="M84" s="25" t="s">
        <v>70</v>
      </c>
      <c r="N84" s="9">
        <v>45412</v>
      </c>
      <c r="O84" s="159">
        <f>IF($N84="","",NETWORKDAYS($E84,$N84,$V$33:$V$47)-1)</f>
        <v>6</v>
      </c>
      <c r="P84" s="10" t="str">
        <f>IF(ISBLANK(N84),"",IF(N84&gt;H84,"No","Yes"))</f>
        <v>Yes</v>
      </c>
      <c r="Q84" s="9" t="s">
        <v>117</v>
      </c>
      <c r="R84" s="4" t="s">
        <v>118</v>
      </c>
      <c r="S84" s="4" t="s">
        <v>135</v>
      </c>
      <c r="T84" s="7"/>
      <c r="U84" s="6"/>
      <c r="V84" s="6"/>
      <c r="W84" s="6"/>
      <c r="X84" s="6"/>
      <c r="Y84" s="6"/>
      <c r="Z84" s="6"/>
      <c r="AX84" s="6" t="str">
        <v>Quarter 1</v>
      </c>
    </row>
    <row r="85" spans="1:50" ht="31.4" customHeight="1" x14ac:dyDescent="0.35">
      <c r="A85" s="136" t="s">
        <v>359</v>
      </c>
      <c r="B85" s="4" t="s">
        <v>360</v>
      </c>
      <c r="C85" s="4" t="s">
        <v>13</v>
      </c>
      <c r="D85" s="7" t="s">
        <v>361</v>
      </c>
      <c r="E85" s="157">
        <v>45404</v>
      </c>
      <c r="F85" s="9">
        <f>IF($E85="","",WORKDAY($E85,1,$V$33:$V$47))</f>
        <v>45405</v>
      </c>
      <c r="G85" s="9">
        <f>IF($E85="","",WORKDAY($E85,10,$V$33:$V$47))</f>
        <v>45418</v>
      </c>
      <c r="H85" s="9">
        <f>IF($E85="","",WORKDAY($E85,20,$V$33:$V$47))</f>
        <v>45432</v>
      </c>
      <c r="I85" s="157" t="str">
        <f t="shared" si="1"/>
        <v>Apr</v>
      </c>
      <c r="J85" s="14" t="str">
        <f ca="1">IF(E85="","",IF(N85="",H85-TODAY(),""))</f>
        <v/>
      </c>
      <c r="K85" s="157" t="s">
        <v>5</v>
      </c>
      <c r="L85" s="25" t="s">
        <v>16</v>
      </c>
      <c r="M85" s="25" t="s">
        <v>67</v>
      </c>
      <c r="N85" s="9">
        <v>45405</v>
      </c>
      <c r="O85" s="159">
        <f>IF($N85="","",NETWORKDAYS($E85,$N85,$V$33:$V$47)-1)</f>
        <v>1</v>
      </c>
      <c r="P85" s="10" t="str">
        <f>IF(ISBLANK(N85),"",IF(N85&gt;H85,"No","Yes"))</f>
        <v>Yes</v>
      </c>
      <c r="Q85" s="9" t="s">
        <v>117</v>
      </c>
      <c r="R85" s="4" t="s">
        <v>118</v>
      </c>
      <c r="S85" s="4"/>
      <c r="T85" s="4"/>
      <c r="U85" s="6"/>
      <c r="V85" s="6"/>
      <c r="W85" s="6"/>
      <c r="X85" s="6"/>
      <c r="Y85" s="6"/>
      <c r="Z85" s="6"/>
      <c r="AX85" s="6" t="str">
        <v>Quarter 1</v>
      </c>
    </row>
    <row r="86" spans="1:50" ht="31.4" customHeight="1" x14ac:dyDescent="0.35">
      <c r="A86" s="136" t="s">
        <v>362</v>
      </c>
      <c r="B86" s="7" t="s">
        <v>8</v>
      </c>
      <c r="C86" s="7" t="s">
        <v>8</v>
      </c>
      <c r="D86" s="7" t="s">
        <v>363</v>
      </c>
      <c r="E86" s="157">
        <v>45401</v>
      </c>
      <c r="F86" s="9">
        <f>IF($E86="","",WORKDAY($E86,1,$V$33:$V$47))</f>
        <v>45404</v>
      </c>
      <c r="G86" s="9">
        <f>IF($E86="","",WORKDAY($E86,10,$V$33:$V$47))</f>
        <v>45415</v>
      </c>
      <c r="H86" s="9">
        <f>IF($E86="","",WORKDAY($E86,20,$V$33:$V$47))</f>
        <v>45429</v>
      </c>
      <c r="I86" s="157" t="str">
        <f t="shared" si="1"/>
        <v>Apr</v>
      </c>
      <c r="J86" s="14" t="str">
        <f ca="1">IF(E86="","",IF(N86="",H86-TODAY(),""))</f>
        <v/>
      </c>
      <c r="K86" s="157" t="s">
        <v>124</v>
      </c>
      <c r="L86" s="25" t="s">
        <v>24</v>
      </c>
      <c r="M86" s="25" t="s">
        <v>87</v>
      </c>
      <c r="N86" s="9">
        <v>45412</v>
      </c>
      <c r="O86" s="159">
        <f>IF($N86="","",NETWORKDAYS($E86,$N86,$V$33:$V$47)-1)</f>
        <v>7</v>
      </c>
      <c r="P86" s="10" t="str">
        <f>IF(ISBLANK(N86),"",IF(N86&gt;H86,"No","Yes"))</f>
        <v>Yes</v>
      </c>
      <c r="Q86" s="9" t="s">
        <v>117</v>
      </c>
      <c r="R86" s="4" t="s">
        <v>118</v>
      </c>
      <c r="S86" s="4"/>
      <c r="T86" s="7"/>
      <c r="U86" s="6"/>
      <c r="V86" s="6"/>
      <c r="W86" s="6"/>
      <c r="X86" s="6"/>
      <c r="Y86" s="6"/>
      <c r="Z86" s="6"/>
      <c r="AX86" s="6" t="str">
        <v>Quarter 1</v>
      </c>
    </row>
    <row r="87" spans="1:50" ht="31.4" customHeight="1" x14ac:dyDescent="0.35">
      <c r="A87" s="136" t="s">
        <v>364</v>
      </c>
      <c r="B87" s="7" t="s">
        <v>8</v>
      </c>
      <c r="C87" s="7" t="s">
        <v>8</v>
      </c>
      <c r="D87" s="7" t="s">
        <v>365</v>
      </c>
      <c r="E87" s="157">
        <v>45404</v>
      </c>
      <c r="F87" s="9">
        <f>IF($E87="","",WORKDAY($E87,1,$V$33:$V$47))</f>
        <v>45405</v>
      </c>
      <c r="G87" s="9">
        <f>IF($E87="","",WORKDAY($E87,10,$V$33:$V$47))</f>
        <v>45418</v>
      </c>
      <c r="H87" s="9">
        <f>IF($E87="","",WORKDAY($E87,20,$V$33:$V$47))</f>
        <v>45432</v>
      </c>
      <c r="I87" s="157" t="str">
        <f t="shared" si="1"/>
        <v>Apr</v>
      </c>
      <c r="J87" s="14" t="str">
        <f ca="1">IF(E87="","",IF(N87="",H87-TODAY(),""))</f>
        <v/>
      </c>
      <c r="K87" s="157" t="s">
        <v>4</v>
      </c>
      <c r="L87" s="25" t="s">
        <v>26</v>
      </c>
      <c r="M87" s="25" t="s">
        <v>57</v>
      </c>
      <c r="N87" s="9">
        <v>45411</v>
      </c>
      <c r="O87" s="159">
        <f>IF($N87="","",NETWORKDAYS($E87,$N87,$V$33:$V$47)-1)</f>
        <v>5</v>
      </c>
      <c r="P87" s="10" t="str">
        <f>IF(ISBLANK(N87),"",IF(N87&gt;H87,"No","Yes"))</f>
        <v>Yes</v>
      </c>
      <c r="Q87" s="9" t="s">
        <v>117</v>
      </c>
      <c r="R87" s="4" t="s">
        <v>118</v>
      </c>
      <c r="S87" s="4"/>
      <c r="T87" s="4"/>
      <c r="U87" s="6"/>
      <c r="V87" s="6"/>
      <c r="W87" s="6"/>
      <c r="X87" s="6"/>
      <c r="Y87" s="6"/>
      <c r="Z87" s="6"/>
      <c r="AX87" s="6" t="str">
        <v>Quarter 1</v>
      </c>
    </row>
    <row r="88" spans="1:50" ht="31.4" customHeight="1" x14ac:dyDescent="0.35">
      <c r="A88" s="136" t="s">
        <v>366</v>
      </c>
      <c r="B88" s="7" t="s">
        <v>367</v>
      </c>
      <c r="C88" s="7" t="s">
        <v>13</v>
      </c>
      <c r="D88" s="7" t="s">
        <v>368</v>
      </c>
      <c r="E88" s="157">
        <v>45404</v>
      </c>
      <c r="F88" s="9">
        <f>IF($E88="","",WORKDAY($E88,1,$V$33:$V$47))</f>
        <v>45405</v>
      </c>
      <c r="G88" s="9">
        <f>IF($E88="","",WORKDAY($E88,10,$V$33:$V$47))</f>
        <v>45418</v>
      </c>
      <c r="H88" s="9">
        <f>IF($E88="","",WORKDAY($E88,20,$V$33:$V$47))</f>
        <v>45432</v>
      </c>
      <c r="I88" s="157" t="str">
        <f t="shared" si="1"/>
        <v>Apr</v>
      </c>
      <c r="J88" s="14" t="str">
        <f ca="1">IF(E88="","",IF(N88="",H88-TODAY(),""))</f>
        <v/>
      </c>
      <c r="K88" s="157" t="s">
        <v>10</v>
      </c>
      <c r="L88" s="25" t="s">
        <v>9</v>
      </c>
      <c r="M88" s="25" t="s">
        <v>38</v>
      </c>
      <c r="N88" s="9">
        <v>45419</v>
      </c>
      <c r="O88" s="159">
        <f>IF($N88="","",NETWORKDAYS($E88,$N88,$V$33:$V$47)-1)</f>
        <v>11</v>
      </c>
      <c r="P88" s="10" t="str">
        <f>IF(ISBLANK(N88),"",IF(N88&gt;H88,"No","Yes"))</f>
        <v>Yes</v>
      </c>
      <c r="Q88" s="9" t="s">
        <v>117</v>
      </c>
      <c r="R88" s="4" t="s">
        <v>118</v>
      </c>
      <c r="S88" s="4"/>
      <c r="T88" s="4" t="s">
        <v>141</v>
      </c>
      <c r="U88" s="6"/>
      <c r="V88" s="6"/>
      <c r="W88" s="6"/>
      <c r="X88" s="6"/>
      <c r="Y88" s="6"/>
      <c r="Z88" s="6"/>
      <c r="AX88" s="6" t="str">
        <v>Quarter 1</v>
      </c>
    </row>
    <row r="89" spans="1:50" ht="31.4" customHeight="1" x14ac:dyDescent="0.35">
      <c r="A89" s="136" t="s">
        <v>369</v>
      </c>
      <c r="B89" s="4" t="s">
        <v>155</v>
      </c>
      <c r="C89" s="4" t="s">
        <v>13</v>
      </c>
      <c r="D89" s="7" t="s">
        <v>370</v>
      </c>
      <c r="E89" s="157">
        <v>45404</v>
      </c>
      <c r="F89" s="9">
        <f>IF($E89="","",WORKDAY($E89,1,$V$33:$V$47))</f>
        <v>45405</v>
      </c>
      <c r="G89" s="9">
        <f>IF($E89="","",WORKDAY($E89,10,$V$33:$V$47))</f>
        <v>45418</v>
      </c>
      <c r="H89" s="9">
        <f>IF($E89="","",WORKDAY($E89,20,$V$33:$V$47))</f>
        <v>45432</v>
      </c>
      <c r="I89" s="157" t="str">
        <f t="shared" si="1"/>
        <v>Apr</v>
      </c>
      <c r="J89" s="14" t="str">
        <f ca="1">IF(E89="","",IF(N89="",H89-TODAY(),""))</f>
        <v/>
      </c>
      <c r="K89" s="157" t="s">
        <v>124</v>
      </c>
      <c r="L89" s="25" t="s">
        <v>20</v>
      </c>
      <c r="M89" s="25" t="s">
        <v>47</v>
      </c>
      <c r="N89" s="9">
        <v>45405</v>
      </c>
      <c r="O89" s="159">
        <f>IF($N89="","",NETWORKDAYS($E89,$N89,$V$33:$V$47)-1)</f>
        <v>1</v>
      </c>
      <c r="P89" s="10" t="str">
        <f>IF(ISBLANK(N89),"",IF(N89&gt;H89,"No","Yes"))</f>
        <v>Yes</v>
      </c>
      <c r="Q89" s="9" t="s">
        <v>117</v>
      </c>
      <c r="R89" s="4" t="s">
        <v>118</v>
      </c>
      <c r="S89" s="4"/>
      <c r="T89" s="4"/>
      <c r="U89" s="6"/>
      <c r="V89" s="6"/>
      <c r="W89" s="6"/>
      <c r="X89" s="6"/>
      <c r="Y89" s="6"/>
      <c r="Z89" s="6"/>
      <c r="AX89" s="6" t="str">
        <v>Quarter 1</v>
      </c>
    </row>
    <row r="90" spans="1:50" ht="31.4" customHeight="1" x14ac:dyDescent="0.35">
      <c r="A90" s="136" t="s">
        <v>371</v>
      </c>
      <c r="B90" s="4" t="s">
        <v>8</v>
      </c>
      <c r="C90" s="4" t="s">
        <v>8</v>
      </c>
      <c r="D90" s="7" t="s">
        <v>372</v>
      </c>
      <c r="E90" s="157">
        <v>45404</v>
      </c>
      <c r="F90" s="9">
        <f>IF($E90="","",WORKDAY($E90,1,$V$33:$V$47))</f>
        <v>45405</v>
      </c>
      <c r="G90" s="9">
        <f>IF($E90="","",WORKDAY($E90,10,$V$33:$V$47))</f>
        <v>45418</v>
      </c>
      <c r="H90" s="9">
        <f>IF($E90="","",WORKDAY($E90,20,$V$33:$V$47))</f>
        <v>45432</v>
      </c>
      <c r="I90" s="157" t="str">
        <f t="shared" si="1"/>
        <v>Apr</v>
      </c>
      <c r="J90" s="14" t="str">
        <f ca="1">IF(E90="","",IF(N90="",H90-TODAY(),""))</f>
        <v/>
      </c>
      <c r="K90" s="157" t="s">
        <v>10</v>
      </c>
      <c r="L90" s="25" t="s">
        <v>12</v>
      </c>
      <c r="M90" s="25" t="s">
        <v>30</v>
      </c>
      <c r="N90" s="9">
        <v>45405</v>
      </c>
      <c r="O90" s="159">
        <f>IF($N90="","",NETWORKDAYS($E90,$N90,$V$33:$V$47)-1)</f>
        <v>1</v>
      </c>
      <c r="P90" s="10" t="str">
        <f>IF(ISBLANK(N90),"",IF(N90&gt;H90,"No","Yes"))</f>
        <v>Yes</v>
      </c>
      <c r="Q90" s="16" t="s">
        <v>117</v>
      </c>
      <c r="R90" s="7" t="s">
        <v>150</v>
      </c>
      <c r="S90" s="4"/>
      <c r="T90" s="7"/>
      <c r="U90" s="6"/>
      <c r="V90" s="6"/>
      <c r="W90" s="6"/>
      <c r="X90" s="6"/>
      <c r="Y90" s="6"/>
      <c r="Z90" s="6"/>
      <c r="AX90" s="6" t="str">
        <v>Quarter 1</v>
      </c>
    </row>
    <row r="91" spans="1:50" ht="31.4" customHeight="1" x14ac:dyDescent="0.35">
      <c r="A91" s="136" t="s">
        <v>373</v>
      </c>
      <c r="B91" s="4" t="s">
        <v>266</v>
      </c>
      <c r="C91" s="4" t="s">
        <v>15</v>
      </c>
      <c r="D91" s="7" t="s">
        <v>374</v>
      </c>
      <c r="E91" s="157">
        <v>45404</v>
      </c>
      <c r="F91" s="9">
        <f>IF($E91="","",WORKDAY($E91,1,$V$33:$V$47))</f>
        <v>45405</v>
      </c>
      <c r="G91" s="9">
        <f>IF($E91="","",WORKDAY($E91,10,$V$33:$V$47))</f>
        <v>45418</v>
      </c>
      <c r="H91" s="9">
        <f>IF($E91="","",WORKDAY($E91,20,$V$33:$V$47))</f>
        <v>45432</v>
      </c>
      <c r="I91" s="157" t="str">
        <f t="shared" si="1"/>
        <v>Apr</v>
      </c>
      <c r="J91" s="14" t="str">
        <f ca="1">IF(E91="","",IF(N91="",H91-TODAY(),""))</f>
        <v/>
      </c>
      <c r="K91" s="157" t="s">
        <v>4</v>
      </c>
      <c r="L91" s="25" t="s">
        <v>7</v>
      </c>
      <c r="M91" s="25" t="s">
        <v>31</v>
      </c>
      <c r="N91" s="9">
        <v>45426</v>
      </c>
      <c r="O91" s="159">
        <f>IF($N91="","",NETWORKDAYS($E91,$N91,$V$33:$V$47)-1)</f>
        <v>16</v>
      </c>
      <c r="P91" s="10" t="str">
        <f>IF(ISBLANK(N91),"",IF(N91&gt;H91,"No","Yes"))</f>
        <v>Yes</v>
      </c>
      <c r="Q91" s="9" t="s">
        <v>117</v>
      </c>
      <c r="R91" s="4" t="s">
        <v>118</v>
      </c>
      <c r="S91" s="4"/>
      <c r="T91" s="4"/>
      <c r="U91" s="6"/>
      <c r="V91" s="6"/>
      <c r="W91" s="6"/>
      <c r="X91" s="6"/>
      <c r="Y91" s="6"/>
      <c r="Z91" s="6"/>
      <c r="AX91" s="6" t="str">
        <v>Quarter 1</v>
      </c>
    </row>
    <row r="92" spans="1:50" ht="31.4" customHeight="1" x14ac:dyDescent="0.35">
      <c r="A92" s="136" t="s">
        <v>375</v>
      </c>
      <c r="B92" s="7" t="s">
        <v>376</v>
      </c>
      <c r="C92" s="7" t="s">
        <v>11</v>
      </c>
      <c r="D92" s="7" t="s">
        <v>377</v>
      </c>
      <c r="E92" s="157">
        <v>45404</v>
      </c>
      <c r="F92" s="9">
        <f>IF($E92="","",WORKDAY($E92,1,$V$33:$V$47))</f>
        <v>45405</v>
      </c>
      <c r="G92" s="9">
        <f>IF($E92="","",WORKDAY($E92,10,$V$33:$V$47))</f>
        <v>45418</v>
      </c>
      <c r="H92" s="9">
        <f>IF($E92="","",WORKDAY($E92,20,$V$33:$V$47))</f>
        <v>45432</v>
      </c>
      <c r="I92" s="157" t="str">
        <f t="shared" si="1"/>
        <v>Apr</v>
      </c>
      <c r="J92" s="14" t="str">
        <f ca="1">IF(E92="","",IF(N92="",H92-TODAY(),""))</f>
        <v/>
      </c>
      <c r="K92" s="157" t="s">
        <v>124</v>
      </c>
      <c r="L92" s="25" t="s">
        <v>24</v>
      </c>
      <c r="M92" s="25" t="s">
        <v>87</v>
      </c>
      <c r="N92" s="9">
        <v>45419</v>
      </c>
      <c r="O92" s="159">
        <f>IF($N92="","",NETWORKDAYS($E92,$N92,$V$33:$V$47)-1)</f>
        <v>11</v>
      </c>
      <c r="P92" s="10" t="str">
        <f>IF(ISBLANK(N92),"",IF(N92&gt;H92,"No","Yes"))</f>
        <v>Yes</v>
      </c>
      <c r="Q92" s="9" t="s">
        <v>117</v>
      </c>
      <c r="R92" s="4" t="s">
        <v>118</v>
      </c>
      <c r="S92" s="4"/>
      <c r="T92" s="4" t="s">
        <v>141</v>
      </c>
      <c r="U92" s="6"/>
      <c r="V92" s="6"/>
      <c r="W92" s="6"/>
      <c r="X92" s="6"/>
      <c r="Y92" s="6"/>
      <c r="Z92" s="6"/>
      <c r="AX92" s="6" t="str">
        <v>Quarter 1</v>
      </c>
    </row>
    <row r="93" spans="1:50" ht="31.4" customHeight="1" x14ac:dyDescent="0.35">
      <c r="A93" s="136" t="s">
        <v>378</v>
      </c>
      <c r="B93" s="7" t="s">
        <v>8</v>
      </c>
      <c r="C93" s="7" t="s">
        <v>8</v>
      </c>
      <c r="D93" s="7" t="s">
        <v>379</v>
      </c>
      <c r="E93" s="157">
        <v>45405</v>
      </c>
      <c r="F93" s="9">
        <f>IF($E93="","",WORKDAY($E93,1,$V$33:$V$47))</f>
        <v>45406</v>
      </c>
      <c r="G93" s="9">
        <f>IF($E93="","",WORKDAY($E93,10,$V$33:$V$47))</f>
        <v>45419</v>
      </c>
      <c r="H93" s="9">
        <f>IF($E93="","",WORKDAY($E93,20,$V$33:$V$47))</f>
        <v>45433</v>
      </c>
      <c r="I93" s="157" t="str">
        <f t="shared" si="1"/>
        <v>Apr</v>
      </c>
      <c r="J93" s="14" t="str">
        <f ca="1">IF(E93="","",IF(N93="",H93-TODAY(),""))</f>
        <v/>
      </c>
      <c r="K93" s="157" t="s">
        <v>124</v>
      </c>
      <c r="L93" s="25" t="s">
        <v>20</v>
      </c>
      <c r="M93" s="25" t="s">
        <v>79</v>
      </c>
      <c r="N93" s="9">
        <v>45429</v>
      </c>
      <c r="O93" s="159">
        <f>IF($N93="","",NETWORKDAYS($E93,$N93,$V$33:$V$47)-1)</f>
        <v>18</v>
      </c>
      <c r="P93" s="10" t="str">
        <f>IF(ISBLANK(N93),"",IF(N93&gt;H93,"No","Yes"))</f>
        <v>Yes</v>
      </c>
      <c r="Q93" s="9" t="s">
        <v>117</v>
      </c>
      <c r="R93" s="4" t="s">
        <v>118</v>
      </c>
      <c r="S93" s="4" t="s">
        <v>119</v>
      </c>
      <c r="T93" s="4"/>
      <c r="U93" s="6"/>
      <c r="V93" s="6"/>
      <c r="W93" s="6"/>
      <c r="X93" s="6"/>
      <c r="Y93" s="6"/>
      <c r="Z93" s="6"/>
      <c r="AX93" s="6" t="str">
        <v>Quarter 1</v>
      </c>
    </row>
    <row r="94" spans="1:50" ht="31.4" customHeight="1" x14ac:dyDescent="0.35">
      <c r="A94" s="136" t="s">
        <v>380</v>
      </c>
      <c r="B94" s="4" t="s">
        <v>138</v>
      </c>
      <c r="C94" s="4" t="s">
        <v>19</v>
      </c>
      <c r="D94" s="4" t="s">
        <v>381</v>
      </c>
      <c r="E94" s="157">
        <v>45406</v>
      </c>
      <c r="F94" s="9">
        <f>IF($E94="","",WORKDAY($E94,1,$V$33:$V$47))</f>
        <v>45407</v>
      </c>
      <c r="G94" s="9">
        <f>IF($E94="","",WORKDAY($E94,10,$V$33:$V$47))</f>
        <v>45420</v>
      </c>
      <c r="H94" s="9">
        <f>IF($E94="","",WORKDAY($E94,20,$V$33:$V$47))</f>
        <v>45434</v>
      </c>
      <c r="I94" s="157" t="str">
        <f t="shared" si="1"/>
        <v>Apr</v>
      </c>
      <c r="J94" s="14" t="str">
        <f ca="1">IF(E94="","",IF(N94="",H94-TODAY(),""))</f>
        <v/>
      </c>
      <c r="K94" s="157" t="s">
        <v>124</v>
      </c>
      <c r="L94" s="157" t="s">
        <v>20</v>
      </c>
      <c r="M94" s="157" t="s">
        <v>62</v>
      </c>
      <c r="N94" s="9">
        <v>45407</v>
      </c>
      <c r="O94" s="159">
        <f>IF($N94="","",NETWORKDAYS($E94,$N94,$V$33:$V$47)-1)</f>
        <v>1</v>
      </c>
      <c r="P94" s="10" t="str">
        <f>IF(ISBLANK(N94),"",IF(N94&gt;H94,"No","Yes"))</f>
        <v>Yes</v>
      </c>
      <c r="Q94" s="9" t="s">
        <v>117</v>
      </c>
      <c r="R94" s="4" t="s">
        <v>118</v>
      </c>
      <c r="S94" s="4"/>
      <c r="T94" s="4"/>
      <c r="U94" s="6"/>
      <c r="V94" s="6"/>
      <c r="W94" s="6"/>
      <c r="X94" s="6"/>
      <c r="Y94" s="6"/>
      <c r="Z94" s="6"/>
      <c r="AX94" s="6" t="str">
        <v>Quarter 1</v>
      </c>
    </row>
    <row r="95" spans="1:50" ht="31.4" customHeight="1" x14ac:dyDescent="0.35">
      <c r="A95" s="136" t="s">
        <v>382</v>
      </c>
      <c r="B95" s="4" t="s">
        <v>8</v>
      </c>
      <c r="C95" s="4" t="s">
        <v>8</v>
      </c>
      <c r="D95" s="4" t="s">
        <v>383</v>
      </c>
      <c r="E95" s="157">
        <v>45407</v>
      </c>
      <c r="F95" s="9">
        <f>IF($E95="","",WORKDAY($E95,1,$V$33:$V$47))</f>
        <v>45408</v>
      </c>
      <c r="G95" s="9">
        <f>IF($E95="","",WORKDAY($E95,10,$V$33:$V$47))</f>
        <v>45421</v>
      </c>
      <c r="H95" s="9">
        <f>IF($E95="","",WORKDAY($E95,20,$V$33:$V$47))</f>
        <v>45435</v>
      </c>
      <c r="I95" s="157" t="str">
        <f t="shared" si="1"/>
        <v>Apr</v>
      </c>
      <c r="J95" s="14" t="str">
        <f ca="1">IF(E95="","",IF(N95="",H95-TODAY(),""))</f>
        <v/>
      </c>
      <c r="K95" s="157" t="s">
        <v>10</v>
      </c>
      <c r="L95" s="157" t="s">
        <v>12</v>
      </c>
      <c r="M95" s="157" t="s">
        <v>91</v>
      </c>
      <c r="N95" s="9">
        <v>45419</v>
      </c>
      <c r="O95" s="159">
        <f>IF($N95="","",NETWORKDAYS($E95,$N95,$V$33:$V$47)-1)</f>
        <v>8</v>
      </c>
      <c r="P95" s="10" t="str">
        <f>IF(ISBLANK(N95),"",IF(N95&gt;H95,"No","Yes"))</f>
        <v>Yes</v>
      </c>
      <c r="Q95" s="16" t="s">
        <v>117</v>
      </c>
      <c r="R95" s="7" t="s">
        <v>118</v>
      </c>
      <c r="S95" s="4"/>
      <c r="T95" s="7"/>
      <c r="U95" s="6"/>
      <c r="V95" s="6"/>
      <c r="W95" s="6"/>
      <c r="X95" s="6"/>
      <c r="Y95" s="6"/>
      <c r="Z95" s="6"/>
      <c r="AX95" s="6" t="str">
        <v>Quarter 1</v>
      </c>
    </row>
    <row r="96" spans="1:50" ht="31.4" customHeight="1" x14ac:dyDescent="0.35">
      <c r="A96" s="136" t="s">
        <v>384</v>
      </c>
      <c r="B96" s="4" t="s">
        <v>385</v>
      </c>
      <c r="C96" s="4" t="s">
        <v>13</v>
      </c>
      <c r="D96" s="4" t="s">
        <v>386</v>
      </c>
      <c r="E96" s="157">
        <v>45407</v>
      </c>
      <c r="F96" s="9">
        <f>IF($E96="","",WORKDAY($E96,1,$V$33:$V$47))</f>
        <v>45408</v>
      </c>
      <c r="G96" s="9">
        <f>IF($E96="","",WORKDAY($E96,10,$V$33:$V$47))</f>
        <v>45421</v>
      </c>
      <c r="H96" s="9">
        <f>IF($E96="","",WORKDAY($E96,20,$V$33:$V$47))</f>
        <v>45435</v>
      </c>
      <c r="I96" s="157" t="str">
        <f t="shared" si="1"/>
        <v>Apr</v>
      </c>
      <c r="J96" s="14" t="str">
        <f ca="1">IF(E96="","",IF(N96="",H96-TODAY(),""))</f>
        <v/>
      </c>
      <c r="K96" s="157" t="s">
        <v>4</v>
      </c>
      <c r="L96" s="157" t="s">
        <v>7</v>
      </c>
      <c r="M96" s="157" t="s">
        <v>31</v>
      </c>
      <c r="N96" s="9">
        <v>45428</v>
      </c>
      <c r="O96" s="159">
        <f>IF($N96="","",NETWORKDAYS($E96,$N96,$V$33:$V$47)-1)</f>
        <v>15</v>
      </c>
      <c r="P96" s="10" t="str">
        <f>IF(ISBLANK(N96),"",IF(N96&gt;H96,"No","Yes"))</f>
        <v>Yes</v>
      </c>
      <c r="Q96" s="9" t="s">
        <v>117</v>
      </c>
      <c r="R96" s="4" t="s">
        <v>118</v>
      </c>
      <c r="S96" s="4"/>
      <c r="T96" s="4" t="s">
        <v>387</v>
      </c>
      <c r="U96" s="6"/>
      <c r="V96" s="6"/>
      <c r="W96" s="6"/>
      <c r="X96" s="6"/>
      <c r="Y96" s="6"/>
      <c r="Z96" s="6"/>
      <c r="AX96" s="6" t="str">
        <v>Quarter 1</v>
      </c>
    </row>
    <row r="97" spans="1:50" ht="31.4" customHeight="1" x14ac:dyDescent="0.35">
      <c r="A97" s="136" t="s">
        <v>388</v>
      </c>
      <c r="B97" s="4" t="s">
        <v>389</v>
      </c>
      <c r="C97" s="4" t="s">
        <v>13</v>
      </c>
      <c r="D97" s="4" t="s">
        <v>390</v>
      </c>
      <c r="E97" s="157">
        <v>45399</v>
      </c>
      <c r="F97" s="9">
        <f>IF($E97="","",WORKDAY($E97,1,$V$33:$V$47))</f>
        <v>45400</v>
      </c>
      <c r="G97" s="9">
        <f>IF($E97="","",WORKDAY($E97,10,$V$33:$V$47))</f>
        <v>45413</v>
      </c>
      <c r="H97" s="9">
        <f>IF($E97="","",WORKDAY($E97,20,$V$33:$V$47))</f>
        <v>45427</v>
      </c>
      <c r="I97" s="157" t="str">
        <f t="shared" si="1"/>
        <v>Apr</v>
      </c>
      <c r="J97" s="14" t="str">
        <f ca="1">IF(E97="","",IF(N97="",H97-TODAY(),""))</f>
        <v/>
      </c>
      <c r="K97" s="157" t="s">
        <v>124</v>
      </c>
      <c r="L97" s="157" t="s">
        <v>24</v>
      </c>
      <c r="M97" s="157" t="s">
        <v>61</v>
      </c>
      <c r="N97" s="9">
        <v>45407</v>
      </c>
      <c r="O97" s="159">
        <f>IF($N97="","",NETWORKDAYS($E97,$N97,$V$33:$V$47)-1)</f>
        <v>6</v>
      </c>
      <c r="P97" s="10" t="str">
        <f>IF(ISBLANK(N97),"",IF(N97&gt;H97,"No","Yes"))</f>
        <v>Yes</v>
      </c>
      <c r="Q97" s="9" t="s">
        <v>117</v>
      </c>
      <c r="R97" s="4" t="s">
        <v>150</v>
      </c>
      <c r="S97" s="4"/>
      <c r="T97" s="4"/>
      <c r="U97" s="6"/>
      <c r="V97" s="6"/>
      <c r="W97" s="6"/>
      <c r="X97" s="6"/>
      <c r="Y97" s="6"/>
      <c r="Z97" s="6"/>
      <c r="AX97" s="6" t="str">
        <v>Quarter 1</v>
      </c>
    </row>
    <row r="98" spans="1:50" ht="31.4" customHeight="1" x14ac:dyDescent="0.35">
      <c r="A98" s="136" t="s">
        <v>391</v>
      </c>
      <c r="B98" s="4" t="s">
        <v>138</v>
      </c>
      <c r="C98" s="4" t="s">
        <v>19</v>
      </c>
      <c r="D98" s="4" t="s">
        <v>392</v>
      </c>
      <c r="E98" s="157">
        <v>45407</v>
      </c>
      <c r="F98" s="9">
        <f>IF($E98="","",WORKDAY($E98,1,$V$33:$V$47))</f>
        <v>45408</v>
      </c>
      <c r="G98" s="9">
        <f>IF($E98="","",WORKDAY($E98,10,$V$33:$V$47))</f>
        <v>45421</v>
      </c>
      <c r="H98" s="9">
        <f>IF($E98="","",WORKDAY($E98,20,$V$33:$V$47))</f>
        <v>45435</v>
      </c>
      <c r="I98" s="157" t="str">
        <f t="shared" si="1"/>
        <v>Apr</v>
      </c>
      <c r="J98" s="14" t="str">
        <f ca="1">IF(E98="","",IF(N98="",H98-TODAY(),""))</f>
        <v/>
      </c>
      <c r="K98" s="157" t="s">
        <v>10</v>
      </c>
      <c r="L98" s="157" t="s">
        <v>27</v>
      </c>
      <c r="M98" s="157" t="s">
        <v>72</v>
      </c>
      <c r="N98" s="9">
        <v>45435</v>
      </c>
      <c r="O98" s="159">
        <f>IF($N98="","",NETWORKDAYS($E98,$N98,$V$33:$V$47)-1)</f>
        <v>20</v>
      </c>
      <c r="P98" s="10" t="str">
        <f>IF(ISBLANK(N98),"",IF(N98&gt;H98,"No","Yes"))</f>
        <v>Yes</v>
      </c>
      <c r="Q98" s="9" t="s">
        <v>117</v>
      </c>
      <c r="R98" s="4" t="s">
        <v>126</v>
      </c>
      <c r="S98" s="4" t="s">
        <v>120</v>
      </c>
      <c r="T98" s="4" t="s">
        <v>393</v>
      </c>
      <c r="U98" s="6"/>
      <c r="V98" s="6"/>
      <c r="W98" s="6"/>
      <c r="X98" s="6"/>
      <c r="Y98" s="6"/>
      <c r="Z98" s="6"/>
      <c r="AX98" s="6" t="str">
        <v>Quarter 1</v>
      </c>
    </row>
    <row r="99" spans="1:50" ht="31.4" customHeight="1" x14ac:dyDescent="0.35">
      <c r="A99" s="136" t="s">
        <v>394</v>
      </c>
      <c r="B99" s="4" t="s">
        <v>8</v>
      </c>
      <c r="C99" s="4" t="s">
        <v>8</v>
      </c>
      <c r="D99" s="4" t="s">
        <v>395</v>
      </c>
      <c r="E99" s="157">
        <v>45407</v>
      </c>
      <c r="F99" s="9">
        <f>IF($E99="","",WORKDAY($E99,1,$V$33:$V$47))</f>
        <v>45408</v>
      </c>
      <c r="G99" s="9">
        <f>IF($E99="","",WORKDAY($E99,10,$V$33:$V$47))</f>
        <v>45421</v>
      </c>
      <c r="H99" s="9">
        <f>IF($E99="","",WORKDAY($E99,20,$V$33:$V$47))</f>
        <v>45435</v>
      </c>
      <c r="I99" s="157" t="str">
        <f t="shared" si="1"/>
        <v>Apr</v>
      </c>
      <c r="J99" s="14" t="str">
        <f ca="1">IF(E99="","",IF(N99="",H99-TODAY(),""))</f>
        <v/>
      </c>
      <c r="K99" s="157" t="s">
        <v>4</v>
      </c>
      <c r="L99" s="157" t="s">
        <v>26</v>
      </c>
      <c r="M99" s="157" t="s">
        <v>57</v>
      </c>
      <c r="N99" s="9">
        <v>45435</v>
      </c>
      <c r="O99" s="159">
        <f>IF($N99="","",NETWORKDAYS($E99,$N99,$V$33:$V$47)-1)</f>
        <v>20</v>
      </c>
      <c r="P99" s="10" t="str">
        <f>IF(ISBLANK(N99),"",IF(N99&gt;H99,"No","Yes"))</f>
        <v>Yes</v>
      </c>
      <c r="Q99" s="9" t="s">
        <v>117</v>
      </c>
      <c r="R99" s="4" t="s">
        <v>118</v>
      </c>
      <c r="S99" s="4"/>
      <c r="T99" s="4"/>
      <c r="U99" s="6"/>
      <c r="V99" s="6"/>
      <c r="W99" s="6"/>
      <c r="X99" s="6"/>
      <c r="Y99" s="6"/>
      <c r="Z99" s="6"/>
      <c r="AX99" s="6" t="str">
        <v>Quarter 1</v>
      </c>
    </row>
    <row r="100" spans="1:50" ht="31.4" customHeight="1" x14ac:dyDescent="0.35">
      <c r="A100" s="136" t="s">
        <v>396</v>
      </c>
      <c r="B100" s="4" t="s">
        <v>397</v>
      </c>
      <c r="C100" s="4" t="s">
        <v>15</v>
      </c>
      <c r="D100" s="4" t="s">
        <v>398</v>
      </c>
      <c r="E100" s="157">
        <v>45408</v>
      </c>
      <c r="F100" s="9">
        <f>IF($E100="","",WORKDAY($E100,1,$V$33:$V$47))</f>
        <v>45411</v>
      </c>
      <c r="G100" s="9">
        <f>IF($E100="","",WORKDAY($E100,10,$V$33:$V$47))</f>
        <v>45422</v>
      </c>
      <c r="H100" s="9">
        <f>IF($E100="","",WORKDAY($E100,20,$V$33:$V$47))</f>
        <v>45436</v>
      </c>
      <c r="I100" s="157" t="str">
        <f t="shared" si="1"/>
        <v>Apr</v>
      </c>
      <c r="J100" s="14" t="str">
        <f ca="1">IF(E100="","",IF(N100="",H100-TODAY(),""))</f>
        <v/>
      </c>
      <c r="K100" s="157" t="s">
        <v>5</v>
      </c>
      <c r="L100" s="157" t="s">
        <v>22</v>
      </c>
      <c r="M100" s="157" t="s">
        <v>64</v>
      </c>
      <c r="N100" s="9">
        <v>45437</v>
      </c>
      <c r="O100" s="159">
        <f>IF($N100="","",NETWORKDAYS($E100,$N100,$V$33:$V$47)-1)</f>
        <v>20</v>
      </c>
      <c r="P100" s="10" t="str">
        <f>IF(ISBLANK(N100),"",IF(N100&gt;H100,"No","Yes"))</f>
        <v>No</v>
      </c>
      <c r="Q100" s="9" t="s">
        <v>117</v>
      </c>
      <c r="R100" s="4" t="s">
        <v>118</v>
      </c>
      <c r="S100" s="4"/>
      <c r="T100" s="4"/>
      <c r="U100" s="6"/>
      <c r="V100" s="6"/>
      <c r="W100" s="6"/>
      <c r="X100" s="6"/>
      <c r="Y100" s="6"/>
      <c r="Z100" s="6"/>
      <c r="AX100" s="6" t="str">
        <v>Quarter 1</v>
      </c>
    </row>
    <row r="101" spans="1:50" ht="31.4" customHeight="1" x14ac:dyDescent="0.35">
      <c r="A101" s="136" t="s">
        <v>399</v>
      </c>
      <c r="B101" s="4" t="s">
        <v>138</v>
      </c>
      <c r="C101" s="4" t="s">
        <v>19</v>
      </c>
      <c r="D101" s="4" t="s">
        <v>400</v>
      </c>
      <c r="E101" s="157">
        <v>45408</v>
      </c>
      <c r="F101" s="9">
        <f>IF($E101="","",WORKDAY($E101,1,$V$33:$V$47))</f>
        <v>45411</v>
      </c>
      <c r="G101" s="9">
        <f>IF($E101="","",WORKDAY($E101,10,$V$33:$V$47))</f>
        <v>45422</v>
      </c>
      <c r="H101" s="9">
        <f>IF($E101="","",WORKDAY($E101,20,$V$33:$V$47))</f>
        <v>45436</v>
      </c>
      <c r="I101" s="157" t="str">
        <f t="shared" si="1"/>
        <v>Apr</v>
      </c>
      <c r="J101" s="14" t="str">
        <f ca="1">IF(E101="","",IF(N101="",H101-TODAY(),""))</f>
        <v/>
      </c>
      <c r="K101" s="157" t="s">
        <v>5</v>
      </c>
      <c r="L101" s="157" t="s">
        <v>18</v>
      </c>
      <c r="M101" s="157" t="s">
        <v>66</v>
      </c>
      <c r="N101" s="9">
        <v>45412</v>
      </c>
      <c r="O101" s="159">
        <f>IF($N101="","",NETWORKDAYS($E101,$N101,$V$33:$V$47)-1)</f>
        <v>2</v>
      </c>
      <c r="P101" s="10" t="str">
        <f>IF(ISBLANK(N101),"",IF(N101&gt;H101,"No","Yes"))</f>
        <v>Yes</v>
      </c>
      <c r="Q101" s="9" t="s">
        <v>117</v>
      </c>
      <c r="R101" s="4" t="s">
        <v>126</v>
      </c>
      <c r="S101" s="4" t="s">
        <v>119</v>
      </c>
      <c r="T101" s="4"/>
      <c r="U101" s="6"/>
      <c r="V101" s="6"/>
      <c r="W101" s="6"/>
      <c r="X101" s="6"/>
      <c r="Y101" s="6"/>
      <c r="Z101" s="6"/>
      <c r="AX101" s="6" t="str">
        <v>Quarter 1</v>
      </c>
    </row>
    <row r="102" spans="1:50" ht="31.4" customHeight="1" x14ac:dyDescent="0.35">
      <c r="A102" s="136" t="s">
        <v>401</v>
      </c>
      <c r="B102" s="4" t="s">
        <v>8</v>
      </c>
      <c r="C102" s="4" t="s">
        <v>8</v>
      </c>
      <c r="D102" s="4" t="s">
        <v>402</v>
      </c>
      <c r="E102" s="157">
        <v>45408</v>
      </c>
      <c r="F102" s="9">
        <f>IF($E102="","",WORKDAY($E102,1,$V$33:$V$47))</f>
        <v>45411</v>
      </c>
      <c r="G102" s="9">
        <f>IF($E102="","",WORKDAY($E102,10,$V$33:$V$47))</f>
        <v>45422</v>
      </c>
      <c r="H102" s="9">
        <f>IF($E102="","",WORKDAY($E102,20,$V$33:$V$47))</f>
        <v>45436</v>
      </c>
      <c r="I102" s="157" t="str">
        <f t="shared" si="1"/>
        <v>Apr</v>
      </c>
      <c r="J102" s="14" t="str">
        <f ca="1">IF(E102="","",IF(N102="",H102-TODAY(),""))</f>
        <v/>
      </c>
      <c r="K102" s="157" t="s">
        <v>10</v>
      </c>
      <c r="L102" s="157" t="s">
        <v>9</v>
      </c>
      <c r="M102" s="157" t="s">
        <v>38</v>
      </c>
      <c r="N102" s="9">
        <v>45425</v>
      </c>
      <c r="O102" s="159">
        <f>IF($N102="","",NETWORKDAYS($E102,$N102,$V$33:$V$47)-1)</f>
        <v>11</v>
      </c>
      <c r="P102" s="10" t="str">
        <f>IF(ISBLANK(N102),"",IF(N102&gt;H102,"No","Yes"))</f>
        <v>Yes</v>
      </c>
      <c r="Q102" s="9" t="s">
        <v>117</v>
      </c>
      <c r="R102" s="4" t="s">
        <v>132</v>
      </c>
      <c r="S102" s="4" t="s">
        <v>120</v>
      </c>
      <c r="T102" s="4"/>
      <c r="U102" s="6"/>
      <c r="V102" s="6"/>
      <c r="W102" s="6"/>
      <c r="X102" s="6"/>
      <c r="Y102" s="6"/>
      <c r="Z102" s="6"/>
      <c r="AX102" s="6" t="str">
        <v>Quarter 1</v>
      </c>
    </row>
    <row r="103" spans="1:50" ht="31.4" customHeight="1" x14ac:dyDescent="0.35">
      <c r="A103" s="136" t="s">
        <v>403</v>
      </c>
      <c r="B103" s="4" t="s">
        <v>404</v>
      </c>
      <c r="C103" s="4" t="s">
        <v>13</v>
      </c>
      <c r="D103" s="4" t="s">
        <v>405</v>
      </c>
      <c r="E103" s="157">
        <v>45408</v>
      </c>
      <c r="F103" s="9">
        <f>IF($E103="","",WORKDAY($E103,1,$V$33:$V$47))</f>
        <v>45411</v>
      </c>
      <c r="G103" s="9">
        <f>IF($E103="","",WORKDAY($E103,10,$V$33:$V$47))</f>
        <v>45422</v>
      </c>
      <c r="H103" s="9">
        <f>IF($E103="","",WORKDAY($E103,20,$V$33:$V$47))</f>
        <v>45436</v>
      </c>
      <c r="I103" s="157" t="str">
        <f t="shared" si="1"/>
        <v>Apr</v>
      </c>
      <c r="J103" s="14" t="str">
        <f ca="1">IF(E103="","",IF(N103="",H103-TODAY(),""))</f>
        <v/>
      </c>
      <c r="K103" s="157" t="s">
        <v>5</v>
      </c>
      <c r="L103" s="157" t="s">
        <v>16</v>
      </c>
      <c r="M103" s="157" t="s">
        <v>67</v>
      </c>
      <c r="N103" s="9">
        <v>45425</v>
      </c>
      <c r="O103" s="159">
        <f>IF($N103="","",NETWORKDAYS($E103,$N103,$V$33:$V$47)-1)</f>
        <v>11</v>
      </c>
      <c r="P103" s="10" t="str">
        <f>IF(ISBLANK(N103),"",IF(N103&gt;H103,"No","Yes"))</f>
        <v>Yes</v>
      </c>
      <c r="Q103" s="9" t="s">
        <v>117</v>
      </c>
      <c r="R103" s="4" t="s">
        <v>118</v>
      </c>
      <c r="S103" s="4"/>
      <c r="T103" s="4" t="s">
        <v>141</v>
      </c>
      <c r="U103" s="6"/>
      <c r="V103" s="6"/>
      <c r="W103" s="6"/>
      <c r="X103" s="6"/>
      <c r="Y103" s="6"/>
      <c r="Z103" s="6"/>
      <c r="AX103" s="6" t="str">
        <v>Quarter 1</v>
      </c>
    </row>
    <row r="104" spans="1:50" ht="31.4" customHeight="1" x14ac:dyDescent="0.35">
      <c r="A104" s="136" t="s">
        <v>406</v>
      </c>
      <c r="B104" s="4" t="s">
        <v>138</v>
      </c>
      <c r="C104" s="4" t="s">
        <v>19</v>
      </c>
      <c r="D104" s="4" t="s">
        <v>407</v>
      </c>
      <c r="E104" s="157">
        <v>45411</v>
      </c>
      <c r="F104" s="9">
        <f>IF($E104="","",WORKDAY($E104,1,$V$33:$V$47))</f>
        <v>45412</v>
      </c>
      <c r="G104" s="9">
        <f>IF($E104="","",WORKDAY($E104,10,$V$33:$V$47))</f>
        <v>45425</v>
      </c>
      <c r="H104" s="9">
        <f>IF($E104="","",WORKDAY($E104,20,$V$33:$V$47))</f>
        <v>45439</v>
      </c>
      <c r="I104" s="157" t="str">
        <f t="shared" si="1"/>
        <v>Apr</v>
      </c>
      <c r="J104" s="14" t="str">
        <f ca="1">IF(E104="","",IF(N104="",H104-TODAY(),""))</f>
        <v/>
      </c>
      <c r="K104" s="157" t="s">
        <v>124</v>
      </c>
      <c r="L104" s="157" t="s">
        <v>20</v>
      </c>
      <c r="M104" s="157" t="s">
        <v>62</v>
      </c>
      <c r="N104" s="9">
        <v>45412</v>
      </c>
      <c r="O104" s="159">
        <f>IF($N104="","",NETWORKDAYS($E104,$N104,$V$33:$V$47)-1)</f>
        <v>1</v>
      </c>
      <c r="P104" s="10" t="str">
        <f>IF(ISBLANK(N104),"",IF(N104&gt;H104,"No","Yes"))</f>
        <v>Yes</v>
      </c>
      <c r="Q104" s="9" t="s">
        <v>117</v>
      </c>
      <c r="R104" s="4" t="s">
        <v>118</v>
      </c>
      <c r="S104" s="4"/>
      <c r="T104" s="4"/>
      <c r="U104" s="6"/>
      <c r="V104" s="6"/>
      <c r="W104" s="6"/>
      <c r="X104" s="6"/>
      <c r="Y104" s="6"/>
      <c r="Z104" s="6"/>
      <c r="AX104" s="6" t="str">
        <v>Quarter 1</v>
      </c>
    </row>
    <row r="105" spans="1:50" ht="31.4" customHeight="1" x14ac:dyDescent="0.35">
      <c r="A105" s="136" t="s">
        <v>408</v>
      </c>
      <c r="B105" s="4" t="s">
        <v>8</v>
      </c>
      <c r="C105" s="4" t="s">
        <v>8</v>
      </c>
      <c r="D105" s="4" t="s">
        <v>409</v>
      </c>
      <c r="E105" s="157"/>
      <c r="F105" s="9" t="str">
        <f>IF($E105="","",WORKDAY($E105,1,$V$33:$V$47))</f>
        <v/>
      </c>
      <c r="G105" s="9" t="str">
        <f>IF($E105="","",WORKDAY($E105,10,$V$33:$V$47))</f>
        <v/>
      </c>
      <c r="H105" s="9" t="str">
        <f>IF($E105="","",WORKDAY($E105,20,$V$33:$V$47))</f>
        <v/>
      </c>
      <c r="I105" s="157" t="s">
        <v>115</v>
      </c>
      <c r="J105" s="14" t="str">
        <f ca="1">IF(E105="","",IF(N105="",H105-TODAY(),""))</f>
        <v/>
      </c>
      <c r="K105" s="157" t="s">
        <v>124</v>
      </c>
      <c r="L105" s="157" t="s">
        <v>20</v>
      </c>
      <c r="M105" s="157" t="s">
        <v>70</v>
      </c>
      <c r="N105" s="9"/>
      <c r="O105" s="159" t="str">
        <f>IF($N105="","",NETWORKDAYS($E105,$N105,$V$33:$V$47)-1)</f>
        <v/>
      </c>
      <c r="P105" s="10" t="str">
        <f>IF(ISBLANK(N105),"",IF(N105&gt;H105,"No","Yes"))</f>
        <v/>
      </c>
      <c r="Q105" s="9" t="s">
        <v>140</v>
      </c>
      <c r="R105" s="4" t="s">
        <v>140</v>
      </c>
      <c r="S105" s="4"/>
      <c r="T105" s="4" t="s">
        <v>410</v>
      </c>
      <c r="U105" s="6"/>
      <c r="V105" s="6"/>
      <c r="W105" s="6"/>
      <c r="X105" s="6"/>
      <c r="Y105" s="6"/>
      <c r="Z105" s="6"/>
      <c r="AX105" s="6" t="str">
        <v>Quarter 1</v>
      </c>
    </row>
    <row r="106" spans="1:50" ht="31.4" customHeight="1" x14ac:dyDescent="0.35">
      <c r="A106" s="136" t="s">
        <v>411</v>
      </c>
      <c r="B106" s="4" t="s">
        <v>412</v>
      </c>
      <c r="C106" s="4" t="s">
        <v>13</v>
      </c>
      <c r="D106" s="4" t="s">
        <v>413</v>
      </c>
      <c r="E106" s="157">
        <v>45411</v>
      </c>
      <c r="F106" s="9">
        <f>IF($E106="","",WORKDAY($E106,1,$V$33:$V$47))</f>
        <v>45412</v>
      </c>
      <c r="G106" s="9">
        <f>IF($E106="","",WORKDAY($E106,10,$V$33:$V$47))</f>
        <v>45425</v>
      </c>
      <c r="H106" s="9">
        <f>IF($E106="","",WORKDAY($E106,20,$V$33:$V$47))</f>
        <v>45439</v>
      </c>
      <c r="I106" s="157" t="str">
        <f t="shared" si="1"/>
        <v>Apr</v>
      </c>
      <c r="J106" s="14" t="str">
        <f ca="1">IF(E106="","",IF(N106="",H106-TODAY(),""))</f>
        <v/>
      </c>
      <c r="K106" s="157" t="s">
        <v>5</v>
      </c>
      <c r="L106" s="157" t="s">
        <v>16</v>
      </c>
      <c r="M106" s="157" t="s">
        <v>52</v>
      </c>
      <c r="N106" s="9">
        <v>45414</v>
      </c>
      <c r="O106" s="159">
        <f>IF($N106="","",NETWORKDAYS($E106,$N106,$V$33:$V$47)-1)</f>
        <v>3</v>
      </c>
      <c r="P106" s="10" t="str">
        <f>IF(ISBLANK(N106),"",IF(N106&gt;H106,"No","Yes"))</f>
        <v>Yes</v>
      </c>
      <c r="Q106" s="9" t="s">
        <v>117</v>
      </c>
      <c r="R106" s="4" t="s">
        <v>118</v>
      </c>
      <c r="S106" s="4"/>
      <c r="T106" s="4"/>
      <c r="U106" s="6"/>
      <c r="V106" s="6"/>
      <c r="W106" s="6"/>
      <c r="X106" s="6"/>
      <c r="Y106" s="6"/>
      <c r="Z106" s="6"/>
      <c r="AX106" s="6" t="str">
        <v>Quarter 1</v>
      </c>
    </row>
    <row r="107" spans="1:50" ht="31.4" customHeight="1" x14ac:dyDescent="0.35">
      <c r="A107" s="136" t="s">
        <v>414</v>
      </c>
      <c r="B107" s="4" t="s">
        <v>8</v>
      </c>
      <c r="C107" s="4" t="s">
        <v>8</v>
      </c>
      <c r="D107" s="4" t="s">
        <v>415</v>
      </c>
      <c r="E107" s="157">
        <v>45411</v>
      </c>
      <c r="F107" s="9">
        <f>IF($E107="","",WORKDAY($E107,1,$V$33:$V$47))</f>
        <v>45412</v>
      </c>
      <c r="G107" s="9">
        <f>IF($E107="","",WORKDAY($E107,10,$V$33:$V$47))</f>
        <v>45425</v>
      </c>
      <c r="H107" s="9">
        <f>IF($E107="","",WORKDAY($E107,20,$V$33:$V$47))</f>
        <v>45439</v>
      </c>
      <c r="I107" s="157" t="str">
        <f t="shared" si="1"/>
        <v>Apr</v>
      </c>
      <c r="J107" s="14" t="str">
        <f ca="1">IF(E107="","",IF(N107="",H107-TODAY(),""))</f>
        <v/>
      </c>
      <c r="K107" s="157" t="s">
        <v>5</v>
      </c>
      <c r="L107" s="157" t="s">
        <v>22</v>
      </c>
      <c r="M107" s="157" t="s">
        <v>64</v>
      </c>
      <c r="N107" s="9">
        <v>45414</v>
      </c>
      <c r="O107" s="159">
        <f>IF($N107="","",NETWORKDAYS($E107,$N107,$V$33:$V$47)-1)</f>
        <v>3</v>
      </c>
      <c r="P107" s="10" t="str">
        <f>IF(ISBLANK(N107),"",IF(N107&gt;H107,"No","Yes"))</f>
        <v>Yes</v>
      </c>
      <c r="Q107" s="9" t="s">
        <v>117</v>
      </c>
      <c r="R107" s="4" t="s">
        <v>118</v>
      </c>
      <c r="S107" s="4"/>
      <c r="T107" s="4"/>
      <c r="U107" s="6"/>
      <c r="V107" s="6"/>
      <c r="W107" s="6"/>
      <c r="X107" s="6"/>
      <c r="Y107" s="6"/>
      <c r="Z107" s="6"/>
      <c r="AX107" s="6" t="str">
        <v>Quarter 1</v>
      </c>
    </row>
    <row r="108" spans="1:50" ht="31.4" customHeight="1" x14ac:dyDescent="0.35">
      <c r="A108" s="136" t="s">
        <v>416</v>
      </c>
      <c r="B108" s="4" t="s">
        <v>417</v>
      </c>
      <c r="C108" s="4" t="s">
        <v>15</v>
      </c>
      <c r="D108" s="4" t="s">
        <v>418</v>
      </c>
      <c r="E108" s="157">
        <v>45412</v>
      </c>
      <c r="F108" s="9">
        <f>IF($E108="","",WORKDAY($E108,1,$V$33:$V$47))</f>
        <v>45413</v>
      </c>
      <c r="G108" s="9">
        <f>IF($E108="","",WORKDAY($E108,10,$V$33:$V$47))</f>
        <v>45426</v>
      </c>
      <c r="H108" s="9">
        <f>IF($E108="","",WORKDAY($E108,20,$V$33:$V$47))</f>
        <v>45440</v>
      </c>
      <c r="I108" s="157" t="str">
        <f t="shared" si="1"/>
        <v>Apr</v>
      </c>
      <c r="J108" s="14" t="str">
        <f ca="1">IF(E108="","",IF(N108="",H108-TODAY(),""))</f>
        <v/>
      </c>
      <c r="K108" s="157" t="s">
        <v>124</v>
      </c>
      <c r="L108" s="157" t="s">
        <v>24</v>
      </c>
      <c r="M108" s="157" t="s">
        <v>87</v>
      </c>
      <c r="N108" s="9">
        <v>45412</v>
      </c>
      <c r="O108" s="159">
        <f>IF($N108="","",NETWORKDAYS($E108,$N108,$V$33:$V$47)-1)</f>
        <v>0</v>
      </c>
      <c r="P108" s="10" t="str">
        <f>IF(ISBLANK(N108),"",IF(N108&gt;H108,"No","Yes"))</f>
        <v>Yes</v>
      </c>
      <c r="Q108" s="9" t="s">
        <v>117</v>
      </c>
      <c r="R108" s="4" t="s">
        <v>150</v>
      </c>
      <c r="S108" s="4"/>
      <c r="T108" s="4"/>
      <c r="U108" s="6"/>
      <c r="V108" s="6"/>
      <c r="W108" s="6"/>
      <c r="X108" s="6"/>
      <c r="Y108" s="6"/>
      <c r="Z108" s="6"/>
      <c r="AX108" s="6" t="str">
        <v>Quarter 1</v>
      </c>
    </row>
    <row r="109" spans="1:50" ht="31.4" customHeight="1" x14ac:dyDescent="0.35">
      <c r="A109" s="136" t="s">
        <v>419</v>
      </c>
      <c r="B109" s="4" t="s">
        <v>420</v>
      </c>
      <c r="C109" s="4" t="s">
        <v>6</v>
      </c>
      <c r="D109" s="4" t="s">
        <v>421</v>
      </c>
      <c r="E109" s="157">
        <v>45412</v>
      </c>
      <c r="F109" s="9">
        <f>IF($E109="","",WORKDAY($E109,1,$V$33:$V$47))</f>
        <v>45413</v>
      </c>
      <c r="G109" s="9">
        <f>IF($E109="","",WORKDAY($E109,10,$V$33:$V$47))</f>
        <v>45426</v>
      </c>
      <c r="H109" s="9">
        <f>IF($E109="","",WORKDAY($E109,20,$V$33:$V$47))</f>
        <v>45440</v>
      </c>
      <c r="I109" s="157" t="str">
        <f t="shared" si="1"/>
        <v>Apr</v>
      </c>
      <c r="J109" s="14" t="str">
        <f ca="1">IF(E109="","",IF(N109="",H109-TODAY(),""))</f>
        <v/>
      </c>
      <c r="K109" s="157" t="s">
        <v>5</v>
      </c>
      <c r="L109" s="157" t="s">
        <v>22</v>
      </c>
      <c r="M109" s="157" t="s">
        <v>64</v>
      </c>
      <c r="N109" s="9">
        <v>45414</v>
      </c>
      <c r="O109" s="159">
        <f>IF($N109="","",NETWORKDAYS($E109,$N109,$V$33:$V$47)-1)</f>
        <v>2</v>
      </c>
      <c r="P109" s="10" t="str">
        <f>IF(ISBLANK(N109),"",IF(N109&gt;H109,"No","Yes"))</f>
        <v>Yes</v>
      </c>
      <c r="Q109" s="9" t="s">
        <v>117</v>
      </c>
      <c r="R109" s="4" t="s">
        <v>118</v>
      </c>
      <c r="S109" s="4"/>
      <c r="T109" s="4"/>
      <c r="U109" s="6"/>
      <c r="V109" s="6"/>
      <c r="W109" s="6"/>
      <c r="X109" s="6"/>
      <c r="Y109" s="6"/>
      <c r="Z109" s="6"/>
      <c r="AX109" s="6" t="str">
        <v>Quarter 1</v>
      </c>
    </row>
    <row r="110" spans="1:50" ht="31.4" customHeight="1" x14ac:dyDescent="0.35">
      <c r="A110" s="136" t="s">
        <v>422</v>
      </c>
      <c r="B110" s="4" t="s">
        <v>138</v>
      </c>
      <c r="C110" s="4" t="s">
        <v>19</v>
      </c>
      <c r="D110" s="4" t="s">
        <v>423</v>
      </c>
      <c r="E110" s="157">
        <v>45412</v>
      </c>
      <c r="F110" s="9">
        <f>IF($E110="","",WORKDAY($E110,1,$V$33:$V$47))</f>
        <v>45413</v>
      </c>
      <c r="G110" s="9">
        <f>IF($E110="","",WORKDAY($E110,10,$V$33:$V$47))</f>
        <v>45426</v>
      </c>
      <c r="H110" s="9">
        <f>IF($E110="","",WORKDAY($E110,20,$V$33:$V$47))</f>
        <v>45440</v>
      </c>
      <c r="I110" s="157" t="str">
        <f t="shared" si="1"/>
        <v>Apr</v>
      </c>
      <c r="J110" s="14" t="str">
        <f ca="1">IF(E110="","",IF(N110="",H110-TODAY(),""))</f>
        <v/>
      </c>
      <c r="K110" s="157" t="s">
        <v>5</v>
      </c>
      <c r="L110" s="157" t="s">
        <v>18</v>
      </c>
      <c r="M110" s="157" t="s">
        <v>80</v>
      </c>
      <c r="N110" s="9">
        <v>45428</v>
      </c>
      <c r="O110" s="159">
        <f>IF($N110="","",NETWORKDAYS($E110,$N110,$V$33:$V$47)-1)</f>
        <v>12</v>
      </c>
      <c r="P110" s="10" t="str">
        <f>IF(ISBLANK(N110),"",IF(N110&gt;H110,"No","Yes"))</f>
        <v>Yes</v>
      </c>
      <c r="Q110" s="9" t="s">
        <v>117</v>
      </c>
      <c r="R110" s="4" t="s">
        <v>118</v>
      </c>
      <c r="S110" s="4" t="s">
        <v>135</v>
      </c>
      <c r="T110" s="4"/>
      <c r="U110" s="6"/>
      <c r="V110" s="6"/>
      <c r="W110" s="6"/>
      <c r="X110" s="6"/>
      <c r="Y110" s="6"/>
      <c r="Z110" s="6"/>
      <c r="AX110" s="6" t="str">
        <v>Quarter 1</v>
      </c>
    </row>
    <row r="111" spans="1:50" ht="31.4" customHeight="1" x14ac:dyDescent="0.35">
      <c r="A111" s="136" t="s">
        <v>424</v>
      </c>
      <c r="B111" s="4" t="s">
        <v>8</v>
      </c>
      <c r="C111" s="4" t="s">
        <v>8</v>
      </c>
      <c r="D111" s="4" t="s">
        <v>425</v>
      </c>
      <c r="E111" s="157">
        <v>45412</v>
      </c>
      <c r="F111" s="9">
        <f>IF($E111="","",WORKDAY($E111,1,$V$33:$V$47))</f>
        <v>45413</v>
      </c>
      <c r="G111" s="9">
        <f>IF($E111="","",WORKDAY($E111,10,$V$33:$V$47))</f>
        <v>45426</v>
      </c>
      <c r="H111" s="9">
        <f>IF($E111="","",WORKDAY($E111,20,$V$33:$V$47))</f>
        <v>45440</v>
      </c>
      <c r="I111" s="157" t="str">
        <f t="shared" si="1"/>
        <v>Apr</v>
      </c>
      <c r="J111" s="14" t="str">
        <f ca="1">IF(E111="","",IF(N111="",H111-TODAY(),""))</f>
        <v/>
      </c>
      <c r="K111" s="157" t="s">
        <v>124</v>
      </c>
      <c r="L111" s="157" t="s">
        <v>24</v>
      </c>
      <c r="M111" s="157" t="s">
        <v>87</v>
      </c>
      <c r="N111" s="9">
        <v>45414</v>
      </c>
      <c r="O111" s="159">
        <f>IF($N111="","",NETWORKDAYS($E111,$N111,$V$33:$V$47)-1)</f>
        <v>2</v>
      </c>
      <c r="P111" s="10" t="str">
        <f>IF(ISBLANK(N111),"",IF(N111&gt;H111,"No","Yes"))</f>
        <v>Yes</v>
      </c>
      <c r="Q111" s="9" t="s">
        <v>117</v>
      </c>
      <c r="R111" s="4" t="s">
        <v>126</v>
      </c>
      <c r="S111" s="4" t="s">
        <v>119</v>
      </c>
      <c r="T111" s="4"/>
      <c r="U111" s="6"/>
      <c r="V111" s="6"/>
      <c r="W111" s="6"/>
      <c r="X111" s="6"/>
      <c r="Y111" s="6"/>
      <c r="Z111" s="6"/>
      <c r="AX111" s="6" t="str">
        <v>Quarter 1</v>
      </c>
    </row>
    <row r="112" spans="1:50" ht="31.4" customHeight="1" x14ac:dyDescent="0.35">
      <c r="A112" s="136" t="s">
        <v>426</v>
      </c>
      <c r="B112" s="4" t="s">
        <v>138</v>
      </c>
      <c r="C112" s="4" t="s">
        <v>19</v>
      </c>
      <c r="D112" s="4" t="s">
        <v>181</v>
      </c>
      <c r="E112" s="157">
        <v>45412</v>
      </c>
      <c r="F112" s="9">
        <f>IF($E112="","",WORKDAY($E112,1,$V$33:$V$47))</f>
        <v>45413</v>
      </c>
      <c r="G112" s="9">
        <f>IF($E112="","",WORKDAY($E112,10,$V$33:$V$47))</f>
        <v>45426</v>
      </c>
      <c r="H112" s="9">
        <f>IF($E112="","",WORKDAY($E112,20,$V$33:$V$47))</f>
        <v>45440</v>
      </c>
      <c r="I112" s="157" t="str">
        <f t="shared" si="1"/>
        <v>Apr</v>
      </c>
      <c r="J112" s="14" t="str">
        <f ca="1">IF(E112="","",IF(N112="",H112-TODAY(),""))</f>
        <v/>
      </c>
      <c r="K112" s="157" t="s">
        <v>5</v>
      </c>
      <c r="L112" s="157" t="s">
        <v>16</v>
      </c>
      <c r="M112" s="157" t="s">
        <v>71</v>
      </c>
      <c r="N112" s="9">
        <v>45413</v>
      </c>
      <c r="O112" s="159">
        <f>IF($N112="","",NETWORKDAYS($E112,$N112,$V$33:$V$47)-1)</f>
        <v>1</v>
      </c>
      <c r="P112" s="10" t="str">
        <f>IF(ISBLANK(N112),"",IF(N112&gt;H112,"No","Yes"))</f>
        <v>Yes</v>
      </c>
      <c r="Q112" s="9" t="s">
        <v>117</v>
      </c>
      <c r="R112" s="4" t="s">
        <v>118</v>
      </c>
      <c r="S112" s="4"/>
      <c r="T112" s="4"/>
      <c r="U112" s="6"/>
      <c r="V112" s="6"/>
      <c r="W112" s="6"/>
      <c r="X112" s="6"/>
      <c r="Y112" s="6"/>
      <c r="Z112" s="6"/>
      <c r="AX112" s="6" t="str">
        <v>Quarter 1</v>
      </c>
    </row>
    <row r="113" spans="1:50" ht="31.4" customHeight="1" x14ac:dyDescent="0.35">
      <c r="A113" s="136" t="s">
        <v>427</v>
      </c>
      <c r="B113" s="4" t="s">
        <v>8</v>
      </c>
      <c r="C113" s="4" t="s">
        <v>8</v>
      </c>
      <c r="D113" s="4" t="s">
        <v>428</v>
      </c>
      <c r="E113" s="157">
        <v>45413</v>
      </c>
      <c r="F113" s="9">
        <f>IF($E113="","",WORKDAY($E113,1,$V$33:$V$47))</f>
        <v>45414</v>
      </c>
      <c r="G113" s="9">
        <f>IF($E113="","",WORKDAY($E113,10,$V$33:$V$47))</f>
        <v>45427</v>
      </c>
      <c r="H113" s="9">
        <f>IF($E113="","",WORKDAY($E113,20,$V$33:$V$47))</f>
        <v>45441</v>
      </c>
      <c r="I113" s="157" t="str">
        <f t="shared" si="1"/>
        <v>May</v>
      </c>
      <c r="J113" s="14" t="str">
        <f ca="1">IF(E113="","",IF(N113="",H113-TODAY(),""))</f>
        <v/>
      </c>
      <c r="K113" s="157" t="s">
        <v>5</v>
      </c>
      <c r="L113" s="157" t="s">
        <v>16</v>
      </c>
      <c r="M113" s="157" t="s">
        <v>52</v>
      </c>
      <c r="N113" s="9">
        <v>45422</v>
      </c>
      <c r="O113" s="159">
        <f>IF($N113="","",NETWORKDAYS($E113,$N113,$V$33:$V$47)-1)</f>
        <v>7</v>
      </c>
      <c r="P113" s="10" t="str">
        <f>IF(ISBLANK(N113),"",IF(N113&gt;H113,"No","Yes"))</f>
        <v>Yes</v>
      </c>
      <c r="Q113" s="9" t="s">
        <v>117</v>
      </c>
      <c r="R113" s="4" t="s">
        <v>150</v>
      </c>
      <c r="S113" s="4"/>
      <c r="T113" s="4"/>
      <c r="U113" s="6"/>
      <c r="V113" s="6"/>
      <c r="W113" s="6"/>
      <c r="X113" s="6"/>
      <c r="Y113" s="6"/>
      <c r="Z113" s="6"/>
      <c r="AX113" s="6" t="str">
        <v>Quarter 1</v>
      </c>
    </row>
    <row r="114" spans="1:50" ht="31.4" customHeight="1" x14ac:dyDescent="0.35">
      <c r="A114" s="136" t="s">
        <v>429</v>
      </c>
      <c r="B114" s="4" t="s">
        <v>8</v>
      </c>
      <c r="C114" s="4" t="s">
        <v>8</v>
      </c>
      <c r="D114" s="4" t="s">
        <v>430</v>
      </c>
      <c r="E114" s="157">
        <v>45413</v>
      </c>
      <c r="F114" s="9">
        <f>IF($E114="","",WORKDAY($E114,1,$V$33:$V$47))</f>
        <v>45414</v>
      </c>
      <c r="G114" s="9">
        <f>IF($E114="","",WORKDAY($E114,10,$V$33:$V$47))</f>
        <v>45427</v>
      </c>
      <c r="H114" s="9">
        <f>IF($E114="","",WORKDAY($E114,20,$V$33:$V$47))</f>
        <v>45441</v>
      </c>
      <c r="I114" s="157" t="str">
        <f t="shared" si="1"/>
        <v>May</v>
      </c>
      <c r="J114" s="14" t="str">
        <f ca="1">IF(E114="","",IF(N114="",H114-TODAY(),""))</f>
        <v/>
      </c>
      <c r="K114" s="157" t="s">
        <v>124</v>
      </c>
      <c r="L114" s="157" t="s">
        <v>14</v>
      </c>
      <c r="M114" s="157" t="s">
        <v>49</v>
      </c>
      <c r="N114" s="9">
        <v>45422</v>
      </c>
      <c r="O114" s="159">
        <f>IF($N114="","",NETWORKDAYS($E114,$N114,$V$33:$V$47)-1)</f>
        <v>7</v>
      </c>
      <c r="P114" s="10" t="str">
        <f>IF(ISBLANK(N114),"",IF(N114&gt;H114,"No","Yes"))</f>
        <v>Yes</v>
      </c>
      <c r="Q114" s="9" t="s">
        <v>117</v>
      </c>
      <c r="R114" s="4" t="s">
        <v>118</v>
      </c>
      <c r="S114" s="4"/>
      <c r="T114" s="4"/>
      <c r="U114" s="6"/>
      <c r="V114" s="6"/>
      <c r="W114" s="6"/>
      <c r="X114" s="6"/>
      <c r="Y114" s="6"/>
      <c r="Z114" s="6"/>
      <c r="AX114" s="6" t="str">
        <v>Quarter 1</v>
      </c>
    </row>
    <row r="115" spans="1:50" ht="31.4" customHeight="1" x14ac:dyDescent="0.35">
      <c r="A115" s="136" t="s">
        <v>431</v>
      </c>
      <c r="B115" s="4" t="s">
        <v>138</v>
      </c>
      <c r="C115" s="4" t="s">
        <v>19</v>
      </c>
      <c r="D115" s="4" t="s">
        <v>432</v>
      </c>
      <c r="E115" s="157">
        <v>45413</v>
      </c>
      <c r="F115" s="9">
        <f>IF($E115="","",WORKDAY($E115,1,$V$33:$V$47))</f>
        <v>45414</v>
      </c>
      <c r="G115" s="9">
        <f>IF($E115="","",WORKDAY($E115,10,$V$33:$V$47))</f>
        <v>45427</v>
      </c>
      <c r="H115" s="9">
        <f>IF($E115="","",WORKDAY($E115,20,$V$33:$V$47))</f>
        <v>45441</v>
      </c>
      <c r="I115" s="157" t="str">
        <f t="shared" si="1"/>
        <v>May</v>
      </c>
      <c r="J115" s="14" t="str">
        <f ca="1">IF(E115="","",IF(N115="",H115-TODAY(),""))</f>
        <v/>
      </c>
      <c r="K115" s="157" t="s">
        <v>5</v>
      </c>
      <c r="L115" s="157" t="s">
        <v>16</v>
      </c>
      <c r="M115" s="157" t="s">
        <v>52</v>
      </c>
      <c r="N115" s="9">
        <v>45428</v>
      </c>
      <c r="O115" s="159">
        <f>IF($N115="","",NETWORKDAYS($E115,$N115,$V$33:$V$47)-1)</f>
        <v>11</v>
      </c>
      <c r="P115" s="10" t="str">
        <f>IF(ISBLANK(N115),"",IF(N115&gt;H115,"No","Yes"))</f>
        <v>Yes</v>
      </c>
      <c r="Q115" s="9" t="s">
        <v>117</v>
      </c>
      <c r="R115" s="4" t="s">
        <v>118</v>
      </c>
      <c r="S115" s="4"/>
      <c r="T115" s="4"/>
      <c r="U115" s="6"/>
      <c r="V115" s="6"/>
      <c r="W115" s="6"/>
      <c r="X115" s="6"/>
      <c r="Y115" s="6"/>
      <c r="Z115" s="6"/>
      <c r="AX115" s="6" t="str">
        <v>Quarter 1</v>
      </c>
    </row>
    <row r="116" spans="1:50" ht="31.4" customHeight="1" x14ac:dyDescent="0.35">
      <c r="A116" s="136" t="s">
        <v>433</v>
      </c>
      <c r="B116" s="4" t="s">
        <v>8</v>
      </c>
      <c r="C116" s="4" t="s">
        <v>8</v>
      </c>
      <c r="D116" s="4" t="s">
        <v>434</v>
      </c>
      <c r="E116" s="157">
        <v>45413</v>
      </c>
      <c r="F116" s="9">
        <f>IF($E116="","",WORKDAY($E116,1,$V$33:$V$47))</f>
        <v>45414</v>
      </c>
      <c r="G116" s="9">
        <f>IF($E116="","",WORKDAY($E116,10,$V$33:$V$47))</f>
        <v>45427</v>
      </c>
      <c r="H116" s="9">
        <f>IF($E116="","",WORKDAY($E116,20,$V$33:$V$47))</f>
        <v>45441</v>
      </c>
      <c r="I116" s="157" t="str">
        <f t="shared" si="1"/>
        <v>May</v>
      </c>
      <c r="J116" s="14" t="str">
        <f ca="1">IF(E116="","",IF(N116="",H116-TODAY(),""))</f>
        <v/>
      </c>
      <c r="K116" s="157" t="s">
        <v>10</v>
      </c>
      <c r="L116" s="157" t="s">
        <v>27</v>
      </c>
      <c r="M116" s="157" t="s">
        <v>37</v>
      </c>
      <c r="N116" s="9">
        <v>45426</v>
      </c>
      <c r="O116" s="159">
        <f>IF($N116="","",NETWORKDAYS($E116,$N116,$V$33:$V$47)-1)</f>
        <v>9</v>
      </c>
      <c r="P116" s="10" t="str">
        <f>IF(ISBLANK(N116),"",IF(N116&gt;H116,"No","Yes"))</f>
        <v>Yes</v>
      </c>
      <c r="Q116" s="9" t="s">
        <v>117</v>
      </c>
      <c r="R116" s="4" t="s">
        <v>118</v>
      </c>
      <c r="S116" s="4"/>
      <c r="T116" s="4"/>
      <c r="U116" s="6"/>
      <c r="V116" s="6"/>
      <c r="W116" s="6"/>
      <c r="X116" s="6"/>
      <c r="Y116" s="6"/>
      <c r="Z116" s="6"/>
      <c r="AX116" s="6" t="str">
        <v>Quarter 1</v>
      </c>
    </row>
    <row r="117" spans="1:50" ht="31.4" customHeight="1" x14ac:dyDescent="0.35">
      <c r="A117" s="136" t="s">
        <v>435</v>
      </c>
      <c r="B117" s="4" t="s">
        <v>436</v>
      </c>
      <c r="C117" s="4" t="s">
        <v>13</v>
      </c>
      <c r="D117" s="4" t="s">
        <v>437</v>
      </c>
      <c r="E117" s="157">
        <v>45413</v>
      </c>
      <c r="F117" s="9">
        <f>IF($E117="","",WORKDAY($E117,1,$V$33:$V$47))</f>
        <v>45414</v>
      </c>
      <c r="G117" s="9">
        <f>IF($E117="","",WORKDAY($E117,10,$V$33:$V$47))</f>
        <v>45427</v>
      </c>
      <c r="H117" s="9">
        <f>IF($E117="","",WORKDAY($E117,20,$V$33:$V$47))</f>
        <v>45441</v>
      </c>
      <c r="I117" s="157" t="str">
        <f t="shared" si="1"/>
        <v>May</v>
      </c>
      <c r="J117" s="14" t="str">
        <f ca="1">IF(E117="","",IF(N117="",H117-TODAY(),""))</f>
        <v/>
      </c>
      <c r="K117" s="157" t="s">
        <v>124</v>
      </c>
      <c r="L117" s="157" t="s">
        <v>14</v>
      </c>
      <c r="M117" s="157" t="s">
        <v>49</v>
      </c>
      <c r="N117" s="9">
        <v>45429</v>
      </c>
      <c r="O117" s="159">
        <f>IF($N117="","",NETWORKDAYS($E117,$N117,$V$33:$V$47)-1)</f>
        <v>12</v>
      </c>
      <c r="P117" s="10" t="str">
        <f>IF(ISBLANK(N117),"",IF(N117&gt;H117,"No","Yes"))</f>
        <v>Yes</v>
      </c>
      <c r="Q117" s="9" t="s">
        <v>117</v>
      </c>
      <c r="R117" s="4" t="s">
        <v>118</v>
      </c>
      <c r="S117" s="4"/>
      <c r="T117" s="4" t="s">
        <v>141</v>
      </c>
      <c r="U117" s="6"/>
      <c r="V117" s="6"/>
      <c r="W117" s="6"/>
      <c r="X117" s="6"/>
      <c r="Y117" s="6"/>
      <c r="Z117" s="6"/>
      <c r="AX117" s="6" t="str">
        <v>Quarter 1</v>
      </c>
    </row>
    <row r="118" spans="1:50" ht="31.4" customHeight="1" x14ac:dyDescent="0.35">
      <c r="A118" s="136" t="s">
        <v>438</v>
      </c>
      <c r="B118" s="4" t="s">
        <v>293</v>
      </c>
      <c r="C118" s="4" t="s">
        <v>6</v>
      </c>
      <c r="D118" s="4" t="s">
        <v>249</v>
      </c>
      <c r="E118" s="157">
        <v>45414</v>
      </c>
      <c r="F118" s="9">
        <f>IF($E118="","",WORKDAY($E118,1,$V$33:$V$47))</f>
        <v>45415</v>
      </c>
      <c r="G118" s="9">
        <f>IF($E118="","",WORKDAY($E118,10,$V$33:$V$47))</f>
        <v>45428</v>
      </c>
      <c r="H118" s="9">
        <f>IF($E118="","",WORKDAY($E118,20,$V$33:$V$47))</f>
        <v>45442</v>
      </c>
      <c r="I118" s="157" t="str">
        <f t="shared" si="1"/>
        <v>May</v>
      </c>
      <c r="J118" s="14" t="str">
        <f ca="1">IF(E118="","",IF(N118="",H118-TODAY(),""))</f>
        <v/>
      </c>
      <c r="K118" s="157" t="s">
        <v>124</v>
      </c>
      <c r="L118" s="157" t="s">
        <v>24</v>
      </c>
      <c r="M118" s="157" t="s">
        <v>61</v>
      </c>
      <c r="N118" s="9">
        <v>45415</v>
      </c>
      <c r="O118" s="159">
        <f>IF($N118="","",NETWORKDAYS($E118,$N118,$V$33:$V$47)-1)</f>
        <v>1</v>
      </c>
      <c r="P118" s="10" t="str">
        <f>IF(ISBLANK(N118),"",IF(N118&gt;H118,"No","Yes"))</f>
        <v>Yes</v>
      </c>
      <c r="Q118" s="9" t="s">
        <v>117</v>
      </c>
      <c r="R118" s="4" t="s">
        <v>118</v>
      </c>
      <c r="S118" s="4"/>
      <c r="T118" s="4" t="s">
        <v>141</v>
      </c>
      <c r="U118" s="6"/>
      <c r="V118" s="6"/>
      <c r="W118" s="6"/>
      <c r="X118" s="6"/>
      <c r="Y118" s="6"/>
      <c r="Z118" s="6"/>
      <c r="AX118" s="6" t="str">
        <v>Quarter 1</v>
      </c>
    </row>
    <row r="119" spans="1:50" ht="31.4" customHeight="1" x14ac:dyDescent="0.35">
      <c r="A119" s="136" t="s">
        <v>439</v>
      </c>
      <c r="B119" s="4" t="s">
        <v>8</v>
      </c>
      <c r="C119" s="4" t="s">
        <v>8</v>
      </c>
      <c r="D119" s="4" t="s">
        <v>440</v>
      </c>
      <c r="E119" s="157">
        <v>45414</v>
      </c>
      <c r="F119" s="9">
        <f>IF($E119="","",WORKDAY($E119,1,$V$33:$V$47))</f>
        <v>45415</v>
      </c>
      <c r="G119" s="9">
        <f>IF($E119="","",WORKDAY($E119,10,$V$33:$V$47))</f>
        <v>45428</v>
      </c>
      <c r="H119" s="9">
        <f>IF($E119="","",WORKDAY($E119,20,$V$33:$V$47))</f>
        <v>45442</v>
      </c>
      <c r="I119" s="157" t="str">
        <f t="shared" si="1"/>
        <v>May</v>
      </c>
      <c r="J119" s="14" t="str">
        <f ca="1">IF(E119="","",IF(N119="",H119-TODAY(),""))</f>
        <v/>
      </c>
      <c r="K119" s="157" t="s">
        <v>10</v>
      </c>
      <c r="L119" s="157" t="s">
        <v>9</v>
      </c>
      <c r="M119" s="157" t="s">
        <v>38</v>
      </c>
      <c r="N119" s="9">
        <v>45419</v>
      </c>
      <c r="O119" s="159">
        <f>IF($N119="","",NETWORKDAYS($E119,$N119,$V$33:$V$47)-1)</f>
        <v>3</v>
      </c>
      <c r="P119" s="10" t="str">
        <f>IF(ISBLANK(N119),"",IF(N119&gt;H119,"No","Yes"))</f>
        <v>Yes</v>
      </c>
      <c r="Q119" s="9" t="s">
        <v>117</v>
      </c>
      <c r="R119" s="4" t="s">
        <v>118</v>
      </c>
      <c r="S119" s="4"/>
      <c r="T119" s="4"/>
      <c r="U119" s="6"/>
      <c r="V119" s="6"/>
      <c r="W119" s="6"/>
      <c r="X119" s="6"/>
      <c r="Y119" s="6"/>
      <c r="Z119" s="6"/>
      <c r="AX119" s="6" t="str">
        <v>Quarter 1</v>
      </c>
    </row>
    <row r="120" spans="1:50" ht="31.4" customHeight="1" x14ac:dyDescent="0.35">
      <c r="A120" s="136" t="s">
        <v>441</v>
      </c>
      <c r="B120" s="4" t="s">
        <v>8</v>
      </c>
      <c r="C120" s="4" t="s">
        <v>8</v>
      </c>
      <c r="D120" s="4" t="s">
        <v>442</v>
      </c>
      <c r="E120" s="157">
        <v>45415</v>
      </c>
      <c r="F120" s="9">
        <f>IF($E120="","",WORKDAY($E120,1,$V$33:$V$47))</f>
        <v>45418</v>
      </c>
      <c r="G120" s="9">
        <f>IF($E120="","",WORKDAY($E120,10,$V$33:$V$47))</f>
        <v>45429</v>
      </c>
      <c r="H120" s="9">
        <f>IF($E120="","",WORKDAY($E120,20,$V$33:$V$47))</f>
        <v>45443</v>
      </c>
      <c r="I120" s="157" t="str">
        <f t="shared" si="1"/>
        <v>May</v>
      </c>
      <c r="J120" s="14" t="str">
        <f ca="1">IF(E120="","",IF(N120="",H120-TODAY(),""))</f>
        <v/>
      </c>
      <c r="K120" s="157" t="s">
        <v>5</v>
      </c>
      <c r="L120" s="157" t="s">
        <v>16</v>
      </c>
      <c r="M120" s="157" t="s">
        <v>71</v>
      </c>
      <c r="N120" s="9">
        <v>45415</v>
      </c>
      <c r="O120" s="159">
        <f>IF($N120="","",NETWORKDAYS($E120,$N120,$V$33:$V$47)-1)</f>
        <v>0</v>
      </c>
      <c r="P120" s="10" t="str">
        <f>IF(ISBLANK(N120),"",IF(N120&gt;H120,"No","Yes"))</f>
        <v>Yes</v>
      </c>
      <c r="Q120" s="9" t="s">
        <v>117</v>
      </c>
      <c r="R120" s="4" t="s">
        <v>118</v>
      </c>
      <c r="S120" s="4"/>
      <c r="T120" s="4"/>
      <c r="U120" s="6"/>
      <c r="V120" s="6"/>
      <c r="W120" s="6"/>
      <c r="X120" s="6"/>
      <c r="Y120" s="6"/>
      <c r="Z120" s="6"/>
      <c r="AX120" s="6" t="str">
        <v>Quarter 1</v>
      </c>
    </row>
    <row r="121" spans="1:50" ht="31.4" customHeight="1" x14ac:dyDescent="0.35">
      <c r="A121" s="136" t="s">
        <v>443</v>
      </c>
      <c r="B121" s="4" t="s">
        <v>444</v>
      </c>
      <c r="C121" s="4" t="s">
        <v>13</v>
      </c>
      <c r="D121" s="4" t="s">
        <v>445</v>
      </c>
      <c r="E121" s="157">
        <v>45415</v>
      </c>
      <c r="F121" s="9">
        <f>IF($E121="","",WORKDAY($E121,1,$V$33:$V$47))</f>
        <v>45418</v>
      </c>
      <c r="G121" s="9">
        <f>IF($E121="","",WORKDAY($E121,10,$V$33:$V$47))</f>
        <v>45429</v>
      </c>
      <c r="H121" s="9">
        <f>IF($E121="","",WORKDAY($E121,20,$V$33:$V$47))</f>
        <v>45443</v>
      </c>
      <c r="I121" s="157" t="str">
        <f t="shared" si="1"/>
        <v>May</v>
      </c>
      <c r="J121" s="14" t="str">
        <f ca="1">IF(E121="","",IF(N121="",H121-TODAY(),""))</f>
        <v/>
      </c>
      <c r="K121" s="157" t="s">
        <v>5</v>
      </c>
      <c r="L121" s="157" t="s">
        <v>18</v>
      </c>
      <c r="M121" s="157" t="s">
        <v>66</v>
      </c>
      <c r="N121" s="9">
        <v>45415</v>
      </c>
      <c r="O121" s="159">
        <f>IF($N121="","",NETWORKDAYS($E121,$N121,$V$33:$V$47)-1)</f>
        <v>0</v>
      </c>
      <c r="P121" s="10" t="str">
        <f>IF(ISBLANK(N121),"",IF(N121&gt;H121,"No","Yes"))</f>
        <v>Yes</v>
      </c>
      <c r="Q121" s="9" t="s">
        <v>117</v>
      </c>
      <c r="R121" s="4" t="s">
        <v>118</v>
      </c>
      <c r="S121" s="4"/>
      <c r="T121" s="4"/>
      <c r="U121" s="6"/>
      <c r="V121" s="6"/>
      <c r="W121" s="6"/>
      <c r="X121" s="6"/>
      <c r="Y121" s="6"/>
      <c r="Z121" s="6"/>
      <c r="AX121" s="6" t="str">
        <v>Quarter 1</v>
      </c>
    </row>
    <row r="122" spans="1:50" ht="31.4" customHeight="1" x14ac:dyDescent="0.35">
      <c r="A122" s="136" t="s">
        <v>446</v>
      </c>
      <c r="B122" s="10" t="s">
        <v>447</v>
      </c>
      <c r="C122" s="10" t="s">
        <v>15</v>
      </c>
      <c r="D122" s="4" t="s">
        <v>448</v>
      </c>
      <c r="E122" s="157">
        <v>45415</v>
      </c>
      <c r="F122" s="9">
        <f>IF($E122="","",WORKDAY($E122,1,$V$33:$V$47))</f>
        <v>45418</v>
      </c>
      <c r="G122" s="9">
        <f>IF($E122="","",WORKDAY($E122,10,$V$33:$V$47))</f>
        <v>45429</v>
      </c>
      <c r="H122" s="9">
        <f>IF($E122="","",WORKDAY($E122,20,$V$33:$V$47))</f>
        <v>45443</v>
      </c>
      <c r="I122" s="157" t="str">
        <f t="shared" si="1"/>
        <v>May</v>
      </c>
      <c r="J122" s="14" t="str">
        <f ca="1">IF(E122="","",IF(N122="",H122-TODAY(),""))</f>
        <v/>
      </c>
      <c r="K122" s="157" t="s">
        <v>124</v>
      </c>
      <c r="L122" s="157" t="s">
        <v>20</v>
      </c>
      <c r="M122" s="157" t="s">
        <v>70</v>
      </c>
      <c r="N122" s="9">
        <v>45419</v>
      </c>
      <c r="O122" s="159">
        <f>IF($N122="","",NETWORKDAYS($E122,$N122,$V$33:$V$47)-1)</f>
        <v>2</v>
      </c>
      <c r="P122" s="10" t="str">
        <f>IF(ISBLANK(N122),"",IF(N122&gt;H122,"No","Yes"))</f>
        <v>Yes</v>
      </c>
      <c r="Q122" s="9" t="s">
        <v>117</v>
      </c>
      <c r="R122" s="4" t="s">
        <v>118</v>
      </c>
      <c r="S122" s="4"/>
      <c r="T122" s="4"/>
      <c r="U122" s="6"/>
      <c r="V122" s="6"/>
      <c r="W122" s="6"/>
      <c r="X122" s="6"/>
      <c r="Y122" s="6"/>
      <c r="Z122" s="6"/>
      <c r="AX122" s="6" t="str">
        <v>Quarter 1</v>
      </c>
    </row>
    <row r="123" spans="1:50" ht="31.4" customHeight="1" x14ac:dyDescent="0.35">
      <c r="A123" s="136" t="s">
        <v>449</v>
      </c>
      <c r="B123" s="7" t="s">
        <v>138</v>
      </c>
      <c r="C123" s="7" t="s">
        <v>19</v>
      </c>
      <c r="D123" s="4" t="s">
        <v>450</v>
      </c>
      <c r="E123" s="157">
        <v>45415</v>
      </c>
      <c r="F123" s="9">
        <f>IF($E123="","",WORKDAY($E123,1,$V$33:$V$47))</f>
        <v>45418</v>
      </c>
      <c r="G123" s="9">
        <f>IF($E123="","",WORKDAY($E123,10,$V$33:$V$47))</f>
        <v>45429</v>
      </c>
      <c r="H123" s="9">
        <f>IF($E123="","",WORKDAY($E123,20,$V$33:$V$47))</f>
        <v>45443</v>
      </c>
      <c r="I123" s="157" t="str">
        <f t="shared" si="1"/>
        <v>May</v>
      </c>
      <c r="J123" s="14" t="str">
        <f ca="1">IF(E123="","",IF(N123="",H123-TODAY(),""))</f>
        <v/>
      </c>
      <c r="K123" s="157" t="s">
        <v>124</v>
      </c>
      <c r="L123" s="157" t="s">
        <v>24</v>
      </c>
      <c r="M123" s="157" t="s">
        <v>76</v>
      </c>
      <c r="N123" s="9">
        <v>45419</v>
      </c>
      <c r="O123" s="159">
        <f>IF($N123="","",NETWORKDAYS($E123,$N123,$V$33:$V$47)-1)</f>
        <v>2</v>
      </c>
      <c r="P123" s="10" t="str">
        <f>IF(ISBLANK(N123),"",IF(N123&gt;H123,"No","Yes"))</f>
        <v>Yes</v>
      </c>
      <c r="Q123" s="9" t="s">
        <v>117</v>
      </c>
      <c r="R123" s="4" t="s">
        <v>118</v>
      </c>
      <c r="S123" s="4"/>
      <c r="T123" s="4" t="s">
        <v>141</v>
      </c>
      <c r="U123" s="6"/>
      <c r="V123" s="6"/>
      <c r="W123" s="6"/>
      <c r="X123" s="6"/>
      <c r="Y123" s="6"/>
      <c r="Z123" s="6"/>
      <c r="AX123" s="6" t="str">
        <v>Quarter 1</v>
      </c>
    </row>
    <row r="124" spans="1:50" ht="31.4" customHeight="1" x14ac:dyDescent="0.35">
      <c r="A124" s="136" t="s">
        <v>451</v>
      </c>
      <c r="B124" s="4" t="s">
        <v>452</v>
      </c>
      <c r="C124" s="4" t="s">
        <v>13</v>
      </c>
      <c r="D124" s="4" t="s">
        <v>453</v>
      </c>
      <c r="E124" s="157">
        <v>45415</v>
      </c>
      <c r="F124" s="9">
        <f>IF($E124="","",WORKDAY($E124,1,$V$33:$V$47))</f>
        <v>45418</v>
      </c>
      <c r="G124" s="9">
        <f>IF($E124="","",WORKDAY($E124,10,$V$33:$V$47))</f>
        <v>45429</v>
      </c>
      <c r="H124" s="9">
        <f>IF($E124="","",WORKDAY($E124,20,$V$33:$V$47))</f>
        <v>45443</v>
      </c>
      <c r="I124" s="157" t="str">
        <f t="shared" si="1"/>
        <v>May</v>
      </c>
      <c r="J124" s="14" t="str">
        <f ca="1">IF(E124="","",IF(N124="",H124-TODAY(),""))</f>
        <v/>
      </c>
      <c r="K124" s="157" t="s">
        <v>10</v>
      </c>
      <c r="L124" s="157" t="s">
        <v>9</v>
      </c>
      <c r="M124" s="157" t="s">
        <v>38</v>
      </c>
      <c r="N124" s="9">
        <v>45449</v>
      </c>
      <c r="O124" s="159">
        <f>IF($N124="","",NETWORKDAYS($E124,$N124,$V$33:$V$47)-1)</f>
        <v>24</v>
      </c>
      <c r="P124" s="10" t="str">
        <f>IF(ISBLANK(N124),"",IF(N124&gt;H124,"No","Yes"))</f>
        <v>No</v>
      </c>
      <c r="Q124" s="9" t="s">
        <v>117</v>
      </c>
      <c r="R124" s="4" t="s">
        <v>118</v>
      </c>
      <c r="S124" s="4"/>
      <c r="T124" s="4" t="s">
        <v>141</v>
      </c>
      <c r="U124" s="6"/>
      <c r="V124" s="6"/>
      <c r="W124" s="6"/>
      <c r="X124" s="6"/>
      <c r="Y124" s="6"/>
      <c r="Z124" s="6"/>
      <c r="AX124" s="6" t="str">
        <v>Quarter 1</v>
      </c>
    </row>
    <row r="125" spans="1:50" ht="31.4" customHeight="1" x14ac:dyDescent="0.35">
      <c r="A125" s="136" t="s">
        <v>454</v>
      </c>
      <c r="B125" s="4" t="s">
        <v>8</v>
      </c>
      <c r="C125" s="4" t="s">
        <v>8</v>
      </c>
      <c r="D125" s="4" t="s">
        <v>455</v>
      </c>
      <c r="E125" s="157">
        <v>45419</v>
      </c>
      <c r="F125" s="9">
        <f>IF($E125="","",WORKDAY($E125,1,$V$33:$V$47))</f>
        <v>45420</v>
      </c>
      <c r="G125" s="9">
        <f>IF($E125="","",WORKDAY($E125,10,$V$33:$V$47))</f>
        <v>45433</v>
      </c>
      <c r="H125" s="9">
        <f>IF($E125="","",WORKDAY($E125,20,$V$33:$V$47))</f>
        <v>45447</v>
      </c>
      <c r="I125" s="157" t="str">
        <f t="shared" si="1"/>
        <v>May</v>
      </c>
      <c r="J125" s="14" t="str">
        <f ca="1">IF(E125="","",IF(N125="",H125-TODAY(),""))</f>
        <v/>
      </c>
      <c r="K125" s="157" t="s">
        <v>5</v>
      </c>
      <c r="L125" s="157" t="s">
        <v>18</v>
      </c>
      <c r="M125" s="157" t="s">
        <v>80</v>
      </c>
      <c r="N125" s="9">
        <v>45426</v>
      </c>
      <c r="O125" s="159">
        <f>IF($N125="","",NETWORKDAYS($E125,$N125,$V$33:$V$47)-1)</f>
        <v>5</v>
      </c>
      <c r="P125" s="10" t="str">
        <f>IF(ISBLANK(N125),"",IF(N125&gt;H125,"No","Yes"))</f>
        <v>Yes</v>
      </c>
      <c r="Q125" s="9" t="s">
        <v>117</v>
      </c>
      <c r="R125" s="4" t="s">
        <v>132</v>
      </c>
      <c r="S125" s="4" t="s">
        <v>120</v>
      </c>
      <c r="T125" s="4" t="s">
        <v>2119</v>
      </c>
      <c r="U125" s="6"/>
      <c r="V125" s="6"/>
      <c r="W125" s="6"/>
      <c r="X125" s="6"/>
      <c r="Y125" s="6"/>
      <c r="Z125" s="6"/>
      <c r="AX125" s="6" t="str">
        <v>Quarter 1</v>
      </c>
    </row>
    <row r="126" spans="1:50" ht="31.4" customHeight="1" x14ac:dyDescent="0.35">
      <c r="A126" s="136" t="s">
        <v>456</v>
      </c>
      <c r="B126" s="4" t="s">
        <v>457</v>
      </c>
      <c r="C126" s="4" t="s">
        <v>6</v>
      </c>
      <c r="D126" s="4" t="s">
        <v>458</v>
      </c>
      <c r="E126" s="157">
        <v>45419</v>
      </c>
      <c r="F126" s="9">
        <f>IF($E126="","",WORKDAY($E126,1,$V$33:$V$47))</f>
        <v>45420</v>
      </c>
      <c r="G126" s="9">
        <f>IF($E126="","",WORKDAY($E126,10,$V$33:$V$47))</f>
        <v>45433</v>
      </c>
      <c r="H126" s="9">
        <f>IF($E126="","",WORKDAY($E126,20,$V$33:$V$47))</f>
        <v>45447</v>
      </c>
      <c r="I126" s="157" t="str">
        <f t="shared" si="1"/>
        <v>May</v>
      </c>
      <c r="J126" s="14" t="str">
        <f ca="1">IF(E126="","",IF(N126="",H126-TODAY(),""))</f>
        <v/>
      </c>
      <c r="K126" s="157" t="s">
        <v>5</v>
      </c>
      <c r="L126" s="157" t="s">
        <v>16</v>
      </c>
      <c r="M126" s="157" t="s">
        <v>52</v>
      </c>
      <c r="N126" s="9">
        <v>45421</v>
      </c>
      <c r="O126" s="159">
        <f>IF($N126="","",NETWORKDAYS($E126,$N126,$V$33:$V$47)-1)</f>
        <v>2</v>
      </c>
      <c r="P126" s="10" t="str">
        <f>IF(ISBLANK(N126),"",IF(N126&gt;H126,"No","Yes"))</f>
        <v>Yes</v>
      </c>
      <c r="Q126" s="9" t="s">
        <v>117</v>
      </c>
      <c r="R126" s="4" t="s">
        <v>118</v>
      </c>
      <c r="S126" s="4"/>
      <c r="T126" s="4"/>
      <c r="U126" s="6"/>
      <c r="V126" s="6"/>
      <c r="W126" s="6"/>
      <c r="X126" s="6"/>
      <c r="Y126" s="6"/>
      <c r="Z126" s="6"/>
      <c r="AX126" s="6" t="str">
        <v>Quarter 1</v>
      </c>
    </row>
    <row r="127" spans="1:50" ht="31.4" customHeight="1" x14ac:dyDescent="0.35">
      <c r="A127" s="136" t="s">
        <v>459</v>
      </c>
      <c r="B127" s="4" t="s">
        <v>460</v>
      </c>
      <c r="C127" s="4" t="s">
        <v>13</v>
      </c>
      <c r="D127" s="4" t="s">
        <v>461</v>
      </c>
      <c r="E127" s="157">
        <v>45419</v>
      </c>
      <c r="F127" s="9">
        <f>IF($E127="","",WORKDAY($E127,1,$V$33:$V$47))</f>
        <v>45420</v>
      </c>
      <c r="G127" s="9">
        <f>IF($E127="","",WORKDAY($E127,10,$V$33:$V$47))</f>
        <v>45433</v>
      </c>
      <c r="H127" s="9">
        <f>IF($E127="","",WORKDAY($E127,20,$V$33:$V$47))</f>
        <v>45447</v>
      </c>
      <c r="I127" s="157" t="str">
        <f t="shared" si="1"/>
        <v>May</v>
      </c>
      <c r="J127" s="14" t="str">
        <f ca="1">IF(E127="","",IF(N127="",H127-TODAY(),""))</f>
        <v/>
      </c>
      <c r="K127" s="157" t="s">
        <v>10</v>
      </c>
      <c r="L127" s="157" t="s">
        <v>9</v>
      </c>
      <c r="M127" s="157" t="s">
        <v>38</v>
      </c>
      <c r="N127" s="9">
        <v>45426</v>
      </c>
      <c r="O127" s="159">
        <f>IF($N127="","",NETWORKDAYS($E127,$N127,$V$33:$V$47)-1)</f>
        <v>5</v>
      </c>
      <c r="P127" s="10" t="str">
        <f>IF(ISBLANK(N127),"",IF(N127&gt;H127,"No","Yes"))</f>
        <v>Yes</v>
      </c>
      <c r="Q127" s="9" t="s">
        <v>117</v>
      </c>
      <c r="R127" s="4" t="s">
        <v>118</v>
      </c>
      <c r="S127" s="4" t="s">
        <v>135</v>
      </c>
      <c r="T127" s="4"/>
      <c r="U127" s="6"/>
      <c r="V127" s="6"/>
      <c r="W127" s="6"/>
      <c r="X127" s="6"/>
      <c r="Y127" s="6"/>
      <c r="Z127" s="6"/>
      <c r="AX127" s="6" t="str">
        <v>Quarter 1</v>
      </c>
    </row>
    <row r="128" spans="1:50" ht="31.4" customHeight="1" x14ac:dyDescent="0.35">
      <c r="A128" s="136" t="s">
        <v>462</v>
      </c>
      <c r="B128" s="7" t="s">
        <v>138</v>
      </c>
      <c r="C128" s="7" t="s">
        <v>19</v>
      </c>
      <c r="D128" s="7" t="s">
        <v>381</v>
      </c>
      <c r="E128" s="157">
        <v>45419</v>
      </c>
      <c r="F128" s="9">
        <f>IF($E128="","",WORKDAY($E128,1,$V$33:$V$47))</f>
        <v>45420</v>
      </c>
      <c r="G128" s="9">
        <f>IF($E128="","",WORKDAY($E128,10,$V$33:$V$47))</f>
        <v>45433</v>
      </c>
      <c r="H128" s="9">
        <f>IF($E128="","",WORKDAY($E128,20,$V$33:$V$47))</f>
        <v>45447</v>
      </c>
      <c r="I128" s="157" t="str">
        <f t="shared" si="1"/>
        <v>May</v>
      </c>
      <c r="J128" s="14" t="str">
        <f ca="1">IF(E128="","",IF(N128="",H128-TODAY(),""))</f>
        <v/>
      </c>
      <c r="K128" s="157" t="s">
        <v>124</v>
      </c>
      <c r="L128" s="157" t="s">
        <v>20</v>
      </c>
      <c r="M128" s="157" t="s">
        <v>62</v>
      </c>
      <c r="N128" s="9">
        <v>45441</v>
      </c>
      <c r="O128" s="159">
        <f>IF($N128="","",NETWORKDAYS($E128,$N128,$V$33:$V$47)-1)</f>
        <v>16</v>
      </c>
      <c r="P128" s="10" t="str">
        <f>IF(ISBLANK(N128),"",IF(N128&gt;H128,"No","Yes"))</f>
        <v>Yes</v>
      </c>
      <c r="Q128" s="16" t="s">
        <v>117</v>
      </c>
      <c r="R128" s="7" t="s">
        <v>118</v>
      </c>
      <c r="S128" s="4"/>
      <c r="T128" s="7"/>
      <c r="U128" s="6"/>
      <c r="V128" s="6"/>
      <c r="W128" s="6"/>
      <c r="X128" s="6"/>
      <c r="Y128" s="6"/>
      <c r="Z128" s="6"/>
      <c r="AX128" s="6" t="str">
        <v>Quarter 1</v>
      </c>
    </row>
    <row r="129" spans="1:50" ht="31.4" customHeight="1" x14ac:dyDescent="0.35">
      <c r="A129" s="136" t="s">
        <v>463</v>
      </c>
      <c r="B129" s="4" t="s">
        <v>293</v>
      </c>
      <c r="C129" s="4" t="s">
        <v>6</v>
      </c>
      <c r="D129" s="7" t="s">
        <v>464</v>
      </c>
      <c r="E129" s="157">
        <v>45420</v>
      </c>
      <c r="F129" s="9">
        <f>IF($E129="","",WORKDAY($E129,1,$V$33:$V$47))</f>
        <v>45421</v>
      </c>
      <c r="G129" s="9">
        <f>IF($E129="","",WORKDAY($E129,10,$V$33:$V$47))</f>
        <v>45434</v>
      </c>
      <c r="H129" s="9">
        <f>IF($E129="","",WORKDAY($E129,20,$V$33:$V$47))</f>
        <v>45448</v>
      </c>
      <c r="I129" s="157" t="str">
        <f t="shared" si="1"/>
        <v>May</v>
      </c>
      <c r="J129" s="14" t="str">
        <f ca="1">IF(E129="","",IF(N129="",H129-TODAY(),""))</f>
        <v/>
      </c>
      <c r="K129" s="157" t="s">
        <v>10</v>
      </c>
      <c r="L129" s="157" t="s">
        <v>12</v>
      </c>
      <c r="M129" s="157" t="s">
        <v>91</v>
      </c>
      <c r="N129" s="9">
        <v>45435</v>
      </c>
      <c r="O129" s="159">
        <f>IF($N129="","",NETWORKDAYS($E129,$N129,$V$33:$V$47)-1)</f>
        <v>11</v>
      </c>
      <c r="P129" s="10" t="str">
        <f>IF(ISBLANK(N129),"",IF(N129&gt;H129,"No","Yes"))</f>
        <v>Yes</v>
      </c>
      <c r="Q129" s="16" t="s">
        <v>117</v>
      </c>
      <c r="R129" s="7" t="s">
        <v>126</v>
      </c>
      <c r="S129" s="4" t="s">
        <v>178</v>
      </c>
      <c r="T129" s="7"/>
      <c r="U129" s="6"/>
      <c r="V129" s="6"/>
      <c r="W129" s="6"/>
      <c r="X129" s="6"/>
      <c r="Y129" s="6"/>
      <c r="Z129" s="6"/>
      <c r="AX129" s="6" t="str">
        <v>Quarter 1</v>
      </c>
    </row>
    <row r="130" spans="1:50" ht="31.4" customHeight="1" x14ac:dyDescent="0.35">
      <c r="A130" s="136" t="s">
        <v>465</v>
      </c>
      <c r="B130" s="4" t="s">
        <v>8</v>
      </c>
      <c r="C130" s="4" t="s">
        <v>8</v>
      </c>
      <c r="D130" s="4" t="s">
        <v>466</v>
      </c>
      <c r="E130" s="157">
        <v>45420</v>
      </c>
      <c r="F130" s="9">
        <f>IF($E130="","",WORKDAY($E130,1,$V$33:$V$47))</f>
        <v>45421</v>
      </c>
      <c r="G130" s="9">
        <f>IF($E130="","",WORKDAY($E130,10,$V$33:$V$47))</f>
        <v>45434</v>
      </c>
      <c r="H130" s="9">
        <f>IF($E130="","",WORKDAY($E130,20,$V$33:$V$47))</f>
        <v>45448</v>
      </c>
      <c r="I130" s="157" t="str">
        <f t="shared" ref="I130:I193" si="2">IF(ISBLANK(E130),"",TEXT(E130,"mmm"))</f>
        <v>May</v>
      </c>
      <c r="J130" s="14" t="str">
        <f ca="1">IF(E130="","",IF(N130="",H130-TODAY(),""))</f>
        <v/>
      </c>
      <c r="K130" s="157" t="s">
        <v>4</v>
      </c>
      <c r="L130" s="157" t="s">
        <v>26</v>
      </c>
      <c r="M130" s="157" t="s">
        <v>57</v>
      </c>
      <c r="N130" s="9">
        <v>45421</v>
      </c>
      <c r="O130" s="159">
        <f>IF($N130="","",NETWORKDAYS($E130,$N130,$V$33:$V$47)-1)</f>
        <v>1</v>
      </c>
      <c r="P130" s="10" t="str">
        <f>IF(ISBLANK(N130),"",IF(N130&gt;H130,"No","Yes"))</f>
        <v>Yes</v>
      </c>
      <c r="Q130" s="9" t="s">
        <v>117</v>
      </c>
      <c r="R130" s="4" t="s">
        <v>118</v>
      </c>
      <c r="S130" s="4"/>
      <c r="T130" s="4"/>
      <c r="U130" s="6"/>
      <c r="V130" s="6"/>
      <c r="W130" s="6"/>
      <c r="X130" s="6"/>
      <c r="Y130" s="6"/>
      <c r="Z130" s="6"/>
      <c r="AX130" s="6" t="str">
        <v>Quarter 1</v>
      </c>
    </row>
    <row r="131" spans="1:50" ht="31.4" customHeight="1" x14ac:dyDescent="0.35">
      <c r="A131" s="136" t="s">
        <v>467</v>
      </c>
      <c r="B131" s="4" t="s">
        <v>8</v>
      </c>
      <c r="C131" s="4" t="s">
        <v>8</v>
      </c>
      <c r="D131" s="4" t="s">
        <v>468</v>
      </c>
      <c r="E131" s="157">
        <v>45420</v>
      </c>
      <c r="F131" s="9">
        <f>IF($E131="","",WORKDAY($E131,1,$V$33:$V$47))</f>
        <v>45421</v>
      </c>
      <c r="G131" s="9">
        <f>IF($E131="","",WORKDAY($E131,10,$V$33:$V$47))</f>
        <v>45434</v>
      </c>
      <c r="H131" s="9">
        <f>IF($E131="","",WORKDAY($E131,20,$V$33:$V$47))</f>
        <v>45448</v>
      </c>
      <c r="I131" s="157" t="str">
        <f t="shared" si="2"/>
        <v>May</v>
      </c>
      <c r="J131" s="14" t="str">
        <f ca="1">IF(E131="","",IF(N131="",H131-TODAY(),""))</f>
        <v/>
      </c>
      <c r="K131" s="157" t="s">
        <v>10</v>
      </c>
      <c r="L131" s="157" t="s">
        <v>9</v>
      </c>
      <c r="M131" s="157" t="s">
        <v>38</v>
      </c>
      <c r="N131" s="9">
        <v>45432</v>
      </c>
      <c r="O131" s="159">
        <f>IF($N131="","",NETWORKDAYS($E131,$N131,$V$33:$V$47)-1)</f>
        <v>8</v>
      </c>
      <c r="P131" s="10" t="str">
        <f>IF(ISBLANK(N131),"",IF(N131&gt;H131,"No","Yes"))</f>
        <v>Yes</v>
      </c>
      <c r="Q131" s="9" t="s">
        <v>117</v>
      </c>
      <c r="R131" s="4" t="s">
        <v>126</v>
      </c>
      <c r="S131" s="4" t="s">
        <v>119</v>
      </c>
      <c r="T131" s="4"/>
      <c r="U131" s="6"/>
      <c r="V131" s="6"/>
      <c r="W131" s="6"/>
      <c r="X131" s="6"/>
      <c r="Y131" s="6"/>
      <c r="Z131" s="6"/>
      <c r="AX131" s="6" t="str">
        <v>Quarter 1</v>
      </c>
    </row>
    <row r="132" spans="1:50" ht="31.4" customHeight="1" x14ac:dyDescent="0.35">
      <c r="A132" s="136" t="s">
        <v>469</v>
      </c>
      <c r="B132" s="4" t="s">
        <v>470</v>
      </c>
      <c r="C132" s="4" t="s">
        <v>17</v>
      </c>
      <c r="D132" s="4" t="s">
        <v>471</v>
      </c>
      <c r="E132" s="157">
        <v>45420</v>
      </c>
      <c r="F132" s="9">
        <f>IF($E132="","",WORKDAY($E132,1,$V$33:$V$47))</f>
        <v>45421</v>
      </c>
      <c r="G132" s="9">
        <f>IF($E132="","",WORKDAY($E132,10,$V$33:$V$47))</f>
        <v>45434</v>
      </c>
      <c r="H132" s="9">
        <f>IF($E132="","",WORKDAY($E132,20,$V$33:$V$47))</f>
        <v>45448</v>
      </c>
      <c r="I132" s="157" t="str">
        <f t="shared" si="2"/>
        <v>May</v>
      </c>
      <c r="J132" s="14" t="str">
        <f ca="1">IF(E132="","",IF(N132="",H132-TODAY(),""))</f>
        <v/>
      </c>
      <c r="K132" s="157" t="s">
        <v>10</v>
      </c>
      <c r="L132" s="157" t="s">
        <v>27</v>
      </c>
      <c r="M132" s="157" t="s">
        <v>37</v>
      </c>
      <c r="N132" s="9">
        <v>45440</v>
      </c>
      <c r="O132" s="159">
        <f>IF($N132="","",NETWORKDAYS($E132,$N132,$V$33:$V$47)-1)</f>
        <v>14</v>
      </c>
      <c r="P132" s="10" t="str">
        <f>IF(ISBLANK(N132),"",IF(N132&gt;H132,"No","Yes"))</f>
        <v>Yes</v>
      </c>
      <c r="Q132" s="9" t="s">
        <v>117</v>
      </c>
      <c r="R132" s="4" t="s">
        <v>118</v>
      </c>
      <c r="S132" s="4"/>
      <c r="T132" s="4" t="s">
        <v>141</v>
      </c>
      <c r="U132" s="6"/>
      <c r="V132" s="6"/>
      <c r="W132" s="6"/>
      <c r="X132" s="6"/>
      <c r="Y132" s="6"/>
      <c r="Z132" s="6"/>
      <c r="AX132" s="6" t="str">
        <v>Quarter 1</v>
      </c>
    </row>
    <row r="133" spans="1:50" ht="31.4" customHeight="1" x14ac:dyDescent="0.35">
      <c r="A133" s="136" t="s">
        <v>472</v>
      </c>
      <c r="B133" s="4" t="s">
        <v>473</v>
      </c>
      <c r="C133" s="4" t="s">
        <v>13</v>
      </c>
      <c r="D133" s="4" t="s">
        <v>474</v>
      </c>
      <c r="E133" s="157">
        <v>45421</v>
      </c>
      <c r="F133" s="9">
        <f>IF($E133="","",WORKDAY($E133,1,$V$33:$V$47))</f>
        <v>45422</v>
      </c>
      <c r="G133" s="9">
        <f>IF($E133="","",WORKDAY($E133,10,$V$33:$V$47))</f>
        <v>45435</v>
      </c>
      <c r="H133" s="9">
        <f>IF($E133="","",WORKDAY($E133,20,$V$33:$V$47))</f>
        <v>45449</v>
      </c>
      <c r="I133" s="157" t="str">
        <f t="shared" si="2"/>
        <v>May</v>
      </c>
      <c r="J133" s="14" t="str">
        <f ca="1">IF(E133="","",IF(N133="",H133-TODAY(),""))</f>
        <v/>
      </c>
      <c r="K133" s="157" t="s">
        <v>124</v>
      </c>
      <c r="L133" s="157" t="s">
        <v>20</v>
      </c>
      <c r="M133" s="157" t="s">
        <v>35</v>
      </c>
      <c r="N133" s="9">
        <v>45436</v>
      </c>
      <c r="O133" s="159">
        <f>IF($N133="","",NETWORKDAYS($E133,$N133,$V$33:$V$47)-1)</f>
        <v>11</v>
      </c>
      <c r="P133" s="10" t="str">
        <f>IF(ISBLANK(N133),"",IF(N133&gt;H133,"No","Yes"))</f>
        <v>Yes</v>
      </c>
      <c r="Q133" s="9" t="s">
        <v>117</v>
      </c>
      <c r="R133" s="4" t="s">
        <v>150</v>
      </c>
      <c r="S133" s="4"/>
      <c r="T133" s="4"/>
      <c r="U133" s="6"/>
      <c r="V133" s="6"/>
      <c r="W133" s="6"/>
      <c r="X133" s="6"/>
      <c r="Y133" s="6"/>
      <c r="Z133" s="6"/>
      <c r="AX133" s="6" t="str">
        <v>Quarter 1</v>
      </c>
    </row>
    <row r="134" spans="1:50" ht="31.4" customHeight="1" x14ac:dyDescent="0.35">
      <c r="A134" s="136" t="s">
        <v>475</v>
      </c>
      <c r="B134" s="4" t="s">
        <v>8</v>
      </c>
      <c r="C134" s="4" t="s">
        <v>8</v>
      </c>
      <c r="D134" s="4" t="s">
        <v>476</v>
      </c>
      <c r="E134" s="157">
        <v>45421</v>
      </c>
      <c r="F134" s="9">
        <f>IF($E134="","",WORKDAY($E134,1,$V$33:$V$47))</f>
        <v>45422</v>
      </c>
      <c r="G134" s="9">
        <f>IF($E134="","",WORKDAY($E134,10,$V$33:$V$47))</f>
        <v>45435</v>
      </c>
      <c r="H134" s="9">
        <f>IF($E134="","",WORKDAY($E134,20,$V$33:$V$47))</f>
        <v>45449</v>
      </c>
      <c r="I134" s="157" t="str">
        <f t="shared" si="2"/>
        <v>May</v>
      </c>
      <c r="J134" s="14" t="str">
        <f ca="1">IF(E134="","",IF(N134="",H134-TODAY(),""))</f>
        <v/>
      </c>
      <c r="K134" s="157" t="s">
        <v>124</v>
      </c>
      <c r="L134" s="157" t="s">
        <v>20</v>
      </c>
      <c r="M134" s="157" t="s">
        <v>78</v>
      </c>
      <c r="N134" s="9">
        <v>45429</v>
      </c>
      <c r="O134" s="159">
        <f>IF($N134="","",NETWORKDAYS($E134,$N134,$V$33:$V$47)-1)</f>
        <v>6</v>
      </c>
      <c r="P134" s="10" t="str">
        <f>IF(ISBLANK(N134),"",IF(N134&gt;H134,"No","Yes"))</f>
        <v>Yes</v>
      </c>
      <c r="Q134" s="9" t="s">
        <v>117</v>
      </c>
      <c r="R134" s="4" t="s">
        <v>118</v>
      </c>
      <c r="S134" s="4"/>
      <c r="T134" s="4"/>
      <c r="U134" s="6"/>
      <c r="V134" s="6"/>
      <c r="W134" s="6"/>
      <c r="X134" s="6"/>
      <c r="Y134" s="6"/>
      <c r="Z134" s="6"/>
      <c r="AX134" s="6" t="str">
        <v>Quarter 1</v>
      </c>
    </row>
    <row r="135" spans="1:50" ht="31.4" customHeight="1" x14ac:dyDescent="0.35">
      <c r="A135" s="136" t="s">
        <v>477</v>
      </c>
      <c r="B135" s="4" t="s">
        <v>478</v>
      </c>
      <c r="C135" s="4" t="s">
        <v>13</v>
      </c>
      <c r="D135" s="4" t="s">
        <v>479</v>
      </c>
      <c r="E135" s="157">
        <v>45421</v>
      </c>
      <c r="F135" s="9">
        <f>IF($E135="","",WORKDAY($E135,1,$V$33:$V$47))</f>
        <v>45422</v>
      </c>
      <c r="G135" s="9">
        <f>IF($E135="","",WORKDAY($E135,10,$V$33:$V$47))</f>
        <v>45435</v>
      </c>
      <c r="H135" s="9">
        <f>IF($E135="","",WORKDAY($E135,20,$V$33:$V$47))</f>
        <v>45449</v>
      </c>
      <c r="I135" s="157" t="str">
        <f t="shared" si="2"/>
        <v>May</v>
      </c>
      <c r="J135" s="14" t="str">
        <f ca="1">IF(E135="","",IF(N135="",H135-TODAY(),""))</f>
        <v/>
      </c>
      <c r="K135" s="157" t="s">
        <v>5</v>
      </c>
      <c r="L135" s="157" t="s">
        <v>16</v>
      </c>
      <c r="M135" s="157" t="s">
        <v>52</v>
      </c>
      <c r="N135" s="9">
        <v>45428</v>
      </c>
      <c r="O135" s="159">
        <f>IF($N135="","",NETWORKDAYS($E135,$N135,$V$33:$V$47)-1)</f>
        <v>5</v>
      </c>
      <c r="P135" s="10" t="str">
        <f>IF(ISBLANK(N135),"",IF(N135&gt;H135,"No","Yes"))</f>
        <v>Yes</v>
      </c>
      <c r="Q135" s="9" t="s">
        <v>117</v>
      </c>
      <c r="R135" s="4" t="s">
        <v>118</v>
      </c>
      <c r="S135" s="4" t="s">
        <v>135</v>
      </c>
      <c r="T135" s="4"/>
      <c r="U135" s="6"/>
      <c r="V135" s="6"/>
      <c r="W135" s="6"/>
      <c r="X135" s="6"/>
      <c r="Y135" s="6"/>
      <c r="Z135" s="6"/>
      <c r="AX135" s="6" t="str">
        <v>Quarter 1</v>
      </c>
    </row>
    <row r="136" spans="1:50" ht="31.4" customHeight="1" x14ac:dyDescent="0.35">
      <c r="A136" s="136" t="s">
        <v>480</v>
      </c>
      <c r="B136" s="4" t="s">
        <v>481</v>
      </c>
      <c r="C136" s="4" t="s">
        <v>6</v>
      </c>
      <c r="D136" s="4" t="s">
        <v>482</v>
      </c>
      <c r="E136" s="157">
        <v>45421</v>
      </c>
      <c r="F136" s="9">
        <f>IF($E136="","",WORKDAY($E136,1,$V$33:$V$47))</f>
        <v>45422</v>
      </c>
      <c r="G136" s="9">
        <f>IF($E136="","",WORKDAY($E136,10,$V$33:$V$47))</f>
        <v>45435</v>
      </c>
      <c r="H136" s="9">
        <f>IF($E136="","",WORKDAY($E136,20,$V$33:$V$47))</f>
        <v>45449</v>
      </c>
      <c r="I136" s="157" t="str">
        <f t="shared" si="2"/>
        <v>May</v>
      </c>
      <c r="J136" s="14" t="str">
        <f ca="1">IF(E136="","",IF(N136="",H136-TODAY(),""))</f>
        <v/>
      </c>
      <c r="K136" s="157" t="s">
        <v>10</v>
      </c>
      <c r="L136" s="157" t="s">
        <v>12</v>
      </c>
      <c r="M136" s="157" t="s">
        <v>91</v>
      </c>
      <c r="N136" s="9">
        <v>45435</v>
      </c>
      <c r="O136" s="159">
        <f>IF($N136="","",NETWORKDAYS($E136,$N136,$V$33:$V$47)-1)</f>
        <v>10</v>
      </c>
      <c r="P136" s="10" t="str">
        <f>IF(ISBLANK(N136),"",IF(N136&gt;H136,"No","Yes"))</f>
        <v>Yes</v>
      </c>
      <c r="Q136" s="9" t="s">
        <v>117</v>
      </c>
      <c r="R136" s="4" t="s">
        <v>118</v>
      </c>
      <c r="S136" s="4"/>
      <c r="T136" s="4"/>
      <c r="U136" s="6"/>
      <c r="V136" s="6"/>
      <c r="W136" s="6"/>
      <c r="X136" s="6"/>
      <c r="Y136" s="6"/>
      <c r="Z136" s="6"/>
      <c r="AX136" s="6" t="str">
        <v>Quarter 1</v>
      </c>
    </row>
    <row r="137" spans="1:50" ht="31.4" customHeight="1" x14ac:dyDescent="0.35">
      <c r="A137" s="136" t="s">
        <v>483</v>
      </c>
      <c r="B137" s="4" t="s">
        <v>484</v>
      </c>
      <c r="C137" s="4" t="s">
        <v>15</v>
      </c>
      <c r="D137" s="4" t="s">
        <v>485</v>
      </c>
      <c r="E137" s="157">
        <v>45421</v>
      </c>
      <c r="F137" s="9">
        <f>IF($E137="","",WORKDAY($E137,1,$V$33:$V$47))</f>
        <v>45422</v>
      </c>
      <c r="G137" s="9">
        <f>IF($E137="","",WORKDAY($E137,10,$V$33:$V$47))</f>
        <v>45435</v>
      </c>
      <c r="H137" s="9">
        <f>IF($E137="","",WORKDAY($E137,20,$V$33:$V$47))</f>
        <v>45449</v>
      </c>
      <c r="I137" s="157" t="str">
        <f t="shared" si="2"/>
        <v>May</v>
      </c>
      <c r="J137" s="14" t="str">
        <f ca="1">IF(E137="","",IF(N137="",H137-TODAY(),""))</f>
        <v/>
      </c>
      <c r="K137" s="157" t="s">
        <v>10</v>
      </c>
      <c r="L137" s="157" t="s">
        <v>27</v>
      </c>
      <c r="M137" s="157" t="s">
        <v>72</v>
      </c>
      <c r="N137" s="9">
        <v>45428</v>
      </c>
      <c r="O137" s="159">
        <f>IF($N137="","",NETWORKDAYS($E137,$N137,$V$33:$V$47)-1)</f>
        <v>5</v>
      </c>
      <c r="P137" s="10" t="str">
        <f>IF(ISBLANK(N137),"",IF(N137&gt;H137,"No","Yes"))</f>
        <v>Yes</v>
      </c>
      <c r="Q137" s="9" t="s">
        <v>117</v>
      </c>
      <c r="R137" s="4" t="s">
        <v>118</v>
      </c>
      <c r="S137" s="4"/>
      <c r="T137" s="4"/>
      <c r="U137" s="6"/>
      <c r="V137" s="6"/>
      <c r="W137" s="6"/>
      <c r="X137" s="6"/>
      <c r="Y137" s="6"/>
      <c r="Z137" s="6"/>
      <c r="AX137" s="6" t="str">
        <v>Quarter 1</v>
      </c>
    </row>
    <row r="138" spans="1:50" ht="31.4" customHeight="1" x14ac:dyDescent="0.35">
      <c r="A138" s="136" t="s">
        <v>486</v>
      </c>
      <c r="B138" s="4" t="s">
        <v>487</v>
      </c>
      <c r="C138" s="4" t="s">
        <v>13</v>
      </c>
      <c r="D138" s="4" t="s">
        <v>488</v>
      </c>
      <c r="E138" s="157">
        <v>45421</v>
      </c>
      <c r="F138" s="9">
        <f>IF($E138="","",WORKDAY($E138,1,$V$33:$V$47))</f>
        <v>45422</v>
      </c>
      <c r="G138" s="9">
        <f>IF($E138="","",WORKDAY($E138,10,$V$33:$V$47))</f>
        <v>45435</v>
      </c>
      <c r="H138" s="9">
        <f>IF($E138="","",WORKDAY($E138,20,$V$33:$V$47))</f>
        <v>45449</v>
      </c>
      <c r="I138" s="157" t="str">
        <f t="shared" si="2"/>
        <v>May</v>
      </c>
      <c r="J138" s="14" t="str">
        <f ca="1">IF(E138="","",IF(N138="",H138-TODAY(),""))</f>
        <v/>
      </c>
      <c r="K138" s="157" t="s">
        <v>4</v>
      </c>
      <c r="L138" s="157" t="s">
        <v>7</v>
      </c>
      <c r="M138" s="157" t="s">
        <v>31</v>
      </c>
      <c r="N138" s="9">
        <v>45426</v>
      </c>
      <c r="O138" s="159">
        <f>IF($N138="","",NETWORKDAYS($E138,$N138,$V$33:$V$47)-1)</f>
        <v>3</v>
      </c>
      <c r="P138" s="10" t="str">
        <f>IF(ISBLANK(N138),"",IF(N138&gt;H138,"No","Yes"))</f>
        <v>Yes</v>
      </c>
      <c r="Q138" s="9" t="s">
        <v>117</v>
      </c>
      <c r="R138" s="4" t="s">
        <v>118</v>
      </c>
      <c r="S138" s="4"/>
      <c r="T138" s="4"/>
      <c r="U138" s="6"/>
      <c r="V138" s="6"/>
      <c r="W138" s="6"/>
      <c r="X138" s="6"/>
      <c r="Y138" s="6"/>
      <c r="Z138" s="6"/>
      <c r="AX138" s="6" t="str">
        <v>Quarter 1</v>
      </c>
    </row>
    <row r="139" spans="1:50" ht="31.4" customHeight="1" x14ac:dyDescent="0.35">
      <c r="A139" s="136" t="s">
        <v>489</v>
      </c>
      <c r="B139" s="4" t="s">
        <v>8</v>
      </c>
      <c r="C139" s="4" t="s">
        <v>8</v>
      </c>
      <c r="D139" s="4" t="s">
        <v>490</v>
      </c>
      <c r="E139" s="157">
        <v>45422</v>
      </c>
      <c r="F139" s="9">
        <f>IF($E139="","",WORKDAY($E139,1,$V$33:$V$47))</f>
        <v>45425</v>
      </c>
      <c r="G139" s="9">
        <f>IF($E139="","",WORKDAY($E139,10,$V$33:$V$47))</f>
        <v>45436</v>
      </c>
      <c r="H139" s="9">
        <f>IF($E139="","",WORKDAY($E139,20,$V$33:$V$47))</f>
        <v>45450</v>
      </c>
      <c r="I139" s="157" t="str">
        <f t="shared" si="2"/>
        <v>May</v>
      </c>
      <c r="J139" s="14" t="str">
        <f ca="1">IF(E139="","",IF(N139="",H139-TODAY(),""))</f>
        <v/>
      </c>
      <c r="K139" s="157" t="s">
        <v>5</v>
      </c>
      <c r="L139" s="157" t="s">
        <v>16</v>
      </c>
      <c r="M139" s="157" t="s">
        <v>52</v>
      </c>
      <c r="N139" s="9">
        <v>45426</v>
      </c>
      <c r="O139" s="159">
        <f>IF($N139="","",NETWORKDAYS($E139,$N139,$V$33:$V$47)-1)</f>
        <v>2</v>
      </c>
      <c r="P139" s="10" t="str">
        <f>IF(ISBLANK(N139),"",IF(N139&gt;H139,"No","Yes"))</f>
        <v>Yes</v>
      </c>
      <c r="Q139" s="9" t="s">
        <v>117</v>
      </c>
      <c r="R139" s="4" t="s">
        <v>118</v>
      </c>
      <c r="S139" s="4"/>
      <c r="T139" s="4"/>
      <c r="U139" s="6"/>
      <c r="V139" s="6"/>
      <c r="W139" s="6"/>
      <c r="X139" s="6"/>
      <c r="Y139" s="6"/>
      <c r="Z139" s="6"/>
      <c r="AX139" s="6" t="str">
        <v>Quarter 1</v>
      </c>
    </row>
    <row r="140" spans="1:50" ht="31.4" customHeight="1" x14ac:dyDescent="0.35">
      <c r="A140" s="136" t="s">
        <v>491</v>
      </c>
      <c r="B140" s="4" t="s">
        <v>492</v>
      </c>
      <c r="C140" s="4" t="s">
        <v>13</v>
      </c>
      <c r="D140" s="10" t="s">
        <v>493</v>
      </c>
      <c r="E140" s="157">
        <v>45422</v>
      </c>
      <c r="F140" s="9">
        <f>IF($E140="","",WORKDAY($E140,1,$V$33:$V$47))</f>
        <v>45425</v>
      </c>
      <c r="G140" s="9">
        <f>IF($E140="","",WORKDAY($E140,10,$V$33:$V$47))</f>
        <v>45436</v>
      </c>
      <c r="H140" s="9">
        <f>IF($E140="","",WORKDAY($E140,20,$V$33:$V$47))</f>
        <v>45450</v>
      </c>
      <c r="I140" s="157" t="str">
        <f t="shared" si="2"/>
        <v>May</v>
      </c>
      <c r="J140" s="14" t="str">
        <f ca="1">IF(E140="","",IF(N140="",H140-TODAY(),""))</f>
        <v/>
      </c>
      <c r="K140" s="157" t="s">
        <v>4</v>
      </c>
      <c r="L140" s="157" t="s">
        <v>26</v>
      </c>
      <c r="M140" s="157" t="s">
        <v>57</v>
      </c>
      <c r="N140" s="9">
        <v>45453</v>
      </c>
      <c r="O140" s="159">
        <f>IF($N140="","",NETWORKDAYS($E140,$N140,$V$33:$V$47)-1)</f>
        <v>21</v>
      </c>
      <c r="P140" s="10" t="str">
        <f>IF(ISBLANK(N140),"",IF(N140&gt;H140,"No","Yes"))</f>
        <v>No</v>
      </c>
      <c r="Q140" s="9" t="s">
        <v>117</v>
      </c>
      <c r="R140" s="4" t="s">
        <v>150</v>
      </c>
      <c r="S140" s="4"/>
      <c r="T140" s="4"/>
      <c r="U140" s="6"/>
      <c r="V140" s="6"/>
      <c r="W140" s="6"/>
      <c r="X140" s="6"/>
      <c r="Y140" s="6"/>
      <c r="Z140" s="6"/>
      <c r="AX140" s="6" t="str">
        <v>Quarter 1</v>
      </c>
    </row>
    <row r="141" spans="1:50" ht="31.4" customHeight="1" x14ac:dyDescent="0.35">
      <c r="A141" s="136" t="s">
        <v>494</v>
      </c>
      <c r="B141" s="4" t="s">
        <v>495</v>
      </c>
      <c r="C141" s="4" t="s">
        <v>17</v>
      </c>
      <c r="D141" s="4" t="s">
        <v>496</v>
      </c>
      <c r="E141" s="157">
        <v>45422</v>
      </c>
      <c r="F141" s="9">
        <f>IF($E141="","",WORKDAY($E141,1,$V$33:$V$47))</f>
        <v>45425</v>
      </c>
      <c r="G141" s="9">
        <f>IF($E141="","",WORKDAY($E141,10,$V$33:$V$47))</f>
        <v>45436</v>
      </c>
      <c r="H141" s="9">
        <f>IF($E141="","",WORKDAY($E141,20,$V$33:$V$47))</f>
        <v>45450</v>
      </c>
      <c r="I141" s="157" t="str">
        <f t="shared" si="2"/>
        <v>May</v>
      </c>
      <c r="J141" s="14" t="str">
        <f ca="1">IF(E141="","",IF(N141="",H141-TODAY(),""))</f>
        <v/>
      </c>
      <c r="K141" s="157" t="s">
        <v>5</v>
      </c>
      <c r="L141" s="157" t="s">
        <v>18</v>
      </c>
      <c r="M141" s="157" t="s">
        <v>41</v>
      </c>
      <c r="N141" s="9">
        <v>45441</v>
      </c>
      <c r="O141" s="159">
        <f>IF($N141="","",NETWORKDAYS($E141,$N141,$V$33:$V$47)-1)</f>
        <v>13</v>
      </c>
      <c r="P141" s="10" t="str">
        <f>IF(ISBLANK(N141),"",IF(N141&gt;H141,"No","Yes"))</f>
        <v>Yes</v>
      </c>
      <c r="Q141" s="9" t="s">
        <v>117</v>
      </c>
      <c r="R141" s="4" t="s">
        <v>118</v>
      </c>
      <c r="S141" s="4"/>
      <c r="T141" s="4" t="s">
        <v>141</v>
      </c>
      <c r="U141" s="6"/>
      <c r="V141" s="6"/>
      <c r="W141" s="6"/>
      <c r="X141" s="6"/>
      <c r="Y141" s="6"/>
      <c r="Z141" s="6"/>
      <c r="AX141" s="6" t="str">
        <v>Quarter 1</v>
      </c>
    </row>
    <row r="142" spans="1:50" ht="31.4" customHeight="1" x14ac:dyDescent="0.35">
      <c r="A142" s="136" t="s">
        <v>497</v>
      </c>
      <c r="B142" s="4" t="s">
        <v>473</v>
      </c>
      <c r="C142" s="4" t="s">
        <v>13</v>
      </c>
      <c r="D142" s="4" t="s">
        <v>498</v>
      </c>
      <c r="E142" s="157">
        <v>45422</v>
      </c>
      <c r="F142" s="9">
        <f>IF($E142="","",WORKDAY($E142,1,$V$33:$V$47))</f>
        <v>45425</v>
      </c>
      <c r="G142" s="9">
        <f>IF($E142="","",WORKDAY($E142,10,$V$33:$V$47))</f>
        <v>45436</v>
      </c>
      <c r="H142" s="9">
        <f>IF($E142="","",WORKDAY($E142,20,$V$33:$V$47))</f>
        <v>45450</v>
      </c>
      <c r="I142" s="157" t="str">
        <f t="shared" si="2"/>
        <v>May</v>
      </c>
      <c r="J142" s="14" t="str">
        <f ca="1">IF(E142="","",IF(N142="",H142-TODAY(),""))</f>
        <v/>
      </c>
      <c r="K142" s="157" t="s">
        <v>5</v>
      </c>
      <c r="L142" s="157" t="s">
        <v>22</v>
      </c>
      <c r="M142" s="157" t="s">
        <v>46</v>
      </c>
      <c r="N142" s="9">
        <v>45425</v>
      </c>
      <c r="O142" s="159">
        <f>IF($N142="","",NETWORKDAYS($E142,$N142,$V$33:$V$47)-1)</f>
        <v>1</v>
      </c>
      <c r="P142" s="10" t="str">
        <f>IF(ISBLANK(N142),"",IF(N142&gt;H142,"No","Yes"))</f>
        <v>Yes</v>
      </c>
      <c r="Q142" s="9" t="s">
        <v>117</v>
      </c>
      <c r="R142" s="4" t="s">
        <v>150</v>
      </c>
      <c r="S142" s="4"/>
      <c r="T142" s="4"/>
      <c r="U142" s="6"/>
      <c r="V142" s="6"/>
      <c r="W142" s="6"/>
      <c r="X142" s="6"/>
      <c r="Y142" s="6"/>
      <c r="Z142" s="6"/>
      <c r="AX142" s="6" t="str">
        <v>Quarter 1</v>
      </c>
    </row>
    <row r="143" spans="1:50" ht="31.4" customHeight="1" x14ac:dyDescent="0.35">
      <c r="A143" s="136" t="s">
        <v>499</v>
      </c>
      <c r="B143" s="4" t="s">
        <v>500</v>
      </c>
      <c r="C143" s="4" t="s">
        <v>13</v>
      </c>
      <c r="D143" s="4" t="s">
        <v>501</v>
      </c>
      <c r="E143" s="157">
        <v>45425</v>
      </c>
      <c r="F143" s="9">
        <f>IF($E143="","",WORKDAY($E143,1,$V$33:$V$47))</f>
        <v>45426</v>
      </c>
      <c r="G143" s="9">
        <f>IF($E143="","",WORKDAY($E143,10,$V$33:$V$47))</f>
        <v>45439</v>
      </c>
      <c r="H143" s="9">
        <f>IF($E143="","",WORKDAY($E143,20,$V$33:$V$47))</f>
        <v>45453</v>
      </c>
      <c r="I143" s="157" t="str">
        <f t="shared" si="2"/>
        <v>May</v>
      </c>
      <c r="J143" s="14" t="str">
        <f ca="1">IF(E143="","",IF(N143="",H143-TODAY(),""))</f>
        <v/>
      </c>
      <c r="K143" s="157" t="s">
        <v>124</v>
      </c>
      <c r="L143" s="157" t="s">
        <v>20</v>
      </c>
      <c r="M143" s="157" t="s">
        <v>92</v>
      </c>
      <c r="N143" s="9">
        <v>45440</v>
      </c>
      <c r="O143" s="159">
        <f>IF($N143="","",NETWORKDAYS($E143,$N143,$V$33:$V$47)-1)</f>
        <v>11</v>
      </c>
      <c r="P143" s="10" t="str">
        <f>IF(ISBLANK(N143),"",IF(N143&gt;H143,"No","Yes"))</f>
        <v>Yes</v>
      </c>
      <c r="Q143" s="9" t="s">
        <v>117</v>
      </c>
      <c r="R143" s="4" t="s">
        <v>118</v>
      </c>
      <c r="S143" s="4"/>
      <c r="T143" s="4" t="s">
        <v>141</v>
      </c>
      <c r="U143" s="6"/>
      <c r="V143" s="6"/>
      <c r="W143" s="6"/>
      <c r="X143" s="6"/>
      <c r="Y143" s="6"/>
      <c r="Z143" s="6"/>
      <c r="AX143" s="6" t="str">
        <v>Quarter 1</v>
      </c>
    </row>
    <row r="144" spans="1:50" ht="31.4" customHeight="1" x14ac:dyDescent="0.35">
      <c r="A144" s="136" t="s">
        <v>502</v>
      </c>
      <c r="B144" s="4" t="s">
        <v>503</v>
      </c>
      <c r="C144" s="4" t="s">
        <v>13</v>
      </c>
      <c r="D144" s="4" t="s">
        <v>504</v>
      </c>
      <c r="E144" s="157">
        <v>45425</v>
      </c>
      <c r="F144" s="9">
        <f>IF($E144="","",WORKDAY($E144,1,$V$33:$V$47))</f>
        <v>45426</v>
      </c>
      <c r="G144" s="9">
        <f>IF($E144="","",WORKDAY($E144,10,$V$33:$V$47))</f>
        <v>45439</v>
      </c>
      <c r="H144" s="9">
        <f>IF($E144="","",WORKDAY($E144,20,$V$33:$V$47))</f>
        <v>45453</v>
      </c>
      <c r="I144" s="157" t="str">
        <f t="shared" si="2"/>
        <v>May</v>
      </c>
      <c r="J144" s="14" t="str">
        <f ca="1">IF(E144="","",IF(N144="",H144-TODAY(),""))</f>
        <v/>
      </c>
      <c r="K144" s="157" t="s">
        <v>4</v>
      </c>
      <c r="L144" s="157" t="s">
        <v>26</v>
      </c>
      <c r="M144" s="157" t="s">
        <v>58</v>
      </c>
      <c r="N144" s="9">
        <v>45440</v>
      </c>
      <c r="O144" s="159">
        <f>IF($N144="","",NETWORKDAYS($E144,$N144,$V$33:$V$47)-1)</f>
        <v>11</v>
      </c>
      <c r="P144" s="10" t="str">
        <f>IF(ISBLANK(N144),"",IF(N144&gt;H144,"No","Yes"))</f>
        <v>Yes</v>
      </c>
      <c r="Q144" s="9" t="s">
        <v>117</v>
      </c>
      <c r="R144" s="4" t="s">
        <v>118</v>
      </c>
      <c r="S144" s="4"/>
      <c r="T144" s="4"/>
      <c r="U144" s="6"/>
      <c r="V144" s="6"/>
      <c r="W144" s="6"/>
      <c r="X144" s="6"/>
      <c r="Y144" s="6"/>
      <c r="Z144" s="6"/>
      <c r="AX144" s="6" t="str">
        <v>Quarter 1</v>
      </c>
    </row>
    <row r="145" spans="1:50" ht="31.4" customHeight="1" x14ac:dyDescent="0.35">
      <c r="A145" s="136" t="s">
        <v>505</v>
      </c>
      <c r="B145" s="4" t="s">
        <v>293</v>
      </c>
      <c r="C145" s="4" t="s">
        <v>6</v>
      </c>
      <c r="D145" s="4" t="s">
        <v>354</v>
      </c>
      <c r="E145" s="157">
        <v>45425</v>
      </c>
      <c r="F145" s="9">
        <f>IF($E145="","",WORKDAY($E145,1,$V$33:$V$47))</f>
        <v>45426</v>
      </c>
      <c r="G145" s="9">
        <f>IF($E145="","",WORKDAY($E145,10,$V$33:$V$47))</f>
        <v>45439</v>
      </c>
      <c r="H145" s="9">
        <f>IF($E145="","",WORKDAY($E145,20,$V$33:$V$47))</f>
        <v>45453</v>
      </c>
      <c r="I145" s="157" t="str">
        <f t="shared" si="2"/>
        <v>May</v>
      </c>
      <c r="J145" s="14" t="str">
        <f ca="1">IF(E145="","",IF(N145="",H145-TODAY(),""))</f>
        <v/>
      </c>
      <c r="K145" s="157" t="s">
        <v>10</v>
      </c>
      <c r="L145" s="157" t="s">
        <v>12</v>
      </c>
      <c r="M145" s="157" t="s">
        <v>65</v>
      </c>
      <c r="N145" s="9">
        <v>45427</v>
      </c>
      <c r="O145" s="159">
        <f>IF($N145="","",NETWORKDAYS($E145,$N145,$V$33:$V$47)-1)</f>
        <v>2</v>
      </c>
      <c r="P145" s="10" t="str">
        <f>IF(ISBLANK(N145),"",IF(N145&gt;H145,"No","Yes"))</f>
        <v>Yes</v>
      </c>
      <c r="Q145" s="9" t="s">
        <v>117</v>
      </c>
      <c r="R145" s="4" t="s">
        <v>118</v>
      </c>
      <c r="S145" s="4"/>
      <c r="T145" s="4" t="s">
        <v>141</v>
      </c>
      <c r="U145" s="6"/>
      <c r="V145" s="6"/>
      <c r="W145" s="6"/>
      <c r="X145" s="6"/>
      <c r="Y145" s="6"/>
      <c r="Z145" s="6"/>
      <c r="AX145" s="6" t="str">
        <v>Quarter 1</v>
      </c>
    </row>
    <row r="146" spans="1:50" ht="31.4" customHeight="1" x14ac:dyDescent="0.35">
      <c r="A146" s="136" t="s">
        <v>506</v>
      </c>
      <c r="B146" s="7" t="s">
        <v>138</v>
      </c>
      <c r="C146" s="7" t="s">
        <v>19</v>
      </c>
      <c r="D146" s="7" t="s">
        <v>507</v>
      </c>
      <c r="E146" s="157">
        <v>45426</v>
      </c>
      <c r="F146" s="9">
        <f>IF($E146="","",WORKDAY($E146,1,$V$33:$V$47))</f>
        <v>45427</v>
      </c>
      <c r="G146" s="9">
        <f>IF($E146="","",WORKDAY($E146,10,$V$33:$V$47))</f>
        <v>45440</v>
      </c>
      <c r="H146" s="9">
        <f>IF($E146="","",WORKDAY($E146,20,$V$33:$V$47))</f>
        <v>45454</v>
      </c>
      <c r="I146" s="157" t="str">
        <f t="shared" si="2"/>
        <v>May</v>
      </c>
      <c r="J146" s="14" t="str">
        <f ca="1">IF(E146="","",IF(N146="",H146-TODAY(),""))</f>
        <v/>
      </c>
      <c r="K146" s="157" t="s">
        <v>4</v>
      </c>
      <c r="L146" s="157" t="s">
        <v>3</v>
      </c>
      <c r="M146" s="157" t="s">
        <v>74</v>
      </c>
      <c r="N146" s="9">
        <v>45443</v>
      </c>
      <c r="O146" s="159">
        <f>IF($N146="","",NETWORKDAYS($E146,$N146,$V$33:$V$47)-1)</f>
        <v>13</v>
      </c>
      <c r="P146" s="10" t="str">
        <f>IF(ISBLANK(N146),"",IF(N146&gt;H146,"No","Yes"))</f>
        <v>Yes</v>
      </c>
      <c r="Q146" s="16" t="s">
        <v>117</v>
      </c>
      <c r="R146" s="7" t="s">
        <v>118</v>
      </c>
      <c r="S146" s="4"/>
      <c r="T146" s="7" t="s">
        <v>141</v>
      </c>
      <c r="U146" s="6"/>
      <c r="V146" s="6"/>
      <c r="W146" s="6"/>
      <c r="X146" s="6"/>
      <c r="Y146" s="6"/>
      <c r="Z146" s="6"/>
      <c r="AX146" s="6" t="str">
        <v>Quarter 1</v>
      </c>
    </row>
    <row r="147" spans="1:50" ht="31.4" customHeight="1" x14ac:dyDescent="0.35">
      <c r="A147" s="136" t="s">
        <v>508</v>
      </c>
      <c r="B147" s="7" t="s">
        <v>8</v>
      </c>
      <c r="C147" s="7" t="s">
        <v>8</v>
      </c>
      <c r="D147" s="7" t="s">
        <v>509</v>
      </c>
      <c r="E147" s="157">
        <v>45426</v>
      </c>
      <c r="F147" s="9">
        <f>IF($E147="","",WORKDAY($E147,1,$V$33:$V$47))</f>
        <v>45427</v>
      </c>
      <c r="G147" s="9">
        <f>IF($E147="","",WORKDAY($E147,10,$V$33:$V$47))</f>
        <v>45440</v>
      </c>
      <c r="H147" s="9">
        <f>IF($E147="","",WORKDAY($E147,20,$V$33:$V$47))</f>
        <v>45454</v>
      </c>
      <c r="I147" s="157" t="str">
        <f t="shared" si="2"/>
        <v>May</v>
      </c>
      <c r="J147" s="14" t="str">
        <f ca="1">IF(E147="","",IF(N147="",H147-TODAY(),""))</f>
        <v/>
      </c>
      <c r="K147" s="157" t="s">
        <v>10</v>
      </c>
      <c r="L147" s="157" t="s">
        <v>27</v>
      </c>
      <c r="M147" s="157" t="s">
        <v>37</v>
      </c>
      <c r="N147" s="9">
        <v>45442</v>
      </c>
      <c r="O147" s="159">
        <f>IF($N147="","",NETWORKDAYS($E147,$N147,$V$33:$V$47)-1)</f>
        <v>12</v>
      </c>
      <c r="P147" s="10" t="str">
        <f>IF(ISBLANK(N147),"",IF(N147&gt;H147,"No","Yes"))</f>
        <v>Yes</v>
      </c>
      <c r="Q147" s="16" t="s">
        <v>117</v>
      </c>
      <c r="R147" s="7" t="s">
        <v>118</v>
      </c>
      <c r="S147" s="4"/>
      <c r="T147" s="7" t="s">
        <v>141</v>
      </c>
      <c r="U147" s="6"/>
      <c r="V147" s="6"/>
      <c r="W147" s="6"/>
      <c r="X147" s="6"/>
      <c r="Y147" s="6"/>
      <c r="Z147" s="6"/>
      <c r="AX147" s="6" t="str">
        <v>Quarter 1</v>
      </c>
    </row>
    <row r="148" spans="1:50" ht="31.4" customHeight="1" x14ac:dyDescent="0.35">
      <c r="A148" s="136" t="s">
        <v>510</v>
      </c>
      <c r="B148" s="4" t="s">
        <v>8</v>
      </c>
      <c r="C148" s="4" t="s">
        <v>8</v>
      </c>
      <c r="D148" s="4" t="s">
        <v>381</v>
      </c>
      <c r="E148" s="157">
        <v>45426</v>
      </c>
      <c r="F148" s="9">
        <f>IF($E148="","",WORKDAY($E148,1,$V$33:$V$47))</f>
        <v>45427</v>
      </c>
      <c r="G148" s="9">
        <f>IF($E148="","",WORKDAY($E148,10,$V$33:$V$47))</f>
        <v>45440</v>
      </c>
      <c r="H148" s="9">
        <f>IF($E148="","",WORKDAY($E148,20,$V$33:$V$47))</f>
        <v>45454</v>
      </c>
      <c r="I148" s="157" t="str">
        <f t="shared" si="2"/>
        <v>May</v>
      </c>
      <c r="J148" s="14" t="str">
        <f ca="1">IF(E148="","",IF(N148="",H148-TODAY(),""))</f>
        <v/>
      </c>
      <c r="K148" s="157" t="s">
        <v>124</v>
      </c>
      <c r="L148" s="157" t="s">
        <v>20</v>
      </c>
      <c r="M148" s="157" t="s">
        <v>62</v>
      </c>
      <c r="N148" s="9">
        <v>45442</v>
      </c>
      <c r="O148" s="159">
        <f>IF($N148="","",NETWORKDAYS($E148,$N148,$V$33:$V$47)-1)</f>
        <v>12</v>
      </c>
      <c r="P148" s="10" t="str">
        <f>IF(ISBLANK(N148),"",IF(N148&gt;H148,"No","Yes"))</f>
        <v>Yes</v>
      </c>
      <c r="Q148" s="9" t="s">
        <v>117</v>
      </c>
      <c r="R148" s="4" t="s">
        <v>118</v>
      </c>
      <c r="S148" s="4"/>
      <c r="T148" s="4"/>
      <c r="U148" s="6"/>
      <c r="V148" s="6"/>
      <c r="W148" s="6"/>
      <c r="X148" s="6"/>
      <c r="Y148" s="6"/>
      <c r="Z148" s="6"/>
      <c r="AX148" s="6" t="str">
        <v>Quarter 1</v>
      </c>
    </row>
    <row r="149" spans="1:50" ht="31.4" customHeight="1" x14ac:dyDescent="0.35">
      <c r="A149" s="136" t="s">
        <v>511</v>
      </c>
      <c r="B149" s="7" t="s">
        <v>8</v>
      </c>
      <c r="C149" s="7" t="s">
        <v>8</v>
      </c>
      <c r="D149" s="7" t="s">
        <v>512</v>
      </c>
      <c r="E149" s="157">
        <v>45426</v>
      </c>
      <c r="F149" s="9">
        <f>IF($E149="","",WORKDAY($E149,1,$V$33:$V$47))</f>
        <v>45427</v>
      </c>
      <c r="G149" s="9">
        <f>IF($E149="","",WORKDAY($E149,10,$V$33:$V$47))</f>
        <v>45440</v>
      </c>
      <c r="H149" s="9">
        <f>IF($E149="","",WORKDAY($E149,20,$V$33:$V$47))</f>
        <v>45454</v>
      </c>
      <c r="I149" s="157" t="str">
        <f t="shared" si="2"/>
        <v>May</v>
      </c>
      <c r="J149" s="14" t="str">
        <f ca="1">IF(E149="","",IF(N149="",H149-TODAY(),""))</f>
        <v/>
      </c>
      <c r="K149" s="157" t="s">
        <v>5</v>
      </c>
      <c r="L149" s="157" t="s">
        <v>22</v>
      </c>
      <c r="M149" s="157" t="s">
        <v>64</v>
      </c>
      <c r="N149" s="9">
        <v>45442</v>
      </c>
      <c r="O149" s="159">
        <f>IF($N149="","",NETWORKDAYS($E149,$N149,$V$33:$V$47)-1)</f>
        <v>12</v>
      </c>
      <c r="P149" s="10" t="str">
        <f>IF(ISBLANK(N149),"",IF(N149&gt;H149,"No","Yes"))</f>
        <v>Yes</v>
      </c>
      <c r="Q149" s="16" t="s">
        <v>117</v>
      </c>
      <c r="R149" s="7" t="s">
        <v>118</v>
      </c>
      <c r="S149" s="7"/>
      <c r="T149" s="7"/>
      <c r="U149" s="6"/>
      <c r="V149" s="6"/>
      <c r="W149" s="6"/>
      <c r="X149" s="6"/>
      <c r="Y149" s="6"/>
      <c r="Z149" s="6"/>
      <c r="AX149" s="6" t="str">
        <v>Quarter 1</v>
      </c>
    </row>
    <row r="150" spans="1:50" ht="31.4" customHeight="1" x14ac:dyDescent="0.35">
      <c r="A150" s="136" t="s">
        <v>513</v>
      </c>
      <c r="B150" s="4" t="s">
        <v>8</v>
      </c>
      <c r="C150" s="4" t="s">
        <v>8</v>
      </c>
      <c r="D150" s="4" t="s">
        <v>514</v>
      </c>
      <c r="E150" s="157">
        <v>45427</v>
      </c>
      <c r="F150" s="9">
        <f>IF($E150="","",WORKDAY($E150,1,$V$33:$V$47))</f>
        <v>45428</v>
      </c>
      <c r="G150" s="9">
        <f>IF($E150="","",WORKDAY($E150,10,$V$33:$V$47))</f>
        <v>45441</v>
      </c>
      <c r="H150" s="9">
        <f>IF($E150="","",WORKDAY($E150,20,$V$33:$V$47))</f>
        <v>45455</v>
      </c>
      <c r="I150" s="157" t="str">
        <f t="shared" si="2"/>
        <v>May</v>
      </c>
      <c r="J150" s="14" t="str">
        <f ca="1">IF(E150="","",IF(N150="",H150-TODAY(),""))</f>
        <v/>
      </c>
      <c r="K150" s="157" t="s">
        <v>5</v>
      </c>
      <c r="L150" s="157" t="s">
        <v>16</v>
      </c>
      <c r="M150" s="157" t="s">
        <v>71</v>
      </c>
      <c r="N150" s="9">
        <v>45428</v>
      </c>
      <c r="O150" s="159">
        <f>IF($N150="","",NETWORKDAYS($E150,$N150,$V$33:$V$47)-1)</f>
        <v>1</v>
      </c>
      <c r="P150" s="10" t="str">
        <f>IF(ISBLANK(N150),"",IF(N150&gt;H150,"No","Yes"))</f>
        <v>Yes</v>
      </c>
      <c r="Q150" s="9" t="s">
        <v>117</v>
      </c>
      <c r="R150" s="4" t="s">
        <v>118</v>
      </c>
      <c r="S150" s="4"/>
      <c r="T150" s="4"/>
      <c r="U150" s="6"/>
      <c r="V150" s="6"/>
      <c r="W150" s="6"/>
      <c r="X150" s="6"/>
      <c r="Y150" s="6"/>
      <c r="Z150" s="6"/>
      <c r="AX150" s="6" t="str">
        <v>Quarter 1</v>
      </c>
    </row>
    <row r="151" spans="1:50" ht="31.4" customHeight="1" x14ac:dyDescent="0.35">
      <c r="A151" s="136" t="s">
        <v>515</v>
      </c>
      <c r="B151" s="4" t="s">
        <v>258</v>
      </c>
      <c r="C151" s="4" t="s">
        <v>6</v>
      </c>
      <c r="D151" s="4" t="s">
        <v>516</v>
      </c>
      <c r="E151" s="157">
        <v>45427</v>
      </c>
      <c r="F151" s="9">
        <f>IF($E151="","",WORKDAY($E151,1,$V$33:$V$47))</f>
        <v>45428</v>
      </c>
      <c r="G151" s="9">
        <f>IF($E151="","",WORKDAY($E151,10,$V$33:$V$47))</f>
        <v>45441</v>
      </c>
      <c r="H151" s="9">
        <f>IF($E151="","",WORKDAY($E151,20,$V$33:$V$47))</f>
        <v>45455</v>
      </c>
      <c r="I151" s="157" t="str">
        <f t="shared" si="2"/>
        <v>May</v>
      </c>
      <c r="J151" s="14" t="str">
        <f ca="1">IF(E151="","",IF(N151="",H151-TODAY(),""))</f>
        <v/>
      </c>
      <c r="K151" s="157" t="s">
        <v>10</v>
      </c>
      <c r="L151" s="157" t="s">
        <v>12</v>
      </c>
      <c r="M151" s="157" t="s">
        <v>30</v>
      </c>
      <c r="N151" s="9">
        <v>45428</v>
      </c>
      <c r="O151" s="159">
        <f>IF($N151="","",NETWORKDAYS($E151,$N151,$V$33:$V$47)-1)</f>
        <v>1</v>
      </c>
      <c r="P151" s="10" t="str">
        <f>IF(ISBLANK(N151),"",IF(N151&gt;H151,"No","Yes"))</f>
        <v>Yes</v>
      </c>
      <c r="Q151" s="9" t="s">
        <v>117</v>
      </c>
      <c r="R151" s="4" t="s">
        <v>118</v>
      </c>
      <c r="S151" s="4"/>
      <c r="T151" s="4"/>
      <c r="U151" s="6"/>
      <c r="V151" s="6"/>
      <c r="W151" s="6"/>
      <c r="X151" s="6"/>
      <c r="Y151" s="6"/>
      <c r="Z151" s="6"/>
      <c r="AX151" s="6" t="str">
        <v>Quarter 1</v>
      </c>
    </row>
    <row r="152" spans="1:50" ht="31.4" customHeight="1" x14ac:dyDescent="0.35">
      <c r="A152" s="136" t="s">
        <v>517</v>
      </c>
      <c r="B152" s="4" t="s">
        <v>518</v>
      </c>
      <c r="C152" s="4" t="s">
        <v>11</v>
      </c>
      <c r="D152" s="4" t="s">
        <v>519</v>
      </c>
      <c r="E152" s="157">
        <v>45426</v>
      </c>
      <c r="F152" s="9">
        <f>IF($E152="","",WORKDAY($E152,1,$V$33:$V$47))</f>
        <v>45427</v>
      </c>
      <c r="G152" s="9">
        <f>IF($E152="","",WORKDAY($E152,10,$V$33:$V$47))</f>
        <v>45440</v>
      </c>
      <c r="H152" s="9">
        <f>IF($E152="","",WORKDAY($E152,20,$V$33:$V$47))</f>
        <v>45454</v>
      </c>
      <c r="I152" s="157" t="str">
        <f t="shared" si="2"/>
        <v>May</v>
      </c>
      <c r="J152" s="14" t="str">
        <f ca="1">IF(E152="","",IF(N152="",H152-TODAY(),""))</f>
        <v/>
      </c>
      <c r="K152" s="157" t="s">
        <v>10</v>
      </c>
      <c r="L152" s="157" t="s">
        <v>12</v>
      </c>
      <c r="M152" s="157" t="s">
        <v>30</v>
      </c>
      <c r="N152" s="9">
        <v>45428</v>
      </c>
      <c r="O152" s="159">
        <f>IF($N152="","",NETWORKDAYS($E152,$N152,$V$33:$V$47)-1)</f>
        <v>2</v>
      </c>
      <c r="P152" s="10" t="str">
        <f>IF(ISBLANK(N152),"",IF(N152&gt;H152,"No","Yes"))</f>
        <v>Yes</v>
      </c>
      <c r="Q152" s="9" t="s">
        <v>117</v>
      </c>
      <c r="R152" s="4" t="s">
        <v>150</v>
      </c>
      <c r="S152" s="4"/>
      <c r="T152" s="4"/>
      <c r="U152" s="6"/>
      <c r="V152" s="6"/>
      <c r="W152" s="6"/>
      <c r="X152" s="6"/>
      <c r="Y152" s="6"/>
      <c r="Z152" s="6"/>
      <c r="AX152" s="6" t="str">
        <v>Quarter 1</v>
      </c>
    </row>
    <row r="153" spans="1:50" ht="31.4" customHeight="1" x14ac:dyDescent="0.35">
      <c r="A153" s="136" t="s">
        <v>520</v>
      </c>
      <c r="B153" s="7" t="s">
        <v>8</v>
      </c>
      <c r="C153" s="7" t="s">
        <v>8</v>
      </c>
      <c r="D153" s="4" t="s">
        <v>521</v>
      </c>
      <c r="E153" s="157">
        <v>45427</v>
      </c>
      <c r="F153" s="9">
        <f>IF($E153="","",WORKDAY($E153,1,$V$33:$V$47))</f>
        <v>45428</v>
      </c>
      <c r="G153" s="9">
        <f>IF($E153="","",WORKDAY($E153,10,$V$33:$V$47))</f>
        <v>45441</v>
      </c>
      <c r="H153" s="9">
        <f>IF($E153="","",WORKDAY($E153,20,$V$33:$V$47))</f>
        <v>45455</v>
      </c>
      <c r="I153" s="157" t="str">
        <f t="shared" si="2"/>
        <v>May</v>
      </c>
      <c r="J153" s="14" t="str">
        <f ca="1">IF(E153="","",IF(N153="",H153-TODAY(),""))</f>
        <v/>
      </c>
      <c r="K153" s="157" t="s">
        <v>5</v>
      </c>
      <c r="L153" s="157" t="s">
        <v>16</v>
      </c>
      <c r="M153" s="157" t="s">
        <v>52</v>
      </c>
      <c r="N153" s="9">
        <v>45432</v>
      </c>
      <c r="O153" s="159">
        <f>IF($N153="","",NETWORKDAYS($E153,$N153,$V$33:$V$47)-1)</f>
        <v>3</v>
      </c>
      <c r="P153" s="10" t="str">
        <f>IF(ISBLANK(N153),"",IF(N153&gt;H153,"No","Yes"))</f>
        <v>Yes</v>
      </c>
      <c r="Q153" s="9" t="s">
        <v>117</v>
      </c>
      <c r="R153" s="4" t="s">
        <v>150</v>
      </c>
      <c r="S153" s="4"/>
      <c r="T153" s="4"/>
      <c r="U153" s="6"/>
      <c r="V153" s="6"/>
      <c r="W153" s="6"/>
      <c r="X153" s="6"/>
      <c r="Y153" s="6"/>
      <c r="Z153" s="6"/>
      <c r="AX153" s="6" t="str">
        <v>Quarter 1</v>
      </c>
    </row>
    <row r="154" spans="1:50" ht="31.4" customHeight="1" x14ac:dyDescent="0.35">
      <c r="A154" s="136" t="s">
        <v>522</v>
      </c>
      <c r="B154" s="7" t="s">
        <v>8</v>
      </c>
      <c r="C154" s="7" t="s">
        <v>8</v>
      </c>
      <c r="D154" s="7" t="s">
        <v>523</v>
      </c>
      <c r="E154" s="25">
        <v>45427</v>
      </c>
      <c r="F154" s="9">
        <f>IF($E154="","",WORKDAY($E154,1,$V$33:$V$47))</f>
        <v>45428</v>
      </c>
      <c r="G154" s="9">
        <f>IF($E154="","",WORKDAY($E154,10,$V$33:$V$47))</f>
        <v>45441</v>
      </c>
      <c r="H154" s="9">
        <f>IF($E154="","",WORKDAY($E154,20,$V$33:$V$47))</f>
        <v>45455</v>
      </c>
      <c r="I154" s="157" t="str">
        <f t="shared" si="2"/>
        <v>May</v>
      </c>
      <c r="J154" s="14" t="str">
        <f ca="1">IF(E154="","",IF(N154="",H154-TODAY(),""))</f>
        <v/>
      </c>
      <c r="K154" s="25" t="s">
        <v>10</v>
      </c>
      <c r="L154" s="157" t="s">
        <v>27</v>
      </c>
      <c r="M154" s="157" t="s">
        <v>37</v>
      </c>
      <c r="N154" s="9">
        <v>45446</v>
      </c>
      <c r="O154" s="159">
        <f>IF($N154="","",NETWORKDAYS($E154,$N154,$V$33:$V$47)-1)</f>
        <v>13</v>
      </c>
      <c r="P154" s="10" t="str">
        <f>IF(ISBLANK(N154),"",IF(N154&gt;H154,"No","Yes"))</f>
        <v>Yes</v>
      </c>
      <c r="Q154" s="9" t="s">
        <v>117</v>
      </c>
      <c r="R154" s="4" t="s">
        <v>118</v>
      </c>
      <c r="S154" s="4"/>
      <c r="T154" s="4"/>
      <c r="U154" s="6"/>
      <c r="V154" s="6"/>
      <c r="W154" s="6"/>
      <c r="X154" s="6"/>
      <c r="Y154" s="6"/>
      <c r="Z154" s="6"/>
      <c r="AX154" s="6" t="str">
        <v>Quarter 1</v>
      </c>
    </row>
    <row r="155" spans="1:50" ht="31.4" customHeight="1" x14ac:dyDescent="0.35">
      <c r="A155" s="136" t="s">
        <v>524</v>
      </c>
      <c r="B155" s="4" t="s">
        <v>8</v>
      </c>
      <c r="C155" s="4" t="s">
        <v>8</v>
      </c>
      <c r="D155" s="4" t="s">
        <v>525</v>
      </c>
      <c r="E155" s="157">
        <v>45427</v>
      </c>
      <c r="F155" s="9">
        <f>IF($E155="","",WORKDAY($E155,1,$V$33:$V$47))</f>
        <v>45428</v>
      </c>
      <c r="G155" s="9">
        <f>IF($E155="","",WORKDAY($E155,10,$V$33:$V$47))</f>
        <v>45441</v>
      </c>
      <c r="H155" s="9">
        <f>IF($E155="","",WORKDAY($E155,20,$V$33:$V$47))</f>
        <v>45455</v>
      </c>
      <c r="I155" s="157" t="str">
        <f t="shared" si="2"/>
        <v>May</v>
      </c>
      <c r="J155" s="14" t="str">
        <f ca="1">IF(E155="","",IF(N155="",H155-TODAY(),""))</f>
        <v/>
      </c>
      <c r="K155" s="157" t="s">
        <v>124</v>
      </c>
      <c r="L155" s="157" t="s">
        <v>20</v>
      </c>
      <c r="M155" s="157" t="s">
        <v>48</v>
      </c>
      <c r="N155" s="9">
        <v>45428</v>
      </c>
      <c r="O155" s="159">
        <f>IF($N155="","",NETWORKDAYS($E155,$N155,$V$33:$V$47)-1)</f>
        <v>1</v>
      </c>
      <c r="P155" s="10" t="str">
        <f>IF(ISBLANK(N155),"",IF(N155&gt;H155,"No","Yes"))</f>
        <v>Yes</v>
      </c>
      <c r="Q155" s="9" t="s">
        <v>117</v>
      </c>
      <c r="R155" s="4" t="s">
        <v>118</v>
      </c>
      <c r="S155" s="4"/>
      <c r="T155" s="4" t="s">
        <v>141</v>
      </c>
      <c r="U155" s="6"/>
      <c r="V155" s="6"/>
      <c r="W155" s="6"/>
      <c r="X155" s="6"/>
      <c r="Y155" s="6"/>
      <c r="Z155" s="6"/>
      <c r="AX155" s="6" t="str">
        <v>Quarter 1</v>
      </c>
    </row>
    <row r="156" spans="1:50" ht="31.4" customHeight="1" x14ac:dyDescent="0.35">
      <c r="A156" s="136" t="s">
        <v>526</v>
      </c>
      <c r="B156" s="4" t="s">
        <v>527</v>
      </c>
      <c r="C156" s="4" t="s">
        <v>13</v>
      </c>
      <c r="D156" s="4" t="s">
        <v>528</v>
      </c>
      <c r="E156" s="25">
        <v>45428</v>
      </c>
      <c r="F156" s="9">
        <f>IF($E156="","",WORKDAY($E156,1,$V$33:$V$47))</f>
        <v>45429</v>
      </c>
      <c r="G156" s="9">
        <f>IF($E156="","",WORKDAY($E156,10,$V$33:$V$47))</f>
        <v>45442</v>
      </c>
      <c r="H156" s="9">
        <f>IF($E156="","",WORKDAY($E156,20,$V$33:$V$47))</f>
        <v>45456</v>
      </c>
      <c r="I156" s="157" t="str">
        <f t="shared" si="2"/>
        <v>May</v>
      </c>
      <c r="J156" s="14" t="str">
        <f ca="1">IF(E156="","",IF(N156="",H156-TODAY(),""))</f>
        <v/>
      </c>
      <c r="K156" s="157" t="s">
        <v>5</v>
      </c>
      <c r="L156" s="157" t="s">
        <v>16</v>
      </c>
      <c r="M156" s="157" t="s">
        <v>52</v>
      </c>
      <c r="N156" s="9">
        <v>45450</v>
      </c>
      <c r="O156" s="159">
        <f>IF($N156="","",NETWORKDAYS($E156,$N156,$V$33:$V$47)-1)</f>
        <v>16</v>
      </c>
      <c r="P156" s="10" t="str">
        <f>IF(ISBLANK(N156),"",IF(N156&gt;H156,"No","Yes"))</f>
        <v>Yes</v>
      </c>
      <c r="Q156" s="9" t="s">
        <v>117</v>
      </c>
      <c r="R156" s="4" t="s">
        <v>118</v>
      </c>
      <c r="S156" s="4" t="s">
        <v>135</v>
      </c>
      <c r="T156" s="4"/>
      <c r="U156" s="6"/>
      <c r="V156" s="6"/>
      <c r="W156" s="6"/>
      <c r="X156" s="6"/>
      <c r="Y156" s="6"/>
      <c r="Z156" s="6"/>
      <c r="AX156" s="6" t="str">
        <v>Quarter 1</v>
      </c>
    </row>
    <row r="157" spans="1:50" ht="31.4" customHeight="1" x14ac:dyDescent="0.35">
      <c r="A157" s="136" t="s">
        <v>529</v>
      </c>
      <c r="B157" s="4" t="s">
        <v>530</v>
      </c>
      <c r="C157" s="4" t="s">
        <v>6</v>
      </c>
      <c r="D157" s="4" t="s">
        <v>531</v>
      </c>
      <c r="E157" s="157">
        <v>45428</v>
      </c>
      <c r="F157" s="9">
        <f>IF($E157="","",WORKDAY($E157,1,$V$33:$V$47))</f>
        <v>45429</v>
      </c>
      <c r="G157" s="9">
        <f>IF($E157="","",WORKDAY($E157,10,$V$33:$V$47))</f>
        <v>45442</v>
      </c>
      <c r="H157" s="9">
        <f>IF($E157="","",WORKDAY($E157,20,$V$33:$V$47))</f>
        <v>45456</v>
      </c>
      <c r="I157" s="157" t="str">
        <f t="shared" si="2"/>
        <v>May</v>
      </c>
      <c r="J157" s="14" t="str">
        <f ca="1">IF(E157="","",IF(N157="",H157-TODAY(),""))</f>
        <v/>
      </c>
      <c r="K157" s="157" t="s">
        <v>10</v>
      </c>
      <c r="L157" s="157" t="s">
        <v>27</v>
      </c>
      <c r="M157" s="157" t="s">
        <v>37</v>
      </c>
      <c r="N157" s="9">
        <v>45441</v>
      </c>
      <c r="O157" s="159">
        <f>IF($N157="","",NETWORKDAYS($E157,$N157,$V$33:$V$47)-1)</f>
        <v>9</v>
      </c>
      <c r="P157" s="10" t="str">
        <f>IF(ISBLANK(N157),"",IF(N157&gt;H157,"No","Yes"))</f>
        <v>Yes</v>
      </c>
      <c r="Q157" s="9" t="s">
        <v>117</v>
      </c>
      <c r="R157" s="4" t="s">
        <v>118</v>
      </c>
      <c r="S157" s="4"/>
      <c r="T157" s="4"/>
      <c r="U157" s="6"/>
      <c r="V157" s="6"/>
      <c r="W157" s="6"/>
      <c r="X157" s="6"/>
      <c r="Y157" s="6"/>
      <c r="Z157" s="6"/>
      <c r="AX157" s="6" t="str">
        <v>Quarter 1</v>
      </c>
    </row>
    <row r="158" spans="1:50" ht="31.4" customHeight="1" x14ac:dyDescent="0.35">
      <c r="A158" s="136" t="s">
        <v>532</v>
      </c>
      <c r="B158" s="4" t="s">
        <v>481</v>
      </c>
      <c r="C158" s="4" t="s">
        <v>6</v>
      </c>
      <c r="D158" s="4" t="s">
        <v>533</v>
      </c>
      <c r="E158" s="157">
        <v>45429</v>
      </c>
      <c r="F158" s="9">
        <f>IF($E158="","",WORKDAY($E158,1,$V$33:$V$47))</f>
        <v>45432</v>
      </c>
      <c r="G158" s="9">
        <f>IF($E158="","",WORKDAY($E158,10,$V$33:$V$47))</f>
        <v>45443</v>
      </c>
      <c r="H158" s="9">
        <f>IF($E158="","",WORKDAY($E158,20,$V$33:$V$47))</f>
        <v>45457</v>
      </c>
      <c r="I158" s="157" t="str">
        <f t="shared" si="2"/>
        <v>May</v>
      </c>
      <c r="J158" s="14" t="str">
        <f ca="1">IF(E158="","",IF(N158="",H158-TODAY(),""))</f>
        <v/>
      </c>
      <c r="K158" s="157" t="s">
        <v>10</v>
      </c>
      <c r="L158" s="157" t="s">
        <v>12</v>
      </c>
      <c r="M158" s="157" t="s">
        <v>30</v>
      </c>
      <c r="N158" s="9">
        <v>45432</v>
      </c>
      <c r="O158" s="159">
        <f>IF($N158="","",NETWORKDAYS($E158,$N158,$V$33:$V$47)-1)</f>
        <v>1</v>
      </c>
      <c r="P158" s="10" t="str">
        <f>IF(ISBLANK(N158),"",IF(N158&gt;H158,"No","Yes"))</f>
        <v>Yes</v>
      </c>
      <c r="Q158" s="9" t="s">
        <v>117</v>
      </c>
      <c r="R158" s="4" t="s">
        <v>150</v>
      </c>
      <c r="S158" s="4"/>
      <c r="T158" s="4"/>
      <c r="U158" s="6"/>
      <c r="V158" s="6"/>
      <c r="W158" s="6"/>
      <c r="X158" s="6"/>
      <c r="Y158" s="6"/>
      <c r="Z158" s="6"/>
      <c r="AX158" s="6" t="str">
        <v>Quarter 1</v>
      </c>
    </row>
    <row r="159" spans="1:50" ht="31.4" customHeight="1" x14ac:dyDescent="0.35">
      <c r="A159" s="136" t="s">
        <v>534</v>
      </c>
      <c r="B159" s="4" t="s">
        <v>535</v>
      </c>
      <c r="C159" s="4" t="s">
        <v>6</v>
      </c>
      <c r="D159" s="4" t="s">
        <v>536</v>
      </c>
      <c r="E159" s="157">
        <v>45429</v>
      </c>
      <c r="F159" s="9">
        <f>IF($E159="","",WORKDAY($E159,1,$V$33:$V$47))</f>
        <v>45432</v>
      </c>
      <c r="G159" s="9">
        <f>IF($E159="","",WORKDAY($E159,10,$V$33:$V$47))</f>
        <v>45443</v>
      </c>
      <c r="H159" s="9">
        <f>IF($E159="","",WORKDAY($E159,20,$V$33:$V$47))</f>
        <v>45457</v>
      </c>
      <c r="I159" s="157" t="str">
        <f t="shared" si="2"/>
        <v>May</v>
      </c>
      <c r="J159" s="14" t="str">
        <f ca="1">IF(E159="","",IF(N159="",H159-TODAY(),""))</f>
        <v/>
      </c>
      <c r="K159" s="157" t="s">
        <v>5</v>
      </c>
      <c r="L159" s="157" t="s">
        <v>16</v>
      </c>
      <c r="M159" s="157" t="s">
        <v>71</v>
      </c>
      <c r="N159" s="9">
        <v>45432</v>
      </c>
      <c r="O159" s="159">
        <f>IF($N159="","",NETWORKDAYS($E159,$N159,$V$33:$V$47)-1)</f>
        <v>1</v>
      </c>
      <c r="P159" s="10" t="str">
        <f>IF(ISBLANK(N159),"",IF(N159&gt;H159,"No","Yes"))</f>
        <v>Yes</v>
      </c>
      <c r="Q159" s="9" t="s">
        <v>117</v>
      </c>
      <c r="R159" s="4" t="s">
        <v>118</v>
      </c>
      <c r="S159" s="4"/>
      <c r="T159" s="4" t="s">
        <v>141</v>
      </c>
      <c r="U159" s="6"/>
      <c r="V159" s="6"/>
      <c r="W159" s="6"/>
      <c r="X159" s="6"/>
      <c r="Y159" s="6"/>
      <c r="Z159" s="6"/>
      <c r="AX159" s="6" t="str">
        <v>Quarter 1</v>
      </c>
    </row>
    <row r="160" spans="1:50" ht="31.4" customHeight="1" x14ac:dyDescent="0.35">
      <c r="A160" s="136" t="s">
        <v>537</v>
      </c>
      <c r="B160" s="4" t="s">
        <v>538</v>
      </c>
      <c r="C160" s="4" t="s">
        <v>6</v>
      </c>
      <c r="D160" s="4" t="s">
        <v>539</v>
      </c>
      <c r="E160" s="157">
        <v>45429</v>
      </c>
      <c r="F160" s="9">
        <f>IF($E160="","",WORKDAY($E160,1,$V$33:$V$47))</f>
        <v>45432</v>
      </c>
      <c r="G160" s="9">
        <f>IF($E160="","",WORKDAY($E160,10,$V$33:$V$47))</f>
        <v>45443</v>
      </c>
      <c r="H160" s="9">
        <f>IF($E160="","",WORKDAY($E160,20,$V$33:$V$47))</f>
        <v>45457</v>
      </c>
      <c r="I160" s="157" t="str">
        <f t="shared" si="2"/>
        <v>May</v>
      </c>
      <c r="J160" s="14" t="str">
        <f ca="1">IF(E160="","",IF(N160="",H160-TODAY(),""))</f>
        <v/>
      </c>
      <c r="K160" s="157" t="s">
        <v>10</v>
      </c>
      <c r="L160" s="157" t="s">
        <v>27</v>
      </c>
      <c r="M160" s="157" t="s">
        <v>37</v>
      </c>
      <c r="N160" s="9">
        <v>45448</v>
      </c>
      <c r="O160" s="159">
        <f>IF($N160="","",NETWORKDAYS($E160,$N160,$V$33:$V$47)-1)</f>
        <v>13</v>
      </c>
      <c r="P160" s="10" t="str">
        <f>IF(ISBLANK(N160),"",IF(N160&gt;H160,"No","Yes"))</f>
        <v>Yes</v>
      </c>
      <c r="Q160" s="9" t="s">
        <v>117</v>
      </c>
      <c r="R160" s="4" t="s">
        <v>118</v>
      </c>
      <c r="S160" s="4"/>
      <c r="T160" s="4"/>
      <c r="U160" s="6"/>
      <c r="V160" s="6"/>
      <c r="W160" s="6"/>
      <c r="X160" s="6"/>
      <c r="Y160" s="6"/>
      <c r="Z160" s="6"/>
      <c r="AX160" s="6" t="str">
        <v>Quarter 1</v>
      </c>
    </row>
    <row r="161" spans="1:50" ht="31.4" customHeight="1" x14ac:dyDescent="0.35">
      <c r="A161" s="136" t="s">
        <v>540</v>
      </c>
      <c r="B161" s="4" t="s">
        <v>8</v>
      </c>
      <c r="C161" s="4" t="s">
        <v>8</v>
      </c>
      <c r="D161" s="4" t="s">
        <v>541</v>
      </c>
      <c r="E161" s="157">
        <v>45429</v>
      </c>
      <c r="F161" s="9">
        <f>IF($E161="","",WORKDAY($E161,1,$V$33:$V$47))</f>
        <v>45432</v>
      </c>
      <c r="G161" s="9">
        <f>IF($E161="","",WORKDAY($E161,10,$V$33:$V$47))</f>
        <v>45443</v>
      </c>
      <c r="H161" s="9">
        <f>IF($E161="","",WORKDAY($E161,20,$V$33:$V$47))</f>
        <v>45457</v>
      </c>
      <c r="I161" s="157" t="str">
        <f t="shared" si="2"/>
        <v>May</v>
      </c>
      <c r="J161" s="14" t="str">
        <f ca="1">IF(E161="","",IF(N161="",H161-TODAY(),""))</f>
        <v/>
      </c>
      <c r="K161" s="157" t="s">
        <v>5</v>
      </c>
      <c r="L161" s="157" t="s">
        <v>18</v>
      </c>
      <c r="M161" s="157" t="s">
        <v>66</v>
      </c>
      <c r="N161" s="9">
        <v>45432</v>
      </c>
      <c r="O161" s="159">
        <f>IF($N161="","",NETWORKDAYS($E161,$N161,$V$33:$V$47)-1)</f>
        <v>1</v>
      </c>
      <c r="P161" s="10" t="str">
        <f>IF(ISBLANK(N161),"",IF(N161&gt;H161,"No","Yes"))</f>
        <v>Yes</v>
      </c>
      <c r="Q161" s="9" t="s">
        <v>117</v>
      </c>
      <c r="R161" s="4" t="s">
        <v>150</v>
      </c>
      <c r="S161" s="4"/>
      <c r="T161" s="4"/>
      <c r="U161" s="6"/>
      <c r="V161" s="6"/>
      <c r="W161" s="6"/>
      <c r="X161" s="6"/>
      <c r="Y161" s="6"/>
      <c r="Z161" s="6"/>
      <c r="AX161" s="6" t="str">
        <v>Quarter 1</v>
      </c>
    </row>
    <row r="162" spans="1:50" ht="31.4" customHeight="1" x14ac:dyDescent="0.35">
      <c r="A162" s="136" t="s">
        <v>542</v>
      </c>
      <c r="B162" s="4" t="s">
        <v>138</v>
      </c>
      <c r="C162" s="4" t="s">
        <v>19</v>
      </c>
      <c r="D162" s="4" t="s">
        <v>543</v>
      </c>
      <c r="E162" s="157">
        <v>45429</v>
      </c>
      <c r="F162" s="9">
        <f>IF($E162="","",WORKDAY($E162,1,$V$33:$V$47))</f>
        <v>45432</v>
      </c>
      <c r="G162" s="9">
        <f>IF($E162="","",WORKDAY($E162,10,$V$33:$V$47))</f>
        <v>45443</v>
      </c>
      <c r="H162" s="9">
        <f>IF($E162="","",WORKDAY($E162,20,$V$33:$V$47))</f>
        <v>45457</v>
      </c>
      <c r="I162" s="157" t="str">
        <f t="shared" si="2"/>
        <v>May</v>
      </c>
      <c r="J162" s="14" t="str">
        <f ca="1">IF(E162="","",IF(N162="",H162-TODAY(),""))</f>
        <v/>
      </c>
      <c r="K162" s="157" t="s">
        <v>124</v>
      </c>
      <c r="L162" s="157" t="s">
        <v>24</v>
      </c>
      <c r="M162" s="157" t="s">
        <v>87</v>
      </c>
      <c r="N162" s="9">
        <v>45447</v>
      </c>
      <c r="O162" s="159">
        <f>IF($N162="","",NETWORKDAYS($E162,$N162,$V$33:$V$47)-1)</f>
        <v>12</v>
      </c>
      <c r="P162" s="10" t="str">
        <f>IF(ISBLANK(N162),"",IF(N162&gt;H162,"No","Yes"))</f>
        <v>Yes</v>
      </c>
      <c r="Q162" s="9" t="s">
        <v>117</v>
      </c>
      <c r="R162" s="4" t="s">
        <v>118</v>
      </c>
      <c r="S162" s="4"/>
      <c r="T162" s="4"/>
      <c r="U162" s="6"/>
      <c r="V162" s="6"/>
      <c r="W162" s="6"/>
      <c r="X162" s="6"/>
      <c r="Y162" s="6"/>
      <c r="Z162" s="6"/>
      <c r="AX162" s="6" t="str">
        <v>Quarter 1</v>
      </c>
    </row>
    <row r="163" spans="1:50" s="10" customFormat="1" ht="31.4" customHeight="1" x14ac:dyDescent="0.35">
      <c r="A163" s="136" t="s">
        <v>544</v>
      </c>
      <c r="B163" s="7" t="s">
        <v>545</v>
      </c>
      <c r="C163" s="7" t="s">
        <v>13</v>
      </c>
      <c r="D163" s="7" t="s">
        <v>229</v>
      </c>
      <c r="E163" s="25">
        <v>45432</v>
      </c>
      <c r="F163" s="9">
        <f>IF($E163="","",WORKDAY($E163,1,$V$33:$V$47))</f>
        <v>45433</v>
      </c>
      <c r="G163" s="9">
        <f>IF($E163="","",WORKDAY($E163,10,$V$33:$V$47))</f>
        <v>45446</v>
      </c>
      <c r="H163" s="9">
        <f>IF($E163="","",WORKDAY($E163,20,$V$33:$V$47))</f>
        <v>45460</v>
      </c>
      <c r="I163" s="25" t="str">
        <f t="shared" si="2"/>
        <v>May</v>
      </c>
      <c r="J163" s="14" t="str">
        <f ca="1">IF(E163="","",IF(N163="",H163-TODAY(),""))</f>
        <v/>
      </c>
      <c r="K163" s="25" t="s">
        <v>5</v>
      </c>
      <c r="L163" s="25" t="s">
        <v>16</v>
      </c>
      <c r="M163" s="25" t="s">
        <v>71</v>
      </c>
      <c r="N163" s="16">
        <v>45432</v>
      </c>
      <c r="O163" s="159">
        <f>IF($N163="","",NETWORKDAYS($E163,$N163,$V$33:$V$47)-1)</f>
        <v>0</v>
      </c>
      <c r="P163" s="10" t="str">
        <f>IF(ISBLANK(N163),"",IF(N163&gt;H163,"No","Yes"))</f>
        <v>Yes</v>
      </c>
      <c r="Q163" s="16" t="s">
        <v>117</v>
      </c>
      <c r="R163" s="7" t="s">
        <v>118</v>
      </c>
      <c r="S163" s="7"/>
      <c r="T163" s="7" t="s">
        <v>141</v>
      </c>
      <c r="AX163" s="10" t="str">
        <v>Quarter 1</v>
      </c>
    </row>
    <row r="164" spans="1:50" ht="31.4" customHeight="1" x14ac:dyDescent="0.35">
      <c r="A164" s="136" t="s">
        <v>546</v>
      </c>
      <c r="B164" s="4" t="s">
        <v>228</v>
      </c>
      <c r="C164" s="4" t="s">
        <v>13</v>
      </c>
      <c r="D164" s="4" t="s">
        <v>547</v>
      </c>
      <c r="E164" s="157">
        <v>45432</v>
      </c>
      <c r="F164" s="9">
        <f>IF($E164="","",WORKDAY($E164,1,$V$33:$V$47))</f>
        <v>45433</v>
      </c>
      <c r="G164" s="9">
        <f>IF($E164="","",WORKDAY($E164,10,$V$33:$V$47))</f>
        <v>45446</v>
      </c>
      <c r="H164" s="9">
        <f>IF($E164="","",WORKDAY($E164,20,$V$33:$V$47))</f>
        <v>45460</v>
      </c>
      <c r="I164" s="157" t="str">
        <f t="shared" si="2"/>
        <v>May</v>
      </c>
      <c r="J164" s="14" t="str">
        <f ca="1">IF(E164="","",IF(N164="",H164-TODAY(),""))</f>
        <v/>
      </c>
      <c r="K164" s="157" t="s">
        <v>5</v>
      </c>
      <c r="L164" s="157" t="s">
        <v>16</v>
      </c>
      <c r="M164" s="157" t="s">
        <v>71</v>
      </c>
      <c r="N164" s="9">
        <v>45433</v>
      </c>
      <c r="O164" s="159">
        <f>IF($N164="","",NETWORKDAYS($E164,$N164,$V$33:$V$47)-1)</f>
        <v>1</v>
      </c>
      <c r="P164" s="10" t="str">
        <f>IF(ISBLANK(N164),"",IF(N164&gt;H164,"No","Yes"))</f>
        <v>Yes</v>
      </c>
      <c r="Q164" s="9" t="s">
        <v>117</v>
      </c>
      <c r="R164" s="4" t="s">
        <v>132</v>
      </c>
      <c r="S164" s="4" t="s">
        <v>134</v>
      </c>
      <c r="T164" s="4"/>
      <c r="U164" s="6"/>
      <c r="V164" s="6"/>
      <c r="W164" s="6"/>
      <c r="X164" s="6"/>
      <c r="Y164" s="6"/>
      <c r="Z164" s="6"/>
      <c r="AX164" s="6" t="str">
        <v>Quarter 1</v>
      </c>
    </row>
    <row r="165" spans="1:50" ht="31.4" customHeight="1" x14ac:dyDescent="0.35">
      <c r="A165" s="136" t="s">
        <v>548</v>
      </c>
      <c r="B165" s="4" t="s">
        <v>8</v>
      </c>
      <c r="C165" s="4" t="s">
        <v>8</v>
      </c>
      <c r="D165" s="4" t="s">
        <v>549</v>
      </c>
      <c r="E165" s="157">
        <v>45433</v>
      </c>
      <c r="F165" s="9">
        <f>IF($E165="","",WORKDAY($E165,1,$V$33:$V$47))</f>
        <v>45434</v>
      </c>
      <c r="G165" s="9">
        <f>IF($E165="","",WORKDAY($E165,10,$V$33:$V$47))</f>
        <v>45447</v>
      </c>
      <c r="H165" s="9">
        <f>IF($E165="","",WORKDAY($E165,20,$V$33:$V$47))</f>
        <v>45461</v>
      </c>
      <c r="I165" s="157" t="str">
        <f t="shared" si="2"/>
        <v>May</v>
      </c>
      <c r="J165" s="14" t="str">
        <f ca="1">IF(E165="","",IF(N165="",H165-TODAY(),""))</f>
        <v/>
      </c>
      <c r="K165" s="157" t="s">
        <v>4</v>
      </c>
      <c r="L165" s="157" t="s">
        <v>3</v>
      </c>
      <c r="M165" s="157" t="s">
        <v>74</v>
      </c>
      <c r="N165" s="9">
        <v>45449</v>
      </c>
      <c r="O165" s="159">
        <f>IF($N165="","",NETWORKDAYS($E165,$N165,$V$33:$V$47)-1)</f>
        <v>12</v>
      </c>
      <c r="P165" s="10" t="str">
        <f>IF(ISBLANK(N165),"",IF(N165&gt;H165,"No","Yes"))</f>
        <v>Yes</v>
      </c>
      <c r="Q165" s="9" t="s">
        <v>117</v>
      </c>
      <c r="R165" s="4" t="s">
        <v>118</v>
      </c>
      <c r="S165" s="4"/>
      <c r="T165" s="4"/>
      <c r="U165" s="6"/>
      <c r="V165" s="6"/>
      <c r="W165" s="6"/>
      <c r="X165" s="6"/>
      <c r="Y165" s="6"/>
      <c r="Z165" s="6"/>
      <c r="AX165" s="6" t="str">
        <v>Quarter 1</v>
      </c>
    </row>
    <row r="166" spans="1:50" ht="31.4" customHeight="1" x14ac:dyDescent="0.35">
      <c r="A166" s="136" t="s">
        <v>550</v>
      </c>
      <c r="B166" s="4" t="s">
        <v>551</v>
      </c>
      <c r="C166" s="4" t="s">
        <v>15</v>
      </c>
      <c r="D166" s="4" t="s">
        <v>552</v>
      </c>
      <c r="E166" s="157">
        <v>45433</v>
      </c>
      <c r="F166" s="9">
        <f>IF($E166="","",WORKDAY($E166,1,$V$33:$V$47))</f>
        <v>45434</v>
      </c>
      <c r="G166" s="9">
        <f>IF($E166="","",WORKDAY($E166,10,$V$33:$V$47))</f>
        <v>45447</v>
      </c>
      <c r="H166" s="9">
        <f>IF($E166="","",WORKDAY($E166,20,$V$33:$V$47))</f>
        <v>45461</v>
      </c>
      <c r="I166" s="157" t="str">
        <f t="shared" si="2"/>
        <v>May</v>
      </c>
      <c r="J166" s="14" t="str">
        <f ca="1">IF(E166="","",IF(N166="",H166-TODAY(),""))</f>
        <v/>
      </c>
      <c r="K166" s="157" t="s">
        <v>10</v>
      </c>
      <c r="L166" s="157" t="s">
        <v>27</v>
      </c>
      <c r="M166" s="157" t="s">
        <v>37</v>
      </c>
      <c r="N166" s="9">
        <v>45462</v>
      </c>
      <c r="O166" s="159">
        <f>IF($N166="","",NETWORKDAYS($E166,$N166,$V$33:$V$47)-1)</f>
        <v>21</v>
      </c>
      <c r="P166" s="10" t="str">
        <f>IF(ISBLANK(N166),"",IF(N166&gt;H166,"No","Yes"))</f>
        <v>No</v>
      </c>
      <c r="Q166" s="9" t="s">
        <v>117</v>
      </c>
      <c r="R166" s="4" t="s">
        <v>132</v>
      </c>
      <c r="S166" s="4" t="s">
        <v>120</v>
      </c>
      <c r="T166" s="4"/>
      <c r="U166" s="6"/>
      <c r="V166" s="6"/>
      <c r="W166" s="6"/>
      <c r="X166" s="6"/>
      <c r="Y166" s="6"/>
      <c r="Z166" s="6"/>
      <c r="AX166" s="6" t="str">
        <v>Quarter 1</v>
      </c>
    </row>
    <row r="167" spans="1:50" ht="31.4" customHeight="1" x14ac:dyDescent="0.35">
      <c r="A167" s="136" t="s">
        <v>553</v>
      </c>
      <c r="B167" s="4" t="s">
        <v>554</v>
      </c>
      <c r="C167" s="4" t="s">
        <v>23</v>
      </c>
      <c r="D167" s="4" t="s">
        <v>555</v>
      </c>
      <c r="E167" s="157">
        <v>45433</v>
      </c>
      <c r="F167" s="9">
        <f>IF($E167="","",WORKDAY($E167,1,$V$33:$V$47))</f>
        <v>45434</v>
      </c>
      <c r="G167" s="9">
        <f>IF($E167="","",WORKDAY($E167,10,$V$33:$V$47))</f>
        <v>45447</v>
      </c>
      <c r="H167" s="9">
        <f>IF($E167="","",WORKDAY($E167,20,$V$33:$V$47))</f>
        <v>45461</v>
      </c>
      <c r="I167" s="157" t="str">
        <f t="shared" si="2"/>
        <v>May</v>
      </c>
      <c r="J167" s="14" t="str">
        <f ca="1">IF(E167="","",IF(N167="",H167-TODAY(),""))</f>
        <v/>
      </c>
      <c r="K167" s="157" t="s">
        <v>10</v>
      </c>
      <c r="L167" s="157" t="s">
        <v>27</v>
      </c>
      <c r="M167" s="157" t="s">
        <v>38</v>
      </c>
      <c r="N167" s="9">
        <v>45453</v>
      </c>
      <c r="O167" s="159">
        <f>IF($N167="","",NETWORKDAYS($E167,$N167,$V$33:$V$47)-1)</f>
        <v>14</v>
      </c>
      <c r="P167" s="10" t="str">
        <f>IF(ISBLANK(N167),"",IF(N167&gt;H167,"No","Yes"))</f>
        <v>Yes</v>
      </c>
      <c r="Q167" s="9" t="s">
        <v>117</v>
      </c>
      <c r="R167" s="4" t="s">
        <v>118</v>
      </c>
      <c r="S167" s="4"/>
      <c r="T167" s="4"/>
      <c r="U167" s="6"/>
      <c r="V167" s="6"/>
      <c r="W167" s="6"/>
      <c r="X167" s="6"/>
      <c r="Y167" s="6"/>
      <c r="Z167" s="6"/>
      <c r="AX167" s="6" t="str">
        <v>Quarter 1</v>
      </c>
    </row>
    <row r="168" spans="1:50" ht="31.4" customHeight="1" x14ac:dyDescent="0.35">
      <c r="A168" s="136" t="s">
        <v>556</v>
      </c>
      <c r="B168" s="4" t="s">
        <v>554</v>
      </c>
      <c r="C168" s="4" t="s">
        <v>23</v>
      </c>
      <c r="D168" s="4" t="s">
        <v>557</v>
      </c>
      <c r="E168" s="157">
        <v>45433</v>
      </c>
      <c r="F168" s="9">
        <f>IF($E168="","",WORKDAY($E168,1,$V$33:$V$47))</f>
        <v>45434</v>
      </c>
      <c r="G168" s="9">
        <f>IF($E168="","",WORKDAY($E168,10,$V$33:$V$47))</f>
        <v>45447</v>
      </c>
      <c r="H168" s="9">
        <f>IF($E168="","",WORKDAY($E168,20,$V$33:$V$47))</f>
        <v>45461</v>
      </c>
      <c r="I168" s="157" t="str">
        <f t="shared" si="2"/>
        <v>May</v>
      </c>
      <c r="J168" s="14" t="str">
        <f ca="1">IF(E168="","",IF(N168="",H168-TODAY(),""))</f>
        <v/>
      </c>
      <c r="K168" s="157" t="s">
        <v>10</v>
      </c>
      <c r="L168" s="157" t="s">
        <v>27</v>
      </c>
      <c r="M168" s="157" t="s">
        <v>91</v>
      </c>
      <c r="N168" s="9">
        <v>45434</v>
      </c>
      <c r="O168" s="159">
        <f>IF($N168="","",NETWORKDAYS($E168,$N168,$V$33:$V$47)-1)</f>
        <v>1</v>
      </c>
      <c r="P168" s="10" t="str">
        <f>IF(ISBLANK(N168),"",IF(N168&gt;H168,"No","Yes"))</f>
        <v>Yes</v>
      </c>
      <c r="Q168" s="9" t="s">
        <v>117</v>
      </c>
      <c r="R168" s="4" t="s">
        <v>118</v>
      </c>
      <c r="S168" s="4"/>
      <c r="T168" s="4" t="s">
        <v>141</v>
      </c>
      <c r="U168" s="6"/>
      <c r="V168" s="6"/>
      <c r="W168" s="6"/>
      <c r="X168" s="6"/>
      <c r="Y168" s="6"/>
      <c r="Z168" s="6"/>
      <c r="AX168" s="6" t="str">
        <v>Quarter 1</v>
      </c>
    </row>
    <row r="169" spans="1:50" ht="31.4" customHeight="1" x14ac:dyDescent="0.35">
      <c r="A169" s="136" t="s">
        <v>558</v>
      </c>
      <c r="B169" s="4" t="s">
        <v>559</v>
      </c>
      <c r="C169" s="4" t="s">
        <v>6</v>
      </c>
      <c r="D169" s="4" t="s">
        <v>560</v>
      </c>
      <c r="E169" s="157">
        <v>45433</v>
      </c>
      <c r="F169" s="9">
        <f>IF($E169="","",WORKDAY($E169,1,$V$33:$V$47))</f>
        <v>45434</v>
      </c>
      <c r="G169" s="9">
        <f>IF($E169="","",WORKDAY($E169,10,$V$33:$V$47))</f>
        <v>45447</v>
      </c>
      <c r="H169" s="9">
        <f>IF($E169="","",WORKDAY($E169,20,$V$33:$V$47))</f>
        <v>45461</v>
      </c>
      <c r="I169" s="157" t="str">
        <f t="shared" si="2"/>
        <v>May</v>
      </c>
      <c r="J169" s="14" t="str">
        <f ca="1">IF(E169="","",IF(N169="",H169-TODAY(),""))</f>
        <v/>
      </c>
      <c r="K169" s="157" t="s">
        <v>124</v>
      </c>
      <c r="L169" s="157" t="s">
        <v>14</v>
      </c>
      <c r="M169" s="157" t="s">
        <v>39</v>
      </c>
      <c r="N169" s="9">
        <v>45440</v>
      </c>
      <c r="O169" s="159">
        <f>IF($N169="","",NETWORKDAYS($E169,$N169,$V$33:$V$47)-1)</f>
        <v>5</v>
      </c>
      <c r="P169" s="10" t="str">
        <f>IF(ISBLANK(N169),"",IF(N169&gt;H169,"No","Yes"))</f>
        <v>Yes</v>
      </c>
      <c r="Q169" s="9" t="s">
        <v>117</v>
      </c>
      <c r="R169" s="4" t="s">
        <v>118</v>
      </c>
      <c r="S169" s="4"/>
      <c r="T169" s="4"/>
      <c r="U169" s="6"/>
      <c r="V169" s="6"/>
      <c r="W169" s="6"/>
      <c r="X169" s="6"/>
      <c r="Y169" s="6"/>
      <c r="Z169" s="6"/>
      <c r="AX169" s="6" t="str">
        <v>Quarter 1</v>
      </c>
    </row>
    <row r="170" spans="1:50" ht="31.4" customHeight="1" x14ac:dyDescent="0.35">
      <c r="A170" s="136" t="s">
        <v>561</v>
      </c>
      <c r="B170" s="4" t="s">
        <v>8</v>
      </c>
      <c r="C170" s="4" t="s">
        <v>8</v>
      </c>
      <c r="D170" s="4" t="s">
        <v>562</v>
      </c>
      <c r="E170" s="157">
        <v>45433</v>
      </c>
      <c r="F170" s="9">
        <f>IF($E170="","",WORKDAY($E170,1,$V$33:$V$47))</f>
        <v>45434</v>
      </c>
      <c r="G170" s="9">
        <f>IF($E170="","",WORKDAY($E170,10,$V$33:$V$47))</f>
        <v>45447</v>
      </c>
      <c r="H170" s="9">
        <f>IF($E170="","",WORKDAY($E170,20,$V$33:$V$47))</f>
        <v>45461</v>
      </c>
      <c r="I170" s="157" t="str">
        <f t="shared" si="2"/>
        <v>May</v>
      </c>
      <c r="J170" s="14" t="str">
        <f ca="1">IF(E170="","",IF(N170="",H170-TODAY(),""))</f>
        <v/>
      </c>
      <c r="K170" s="157" t="s">
        <v>124</v>
      </c>
      <c r="L170" s="157" t="s">
        <v>20</v>
      </c>
      <c r="M170" s="157" t="s">
        <v>78</v>
      </c>
      <c r="N170" s="9">
        <v>45440</v>
      </c>
      <c r="O170" s="159">
        <f>IF($N170="","",NETWORKDAYS($E170,$N170,$V$33:$V$47)-1)</f>
        <v>5</v>
      </c>
      <c r="P170" s="10" t="str">
        <f>IF(ISBLANK(N170),"",IF(N170&gt;H170,"No","Yes"))</f>
        <v>Yes</v>
      </c>
      <c r="Q170" s="9" t="s">
        <v>117</v>
      </c>
      <c r="R170" s="4" t="s">
        <v>118</v>
      </c>
      <c r="S170" s="4" t="s">
        <v>135</v>
      </c>
      <c r="T170" s="4"/>
      <c r="U170" s="6"/>
      <c r="V170" s="6"/>
      <c r="W170" s="6"/>
      <c r="X170" s="6"/>
      <c r="Y170" s="6"/>
      <c r="Z170" s="6"/>
      <c r="AX170" s="6" t="str">
        <v>Quarter 1</v>
      </c>
    </row>
    <row r="171" spans="1:50" ht="31.4" customHeight="1" x14ac:dyDescent="0.35">
      <c r="A171" s="136" t="s">
        <v>563</v>
      </c>
      <c r="B171" s="7" t="s">
        <v>564</v>
      </c>
      <c r="C171" s="7" t="s">
        <v>25</v>
      </c>
      <c r="D171" s="7" t="s">
        <v>565</v>
      </c>
      <c r="E171" s="157">
        <v>45433</v>
      </c>
      <c r="F171" s="9">
        <f>IF($E171="","",WORKDAY($E171,1,$V$33:$V$47))</f>
        <v>45434</v>
      </c>
      <c r="G171" s="9">
        <f>IF($E171="","",WORKDAY($E171,10,$V$33:$V$47))</f>
        <v>45447</v>
      </c>
      <c r="H171" s="9">
        <f>IF($E171="","",WORKDAY($E171,20,$V$33:$V$47))</f>
        <v>45461</v>
      </c>
      <c r="I171" s="157" t="str">
        <f t="shared" si="2"/>
        <v>May</v>
      </c>
      <c r="J171" s="14" t="str">
        <f ca="1">IF(E171="","",IF(N171="",H171-TODAY(),""))</f>
        <v/>
      </c>
      <c r="K171" s="157" t="s">
        <v>5</v>
      </c>
      <c r="L171" s="157" t="s">
        <v>16</v>
      </c>
      <c r="M171" s="157" t="s">
        <v>71</v>
      </c>
      <c r="N171" s="9">
        <v>45434</v>
      </c>
      <c r="O171" s="159">
        <f>IF($N171="","",NETWORKDAYS($E171,$N171,$V$33:$V$47)-1)</f>
        <v>1</v>
      </c>
      <c r="P171" s="10" t="str">
        <f>IF(ISBLANK(N171),"",IF(N171&gt;H171,"No","Yes"))</f>
        <v>Yes</v>
      </c>
      <c r="Q171" s="16" t="s">
        <v>117</v>
      </c>
      <c r="R171" s="7" t="s">
        <v>118</v>
      </c>
      <c r="S171" s="4"/>
      <c r="T171" s="7"/>
      <c r="U171" s="6"/>
      <c r="V171" s="6"/>
      <c r="W171" s="6"/>
      <c r="X171" s="6"/>
      <c r="Y171" s="6"/>
      <c r="Z171" s="6"/>
      <c r="AX171" s="6" t="str">
        <v>Quarter 1</v>
      </c>
    </row>
    <row r="172" spans="1:50" ht="31.4" customHeight="1" x14ac:dyDescent="0.35">
      <c r="A172" s="136" t="s">
        <v>566</v>
      </c>
      <c r="B172" s="4" t="s">
        <v>8</v>
      </c>
      <c r="C172" s="4" t="s">
        <v>8</v>
      </c>
      <c r="D172" s="4" t="s">
        <v>567</v>
      </c>
      <c r="E172" s="157">
        <v>45434</v>
      </c>
      <c r="F172" s="9">
        <f>IF($E172="","",WORKDAY($E172,1,$V$33:$V$47))</f>
        <v>45435</v>
      </c>
      <c r="G172" s="9">
        <f>IF($E172="","",WORKDAY($E172,10,$V$33:$V$47))</f>
        <v>45448</v>
      </c>
      <c r="H172" s="9">
        <f>IF($E172="","",WORKDAY($E172,20,$V$33:$V$47))</f>
        <v>45462</v>
      </c>
      <c r="I172" s="157" t="str">
        <f t="shared" si="2"/>
        <v>May</v>
      </c>
      <c r="J172" s="14" t="str">
        <f ca="1">IF(E172="","",IF(N172="",H172-TODAY(),""))</f>
        <v/>
      </c>
      <c r="K172" s="157" t="s">
        <v>5</v>
      </c>
      <c r="L172" s="157" t="s">
        <v>18</v>
      </c>
      <c r="M172" s="157" t="s">
        <v>66</v>
      </c>
      <c r="N172" s="9">
        <v>45434</v>
      </c>
      <c r="O172" s="159">
        <f>IF($N172="","",NETWORKDAYS($E172,$N172,$V$33:$V$47)-1)</f>
        <v>0</v>
      </c>
      <c r="P172" s="10" t="str">
        <f>IF(ISBLANK(N172),"",IF(N172&gt;H172,"No","Yes"))</f>
        <v>Yes</v>
      </c>
      <c r="Q172" s="9" t="s">
        <v>117</v>
      </c>
      <c r="R172" s="4" t="s">
        <v>132</v>
      </c>
      <c r="S172" s="4" t="s">
        <v>119</v>
      </c>
      <c r="T172" s="4"/>
      <c r="U172" s="6"/>
      <c r="V172" s="6"/>
      <c r="W172" s="6"/>
      <c r="X172" s="6"/>
      <c r="Y172" s="6"/>
      <c r="Z172" s="6"/>
      <c r="AX172" s="6" t="str">
        <v>Quarter 1</v>
      </c>
    </row>
    <row r="173" spans="1:50" ht="31.4" customHeight="1" x14ac:dyDescent="0.35">
      <c r="A173" s="136" t="s">
        <v>568</v>
      </c>
      <c r="B173" s="4" t="s">
        <v>481</v>
      </c>
      <c r="C173" s="4" t="s">
        <v>6</v>
      </c>
      <c r="D173" s="4" t="s">
        <v>569</v>
      </c>
      <c r="E173" s="157">
        <v>45434</v>
      </c>
      <c r="F173" s="9">
        <f>IF($E173="","",WORKDAY($E173,1,$V$33:$V$47))</f>
        <v>45435</v>
      </c>
      <c r="G173" s="9">
        <f>IF($E173="","",WORKDAY($E173,10,$V$33:$V$47))</f>
        <v>45448</v>
      </c>
      <c r="H173" s="9">
        <f>IF($E173="","",WORKDAY($E173,20,$V$33:$V$47))</f>
        <v>45462</v>
      </c>
      <c r="I173" s="157" t="str">
        <f t="shared" si="2"/>
        <v>May</v>
      </c>
      <c r="J173" s="14" t="str">
        <f ca="1">IF(E173="","",IF(N173="",H173-TODAY(),""))</f>
        <v/>
      </c>
      <c r="K173" s="157" t="s">
        <v>10</v>
      </c>
      <c r="L173" s="157" t="s">
        <v>9</v>
      </c>
      <c r="M173" s="157" t="s">
        <v>38</v>
      </c>
      <c r="N173" s="9">
        <v>45449</v>
      </c>
      <c r="O173" s="159">
        <f>IF($N173="","",NETWORKDAYS($E173,$N173,$V$33:$V$47)-1)</f>
        <v>11</v>
      </c>
      <c r="P173" s="10" t="str">
        <f>IF(ISBLANK(N173),"",IF(N173&gt;H173,"No","Yes"))</f>
        <v>Yes</v>
      </c>
      <c r="Q173" s="9" t="s">
        <v>117</v>
      </c>
      <c r="R173" s="4" t="s">
        <v>118</v>
      </c>
      <c r="S173" s="4"/>
      <c r="T173" s="4"/>
      <c r="U173" s="6"/>
      <c r="V173" s="6"/>
      <c r="W173" s="6"/>
      <c r="X173" s="6"/>
      <c r="Y173" s="6"/>
      <c r="Z173" s="6"/>
      <c r="AX173" s="6" t="str">
        <v>Quarter 1</v>
      </c>
    </row>
    <row r="174" spans="1:50" ht="31.4" customHeight="1" x14ac:dyDescent="0.35">
      <c r="A174" s="136" t="s">
        <v>570</v>
      </c>
      <c r="B174" s="4" t="s">
        <v>8</v>
      </c>
      <c r="C174" s="4" t="s">
        <v>8</v>
      </c>
      <c r="D174" s="4" t="s">
        <v>381</v>
      </c>
      <c r="E174" s="157">
        <v>45434</v>
      </c>
      <c r="F174" s="9">
        <f>IF($E174="","",WORKDAY($E174,1,$V$33:$V$47))</f>
        <v>45435</v>
      </c>
      <c r="G174" s="9">
        <f>IF($E174="","",WORKDAY($E174,10,$V$33:$V$47))</f>
        <v>45448</v>
      </c>
      <c r="H174" s="9">
        <f>IF($E174="","",WORKDAY($E174,20,$V$33:$V$47))</f>
        <v>45462</v>
      </c>
      <c r="I174" s="157" t="str">
        <f t="shared" si="2"/>
        <v>May</v>
      </c>
      <c r="J174" s="14" t="str">
        <f ca="1">IF(E174="","",IF(N174="",H174-TODAY(),""))</f>
        <v/>
      </c>
      <c r="K174" s="157" t="s">
        <v>124</v>
      </c>
      <c r="L174" s="157" t="s">
        <v>20</v>
      </c>
      <c r="M174" s="157" t="s">
        <v>62</v>
      </c>
      <c r="N174" s="9">
        <v>45453</v>
      </c>
      <c r="O174" s="159">
        <f>IF($N174="","",NETWORKDAYS($E174,$N174,$V$33:$V$47)-1)</f>
        <v>13</v>
      </c>
      <c r="P174" s="10" t="str">
        <f>IF(ISBLANK(N174),"",IF(N174&gt;H174,"No","Yes"))</f>
        <v>Yes</v>
      </c>
      <c r="Q174" s="9" t="s">
        <v>117</v>
      </c>
      <c r="R174" s="4" t="s">
        <v>118</v>
      </c>
      <c r="S174" s="4"/>
      <c r="T174" s="4"/>
      <c r="U174" s="6"/>
      <c r="V174" s="6"/>
      <c r="W174" s="6"/>
      <c r="X174" s="6"/>
      <c r="Y174" s="6"/>
      <c r="Z174" s="6"/>
      <c r="AX174" s="6" t="str">
        <v>Quarter 1</v>
      </c>
    </row>
    <row r="175" spans="1:50" ht="31.4" customHeight="1" x14ac:dyDescent="0.35">
      <c r="A175" s="136" t="s">
        <v>571</v>
      </c>
      <c r="B175" s="4" t="s">
        <v>8</v>
      </c>
      <c r="C175" s="4" t="s">
        <v>8</v>
      </c>
      <c r="D175" s="4" t="s">
        <v>572</v>
      </c>
      <c r="E175" s="157">
        <v>45434</v>
      </c>
      <c r="F175" s="9">
        <f>IF($E175="","",WORKDAY($E175,1,$V$33:$V$47))</f>
        <v>45435</v>
      </c>
      <c r="G175" s="9">
        <f>IF($E175="","",WORKDAY($E175,10,$V$33:$V$47))</f>
        <v>45448</v>
      </c>
      <c r="H175" s="9">
        <f>IF($E175="","",WORKDAY($E175,20,$V$33:$V$47))</f>
        <v>45462</v>
      </c>
      <c r="I175" s="157" t="str">
        <f t="shared" si="2"/>
        <v>May</v>
      </c>
      <c r="J175" s="14" t="str">
        <f ca="1">IF(E175="","",IF(N175="",H175-TODAY(),""))</f>
        <v/>
      </c>
      <c r="K175" s="157" t="s">
        <v>10</v>
      </c>
      <c r="L175" s="157" t="s">
        <v>9</v>
      </c>
      <c r="M175" s="157" t="s">
        <v>38</v>
      </c>
      <c r="N175" s="9">
        <v>45461</v>
      </c>
      <c r="O175" s="159">
        <f>IF($N175="","",NETWORKDAYS($E175,$N175,$V$33:$V$47)-1)</f>
        <v>19</v>
      </c>
      <c r="P175" s="10" t="str">
        <f>IF(ISBLANK(N175),"",IF(N175&gt;H175,"No","Yes"))</f>
        <v>Yes</v>
      </c>
      <c r="Q175" s="9" t="s">
        <v>117</v>
      </c>
      <c r="R175" s="4" t="s">
        <v>118</v>
      </c>
      <c r="S175" s="4"/>
      <c r="T175" s="4"/>
      <c r="U175" s="6"/>
      <c r="V175" s="6"/>
      <c r="W175" s="6"/>
      <c r="X175" s="6"/>
      <c r="Y175" s="6"/>
      <c r="Z175" s="6"/>
      <c r="AX175" s="6" t="str">
        <v>Quarter 1</v>
      </c>
    </row>
    <row r="176" spans="1:50" ht="31.4" customHeight="1" x14ac:dyDescent="0.35">
      <c r="A176" s="136" t="s">
        <v>573</v>
      </c>
      <c r="B176" s="4" t="s">
        <v>8</v>
      </c>
      <c r="C176" s="4" t="s">
        <v>8</v>
      </c>
      <c r="D176" s="4" t="s">
        <v>574</v>
      </c>
      <c r="E176" s="157">
        <v>45434</v>
      </c>
      <c r="F176" s="9">
        <f>IF($E176="","",WORKDAY($E176,1,$V$33:$V$47))</f>
        <v>45435</v>
      </c>
      <c r="G176" s="9">
        <f>IF($E176="","",WORKDAY($E176,10,$V$33:$V$47))</f>
        <v>45448</v>
      </c>
      <c r="H176" s="9">
        <f>IF($E176="","",WORKDAY($E176,20,$V$33:$V$47))</f>
        <v>45462</v>
      </c>
      <c r="I176" s="157" t="str">
        <f t="shared" si="2"/>
        <v>May</v>
      </c>
      <c r="J176" s="14" t="str">
        <f ca="1">IF(E176="","",IF(N176="",H176-TODAY(),""))</f>
        <v/>
      </c>
      <c r="K176" s="157" t="s">
        <v>124</v>
      </c>
      <c r="L176" s="157" t="s">
        <v>24</v>
      </c>
      <c r="M176" s="157" t="s">
        <v>61</v>
      </c>
      <c r="N176" s="9">
        <v>45453</v>
      </c>
      <c r="O176" s="159">
        <f>IF($N176="","",NETWORKDAYS($E176,$N176,$V$33:$V$47)-1)</f>
        <v>13</v>
      </c>
      <c r="P176" s="10" t="str">
        <f>IF(ISBLANK(N176),"",IF(N176&gt;H176,"No","Yes"))</f>
        <v>Yes</v>
      </c>
      <c r="Q176" s="9" t="s">
        <v>117</v>
      </c>
      <c r="R176" s="4" t="s">
        <v>118</v>
      </c>
      <c r="S176" s="4"/>
      <c r="T176" s="4"/>
      <c r="U176" s="6"/>
      <c r="V176" s="6"/>
      <c r="W176" s="6"/>
      <c r="X176" s="6"/>
      <c r="Y176" s="6"/>
      <c r="Z176" s="6"/>
      <c r="AX176" s="6" t="str">
        <v>Quarter 1</v>
      </c>
    </row>
    <row r="177" spans="1:50" ht="31.4" customHeight="1" x14ac:dyDescent="0.35">
      <c r="A177" s="136" t="s">
        <v>575</v>
      </c>
      <c r="B177" s="4" t="s">
        <v>8</v>
      </c>
      <c r="C177" s="4" t="s">
        <v>8</v>
      </c>
      <c r="D177" s="4" t="s">
        <v>440</v>
      </c>
      <c r="E177" s="157">
        <v>45434</v>
      </c>
      <c r="F177" s="9">
        <f>IF($E177="","",WORKDAY($E177,1,$V$33:$V$47))</f>
        <v>45435</v>
      </c>
      <c r="G177" s="9">
        <f>IF($E177="","",WORKDAY($E177,10,$V$33:$V$47))</f>
        <v>45448</v>
      </c>
      <c r="H177" s="9">
        <f>IF($E177="","",WORKDAY($E177,20,$V$33:$V$47))</f>
        <v>45462</v>
      </c>
      <c r="I177" s="157" t="str">
        <f t="shared" si="2"/>
        <v>May</v>
      </c>
      <c r="J177" s="14" t="str">
        <f ca="1">IF(E177="","",IF(N177="",H177-TODAY(),""))</f>
        <v/>
      </c>
      <c r="K177" s="157" t="s">
        <v>10</v>
      </c>
      <c r="L177" s="157" t="s">
        <v>9</v>
      </c>
      <c r="M177" s="157" t="s">
        <v>38</v>
      </c>
      <c r="N177" s="9">
        <v>45448</v>
      </c>
      <c r="O177" s="159">
        <f>IF($N177="","",NETWORKDAYS($E177,$N177,$V$33:$V$47)-1)</f>
        <v>10</v>
      </c>
      <c r="P177" s="10" t="str">
        <f>IF(ISBLANK(N177),"",IF(N177&gt;H177,"No","Yes"))</f>
        <v>Yes</v>
      </c>
      <c r="Q177" s="9" t="s">
        <v>117</v>
      </c>
      <c r="R177" s="4" t="s">
        <v>118</v>
      </c>
      <c r="S177" s="4"/>
      <c r="T177" s="4" t="s">
        <v>141</v>
      </c>
      <c r="U177" s="6"/>
      <c r="V177" s="6"/>
      <c r="W177" s="6"/>
      <c r="X177" s="6"/>
      <c r="Y177" s="6"/>
      <c r="Z177" s="6"/>
      <c r="AX177" s="6" t="str">
        <v>Quarter 1</v>
      </c>
    </row>
    <row r="178" spans="1:50" ht="31.4" customHeight="1" x14ac:dyDescent="0.35">
      <c r="A178" s="136" t="s">
        <v>576</v>
      </c>
      <c r="B178" s="4" t="s">
        <v>577</v>
      </c>
      <c r="C178" s="4" t="s">
        <v>25</v>
      </c>
      <c r="D178" s="4" t="s">
        <v>578</v>
      </c>
      <c r="E178" s="157">
        <v>45435</v>
      </c>
      <c r="F178" s="9">
        <f>IF($E178="","",WORKDAY($E178,1,$V$33:$V$47))</f>
        <v>45436</v>
      </c>
      <c r="G178" s="9">
        <f>IF($E178="","",WORKDAY($E178,10,$V$33:$V$47))</f>
        <v>45449</v>
      </c>
      <c r="H178" s="9">
        <f>IF($E178="","",WORKDAY($E178,20,$V$33:$V$47))</f>
        <v>45463</v>
      </c>
      <c r="I178" s="157" t="str">
        <f t="shared" si="2"/>
        <v>May</v>
      </c>
      <c r="J178" s="14" t="str">
        <f ca="1">IF(E178="","",IF(N178="",H178-TODAY(),""))</f>
        <v/>
      </c>
      <c r="K178" s="157" t="s">
        <v>5</v>
      </c>
      <c r="L178" s="157" t="s">
        <v>18</v>
      </c>
      <c r="M178" s="157" t="s">
        <v>66</v>
      </c>
      <c r="N178" s="9">
        <v>45435</v>
      </c>
      <c r="O178" s="159">
        <f>IF($N178="","",NETWORKDAYS($E178,$N178,$V$33:$V$47)-1)</f>
        <v>0</v>
      </c>
      <c r="P178" s="10" t="str">
        <f>IF(ISBLANK(N178),"",IF(N178&gt;H178,"No","Yes"))</f>
        <v>Yes</v>
      </c>
      <c r="Q178" s="9" t="s">
        <v>117</v>
      </c>
      <c r="R178" s="4" t="s">
        <v>150</v>
      </c>
      <c r="S178" s="4"/>
      <c r="T178" s="4"/>
      <c r="U178" s="6"/>
      <c r="V178" s="6"/>
      <c r="W178" s="6"/>
      <c r="X178" s="6"/>
      <c r="Y178" s="6"/>
      <c r="Z178" s="6"/>
      <c r="AX178" s="6" t="str">
        <v>Quarter 1</v>
      </c>
    </row>
    <row r="179" spans="1:50" ht="31.4" customHeight="1" x14ac:dyDescent="0.35">
      <c r="A179" s="136" t="s">
        <v>579</v>
      </c>
      <c r="B179" s="4" t="s">
        <v>580</v>
      </c>
      <c r="C179" s="4" t="s">
        <v>13</v>
      </c>
      <c r="D179" s="4" t="s">
        <v>581</v>
      </c>
      <c r="E179" s="157">
        <v>45435</v>
      </c>
      <c r="F179" s="9">
        <f>IF($E179="","",WORKDAY($E179,1,$V$33:$V$47))</f>
        <v>45436</v>
      </c>
      <c r="G179" s="9">
        <f>IF($E179="","",WORKDAY($E179,10,$V$33:$V$47))</f>
        <v>45449</v>
      </c>
      <c r="H179" s="9">
        <f>IF($E179="","",WORKDAY($E179,20,$V$33:$V$47))</f>
        <v>45463</v>
      </c>
      <c r="I179" s="157" t="str">
        <f t="shared" si="2"/>
        <v>May</v>
      </c>
      <c r="J179" s="14" t="str">
        <f ca="1">IF(E179="","",IF(N179="",H179-TODAY(),""))</f>
        <v/>
      </c>
      <c r="K179" s="157" t="s">
        <v>5</v>
      </c>
      <c r="L179" s="157" t="s">
        <v>18</v>
      </c>
      <c r="M179" s="157" t="s">
        <v>66</v>
      </c>
      <c r="N179" s="9">
        <v>45435</v>
      </c>
      <c r="O179" s="159">
        <f>IF($N179="","",NETWORKDAYS($E179,$N179,$V$33:$V$47)-1)</f>
        <v>0</v>
      </c>
      <c r="P179" s="10" t="str">
        <f>IF(ISBLANK(N179),"",IF(N179&gt;H179,"No","Yes"))</f>
        <v>Yes</v>
      </c>
      <c r="Q179" s="9" t="s">
        <v>117</v>
      </c>
      <c r="R179" s="4" t="s">
        <v>118</v>
      </c>
      <c r="S179" s="4" t="s">
        <v>135</v>
      </c>
      <c r="T179" s="4"/>
      <c r="U179" s="6"/>
      <c r="V179" s="6"/>
      <c r="W179" s="6"/>
      <c r="X179" s="6"/>
      <c r="Y179" s="6"/>
      <c r="Z179" s="6"/>
      <c r="AX179" s="6" t="str">
        <v>Quarter 1</v>
      </c>
    </row>
    <row r="180" spans="1:50" ht="31.4" customHeight="1" x14ac:dyDescent="0.35">
      <c r="A180" s="136" t="s">
        <v>582</v>
      </c>
      <c r="B180" s="4" t="s">
        <v>8</v>
      </c>
      <c r="C180" s="4" t="s">
        <v>8</v>
      </c>
      <c r="D180" s="4" t="s">
        <v>583</v>
      </c>
      <c r="E180" s="157">
        <v>45435</v>
      </c>
      <c r="F180" s="9">
        <f>IF($E180="","",WORKDAY($E180,1,$V$33:$V$47))</f>
        <v>45436</v>
      </c>
      <c r="G180" s="9">
        <f>IF($E180="","",WORKDAY($E180,10,$V$33:$V$47))</f>
        <v>45449</v>
      </c>
      <c r="H180" s="9">
        <f>IF($E180="","",WORKDAY($E180,20,$V$33:$V$47))</f>
        <v>45463</v>
      </c>
      <c r="I180" s="157" t="str">
        <f t="shared" si="2"/>
        <v>May</v>
      </c>
      <c r="J180" s="14" t="str">
        <f ca="1">IF(E180="","",IF(N180="",H180-TODAY(),""))</f>
        <v/>
      </c>
      <c r="K180" s="157" t="s">
        <v>10</v>
      </c>
      <c r="L180" s="157" t="s">
        <v>27</v>
      </c>
      <c r="M180" s="157" t="s">
        <v>91</v>
      </c>
      <c r="N180" s="9">
        <v>45446</v>
      </c>
      <c r="O180" s="159">
        <f>IF($N180="","",NETWORKDAYS($E180,$N180,$V$33:$V$47)-1)</f>
        <v>7</v>
      </c>
      <c r="P180" s="10" t="str">
        <f>IF(ISBLANK(N180),"",IF(N180&gt;H180,"No","Yes"))</f>
        <v>Yes</v>
      </c>
      <c r="Q180" s="9" t="s">
        <v>117</v>
      </c>
      <c r="R180" s="4" t="s">
        <v>118</v>
      </c>
      <c r="S180" s="4"/>
      <c r="T180" s="4"/>
      <c r="U180" s="6"/>
      <c r="V180" s="6"/>
      <c r="W180" s="6"/>
      <c r="X180" s="6"/>
      <c r="Y180" s="6"/>
      <c r="Z180" s="6"/>
      <c r="AX180" s="6" t="str">
        <v>Quarter 1</v>
      </c>
    </row>
    <row r="181" spans="1:50" ht="31.4" customHeight="1" x14ac:dyDescent="0.35">
      <c r="A181" s="136" t="s">
        <v>584</v>
      </c>
      <c r="B181" s="4" t="s">
        <v>8</v>
      </c>
      <c r="C181" s="4" t="s">
        <v>8</v>
      </c>
      <c r="D181" s="4" t="s">
        <v>585</v>
      </c>
      <c r="E181" s="157">
        <v>45435</v>
      </c>
      <c r="F181" s="9">
        <f>IF($E181="","",WORKDAY($E181,1,$V$33:$V$47))</f>
        <v>45436</v>
      </c>
      <c r="G181" s="9">
        <f>IF($E181="","",WORKDAY($E181,10,$V$33:$V$47))</f>
        <v>45449</v>
      </c>
      <c r="H181" s="9">
        <f>IF($E181="","",WORKDAY($E181,20,$V$33:$V$47))</f>
        <v>45463</v>
      </c>
      <c r="I181" s="157" t="str">
        <f t="shared" si="2"/>
        <v>May</v>
      </c>
      <c r="J181" s="14" t="str">
        <f ca="1">IF(E181="","",IF(N181="",H181-TODAY(),""))</f>
        <v/>
      </c>
      <c r="K181" s="157" t="s">
        <v>5</v>
      </c>
      <c r="L181" s="157" t="s">
        <v>16</v>
      </c>
      <c r="M181" s="157" t="s">
        <v>52</v>
      </c>
      <c r="N181" s="9">
        <v>45450</v>
      </c>
      <c r="O181" s="159">
        <f>IF($N181="","",NETWORKDAYS($E181,$N181,$V$33:$V$47)-1)</f>
        <v>11</v>
      </c>
      <c r="P181" s="10" t="str">
        <f>IF(ISBLANK(N181),"",IF(N181&gt;H181,"No","Yes"))</f>
        <v>Yes</v>
      </c>
      <c r="Q181" s="9" t="s">
        <v>117</v>
      </c>
      <c r="R181" s="4" t="s">
        <v>118</v>
      </c>
      <c r="S181" s="4" t="s">
        <v>135</v>
      </c>
      <c r="T181" s="4" t="s">
        <v>141</v>
      </c>
      <c r="U181" s="6"/>
      <c r="V181" s="6"/>
      <c r="W181" s="6"/>
      <c r="X181" s="6"/>
      <c r="Y181" s="6"/>
      <c r="Z181" s="6"/>
      <c r="AX181" s="6" t="str">
        <v>Quarter 1</v>
      </c>
    </row>
    <row r="182" spans="1:50" ht="31.4" customHeight="1" x14ac:dyDescent="0.35">
      <c r="A182" s="136" t="s">
        <v>586</v>
      </c>
      <c r="B182" s="4" t="s">
        <v>587</v>
      </c>
      <c r="C182" s="4" t="s">
        <v>17</v>
      </c>
      <c r="D182" s="4" t="s">
        <v>588</v>
      </c>
      <c r="E182" s="157">
        <v>45435</v>
      </c>
      <c r="F182" s="9">
        <f>IF($E182="","",WORKDAY($E182,1,$V$33:$V$47))</f>
        <v>45436</v>
      </c>
      <c r="G182" s="9">
        <f>IF($E182="","",WORKDAY($E182,10,$V$33:$V$47))</f>
        <v>45449</v>
      </c>
      <c r="H182" s="9">
        <f>IF($E182="","",WORKDAY($E182,20,$V$33:$V$47))</f>
        <v>45463</v>
      </c>
      <c r="I182" s="157" t="str">
        <f t="shared" si="2"/>
        <v>May</v>
      </c>
      <c r="J182" s="14" t="str">
        <f ca="1">IF(E182="","",IF(N182="",H182-TODAY(),""))</f>
        <v/>
      </c>
      <c r="K182" s="157" t="s">
        <v>5</v>
      </c>
      <c r="L182" s="157" t="s">
        <v>16</v>
      </c>
      <c r="M182" s="157" t="s">
        <v>67</v>
      </c>
      <c r="N182" s="9">
        <v>45442</v>
      </c>
      <c r="O182" s="159">
        <f>IF($N182="","",NETWORKDAYS($E182,$N182,$V$33:$V$47)-1)</f>
        <v>5</v>
      </c>
      <c r="P182" s="10" t="str">
        <f>IF(ISBLANK(N182),"",IF(N182&gt;H182,"No","Yes"))</f>
        <v>Yes</v>
      </c>
      <c r="Q182" s="9" t="s">
        <v>117</v>
      </c>
      <c r="R182" s="4" t="s">
        <v>118</v>
      </c>
      <c r="S182" s="4"/>
      <c r="T182" s="4"/>
      <c r="U182" s="6"/>
      <c r="V182" s="6"/>
      <c r="W182" s="6"/>
      <c r="X182" s="6"/>
      <c r="Y182" s="6"/>
      <c r="Z182" s="6"/>
      <c r="AX182" s="6" t="str">
        <v>Quarter 1</v>
      </c>
    </row>
    <row r="183" spans="1:50" ht="31.4" customHeight="1" x14ac:dyDescent="0.35">
      <c r="A183" s="136" t="s">
        <v>589</v>
      </c>
      <c r="B183" s="7" t="s">
        <v>8</v>
      </c>
      <c r="C183" s="7" t="s">
        <v>8</v>
      </c>
      <c r="D183" s="161" t="s">
        <v>590</v>
      </c>
      <c r="E183" s="157">
        <v>45436</v>
      </c>
      <c r="F183" s="9">
        <f>IF($E183="","",WORKDAY($E183,1,$V$33:$V$47))</f>
        <v>45439</v>
      </c>
      <c r="G183" s="9">
        <f>IF($E183="","",WORKDAY($E183,10,$V$33:$V$47))</f>
        <v>45450</v>
      </c>
      <c r="H183" s="9">
        <f>IF($E183="","",WORKDAY($E183,20,$V$33:$V$47))</f>
        <v>45464</v>
      </c>
      <c r="I183" s="157" t="str">
        <f t="shared" si="2"/>
        <v>May</v>
      </c>
      <c r="J183" s="14" t="str">
        <f ca="1">IF(E183="","",IF(N183="",H183-TODAY(),""))</f>
        <v/>
      </c>
      <c r="K183" s="157" t="s">
        <v>5</v>
      </c>
      <c r="L183" s="157" t="s">
        <v>16</v>
      </c>
      <c r="M183" s="157" t="s">
        <v>52</v>
      </c>
      <c r="N183" s="9">
        <v>45481</v>
      </c>
      <c r="O183" s="159">
        <f>IF($N183="","",NETWORKDAYS($E183,$N183,$V$33:$V$47)-1)</f>
        <v>31</v>
      </c>
      <c r="P183" s="10" t="str">
        <f>IF(ISBLANK(N183),"",IF(N183&gt;H183,"No","Yes"))</f>
        <v>No</v>
      </c>
      <c r="Q183" s="16" t="s">
        <v>117</v>
      </c>
      <c r="R183" s="7" t="s">
        <v>118</v>
      </c>
      <c r="S183" s="4"/>
      <c r="T183" s="7" t="s">
        <v>141</v>
      </c>
      <c r="U183" s="6"/>
      <c r="V183" s="6"/>
      <c r="W183" s="6"/>
      <c r="X183" s="6"/>
      <c r="Y183" s="6"/>
      <c r="Z183" s="6"/>
      <c r="AX183" s="6" t="str">
        <v>Quarter 1</v>
      </c>
    </row>
    <row r="184" spans="1:50" ht="31.4" customHeight="1" x14ac:dyDescent="0.35">
      <c r="A184" s="136" t="s">
        <v>591</v>
      </c>
      <c r="B184" s="4" t="s">
        <v>592</v>
      </c>
      <c r="C184" s="4" t="s">
        <v>13</v>
      </c>
      <c r="D184" s="4" t="s">
        <v>229</v>
      </c>
      <c r="E184" s="157">
        <v>45436</v>
      </c>
      <c r="F184" s="9">
        <f>IF($E184="","",WORKDAY($E184,1,$V$33:$V$47))</f>
        <v>45439</v>
      </c>
      <c r="G184" s="9">
        <f>IF($E184="","",WORKDAY($E184,10,$V$33:$V$47))</f>
        <v>45450</v>
      </c>
      <c r="H184" s="9">
        <f>IF($E184="","",WORKDAY($E184,20,$V$33:$V$47))</f>
        <v>45464</v>
      </c>
      <c r="I184" s="157" t="str">
        <f t="shared" si="2"/>
        <v>May</v>
      </c>
      <c r="J184" s="14" t="str">
        <f ca="1">IF(E184="","",IF(N184="",H184-TODAY(),""))</f>
        <v/>
      </c>
      <c r="K184" s="157" t="s">
        <v>5</v>
      </c>
      <c r="L184" s="157" t="s">
        <v>16</v>
      </c>
      <c r="M184" s="157" t="s">
        <v>71</v>
      </c>
      <c r="N184" s="9">
        <v>45436</v>
      </c>
      <c r="O184" s="159">
        <f>IF($N184="","",NETWORKDAYS($E184,$N184,$V$33:$V$47)-1)</f>
        <v>0</v>
      </c>
      <c r="P184" s="10" t="str">
        <f>IF(ISBLANK(N184),"",IF(N184&gt;H184,"No","Yes"))</f>
        <v>Yes</v>
      </c>
      <c r="Q184" s="9" t="s">
        <v>117</v>
      </c>
      <c r="R184" s="4" t="s">
        <v>118</v>
      </c>
      <c r="S184" s="4" t="s">
        <v>119</v>
      </c>
      <c r="T184" s="4"/>
      <c r="U184" s="6"/>
      <c r="V184" s="6"/>
      <c r="W184" s="6"/>
      <c r="X184" s="6"/>
      <c r="Y184" s="6"/>
      <c r="Z184" s="6"/>
      <c r="AX184" s="6" t="str">
        <v>Quarter 1</v>
      </c>
    </row>
    <row r="185" spans="1:50" ht="31.4" customHeight="1" x14ac:dyDescent="0.35">
      <c r="A185" s="136" t="s">
        <v>593</v>
      </c>
      <c r="B185" s="4" t="s">
        <v>8</v>
      </c>
      <c r="C185" s="4" t="s">
        <v>8</v>
      </c>
      <c r="D185" s="4" t="s">
        <v>594</v>
      </c>
      <c r="E185" s="157">
        <v>45440</v>
      </c>
      <c r="F185" s="9">
        <f>IF($E185="","",WORKDAY($E185,1,$V$33:$V$47))</f>
        <v>45441</v>
      </c>
      <c r="G185" s="9">
        <f>IF($E185="","",WORKDAY($E185,10,$V$33:$V$47))</f>
        <v>45454</v>
      </c>
      <c r="H185" s="9">
        <f>IF($E185="","",WORKDAY($E185,20,$V$33:$V$47))</f>
        <v>45468</v>
      </c>
      <c r="I185" s="157" t="str">
        <f t="shared" si="2"/>
        <v>May</v>
      </c>
      <c r="J185" s="14" t="str">
        <f ca="1">IF(E185="","",IF(N185="",H185-TODAY(),""))</f>
        <v/>
      </c>
      <c r="K185" s="157" t="s">
        <v>10</v>
      </c>
      <c r="L185" s="157" t="s">
        <v>12</v>
      </c>
      <c r="M185" s="157" t="s">
        <v>30</v>
      </c>
      <c r="N185" s="9">
        <v>45456</v>
      </c>
      <c r="O185" s="159">
        <f>IF($N185="","",NETWORKDAYS($E185,$N185,$V$33:$V$47)-1)</f>
        <v>12</v>
      </c>
      <c r="P185" s="10" t="str">
        <f>IF(ISBLANK(N185),"",IF(N185&gt;H185,"No","Yes"))</f>
        <v>Yes</v>
      </c>
      <c r="Q185" s="9" t="s">
        <v>117</v>
      </c>
      <c r="R185" s="4" t="s">
        <v>118</v>
      </c>
      <c r="S185" s="4"/>
      <c r="T185" s="4"/>
      <c r="U185" s="6"/>
      <c r="V185" s="6"/>
      <c r="W185" s="6"/>
      <c r="X185" s="6"/>
      <c r="Y185" s="6"/>
      <c r="Z185" s="6"/>
      <c r="AX185" s="6" t="str">
        <v>Quarter 1</v>
      </c>
    </row>
    <row r="186" spans="1:50" ht="31.4" customHeight="1" x14ac:dyDescent="0.35">
      <c r="A186" s="136" t="s">
        <v>595</v>
      </c>
      <c r="B186" s="4" t="s">
        <v>138</v>
      </c>
      <c r="C186" s="4" t="s">
        <v>19</v>
      </c>
      <c r="D186" s="4" t="s">
        <v>596</v>
      </c>
      <c r="E186" s="157">
        <v>45440</v>
      </c>
      <c r="F186" s="9">
        <f>IF($E186="","",WORKDAY($E186,1,$V$33:$V$47))</f>
        <v>45441</v>
      </c>
      <c r="G186" s="9">
        <f>IF($E186="","",WORKDAY($E186,10,$V$33:$V$47))</f>
        <v>45454</v>
      </c>
      <c r="H186" s="9">
        <f>IF($E186="","",WORKDAY($E186,20,$V$33:$V$47))</f>
        <v>45468</v>
      </c>
      <c r="I186" s="157" t="str">
        <f t="shared" si="2"/>
        <v>May</v>
      </c>
      <c r="J186" s="14" t="str">
        <f ca="1">IF(E186="","",IF(N186="",H186-TODAY(),""))</f>
        <v/>
      </c>
      <c r="K186" s="157" t="s">
        <v>10</v>
      </c>
      <c r="L186" s="157" t="s">
        <v>27</v>
      </c>
      <c r="M186" s="157" t="s">
        <v>37</v>
      </c>
      <c r="N186" s="9">
        <v>45442</v>
      </c>
      <c r="O186" s="159">
        <f>IF($N186="","",NETWORKDAYS($E186,$N186,$V$33:$V$47)-1)</f>
        <v>2</v>
      </c>
      <c r="P186" s="10" t="str">
        <f>IF(ISBLANK(N186),"",IF(N186&gt;H186,"No","Yes"))</f>
        <v>Yes</v>
      </c>
      <c r="Q186" s="9" t="s">
        <v>117</v>
      </c>
      <c r="R186" s="4" t="s">
        <v>118</v>
      </c>
      <c r="S186" s="4"/>
      <c r="T186" s="4"/>
      <c r="U186" s="6"/>
      <c r="V186" s="6"/>
      <c r="W186" s="6"/>
      <c r="X186" s="6"/>
      <c r="Y186" s="6"/>
      <c r="Z186" s="6"/>
      <c r="AX186" s="6" t="str">
        <v>Quarter 1</v>
      </c>
    </row>
    <row r="187" spans="1:50" ht="31.4" customHeight="1" x14ac:dyDescent="0.35">
      <c r="A187" s="136" t="s">
        <v>597</v>
      </c>
      <c r="B187" s="4" t="s">
        <v>8</v>
      </c>
      <c r="C187" s="4" t="s">
        <v>8</v>
      </c>
      <c r="D187" s="4" t="s">
        <v>598</v>
      </c>
      <c r="E187" s="157">
        <v>45440</v>
      </c>
      <c r="F187" s="9">
        <f>IF($E187="","",WORKDAY($E187,1,$V$33:$V$47))</f>
        <v>45441</v>
      </c>
      <c r="G187" s="9">
        <f>IF($E187="","",WORKDAY($E187,10,$V$33:$V$47))</f>
        <v>45454</v>
      </c>
      <c r="H187" s="9">
        <f>IF($E187="","",WORKDAY($E187,20,$V$33:$V$47))</f>
        <v>45468</v>
      </c>
      <c r="I187" s="157" t="str">
        <f t="shared" si="2"/>
        <v>May</v>
      </c>
      <c r="J187" s="14" t="str">
        <f ca="1">IF(E187="","",IF(N187="",H187-TODAY(),""))</f>
        <v/>
      </c>
      <c r="K187" s="157" t="s">
        <v>5</v>
      </c>
      <c r="L187" s="157" t="s">
        <v>18</v>
      </c>
      <c r="M187" s="157" t="s">
        <v>66</v>
      </c>
      <c r="N187" s="9">
        <v>45440</v>
      </c>
      <c r="O187" s="159">
        <f>IF($N187="","",NETWORKDAYS($E187,$N187,$V$33:$V$47)-1)</f>
        <v>0</v>
      </c>
      <c r="P187" s="10" t="str">
        <f>IF(ISBLANK(N187),"",IF(N187&gt;H187,"No","Yes"))</f>
        <v>Yes</v>
      </c>
      <c r="Q187" s="9" t="s">
        <v>117</v>
      </c>
      <c r="R187" s="4" t="s">
        <v>150</v>
      </c>
      <c r="S187" s="4"/>
      <c r="T187" s="4"/>
      <c r="U187" s="6"/>
      <c r="V187" s="6"/>
      <c r="W187" s="6"/>
      <c r="X187" s="6"/>
      <c r="Y187" s="6"/>
      <c r="Z187" s="6"/>
      <c r="AX187" s="6" t="str">
        <v>Quarter 1</v>
      </c>
    </row>
    <row r="188" spans="1:50" ht="31.4" customHeight="1" x14ac:dyDescent="0.35">
      <c r="A188" s="136" t="s">
        <v>599</v>
      </c>
      <c r="B188" s="4" t="s">
        <v>8</v>
      </c>
      <c r="C188" s="4" t="s">
        <v>8</v>
      </c>
      <c r="D188" s="4" t="s">
        <v>600</v>
      </c>
      <c r="E188" s="157">
        <v>45440</v>
      </c>
      <c r="F188" s="9">
        <f>IF($E188="","",WORKDAY($E188,1,$V$33:$V$47))</f>
        <v>45441</v>
      </c>
      <c r="G188" s="9">
        <f>IF($E188="","",WORKDAY($E188,10,$V$33:$V$47))</f>
        <v>45454</v>
      </c>
      <c r="H188" s="9">
        <f>IF($E188="","",WORKDAY($E188,20,$V$33:$V$47))</f>
        <v>45468</v>
      </c>
      <c r="I188" s="157" t="str">
        <f t="shared" si="2"/>
        <v>May</v>
      </c>
      <c r="J188" s="14" t="str">
        <f ca="1">IF(E188="","",IF(N188="",H188-TODAY(),""))</f>
        <v/>
      </c>
      <c r="K188" s="157" t="s">
        <v>124</v>
      </c>
      <c r="L188" s="157" t="s">
        <v>20</v>
      </c>
      <c r="M188" s="157" t="s">
        <v>62</v>
      </c>
      <c r="N188" s="9">
        <v>45467</v>
      </c>
      <c r="O188" s="159">
        <f>IF($N188="","",NETWORKDAYS($E188,$N188,$V$33:$V$47)-1)</f>
        <v>19</v>
      </c>
      <c r="P188" s="10" t="str">
        <f>IF(ISBLANK(N188),"",IF(N188&gt;H188,"No","Yes"))</f>
        <v>Yes</v>
      </c>
      <c r="Q188" s="9" t="s">
        <v>117</v>
      </c>
      <c r="R188" s="4" t="s">
        <v>118</v>
      </c>
      <c r="S188" s="4"/>
      <c r="T188" s="4" t="s">
        <v>141</v>
      </c>
      <c r="U188" s="6"/>
      <c r="V188" s="6"/>
      <c r="W188" s="6"/>
      <c r="X188" s="6"/>
      <c r="Y188" s="6"/>
      <c r="Z188" s="6"/>
      <c r="AX188" s="6" t="str">
        <v>Quarter 1</v>
      </c>
    </row>
    <row r="189" spans="1:50" ht="31.4" customHeight="1" x14ac:dyDescent="0.35">
      <c r="A189" s="136" t="s">
        <v>601</v>
      </c>
      <c r="B189" s="4" t="s">
        <v>258</v>
      </c>
      <c r="C189" s="4" t="s">
        <v>6</v>
      </c>
      <c r="D189" s="4" t="s">
        <v>602</v>
      </c>
      <c r="E189" s="157">
        <v>45440</v>
      </c>
      <c r="F189" s="9">
        <f>IF($E189="","",WORKDAY($E189,1,$V$33:$V$47))</f>
        <v>45441</v>
      </c>
      <c r="G189" s="9">
        <f>IF($E189="","",WORKDAY($E189,10,$V$33:$V$47))</f>
        <v>45454</v>
      </c>
      <c r="H189" s="9">
        <f>IF($E189="","",WORKDAY($E189,20,$V$33:$V$47))</f>
        <v>45468</v>
      </c>
      <c r="I189" s="157" t="str">
        <f t="shared" si="2"/>
        <v>May</v>
      </c>
      <c r="J189" s="14" t="str">
        <f ca="1">IF(E189="","",IF(N189="",H189-TODAY(),""))</f>
        <v/>
      </c>
      <c r="K189" s="157" t="s">
        <v>5</v>
      </c>
      <c r="L189" s="157" t="s">
        <v>22</v>
      </c>
      <c r="M189" s="157" t="s">
        <v>64</v>
      </c>
      <c r="N189" s="9">
        <v>45442</v>
      </c>
      <c r="O189" s="159">
        <f>IF($N189="","",NETWORKDAYS($E189,$N189,$V$33:$V$47)-1)</f>
        <v>2</v>
      </c>
      <c r="P189" s="10" t="str">
        <f>IF(ISBLANK(N189),"",IF(N189&gt;H189,"No","Yes"))</f>
        <v>Yes</v>
      </c>
      <c r="Q189" s="9" t="s">
        <v>117</v>
      </c>
      <c r="R189" s="4" t="s">
        <v>118</v>
      </c>
      <c r="S189" s="4"/>
      <c r="T189" s="4"/>
      <c r="U189" s="6"/>
      <c r="V189" s="6"/>
      <c r="W189" s="6"/>
      <c r="X189" s="6"/>
      <c r="Y189" s="6"/>
      <c r="Z189" s="6"/>
      <c r="AX189" s="6" t="str">
        <v>Quarter 1</v>
      </c>
    </row>
    <row r="190" spans="1:50" ht="31.4" customHeight="1" x14ac:dyDescent="0.35">
      <c r="A190" s="136" t="s">
        <v>603</v>
      </c>
      <c r="B190" s="4" t="s">
        <v>8</v>
      </c>
      <c r="C190" s="4" t="s">
        <v>8</v>
      </c>
      <c r="D190" s="4" t="s">
        <v>448</v>
      </c>
      <c r="E190" s="157">
        <v>45440</v>
      </c>
      <c r="F190" s="9">
        <f>IF($E190="","",WORKDAY($E190,1,$V$33:$V$47))</f>
        <v>45441</v>
      </c>
      <c r="G190" s="9">
        <f>IF($E190="","",WORKDAY($E190,10,$V$33:$V$47))</f>
        <v>45454</v>
      </c>
      <c r="H190" s="9">
        <f>IF($E190="","",WORKDAY($E190,20,$V$33:$V$47))</f>
        <v>45468</v>
      </c>
      <c r="I190" s="157" t="str">
        <f t="shared" si="2"/>
        <v>May</v>
      </c>
      <c r="J190" s="14" t="str">
        <f ca="1">IF(E190="","",IF(N190="",H190-TODAY(),""))</f>
        <v/>
      </c>
      <c r="K190" s="157" t="s">
        <v>124</v>
      </c>
      <c r="L190" s="157" t="s">
        <v>20</v>
      </c>
      <c r="M190" s="157" t="s">
        <v>70</v>
      </c>
      <c r="N190" s="9">
        <v>45440</v>
      </c>
      <c r="O190" s="159">
        <f>IF($N190="","",NETWORKDAYS($E190,$N190,$V$33:$V$47)-1)</f>
        <v>0</v>
      </c>
      <c r="P190" s="10" t="str">
        <f>IF(ISBLANK(N190),"",IF(N190&gt;H190,"No","Yes"))</f>
        <v>Yes</v>
      </c>
      <c r="Q190" s="9" t="s">
        <v>117</v>
      </c>
      <c r="R190" s="4" t="s">
        <v>118</v>
      </c>
      <c r="S190" s="4"/>
      <c r="T190" s="4"/>
      <c r="U190" s="6"/>
      <c r="V190" s="6"/>
      <c r="W190" s="6"/>
      <c r="X190" s="6"/>
      <c r="Y190" s="6"/>
      <c r="Z190" s="6"/>
      <c r="AX190" s="6" t="str">
        <v>Quarter 1</v>
      </c>
    </row>
    <row r="191" spans="1:50" ht="31.4" customHeight="1" x14ac:dyDescent="0.35">
      <c r="A191" s="136" t="s">
        <v>604</v>
      </c>
      <c r="B191" s="7" t="s">
        <v>605</v>
      </c>
      <c r="C191" s="7" t="s">
        <v>13</v>
      </c>
      <c r="D191" s="7" t="s">
        <v>606</v>
      </c>
      <c r="E191" s="25">
        <v>45440</v>
      </c>
      <c r="F191" s="9">
        <f>IF($E191="","",WORKDAY($E191,1,$V$33:$V$47))</f>
        <v>45441</v>
      </c>
      <c r="G191" s="9">
        <f>IF($E191="","",WORKDAY($E191,10,$V$33:$V$47))</f>
        <v>45454</v>
      </c>
      <c r="H191" s="9">
        <f>IF($E191="","",WORKDAY($E191,20,$V$33:$V$47))</f>
        <v>45468</v>
      </c>
      <c r="I191" s="157" t="str">
        <f t="shared" si="2"/>
        <v>May</v>
      </c>
      <c r="J191" s="14" t="str">
        <f ca="1">IF(E191="","",IF(N191="",H191-TODAY(),""))</f>
        <v/>
      </c>
      <c r="K191" s="25" t="s">
        <v>124</v>
      </c>
      <c r="L191" s="25" t="s">
        <v>14</v>
      </c>
      <c r="M191" s="25" t="s">
        <v>83</v>
      </c>
      <c r="N191" s="9">
        <v>45455</v>
      </c>
      <c r="O191" s="159">
        <f>IF($N191="","",NETWORKDAYS($E191,$N191,$V$33:$V$47)-1)</f>
        <v>11</v>
      </c>
      <c r="P191" s="10" t="str">
        <f>IF(ISBLANK(N191),"",IF(N191&gt;H191,"No","Yes"))</f>
        <v>Yes</v>
      </c>
      <c r="Q191" s="16" t="s">
        <v>117</v>
      </c>
      <c r="R191" s="7" t="s">
        <v>118</v>
      </c>
      <c r="S191" s="7" t="s">
        <v>135</v>
      </c>
      <c r="T191" s="7"/>
      <c r="U191" s="6"/>
      <c r="V191" s="6"/>
      <c r="W191" s="6"/>
      <c r="X191" s="6"/>
      <c r="Y191" s="6"/>
      <c r="Z191" s="6"/>
      <c r="AX191" s="6" t="str">
        <v>Quarter 1</v>
      </c>
    </row>
    <row r="192" spans="1:50" ht="31.4" customHeight="1" x14ac:dyDescent="0.35">
      <c r="A192" s="136" t="s">
        <v>607</v>
      </c>
      <c r="B192" s="4" t="s">
        <v>608</v>
      </c>
      <c r="C192" s="4" t="s">
        <v>13</v>
      </c>
      <c r="D192" s="4" t="s">
        <v>609</v>
      </c>
      <c r="E192" s="157">
        <v>45440</v>
      </c>
      <c r="F192" s="9">
        <f>IF($E192="","",WORKDAY($E192,1,$V$33:$V$47))</f>
        <v>45441</v>
      </c>
      <c r="G192" s="9">
        <f>IF($E192="","",WORKDAY($E192,10,$V$33:$V$47))</f>
        <v>45454</v>
      </c>
      <c r="H192" s="9">
        <f>IF($E192="","",WORKDAY($E192,20,$V$33:$V$47))</f>
        <v>45468</v>
      </c>
      <c r="I192" s="157" t="str">
        <f t="shared" si="2"/>
        <v>May</v>
      </c>
      <c r="J192" s="14" t="str">
        <f ca="1">IF(E192="","",IF(N192="",H192-TODAY(),""))</f>
        <v/>
      </c>
      <c r="K192" s="157" t="s">
        <v>5</v>
      </c>
      <c r="L192" s="157" t="s">
        <v>18</v>
      </c>
      <c r="M192" s="157" t="s">
        <v>66</v>
      </c>
      <c r="N192" s="9">
        <v>45441</v>
      </c>
      <c r="O192" s="159">
        <f>IF($N192="","",NETWORKDAYS($E192,$N192,$V$33:$V$47)-1)</f>
        <v>1</v>
      </c>
      <c r="P192" s="10" t="str">
        <f>IF(ISBLANK(N192),"",IF(N192&gt;H192,"No","Yes"))</f>
        <v>Yes</v>
      </c>
      <c r="Q192" s="9" t="s">
        <v>117</v>
      </c>
      <c r="R192" s="4" t="s">
        <v>132</v>
      </c>
      <c r="S192" s="4" t="s">
        <v>134</v>
      </c>
      <c r="T192" s="4"/>
      <c r="U192" s="6"/>
      <c r="V192" s="6"/>
      <c r="W192" s="6"/>
      <c r="X192" s="6"/>
      <c r="Y192" s="6"/>
      <c r="Z192" s="6"/>
      <c r="AX192" s="6" t="str">
        <v>Quarter 1</v>
      </c>
    </row>
    <row r="193" spans="1:50" ht="31.4" customHeight="1" x14ac:dyDescent="0.35">
      <c r="A193" s="136" t="s">
        <v>610</v>
      </c>
      <c r="B193" s="4" t="s">
        <v>611</v>
      </c>
      <c r="C193" s="4" t="s">
        <v>13</v>
      </c>
      <c r="D193" s="4" t="s">
        <v>612</v>
      </c>
      <c r="E193" s="157">
        <v>45441</v>
      </c>
      <c r="F193" s="9">
        <f>IF($E193="","",WORKDAY($E193,1,$V$33:$V$47))</f>
        <v>45442</v>
      </c>
      <c r="G193" s="9">
        <f>IF($E193="","",WORKDAY($E193,10,$V$33:$V$47))</f>
        <v>45455</v>
      </c>
      <c r="H193" s="9">
        <f>IF($E193="","",WORKDAY($E193,20,$V$33:$V$47))</f>
        <v>45469</v>
      </c>
      <c r="I193" s="157" t="str">
        <f t="shared" si="2"/>
        <v>May</v>
      </c>
      <c r="J193" s="14" t="str">
        <f ca="1">IF(E193="","",IF(N193="",H193-TODAY(),""))</f>
        <v/>
      </c>
      <c r="K193" s="157" t="s">
        <v>124</v>
      </c>
      <c r="L193" s="157" t="s">
        <v>24</v>
      </c>
      <c r="M193" s="157" t="s">
        <v>87</v>
      </c>
      <c r="N193" s="9">
        <v>45441</v>
      </c>
      <c r="O193" s="159">
        <f>IF($N193="","",NETWORKDAYS($E193,$N193,$V$33:$V$47)-1)</f>
        <v>0</v>
      </c>
      <c r="P193" s="10" t="str">
        <f>IF(ISBLANK(N193),"",IF(N193&gt;H193,"No","Yes"))</f>
        <v>Yes</v>
      </c>
      <c r="Q193" s="9" t="s">
        <v>117</v>
      </c>
      <c r="R193" s="4" t="s">
        <v>118</v>
      </c>
      <c r="S193" s="4"/>
      <c r="T193" s="4"/>
      <c r="U193" s="6"/>
      <c r="V193" s="6"/>
      <c r="W193" s="6"/>
      <c r="X193" s="6"/>
      <c r="Y193" s="6"/>
      <c r="Z193" s="6"/>
      <c r="AX193" s="6" t="str">
        <v>Quarter 1</v>
      </c>
    </row>
    <row r="194" spans="1:50" ht="31.4" customHeight="1" x14ac:dyDescent="0.35">
      <c r="A194" s="136" t="s">
        <v>613</v>
      </c>
      <c r="B194" s="4" t="s">
        <v>614</v>
      </c>
      <c r="C194" s="4" t="s">
        <v>13</v>
      </c>
      <c r="D194" s="4" t="s">
        <v>615</v>
      </c>
      <c r="E194" s="157">
        <v>45441</v>
      </c>
      <c r="F194" s="9">
        <f>IF($E194="","",WORKDAY($E194,1,$V$33:$V$47))</f>
        <v>45442</v>
      </c>
      <c r="G194" s="9">
        <f>IF($E194="","",WORKDAY($E194,10,$V$33:$V$47))</f>
        <v>45455</v>
      </c>
      <c r="H194" s="9">
        <f>IF($E194="","",WORKDAY($E194,20,$V$33:$V$47))</f>
        <v>45469</v>
      </c>
      <c r="I194" s="157" t="str">
        <f t="shared" ref="I194:I256" si="3">IF(ISBLANK(E194),"",TEXT(E194,"mmm"))</f>
        <v>May</v>
      </c>
      <c r="J194" s="14" t="str">
        <f ca="1">IF(E194="","",IF(N194="",H194-TODAY(),""))</f>
        <v/>
      </c>
      <c r="K194" s="157" t="s">
        <v>124</v>
      </c>
      <c r="L194" s="157" t="s">
        <v>24</v>
      </c>
      <c r="M194" s="157" t="s">
        <v>87</v>
      </c>
      <c r="N194" s="9">
        <v>45462</v>
      </c>
      <c r="O194" s="159">
        <f>IF($N194="","",NETWORKDAYS($E194,$N194,$V$33:$V$47)-1)</f>
        <v>15</v>
      </c>
      <c r="P194" s="10" t="str">
        <f>IF(ISBLANK(N194),"",IF(N194&gt;H194,"No","Yes"))</f>
        <v>Yes</v>
      </c>
      <c r="Q194" s="9" t="s">
        <v>117</v>
      </c>
      <c r="R194" s="4" t="s">
        <v>118</v>
      </c>
      <c r="S194" s="4"/>
      <c r="T194" s="4"/>
      <c r="U194" s="6"/>
      <c r="V194" s="6"/>
      <c r="W194" s="6"/>
      <c r="X194" s="6"/>
      <c r="Y194" s="6"/>
      <c r="Z194" s="6"/>
      <c r="AX194" s="6" t="str">
        <v>Quarter 1</v>
      </c>
    </row>
    <row r="195" spans="1:50" ht="31.4" customHeight="1" x14ac:dyDescent="0.35">
      <c r="A195" s="136" t="s">
        <v>616</v>
      </c>
      <c r="B195" s="4" t="s">
        <v>617</v>
      </c>
      <c r="C195" s="4" t="s">
        <v>13</v>
      </c>
      <c r="D195" s="4" t="s">
        <v>618</v>
      </c>
      <c r="E195" s="157">
        <v>45441</v>
      </c>
      <c r="F195" s="9">
        <f>IF($E195="","",WORKDAY($E195,1,$V$33:$V$47))</f>
        <v>45442</v>
      </c>
      <c r="G195" s="9">
        <f>IF($E195="","",WORKDAY($E195,10,$V$33:$V$47))</f>
        <v>45455</v>
      </c>
      <c r="H195" s="9">
        <f>IF($E195="","",WORKDAY($E195,20,$V$33:$V$47))</f>
        <v>45469</v>
      </c>
      <c r="I195" s="157" t="str">
        <f t="shared" si="3"/>
        <v>May</v>
      </c>
      <c r="J195" s="14" t="str">
        <f ca="1">IF(E195="","",IF(N195="",H195-TODAY(),""))</f>
        <v/>
      </c>
      <c r="K195" s="157" t="s">
        <v>124</v>
      </c>
      <c r="L195" s="157" t="s">
        <v>14</v>
      </c>
      <c r="M195" s="157" t="s">
        <v>83</v>
      </c>
      <c r="N195" s="9">
        <v>45447</v>
      </c>
      <c r="O195" s="159">
        <f>IF($N195="","",NETWORKDAYS($E195,$N195,$V$33:$V$47)-1)</f>
        <v>4</v>
      </c>
      <c r="P195" s="10" t="str">
        <f>IF(ISBLANK(N195),"",IF(N195&gt;H195,"No","Yes"))</f>
        <v>Yes</v>
      </c>
      <c r="Q195" s="9" t="s">
        <v>117</v>
      </c>
      <c r="R195" s="4" t="s">
        <v>118</v>
      </c>
      <c r="S195" s="4" t="s">
        <v>135</v>
      </c>
      <c r="T195" s="4"/>
      <c r="U195" s="6"/>
      <c r="V195" s="6"/>
      <c r="W195" s="6"/>
      <c r="X195" s="6"/>
      <c r="Y195" s="6"/>
      <c r="Z195" s="6"/>
      <c r="AX195" s="6" t="str">
        <v>Quarter 1</v>
      </c>
    </row>
    <row r="196" spans="1:50" ht="31.4" customHeight="1" x14ac:dyDescent="0.35">
      <c r="A196" s="136" t="s">
        <v>619</v>
      </c>
      <c r="B196" s="4" t="s">
        <v>620</v>
      </c>
      <c r="C196" s="4" t="s">
        <v>13</v>
      </c>
      <c r="D196" s="4" t="s">
        <v>621</v>
      </c>
      <c r="E196" s="157">
        <v>45441</v>
      </c>
      <c r="F196" s="9">
        <f>IF($E196="","",WORKDAY($E196,1,$V$33:$V$47))</f>
        <v>45442</v>
      </c>
      <c r="G196" s="9">
        <f>IF($E196="","",WORKDAY($E196,10,$V$33:$V$47))</f>
        <v>45455</v>
      </c>
      <c r="H196" s="9">
        <f>IF($E196="","",WORKDAY($E196,20,$V$33:$V$47))</f>
        <v>45469</v>
      </c>
      <c r="I196" s="157" t="str">
        <f t="shared" si="3"/>
        <v>May</v>
      </c>
      <c r="J196" s="14" t="str">
        <f ca="1">IF(E196="","",IF(N196="",H196-TODAY(),""))</f>
        <v/>
      </c>
      <c r="K196" s="157" t="s">
        <v>5</v>
      </c>
      <c r="L196" s="157" t="s">
        <v>18</v>
      </c>
      <c r="M196" s="157" t="s">
        <v>66</v>
      </c>
      <c r="N196" s="9">
        <v>45441</v>
      </c>
      <c r="O196" s="159">
        <f>IF($N196="","",NETWORKDAYS($E196,$N196,$V$33:$V$47)-1)</f>
        <v>0</v>
      </c>
      <c r="P196" s="10" t="str">
        <f>IF(ISBLANK(N196),"",IF(N196&gt;H196,"No","Yes"))</f>
        <v>Yes</v>
      </c>
      <c r="Q196" s="9" t="s">
        <v>117</v>
      </c>
      <c r="R196" s="4" t="s">
        <v>150</v>
      </c>
      <c r="S196" s="4"/>
      <c r="T196" s="4"/>
      <c r="U196" s="6"/>
      <c r="V196" s="6"/>
      <c r="W196" s="6"/>
      <c r="X196" s="6"/>
      <c r="Y196" s="6"/>
      <c r="Z196" s="6"/>
      <c r="AX196" s="6" t="str">
        <v>Quarter 1</v>
      </c>
    </row>
    <row r="197" spans="1:50" ht="31.4" customHeight="1" x14ac:dyDescent="0.35">
      <c r="A197" s="136" t="s">
        <v>622</v>
      </c>
      <c r="B197" s="4" t="s">
        <v>8</v>
      </c>
      <c r="C197" s="4" t="s">
        <v>8</v>
      </c>
      <c r="D197" s="4" t="s">
        <v>623</v>
      </c>
      <c r="E197" s="157">
        <v>45442</v>
      </c>
      <c r="F197" s="9">
        <f>IF($E197="","",WORKDAY($E197,1,$V$33:$V$47))</f>
        <v>45443</v>
      </c>
      <c r="G197" s="9">
        <f>IF($E197="","",WORKDAY($E197,10,$V$33:$V$47))</f>
        <v>45456</v>
      </c>
      <c r="H197" s="9">
        <f>IF($E197="","",WORKDAY($E197,20,$V$33:$V$47))</f>
        <v>45470</v>
      </c>
      <c r="I197" s="157" t="str">
        <f t="shared" si="3"/>
        <v>May</v>
      </c>
      <c r="J197" s="14" t="str">
        <f ca="1">IF(E197="","",IF(N197="",H197-TODAY(),""))</f>
        <v/>
      </c>
      <c r="K197" s="157" t="s">
        <v>10</v>
      </c>
      <c r="L197" s="157" t="s">
        <v>12</v>
      </c>
      <c r="M197" s="157" t="s">
        <v>30</v>
      </c>
      <c r="N197" s="9">
        <v>45446</v>
      </c>
      <c r="O197" s="159">
        <f>IF($N197="","",NETWORKDAYS($E197,$N197,$V$33:$V$47)-1)</f>
        <v>2</v>
      </c>
      <c r="P197" s="10" t="str">
        <f>IF(ISBLANK(N197),"",IF(N197&gt;H197,"No","Yes"))</f>
        <v>Yes</v>
      </c>
      <c r="Q197" s="9" t="s">
        <v>117</v>
      </c>
      <c r="R197" s="4" t="s">
        <v>118</v>
      </c>
      <c r="S197" s="4"/>
      <c r="T197" s="4"/>
      <c r="U197" s="6"/>
      <c r="V197" s="6"/>
      <c r="W197" s="6"/>
      <c r="X197" s="6"/>
      <c r="Y197" s="6"/>
      <c r="Z197" s="6"/>
      <c r="AX197" s="6" t="str">
        <v>Quarter 1</v>
      </c>
    </row>
    <row r="198" spans="1:50" ht="31.4" customHeight="1" x14ac:dyDescent="0.35">
      <c r="A198" s="136" t="s">
        <v>624</v>
      </c>
      <c r="B198" s="4" t="s">
        <v>138</v>
      </c>
      <c r="C198" s="4" t="s">
        <v>19</v>
      </c>
      <c r="D198" s="4" t="s">
        <v>625</v>
      </c>
      <c r="E198" s="157">
        <v>45442</v>
      </c>
      <c r="F198" s="9">
        <f>IF($E198="","",WORKDAY($E198,1,$V$33:$V$47))</f>
        <v>45443</v>
      </c>
      <c r="G198" s="9">
        <f>IF($E198="","",WORKDAY($E198,10,$V$33:$V$47))</f>
        <v>45456</v>
      </c>
      <c r="H198" s="9">
        <f>IF($E198="","",WORKDAY($E198,20,$V$33:$V$47))</f>
        <v>45470</v>
      </c>
      <c r="I198" s="157" t="str">
        <f t="shared" si="3"/>
        <v>May</v>
      </c>
      <c r="J198" s="14" t="str">
        <f ca="1">IF(E198="","",IF(N198="",H198-TODAY(),""))</f>
        <v/>
      </c>
      <c r="K198" s="157" t="s">
        <v>10</v>
      </c>
      <c r="L198" s="157" t="s">
        <v>9</v>
      </c>
      <c r="M198" s="157" t="s">
        <v>38</v>
      </c>
      <c r="N198" s="9">
        <v>45456</v>
      </c>
      <c r="O198" s="159">
        <f>IF($N198="","",NETWORKDAYS($E198,$N198,$V$33:$V$47)-1)</f>
        <v>10</v>
      </c>
      <c r="P198" s="10" t="str">
        <f>IF(ISBLANK(N198),"",IF(N198&gt;H198,"No","Yes"))</f>
        <v>Yes</v>
      </c>
      <c r="Q198" s="9" t="s">
        <v>117</v>
      </c>
      <c r="R198" s="4" t="s">
        <v>118</v>
      </c>
      <c r="S198" s="4" t="s">
        <v>135</v>
      </c>
      <c r="T198" s="4"/>
      <c r="U198" s="6"/>
      <c r="V198" s="6"/>
      <c r="W198" s="6"/>
      <c r="X198" s="6"/>
      <c r="Y198" s="6"/>
      <c r="Z198" s="6"/>
      <c r="AX198" s="6" t="str">
        <v>Quarter 1</v>
      </c>
    </row>
    <row r="199" spans="1:50" ht="31.4" customHeight="1" x14ac:dyDescent="0.35">
      <c r="A199" s="136" t="s">
        <v>626</v>
      </c>
      <c r="B199" s="4" t="s">
        <v>627</v>
      </c>
      <c r="C199" s="4" t="s">
        <v>13</v>
      </c>
      <c r="D199" s="4" t="s">
        <v>628</v>
      </c>
      <c r="E199" s="157">
        <v>45442</v>
      </c>
      <c r="F199" s="9">
        <f>IF($E199="","",WORKDAY($E199,1,$V$33:$V$47))</f>
        <v>45443</v>
      </c>
      <c r="G199" s="9">
        <f>IF($E199="","",WORKDAY($E199,10,$V$33:$V$47))</f>
        <v>45456</v>
      </c>
      <c r="H199" s="9">
        <f>IF($E199="","",WORKDAY($E199,20,$V$33:$V$47))</f>
        <v>45470</v>
      </c>
      <c r="I199" s="157" t="str">
        <f t="shared" si="3"/>
        <v>May</v>
      </c>
      <c r="J199" s="14" t="str">
        <f ca="1">IF(E199="","",IF(N199="",H199-TODAY(),""))</f>
        <v/>
      </c>
      <c r="K199" s="157" t="s">
        <v>5</v>
      </c>
      <c r="L199" s="157" t="s">
        <v>16</v>
      </c>
      <c r="M199" s="157" t="s">
        <v>71</v>
      </c>
      <c r="N199" s="9">
        <v>45446</v>
      </c>
      <c r="O199" s="159">
        <f>IF($N199="","",NETWORKDAYS($E199,$N199,$V$33:$V$47)-1)</f>
        <v>2</v>
      </c>
      <c r="P199" s="10" t="str">
        <f>IF(ISBLANK(N199),"",IF(N199&gt;H199,"No","Yes"))</f>
        <v>Yes</v>
      </c>
      <c r="Q199" s="9" t="s">
        <v>117</v>
      </c>
      <c r="R199" s="4" t="s">
        <v>132</v>
      </c>
      <c r="S199" s="4" t="s">
        <v>120</v>
      </c>
      <c r="T199" s="4"/>
      <c r="U199" s="6"/>
      <c r="V199" s="6"/>
      <c r="W199" s="6"/>
      <c r="X199" s="6"/>
      <c r="Y199" s="6"/>
      <c r="Z199" s="6"/>
      <c r="AX199" s="6" t="str">
        <v>Quarter 1</v>
      </c>
    </row>
    <row r="200" spans="1:50" ht="31.4" customHeight="1" x14ac:dyDescent="0.35">
      <c r="A200" s="136" t="s">
        <v>629</v>
      </c>
      <c r="B200" s="4" t="s">
        <v>228</v>
      </c>
      <c r="C200" s="4" t="s">
        <v>13</v>
      </c>
      <c r="D200" s="4" t="s">
        <v>630</v>
      </c>
      <c r="E200" s="157">
        <v>45442</v>
      </c>
      <c r="F200" s="9">
        <f>IF($E200="","",WORKDAY($E200,1,$V$33:$V$47))</f>
        <v>45443</v>
      </c>
      <c r="G200" s="9">
        <f>IF($E200="","",WORKDAY($E200,10,$V$33:$V$47))</f>
        <v>45456</v>
      </c>
      <c r="H200" s="9">
        <f>IF($E200="","",WORKDAY($E200,20,$V$33:$V$47))</f>
        <v>45470</v>
      </c>
      <c r="I200" s="157" t="str">
        <f t="shared" si="3"/>
        <v>May</v>
      </c>
      <c r="J200" s="14" t="str">
        <f ca="1">IF(E200="","",IF(N200="",H200-TODAY(),""))</f>
        <v/>
      </c>
      <c r="K200" s="157" t="s">
        <v>5</v>
      </c>
      <c r="L200" s="157" t="s">
        <v>16</v>
      </c>
      <c r="M200" s="157" t="s">
        <v>71</v>
      </c>
      <c r="N200" s="9">
        <v>45460</v>
      </c>
      <c r="O200" s="159">
        <f>IF($N200="","",NETWORKDAYS($E200,$N200,$V$33:$V$47)-1)</f>
        <v>12</v>
      </c>
      <c r="P200" s="10" t="str">
        <f>IF(ISBLANK(N200),"",IF(N200&gt;H200,"No","Yes"))</f>
        <v>Yes</v>
      </c>
      <c r="Q200" s="9" t="s">
        <v>117</v>
      </c>
      <c r="R200" s="4" t="s">
        <v>118</v>
      </c>
      <c r="S200" s="4"/>
      <c r="T200" s="4"/>
      <c r="U200" s="6"/>
      <c r="V200" s="6"/>
      <c r="W200" s="6"/>
      <c r="X200" s="6"/>
      <c r="Y200" s="6"/>
      <c r="Z200" s="6"/>
      <c r="AX200" s="6" t="str">
        <v>Quarter 1</v>
      </c>
    </row>
    <row r="201" spans="1:50" ht="31.4" customHeight="1" x14ac:dyDescent="0.35">
      <c r="A201" s="136" t="s">
        <v>631</v>
      </c>
      <c r="B201" s="4" t="s">
        <v>632</v>
      </c>
      <c r="C201" s="4" t="s">
        <v>13</v>
      </c>
      <c r="D201" s="4" t="s">
        <v>633</v>
      </c>
      <c r="E201" s="157">
        <v>45442</v>
      </c>
      <c r="F201" s="9">
        <f>IF($E201="","",WORKDAY($E201,1,$V$33:$V$47))</f>
        <v>45443</v>
      </c>
      <c r="G201" s="9">
        <f>IF($E201="","",WORKDAY($E201,10,$V$33:$V$47))</f>
        <v>45456</v>
      </c>
      <c r="H201" s="9">
        <f>IF($E201="","",WORKDAY($E201,20,$V$33:$V$47))</f>
        <v>45470</v>
      </c>
      <c r="I201" s="157" t="str">
        <f t="shared" si="3"/>
        <v>May</v>
      </c>
      <c r="J201" s="14" t="str">
        <f ca="1">IF(E201="","",IF(N201="",H201-TODAY(),""))</f>
        <v/>
      </c>
      <c r="K201" s="157" t="s">
        <v>4</v>
      </c>
      <c r="L201" s="157" t="s">
        <v>7</v>
      </c>
      <c r="M201" s="157" t="s">
        <v>31</v>
      </c>
      <c r="N201" s="9">
        <v>45450</v>
      </c>
      <c r="O201" s="159">
        <f>IF($N201="","",NETWORKDAYS($E201,$N201,$V$33:$V$47)-1)</f>
        <v>6</v>
      </c>
      <c r="P201" s="10" t="str">
        <f>IF(ISBLANK(N201),"",IF(N201&gt;H201,"No","Yes"))</f>
        <v>Yes</v>
      </c>
      <c r="Q201" s="9" t="s">
        <v>117</v>
      </c>
      <c r="R201" s="4" t="s">
        <v>118</v>
      </c>
      <c r="S201" s="4"/>
      <c r="T201" s="4"/>
      <c r="U201" s="6"/>
      <c r="V201" s="6"/>
      <c r="W201" s="6"/>
      <c r="X201" s="6"/>
      <c r="Y201" s="6"/>
      <c r="Z201" s="6"/>
      <c r="AX201" s="6" t="str">
        <v>Quarter 1</v>
      </c>
    </row>
    <row r="202" spans="1:50" ht="31.4" customHeight="1" x14ac:dyDescent="0.35">
      <c r="A202" s="136" t="s">
        <v>634</v>
      </c>
      <c r="B202" s="4" t="s">
        <v>8</v>
      </c>
      <c r="C202" s="4" t="s">
        <v>8</v>
      </c>
      <c r="D202" s="4" t="s">
        <v>635</v>
      </c>
      <c r="E202" s="157">
        <v>45442</v>
      </c>
      <c r="F202" s="9">
        <f>IF($E202="","",WORKDAY($E202,1,$V$33:$V$47))</f>
        <v>45443</v>
      </c>
      <c r="G202" s="9">
        <f>IF($E202="","",WORKDAY($E202,10,$V$33:$V$47))</f>
        <v>45456</v>
      </c>
      <c r="H202" s="9">
        <f>IF($E202="","",WORKDAY($E202,20,$V$33:$V$47))</f>
        <v>45470</v>
      </c>
      <c r="I202" s="157" t="str">
        <f t="shared" si="3"/>
        <v>May</v>
      </c>
      <c r="J202" s="14" t="str">
        <f ca="1">IF(E202="","",IF(N202="",H202-TODAY(),""))</f>
        <v/>
      </c>
      <c r="K202" s="157" t="s">
        <v>124</v>
      </c>
      <c r="L202" s="157" t="s">
        <v>20</v>
      </c>
      <c r="M202" s="157" t="s">
        <v>70</v>
      </c>
      <c r="N202" s="9">
        <v>45443</v>
      </c>
      <c r="O202" s="159">
        <f>IF($N202="","",NETWORKDAYS($E202,$N202,$V$33:$V$47)-1)</f>
        <v>1</v>
      </c>
      <c r="P202" s="10" t="str">
        <f>IF(ISBLANK(N202),"",IF(N202&gt;H202,"No","Yes"))</f>
        <v>Yes</v>
      </c>
      <c r="Q202" s="9" t="s">
        <v>117</v>
      </c>
      <c r="R202" s="4" t="s">
        <v>118</v>
      </c>
      <c r="S202" s="4"/>
      <c r="T202" s="4"/>
      <c r="U202" s="6"/>
      <c r="V202" s="6"/>
      <c r="W202" s="6"/>
      <c r="X202" s="6"/>
      <c r="Y202" s="6"/>
      <c r="Z202" s="6"/>
      <c r="AX202" s="6" t="str">
        <v>Quarter 1</v>
      </c>
    </row>
    <row r="203" spans="1:50" ht="31.4" customHeight="1" x14ac:dyDescent="0.35">
      <c r="A203" s="136" t="s">
        <v>636</v>
      </c>
      <c r="B203" s="4" t="s">
        <v>637</v>
      </c>
      <c r="C203" s="4" t="s">
        <v>13</v>
      </c>
      <c r="D203" s="4" t="s">
        <v>638</v>
      </c>
      <c r="E203" s="157">
        <v>45442</v>
      </c>
      <c r="F203" s="9">
        <f>IF($E203="","",WORKDAY($E203,1,$V$33:$V$47))</f>
        <v>45443</v>
      </c>
      <c r="G203" s="9">
        <f>IF($E203="","",WORKDAY($E203,10,$V$33:$V$47))</f>
        <v>45456</v>
      </c>
      <c r="H203" s="9">
        <f>IF($E203="","",WORKDAY($E203,20,$V$33:$V$47))</f>
        <v>45470</v>
      </c>
      <c r="I203" s="157" t="str">
        <f t="shared" si="3"/>
        <v>May</v>
      </c>
      <c r="J203" s="14" t="str">
        <f ca="1">IF(E203="","",IF(N203="",H203-TODAY(),""))</f>
        <v/>
      </c>
      <c r="K203" s="157" t="s">
        <v>5</v>
      </c>
      <c r="L203" s="157" t="s">
        <v>18</v>
      </c>
      <c r="M203" s="157" t="s">
        <v>80</v>
      </c>
      <c r="N203" s="9">
        <v>45446</v>
      </c>
      <c r="O203" s="159">
        <f>IF($N203="","",NETWORKDAYS($E203,$N203,$V$33:$V$47)-1)</f>
        <v>2</v>
      </c>
      <c r="P203" s="10" t="str">
        <f>IF(ISBLANK(N203),"",IF(N203&gt;H203,"No","Yes"))</f>
        <v>Yes</v>
      </c>
      <c r="Q203" s="9" t="s">
        <v>117</v>
      </c>
      <c r="R203" s="4" t="s">
        <v>118</v>
      </c>
      <c r="S203" s="4" t="s">
        <v>135</v>
      </c>
      <c r="T203" s="4"/>
      <c r="U203" s="6"/>
      <c r="V203" s="6"/>
      <c r="W203" s="6"/>
      <c r="X203" s="6"/>
      <c r="Y203" s="6"/>
      <c r="Z203" s="6"/>
      <c r="AX203" s="6" t="str">
        <v>Quarter 1</v>
      </c>
    </row>
    <row r="204" spans="1:50" ht="31.4" customHeight="1" x14ac:dyDescent="0.35">
      <c r="A204" s="136" t="s">
        <v>639</v>
      </c>
      <c r="B204" s="4" t="s">
        <v>165</v>
      </c>
      <c r="C204" s="4" t="s">
        <v>6</v>
      </c>
      <c r="D204" s="4" t="s">
        <v>640</v>
      </c>
      <c r="E204" s="157">
        <v>45442</v>
      </c>
      <c r="F204" s="9">
        <f>IF($E204="","",WORKDAY($E204,1,$V$33:$V$47))</f>
        <v>45443</v>
      </c>
      <c r="G204" s="9">
        <f>IF($E204="","",WORKDAY($E204,10,$V$33:$V$47))</f>
        <v>45456</v>
      </c>
      <c r="H204" s="9">
        <f>IF($E204="","",WORKDAY($E204,20,$V$33:$V$47))</f>
        <v>45470</v>
      </c>
      <c r="I204" s="157" t="str">
        <f t="shared" si="3"/>
        <v>May</v>
      </c>
      <c r="J204" s="14" t="str">
        <f ca="1">IF(E204="","",IF(N204="",H204-TODAY(),""))</f>
        <v/>
      </c>
      <c r="K204" s="157" t="s">
        <v>10</v>
      </c>
      <c r="L204" s="157" t="s">
        <v>12</v>
      </c>
      <c r="M204" s="157" t="s">
        <v>65</v>
      </c>
      <c r="N204" s="9">
        <v>45447</v>
      </c>
      <c r="O204" s="159">
        <f>IF($N204="","",NETWORKDAYS($E204,$N204,$V$33:$V$47)-1)</f>
        <v>3</v>
      </c>
      <c r="P204" s="10" t="str">
        <f>IF(ISBLANK(N204),"",IF(N204&gt;H204,"No","Yes"))</f>
        <v>Yes</v>
      </c>
      <c r="Q204" s="9" t="s">
        <v>117</v>
      </c>
      <c r="R204" s="4" t="s">
        <v>118</v>
      </c>
      <c r="S204" s="4"/>
      <c r="T204" s="4" t="s">
        <v>141</v>
      </c>
      <c r="U204" s="6"/>
      <c r="V204" s="6"/>
      <c r="W204" s="6"/>
      <c r="X204" s="6"/>
      <c r="Y204" s="6"/>
      <c r="Z204" s="6"/>
      <c r="AX204" s="6" t="str">
        <v>Quarter 1</v>
      </c>
    </row>
    <row r="205" spans="1:50" ht="31.4" customHeight="1" x14ac:dyDescent="0.35">
      <c r="A205" s="136" t="s">
        <v>641</v>
      </c>
      <c r="B205" s="4" t="s">
        <v>8</v>
      </c>
      <c r="C205" s="4" t="s">
        <v>8</v>
      </c>
      <c r="D205" s="4" t="s">
        <v>642</v>
      </c>
      <c r="E205" s="157">
        <v>45443</v>
      </c>
      <c r="F205" s="9">
        <f>IF($E205="","",WORKDAY($E205,1,$V$33:$V$47))</f>
        <v>45446</v>
      </c>
      <c r="G205" s="9">
        <f>IF($E205="","",WORKDAY($E205,10,$V$33:$V$47))</f>
        <v>45457</v>
      </c>
      <c r="H205" s="9">
        <f>IF($E205="","",WORKDAY($E205,20,$V$33:$V$47))</f>
        <v>45471</v>
      </c>
      <c r="I205" s="157" t="str">
        <f t="shared" si="3"/>
        <v>May</v>
      </c>
      <c r="J205" s="14" t="str">
        <f ca="1">IF(E205="","",IF(N205="",H205-TODAY(),""))</f>
        <v/>
      </c>
      <c r="K205" s="157" t="s">
        <v>124</v>
      </c>
      <c r="L205" s="157" t="s">
        <v>14</v>
      </c>
      <c r="M205" s="157" t="s">
        <v>81</v>
      </c>
      <c r="N205" s="9">
        <v>45446</v>
      </c>
      <c r="O205" s="159">
        <f>IF($N205="","",NETWORKDAYS($E205,$N205,$V$33:$V$47)-1)</f>
        <v>1</v>
      </c>
      <c r="P205" s="10" t="str">
        <f>IF(ISBLANK(N205),"",IF(N205&gt;H205,"No","Yes"))</f>
        <v>Yes</v>
      </c>
      <c r="Q205" s="9" t="s">
        <v>117</v>
      </c>
      <c r="R205" s="4" t="s">
        <v>118</v>
      </c>
      <c r="S205" s="4"/>
      <c r="T205" s="4"/>
      <c r="U205" s="6"/>
      <c r="V205" s="6"/>
      <c r="W205" s="6"/>
      <c r="X205" s="6"/>
      <c r="Y205" s="6"/>
      <c r="Z205" s="6"/>
      <c r="AX205" s="6" t="str">
        <v>Quarter 1</v>
      </c>
    </row>
    <row r="206" spans="1:50" ht="31.4" customHeight="1" x14ac:dyDescent="0.35">
      <c r="A206" s="136" t="s">
        <v>643</v>
      </c>
      <c r="B206" s="4" t="s">
        <v>8</v>
      </c>
      <c r="C206" s="4" t="s">
        <v>8</v>
      </c>
      <c r="D206" s="4" t="s">
        <v>275</v>
      </c>
      <c r="E206" s="157">
        <v>45443</v>
      </c>
      <c r="F206" s="9">
        <f>IF($E206="","",WORKDAY($E206,1,$V$33:$V$47))</f>
        <v>45446</v>
      </c>
      <c r="G206" s="9">
        <f>IF($E206="","",WORKDAY($E206,10,$V$33:$V$47))</f>
        <v>45457</v>
      </c>
      <c r="H206" s="9">
        <f>IF($E206="","",WORKDAY($E206,20,$V$33:$V$47))</f>
        <v>45471</v>
      </c>
      <c r="I206" s="157" t="str">
        <f t="shared" si="3"/>
        <v>May</v>
      </c>
      <c r="J206" s="14" t="str">
        <f ca="1">IF(E206="","",IF(N206="",H206-TODAY(),""))</f>
        <v/>
      </c>
      <c r="K206" s="157" t="s">
        <v>124</v>
      </c>
      <c r="L206" s="157" t="s">
        <v>20</v>
      </c>
      <c r="M206" s="157" t="s">
        <v>70</v>
      </c>
      <c r="N206" s="9">
        <v>45446</v>
      </c>
      <c r="O206" s="159">
        <f>IF($N206="","",NETWORKDAYS($E206,$N206,$V$33:$V$47)-1)</f>
        <v>1</v>
      </c>
      <c r="P206" s="10" t="str">
        <f>IF(ISBLANK(N206),"",IF(N206&gt;H206,"No","Yes"))</f>
        <v>Yes</v>
      </c>
      <c r="Q206" s="9" t="s">
        <v>117</v>
      </c>
      <c r="R206" s="4" t="s">
        <v>132</v>
      </c>
      <c r="S206" s="4" t="s">
        <v>134</v>
      </c>
      <c r="T206" s="4"/>
      <c r="U206" s="6"/>
      <c r="V206" s="6"/>
      <c r="W206" s="6"/>
      <c r="X206" s="6"/>
      <c r="Y206" s="6"/>
      <c r="Z206" s="6"/>
      <c r="AX206" s="6" t="str">
        <v>Quarter 1</v>
      </c>
    </row>
    <row r="207" spans="1:50" ht="31.4" customHeight="1" x14ac:dyDescent="0.35">
      <c r="A207" s="136" t="s">
        <v>644</v>
      </c>
      <c r="B207" s="4" t="s">
        <v>8</v>
      </c>
      <c r="C207" s="4" t="s">
        <v>8</v>
      </c>
      <c r="D207" s="4" t="s">
        <v>645</v>
      </c>
      <c r="E207" s="157">
        <v>45443</v>
      </c>
      <c r="F207" s="9">
        <f>IF($E207="","",WORKDAY($E207,1,$V$33:$V$47))</f>
        <v>45446</v>
      </c>
      <c r="G207" s="9">
        <f>IF($E207="","",WORKDAY($E207,10,$V$33:$V$47))</f>
        <v>45457</v>
      </c>
      <c r="H207" s="9">
        <f>IF($E207="","",WORKDAY($E207,20,$V$33:$V$47))</f>
        <v>45471</v>
      </c>
      <c r="I207" s="157" t="str">
        <f t="shared" si="3"/>
        <v>May</v>
      </c>
      <c r="J207" s="14" t="str">
        <f ca="1">IF(E207="","",IF(N207="",H207-TODAY(),""))</f>
        <v/>
      </c>
      <c r="K207" s="157" t="s">
        <v>124</v>
      </c>
      <c r="L207" s="157" t="s">
        <v>20</v>
      </c>
      <c r="M207" s="157" t="s">
        <v>70</v>
      </c>
      <c r="N207" s="9">
        <v>45446</v>
      </c>
      <c r="O207" s="159">
        <f>IF($N207="","",NETWORKDAYS($E207,$N207,$V$33:$V$47)-1)</f>
        <v>1</v>
      </c>
      <c r="P207" s="10" t="str">
        <f>IF(ISBLANK(N207),"",IF(N207&gt;H207,"No","Yes"))</f>
        <v>Yes</v>
      </c>
      <c r="Q207" s="9" t="s">
        <v>117</v>
      </c>
      <c r="R207" s="4" t="s">
        <v>118</v>
      </c>
      <c r="S207" s="4" t="s">
        <v>119</v>
      </c>
      <c r="T207" s="4"/>
      <c r="U207" s="6"/>
      <c r="V207" s="6"/>
      <c r="W207" s="6"/>
      <c r="X207" s="6"/>
      <c r="Y207" s="6"/>
      <c r="Z207" s="6"/>
      <c r="AX207" s="6" t="str">
        <v>Quarter 1</v>
      </c>
    </row>
    <row r="208" spans="1:50" ht="31.4" customHeight="1" x14ac:dyDescent="0.35">
      <c r="A208" s="136" t="s">
        <v>646</v>
      </c>
      <c r="B208" s="4" t="s">
        <v>647</v>
      </c>
      <c r="C208" s="4" t="s">
        <v>13</v>
      </c>
      <c r="D208" s="4" t="s">
        <v>648</v>
      </c>
      <c r="E208" s="157">
        <v>45446</v>
      </c>
      <c r="F208" s="9">
        <f>IF($E208="","",WORKDAY($E208,1,$V$33:$V$47))</f>
        <v>45447</v>
      </c>
      <c r="G208" s="9">
        <f>IF($E208="","",WORKDAY($E208,10,$V$33:$V$47))</f>
        <v>45460</v>
      </c>
      <c r="H208" s="9">
        <f>IF($E208="","",WORKDAY($E208,20,$V$33:$V$47))</f>
        <v>45474</v>
      </c>
      <c r="I208" s="157" t="str">
        <f t="shared" si="3"/>
        <v>Jun</v>
      </c>
      <c r="J208" s="14" t="str">
        <f ca="1">IF(E208="","",IF(N208="",H208-TODAY(),""))</f>
        <v/>
      </c>
      <c r="K208" s="157" t="s">
        <v>124</v>
      </c>
      <c r="L208" s="157" t="s">
        <v>14</v>
      </c>
      <c r="M208" s="157" t="s">
        <v>81</v>
      </c>
      <c r="N208" s="9">
        <v>45446</v>
      </c>
      <c r="O208" s="159">
        <f>IF($N208="","",NETWORKDAYS($E208,$N208,$V$33:$V$47)-1)</f>
        <v>0</v>
      </c>
      <c r="P208" s="10" t="str">
        <f>IF(ISBLANK(N208),"",IF(N208&gt;H208,"No","Yes"))</f>
        <v>Yes</v>
      </c>
      <c r="Q208" s="9" t="s">
        <v>117</v>
      </c>
      <c r="R208" s="4" t="s">
        <v>118</v>
      </c>
      <c r="S208" s="4"/>
      <c r="T208" s="4"/>
      <c r="U208" s="6"/>
      <c r="V208" s="6"/>
      <c r="W208" s="6"/>
      <c r="X208" s="6"/>
      <c r="Y208" s="6"/>
      <c r="Z208" s="6"/>
      <c r="AX208" s="6" t="str">
        <v>Quarter 1</v>
      </c>
    </row>
    <row r="209" spans="1:50" ht="31.4" customHeight="1" x14ac:dyDescent="0.35">
      <c r="A209" s="136" t="s">
        <v>649</v>
      </c>
      <c r="B209" s="4" t="s">
        <v>209</v>
      </c>
      <c r="C209" s="4" t="s">
        <v>13</v>
      </c>
      <c r="D209" s="4" t="s">
        <v>210</v>
      </c>
      <c r="E209" s="157">
        <v>45446</v>
      </c>
      <c r="F209" s="9">
        <f>IF($E209="","",WORKDAY($E209,1,$V$33:$V$47))</f>
        <v>45447</v>
      </c>
      <c r="G209" s="9">
        <f>IF($E209="","",WORKDAY($E209,10,$V$33:$V$47))</f>
        <v>45460</v>
      </c>
      <c r="H209" s="9">
        <f>IF($E209="","",WORKDAY($E209,20,$V$33:$V$47))</f>
        <v>45474</v>
      </c>
      <c r="I209" s="157" t="str">
        <f t="shared" si="3"/>
        <v>Jun</v>
      </c>
      <c r="J209" s="14" t="str">
        <f ca="1">IF(E209="","",IF(N209="",H209-TODAY(),""))</f>
        <v/>
      </c>
      <c r="K209" s="157" t="s">
        <v>5</v>
      </c>
      <c r="L209" s="157" t="s">
        <v>16</v>
      </c>
      <c r="M209" s="157" t="s">
        <v>71</v>
      </c>
      <c r="N209" s="9">
        <v>45446</v>
      </c>
      <c r="O209" s="159">
        <f>IF($N209="","",NETWORKDAYS($E209,$N209,$V$33:$V$47)-1)</f>
        <v>0</v>
      </c>
      <c r="P209" s="10" t="str">
        <f>IF(ISBLANK(N209),"",IF(N209&gt;H209,"No","Yes"))</f>
        <v>Yes</v>
      </c>
      <c r="Q209" s="9" t="s">
        <v>117</v>
      </c>
      <c r="R209" s="4" t="s">
        <v>118</v>
      </c>
      <c r="S209" s="4"/>
      <c r="T209" s="4"/>
      <c r="U209" s="6"/>
      <c r="V209" s="6"/>
      <c r="W209" s="6"/>
      <c r="X209" s="6"/>
      <c r="Y209" s="6"/>
      <c r="Z209" s="6"/>
      <c r="AX209" s="6" t="str">
        <v>Quarter 1</v>
      </c>
    </row>
    <row r="210" spans="1:50" ht="31.4" customHeight="1" x14ac:dyDescent="0.35">
      <c r="A210" s="136" t="s">
        <v>650</v>
      </c>
      <c r="B210" s="4" t="s">
        <v>310</v>
      </c>
      <c r="C210" s="4" t="s">
        <v>6</v>
      </c>
      <c r="D210" s="4" t="s">
        <v>651</v>
      </c>
      <c r="E210" s="157">
        <v>45446</v>
      </c>
      <c r="F210" s="9">
        <f>IF($E210="","",WORKDAY($E210,1,$V$33:$V$47))</f>
        <v>45447</v>
      </c>
      <c r="G210" s="9">
        <f>IF($E210="","",WORKDAY($E210,10,$V$33:$V$47))</f>
        <v>45460</v>
      </c>
      <c r="H210" s="9">
        <f>IF($E210="","",WORKDAY($E210,20,$V$33:$V$47))</f>
        <v>45474</v>
      </c>
      <c r="I210" s="157" t="str">
        <f t="shared" si="3"/>
        <v>Jun</v>
      </c>
      <c r="J210" s="14" t="str">
        <f ca="1">IF(E210="","",IF(N210="",H210-TODAY(),""))</f>
        <v/>
      </c>
      <c r="K210" s="157" t="s">
        <v>10</v>
      </c>
      <c r="L210" s="157" t="s">
        <v>12</v>
      </c>
      <c r="M210" s="157" t="s">
        <v>65</v>
      </c>
      <c r="N210" s="9">
        <v>45453</v>
      </c>
      <c r="O210" s="159">
        <f>IF($N210="","",NETWORKDAYS($E210,$N210,$V$33:$V$47)-1)</f>
        <v>5</v>
      </c>
      <c r="P210" s="10" t="str">
        <f>IF(ISBLANK(N210),"",IF(N210&gt;H210,"No","Yes"))</f>
        <v>Yes</v>
      </c>
      <c r="Q210" s="9" t="s">
        <v>117</v>
      </c>
      <c r="R210" s="4" t="s">
        <v>118</v>
      </c>
      <c r="S210" s="4"/>
      <c r="T210" s="4"/>
      <c r="U210" s="6"/>
      <c r="V210" s="6"/>
      <c r="W210" s="6"/>
      <c r="X210" s="6"/>
      <c r="Y210" s="6"/>
      <c r="Z210" s="6"/>
      <c r="AX210" s="6" t="str">
        <v>Quarter 1</v>
      </c>
    </row>
    <row r="211" spans="1:50" ht="31.4" customHeight="1" x14ac:dyDescent="0.35">
      <c r="A211" s="136" t="s">
        <v>652</v>
      </c>
      <c r="B211" s="4" t="s">
        <v>653</v>
      </c>
      <c r="C211" s="4" t="s">
        <v>13</v>
      </c>
      <c r="D211" s="4" t="s">
        <v>654</v>
      </c>
      <c r="E211" s="157">
        <v>45446</v>
      </c>
      <c r="F211" s="9">
        <f>IF($E211="","",WORKDAY($E211,1,$V$33:$V$47))</f>
        <v>45447</v>
      </c>
      <c r="G211" s="9">
        <f>IF($E211="","",WORKDAY($E211,10,$V$33:$V$47))</f>
        <v>45460</v>
      </c>
      <c r="H211" s="9">
        <f>IF($E211="","",WORKDAY($E211,20,$V$33:$V$47))</f>
        <v>45474</v>
      </c>
      <c r="I211" s="157" t="str">
        <f t="shared" si="3"/>
        <v>Jun</v>
      </c>
      <c r="J211" s="14" t="str">
        <f ca="1">IF(E211="","",IF(N211="",H211-TODAY(),""))</f>
        <v/>
      </c>
      <c r="K211" s="157" t="s">
        <v>5</v>
      </c>
      <c r="L211" s="157" t="s">
        <v>18</v>
      </c>
      <c r="M211" s="157" t="s">
        <v>66</v>
      </c>
      <c r="N211" s="9">
        <v>45446</v>
      </c>
      <c r="O211" s="159">
        <f>IF($N211="","",NETWORKDAYS($E211,$N211,$V$33:$V$47)-1)</f>
        <v>0</v>
      </c>
      <c r="P211" s="10" t="str">
        <f>IF(ISBLANK(N211),"",IF(N211&gt;H211,"No","Yes"))</f>
        <v>Yes</v>
      </c>
      <c r="Q211" s="9" t="s">
        <v>117</v>
      </c>
      <c r="R211" s="4" t="s">
        <v>126</v>
      </c>
      <c r="S211" s="4" t="s">
        <v>119</v>
      </c>
      <c r="T211" s="4" t="s">
        <v>1021</v>
      </c>
      <c r="U211" s="6"/>
      <c r="V211" s="6"/>
      <c r="W211" s="6"/>
      <c r="X211" s="6"/>
      <c r="Y211" s="6"/>
      <c r="Z211" s="6"/>
      <c r="AX211" s="6" t="str">
        <v>Quarter 1</v>
      </c>
    </row>
    <row r="212" spans="1:50" ht="31.4" customHeight="1" x14ac:dyDescent="0.35">
      <c r="A212" s="136" t="s">
        <v>655</v>
      </c>
      <c r="B212" s="4" t="s">
        <v>656</v>
      </c>
      <c r="C212" s="4" t="s">
        <v>13</v>
      </c>
      <c r="D212" s="4" t="s">
        <v>657</v>
      </c>
      <c r="E212" s="157">
        <v>45446</v>
      </c>
      <c r="F212" s="9">
        <f>IF($E212="","",WORKDAY($E212,1,$V$33:$V$47))</f>
        <v>45447</v>
      </c>
      <c r="G212" s="9">
        <f>IF($E212="","",WORKDAY($E212,10,$V$33:$V$47))</f>
        <v>45460</v>
      </c>
      <c r="H212" s="9">
        <f>IF($E212="","",WORKDAY($E212,20,$V$33:$V$47))</f>
        <v>45474</v>
      </c>
      <c r="I212" s="157" t="str">
        <f t="shared" si="3"/>
        <v>Jun</v>
      </c>
      <c r="J212" s="14" t="str">
        <f ca="1">IF(E212="","",IF(N212="",H212-TODAY(),""))</f>
        <v/>
      </c>
      <c r="K212" s="157" t="s">
        <v>5</v>
      </c>
      <c r="L212" s="157" t="s">
        <v>16</v>
      </c>
      <c r="M212" s="157" t="s">
        <v>52</v>
      </c>
      <c r="N212" s="9">
        <v>45476</v>
      </c>
      <c r="O212" s="159">
        <f>IF($N212="","",NETWORKDAYS($E212,$N212,$V$33:$V$47)-1)</f>
        <v>22</v>
      </c>
      <c r="P212" s="10" t="str">
        <f>IF(ISBLANK(N212),"",IF(N212&gt;H212,"No","Yes"))</f>
        <v>No</v>
      </c>
      <c r="Q212" s="9" t="s">
        <v>117</v>
      </c>
      <c r="R212" s="4" t="s">
        <v>126</v>
      </c>
      <c r="S212" s="4" t="s">
        <v>142</v>
      </c>
      <c r="T212" s="4"/>
      <c r="U212" s="6"/>
      <c r="V212" s="6"/>
      <c r="W212" s="6"/>
      <c r="X212" s="6"/>
      <c r="Y212" s="6"/>
      <c r="Z212" s="6"/>
      <c r="AX212" s="6" t="str">
        <v>Quarter 1</v>
      </c>
    </row>
    <row r="213" spans="1:50" ht="31.4" customHeight="1" x14ac:dyDescent="0.35">
      <c r="A213" s="136" t="s">
        <v>658</v>
      </c>
      <c r="B213" s="4" t="s">
        <v>138</v>
      </c>
      <c r="C213" s="4" t="s">
        <v>19</v>
      </c>
      <c r="D213" s="4" t="s">
        <v>659</v>
      </c>
      <c r="E213" s="157">
        <v>45446</v>
      </c>
      <c r="F213" s="9">
        <f>IF($E213="","",WORKDAY($E213,1,$V$33:$V$47))</f>
        <v>45447</v>
      </c>
      <c r="G213" s="9">
        <f>IF($E213="","",WORKDAY($E213,10,$V$33:$V$47))</f>
        <v>45460</v>
      </c>
      <c r="H213" s="9">
        <f>IF($E213="","",WORKDAY($E213,20,$V$33:$V$47))</f>
        <v>45474</v>
      </c>
      <c r="I213" s="157" t="str">
        <f t="shared" si="3"/>
        <v>Jun</v>
      </c>
      <c r="J213" s="14" t="str">
        <f ca="1">IF(E213="","",IF(N213="",H213-TODAY(),""))</f>
        <v/>
      </c>
      <c r="K213" s="157" t="s">
        <v>5</v>
      </c>
      <c r="L213" s="157" t="s">
        <v>18</v>
      </c>
      <c r="M213" s="157" t="s">
        <v>41</v>
      </c>
      <c r="N213" s="9">
        <v>45449</v>
      </c>
      <c r="O213" s="159">
        <f>IF($N213="","",NETWORKDAYS($E213,$N213,$V$33:$V$47)-1)</f>
        <v>3</v>
      </c>
      <c r="P213" s="10" t="str">
        <f>IF(ISBLANK(N213),"",IF(N213&gt;H213,"No","Yes"))</f>
        <v>Yes</v>
      </c>
      <c r="Q213" s="9" t="s">
        <v>117</v>
      </c>
      <c r="R213" s="4" t="s">
        <v>118</v>
      </c>
      <c r="S213" s="4"/>
      <c r="T213" s="4"/>
      <c r="U213" s="6"/>
      <c r="V213" s="6"/>
      <c r="W213" s="6"/>
      <c r="X213" s="6"/>
      <c r="Y213" s="6"/>
      <c r="Z213" s="6"/>
      <c r="AX213" s="6" t="str">
        <v>Quarter 1</v>
      </c>
    </row>
    <row r="214" spans="1:50" ht="31.4" customHeight="1" x14ac:dyDescent="0.35">
      <c r="A214" s="136" t="s">
        <v>660</v>
      </c>
      <c r="B214" s="4" t="s">
        <v>661</v>
      </c>
      <c r="C214" s="4" t="s">
        <v>13</v>
      </c>
      <c r="D214" s="4" t="s">
        <v>662</v>
      </c>
      <c r="E214" s="157">
        <v>45447</v>
      </c>
      <c r="F214" s="9">
        <f>IF($E214="","",WORKDAY($E214,1,$V$33:$V$47))</f>
        <v>45448</v>
      </c>
      <c r="G214" s="9">
        <f>IF($E214="","",WORKDAY($E214,10,$V$33:$V$47))</f>
        <v>45461</v>
      </c>
      <c r="H214" s="9">
        <f>IF($E214="","",WORKDAY($E214,20,$V$33:$V$47))</f>
        <v>45475</v>
      </c>
      <c r="I214" s="157" t="str">
        <f t="shared" si="3"/>
        <v>Jun</v>
      </c>
      <c r="J214" s="14" t="str">
        <f ca="1">IF(E214="","",IF(N214="",H214-TODAY(),""))</f>
        <v/>
      </c>
      <c r="K214" s="157" t="s">
        <v>124</v>
      </c>
      <c r="L214" s="157" t="s">
        <v>24</v>
      </c>
      <c r="M214" s="157" t="s">
        <v>76</v>
      </c>
      <c r="N214" s="9">
        <v>45447</v>
      </c>
      <c r="O214" s="159">
        <f>IF($N214="","",NETWORKDAYS($E214,$N214,$V$33:$V$47)-1)</f>
        <v>0</v>
      </c>
      <c r="P214" s="10" t="str">
        <f>IF(ISBLANK(N214),"",IF(N214&gt;H214,"No","Yes"))</f>
        <v>Yes</v>
      </c>
      <c r="Q214" s="9" t="s">
        <v>117</v>
      </c>
      <c r="R214" s="4" t="s">
        <v>118</v>
      </c>
      <c r="S214" s="4"/>
      <c r="T214" s="4"/>
      <c r="U214" s="6"/>
      <c r="V214" s="6"/>
      <c r="W214" s="6"/>
      <c r="X214" s="6"/>
      <c r="Y214" s="6"/>
      <c r="Z214" s="6"/>
      <c r="AX214" s="6" t="str">
        <v>Quarter 1</v>
      </c>
    </row>
    <row r="215" spans="1:50" ht="31.4" customHeight="1" x14ac:dyDescent="0.35">
      <c r="A215" s="136" t="s">
        <v>663</v>
      </c>
      <c r="B215" s="4" t="s">
        <v>138</v>
      </c>
      <c r="C215" s="4" t="s">
        <v>19</v>
      </c>
      <c r="D215" s="4" t="s">
        <v>664</v>
      </c>
      <c r="E215" s="157">
        <v>45447</v>
      </c>
      <c r="F215" s="9">
        <f>IF($E215="","",WORKDAY($E215,1,$V$33:$V$47))</f>
        <v>45448</v>
      </c>
      <c r="G215" s="9">
        <f>IF($E215="","",WORKDAY($E215,10,$V$33:$V$47))</f>
        <v>45461</v>
      </c>
      <c r="H215" s="9">
        <f>IF($E215="","",WORKDAY($E215,20,$V$33:$V$47))</f>
        <v>45475</v>
      </c>
      <c r="I215" s="157" t="str">
        <f t="shared" si="3"/>
        <v>Jun</v>
      </c>
      <c r="J215" s="14" t="str">
        <f ca="1">IF(E215="","",IF(N215="",H215-TODAY(),""))</f>
        <v/>
      </c>
      <c r="K215" s="157" t="s">
        <v>10</v>
      </c>
      <c r="L215" s="157" t="s">
        <v>27</v>
      </c>
      <c r="M215" s="157" t="s">
        <v>37</v>
      </c>
      <c r="N215" s="9">
        <v>45449</v>
      </c>
      <c r="O215" s="159">
        <f>IF($N215="","",NETWORKDAYS($E215,$N215,$V$33:$V$47)-1)</f>
        <v>2</v>
      </c>
      <c r="P215" s="10" t="str">
        <f>IF(ISBLANK(N215),"",IF(N215&gt;H215,"No","Yes"))</f>
        <v>Yes</v>
      </c>
      <c r="Q215" s="9" t="s">
        <v>117</v>
      </c>
      <c r="R215" s="4" t="s">
        <v>126</v>
      </c>
      <c r="S215" s="4" t="s">
        <v>119</v>
      </c>
      <c r="T215" s="4"/>
      <c r="U215" s="6"/>
      <c r="V215" s="6"/>
      <c r="W215" s="6"/>
      <c r="X215" s="6"/>
      <c r="Y215" s="6"/>
      <c r="Z215" s="6"/>
      <c r="AX215" s="6" t="str">
        <v>Quarter 1</v>
      </c>
    </row>
    <row r="216" spans="1:50" ht="31.4" customHeight="1" x14ac:dyDescent="0.35">
      <c r="A216" s="136" t="s">
        <v>665</v>
      </c>
      <c r="B216" s="4" t="s">
        <v>666</v>
      </c>
      <c r="C216" s="4" t="s">
        <v>13</v>
      </c>
      <c r="D216" s="4" t="s">
        <v>667</v>
      </c>
      <c r="E216" s="157">
        <v>45448</v>
      </c>
      <c r="F216" s="9">
        <f>IF($E216="","",WORKDAY($E216,1,$V$33:$V$47))</f>
        <v>45449</v>
      </c>
      <c r="G216" s="9">
        <f>IF($E216="","",WORKDAY($E216,10,$V$33:$V$47))</f>
        <v>45462</v>
      </c>
      <c r="H216" s="9">
        <f>IF($E216="","",WORKDAY($E216,20,$V$33:$V$47))</f>
        <v>45476</v>
      </c>
      <c r="I216" s="157" t="str">
        <f t="shared" si="3"/>
        <v>Jun</v>
      </c>
      <c r="J216" s="14" t="str">
        <f ca="1">IF(E216="","",IF(N216="",H216-TODAY(),""))</f>
        <v/>
      </c>
      <c r="K216" s="157" t="s">
        <v>4</v>
      </c>
      <c r="L216" s="157" t="s">
        <v>7</v>
      </c>
      <c r="M216" s="157" t="s">
        <v>31</v>
      </c>
      <c r="N216" s="9">
        <v>45461</v>
      </c>
      <c r="O216" s="159">
        <f>IF($N216="","",NETWORKDAYS($E216,$N216,$V$33:$V$47)-1)</f>
        <v>9</v>
      </c>
      <c r="P216" s="10" t="str">
        <f>IF(ISBLANK(N216),"",IF(N216&gt;H216,"No","Yes"))</f>
        <v>Yes</v>
      </c>
      <c r="Q216" s="9" t="s">
        <v>117</v>
      </c>
      <c r="R216" s="4" t="s">
        <v>118</v>
      </c>
      <c r="S216" s="4"/>
      <c r="T216" s="4"/>
      <c r="U216" s="6"/>
      <c r="V216" s="6"/>
      <c r="W216" s="6"/>
      <c r="X216" s="6"/>
      <c r="Y216" s="6"/>
      <c r="Z216" s="6"/>
      <c r="AX216" s="6" t="str">
        <v>Quarter 1</v>
      </c>
    </row>
    <row r="217" spans="1:50" ht="31.4" customHeight="1" x14ac:dyDescent="0.35">
      <c r="A217" s="136" t="s">
        <v>668</v>
      </c>
      <c r="B217" s="4" t="s">
        <v>669</v>
      </c>
      <c r="C217" s="4" t="s">
        <v>15</v>
      </c>
      <c r="D217" s="4" t="s">
        <v>670</v>
      </c>
      <c r="E217" s="157">
        <v>45448</v>
      </c>
      <c r="F217" s="9">
        <f>IF($E217="","",WORKDAY($E217,1,$V$33:$V$47))</f>
        <v>45449</v>
      </c>
      <c r="G217" s="9">
        <f>IF($E217="","",WORKDAY($E217,10,$V$33:$V$47))</f>
        <v>45462</v>
      </c>
      <c r="H217" s="9">
        <f>IF($E217="","",WORKDAY($E217,20,$V$33:$V$47))</f>
        <v>45476</v>
      </c>
      <c r="I217" s="157" t="str">
        <f t="shared" si="3"/>
        <v>Jun</v>
      </c>
      <c r="J217" s="14" t="str">
        <f ca="1">IF(E217="","",IF(N217="",H217-TODAY(),""))</f>
        <v/>
      </c>
      <c r="K217" s="157" t="s">
        <v>124</v>
      </c>
      <c r="L217" s="157" t="s">
        <v>20</v>
      </c>
      <c r="M217" s="157" t="s">
        <v>62</v>
      </c>
      <c r="N217" s="9">
        <v>45497</v>
      </c>
      <c r="O217" s="159">
        <f>IF($N217="","",NETWORKDAYS($E217,$N217,$V$33:$V$47)-1)</f>
        <v>35</v>
      </c>
      <c r="P217" s="10" t="str">
        <f>IF(ISBLANK(N217),"",IF(N217&gt;H217,"No","Yes"))</f>
        <v>No</v>
      </c>
      <c r="Q217" s="9" t="s">
        <v>117</v>
      </c>
      <c r="R217" s="4" t="s">
        <v>118</v>
      </c>
      <c r="S217" s="4"/>
      <c r="T217" s="4" t="s">
        <v>141</v>
      </c>
      <c r="U217" s="6"/>
      <c r="V217" s="6"/>
      <c r="W217" s="6"/>
      <c r="X217" s="6"/>
      <c r="Y217" s="6"/>
      <c r="Z217" s="6"/>
      <c r="AX217" s="6" t="str">
        <v>Quarter 1</v>
      </c>
    </row>
    <row r="218" spans="1:50" ht="31.4" customHeight="1" x14ac:dyDescent="0.35">
      <c r="A218" s="136" t="s">
        <v>671</v>
      </c>
      <c r="B218" s="7" t="s">
        <v>672</v>
      </c>
      <c r="C218" s="7" t="s">
        <v>13</v>
      </c>
      <c r="D218" s="4" t="s">
        <v>673</v>
      </c>
      <c r="E218" s="157">
        <v>45456</v>
      </c>
      <c r="F218" s="9">
        <f>IF($E218="","",WORKDAY($E218,1,$V$33:$V$47))</f>
        <v>45457</v>
      </c>
      <c r="G218" s="9">
        <f>IF($E218="","",WORKDAY($E218,10,$V$33:$V$47))</f>
        <v>45470</v>
      </c>
      <c r="H218" s="9">
        <f>IF($E218="","",WORKDAY($E218,20,$V$33:$V$47))</f>
        <v>45484</v>
      </c>
      <c r="I218" s="157" t="str">
        <f>IF(ISBLANK(E218),"",TEXT(E218,"mmm"))</f>
        <v>Jun</v>
      </c>
      <c r="J218" s="14" t="str">
        <f ca="1">IF(E218="","",IF(N218="",H218-TODAY(),""))</f>
        <v/>
      </c>
      <c r="K218" s="157" t="s">
        <v>124</v>
      </c>
      <c r="L218" s="157" t="s">
        <v>20</v>
      </c>
      <c r="M218" s="157" t="s">
        <v>63</v>
      </c>
      <c r="N218" s="9">
        <v>45481</v>
      </c>
      <c r="O218" s="159">
        <f>IF($N218="","",NETWORKDAYS($E218,$N218,$V$33:$V$47)-1)</f>
        <v>17</v>
      </c>
      <c r="P218" s="10" t="str">
        <f>IF(ISBLANK(N218),"",IF(N218&gt;H218,"No","Yes"))</f>
        <v>Yes</v>
      </c>
      <c r="Q218" s="9" t="s">
        <v>117</v>
      </c>
      <c r="R218" s="4" t="s">
        <v>118</v>
      </c>
      <c r="S218" s="4"/>
      <c r="T218" s="4"/>
      <c r="U218" s="6"/>
      <c r="V218" s="6"/>
      <c r="W218" s="6"/>
      <c r="X218" s="6"/>
      <c r="Y218" s="6"/>
      <c r="Z218" s="6"/>
      <c r="AX218" s="6" t="str">
        <v>Quarter 1</v>
      </c>
    </row>
    <row r="219" spans="1:50" ht="31.4" customHeight="1" x14ac:dyDescent="0.35">
      <c r="A219" s="136" t="s">
        <v>674</v>
      </c>
      <c r="B219" s="4" t="s">
        <v>293</v>
      </c>
      <c r="C219" s="4" t="s">
        <v>6</v>
      </c>
      <c r="D219" s="4" t="s">
        <v>675</v>
      </c>
      <c r="E219" s="157">
        <v>45450</v>
      </c>
      <c r="F219" s="9">
        <f>IF($E219="","",WORKDAY($E219,1,$V$33:$V$47))</f>
        <v>45453</v>
      </c>
      <c r="G219" s="9">
        <f>IF($E219="","",WORKDAY($E219,10,$V$33:$V$47))</f>
        <v>45464</v>
      </c>
      <c r="H219" s="9">
        <f>IF($E219="","",WORKDAY($E219,20,$V$33:$V$47))</f>
        <v>45478</v>
      </c>
      <c r="I219" s="157" t="str">
        <f>IF(ISBLANK(E219),"",TEXT(E219,"mmm"))</f>
        <v>Jun</v>
      </c>
      <c r="J219" s="14" t="str">
        <f ca="1">IF(E219="","",IF(N219="",H219-TODAY(),""))</f>
        <v/>
      </c>
      <c r="K219" s="157" t="s">
        <v>10</v>
      </c>
      <c r="L219" s="157" t="s">
        <v>12</v>
      </c>
      <c r="M219" s="157" t="s">
        <v>91</v>
      </c>
      <c r="N219" s="9">
        <v>45467</v>
      </c>
      <c r="O219" s="159">
        <f>IF($N219="","",NETWORKDAYS($E219,$N219,$V$33:$V$47)-1)</f>
        <v>11</v>
      </c>
      <c r="P219" s="10" t="str">
        <f>IF(ISBLANK(N219),"",IF(N219&gt;H219,"No","Yes"))</f>
        <v>Yes</v>
      </c>
      <c r="Q219" s="9" t="s">
        <v>117</v>
      </c>
      <c r="R219" s="4" t="s">
        <v>118</v>
      </c>
      <c r="S219" s="4"/>
      <c r="T219" s="4"/>
      <c r="U219" s="6"/>
      <c r="V219" s="6"/>
      <c r="W219" s="6"/>
      <c r="X219" s="6"/>
      <c r="Y219" s="6"/>
      <c r="Z219" s="6"/>
      <c r="AX219" s="6" t="str">
        <v>Quarter 1</v>
      </c>
    </row>
    <row r="220" spans="1:50" ht="31.4" customHeight="1" x14ac:dyDescent="0.35">
      <c r="A220" s="136" t="s">
        <v>676</v>
      </c>
      <c r="B220" s="7" t="s">
        <v>8</v>
      </c>
      <c r="C220" s="7" t="s">
        <v>8</v>
      </c>
      <c r="D220" s="4" t="s">
        <v>677</v>
      </c>
      <c r="E220" s="157">
        <v>45453</v>
      </c>
      <c r="F220" s="9">
        <f>IF($E220="","",WORKDAY($E220,1,$V$33:$V$47))</f>
        <v>45454</v>
      </c>
      <c r="G220" s="9">
        <f>IF($E220="","",WORKDAY($E220,10,$V$33:$V$47))</f>
        <v>45467</v>
      </c>
      <c r="H220" s="9">
        <f>IF($E220="","",WORKDAY($E220,20,$V$33:$V$47))</f>
        <v>45481</v>
      </c>
      <c r="I220" s="157" t="str">
        <f>IF(ISBLANK(E220),"",TEXT(E220,"mmm"))</f>
        <v>Jun</v>
      </c>
      <c r="J220" s="14" t="str">
        <f ca="1">IF(E220="","",IF(N220="",H220-TODAY(),""))</f>
        <v/>
      </c>
      <c r="K220" s="157" t="s">
        <v>10</v>
      </c>
      <c r="L220" s="157" t="s">
        <v>27</v>
      </c>
      <c r="M220" s="157" t="s">
        <v>37</v>
      </c>
      <c r="N220" s="9">
        <v>45464</v>
      </c>
      <c r="O220" s="159">
        <f>IF($N220="","",NETWORKDAYS($E220,$N220,$V$33:$V$47)-1)</f>
        <v>9</v>
      </c>
      <c r="P220" s="10" t="s">
        <v>116</v>
      </c>
      <c r="Q220" s="9" t="s">
        <v>117</v>
      </c>
      <c r="R220" s="4" t="s">
        <v>118</v>
      </c>
      <c r="S220" s="4"/>
      <c r="T220" s="4"/>
      <c r="U220" s="6"/>
      <c r="V220" s="6"/>
      <c r="W220" s="6"/>
      <c r="X220" s="6"/>
      <c r="Y220" s="6"/>
      <c r="Z220" s="6"/>
      <c r="AX220" s="6" t="str">
        <v>Quarter 1</v>
      </c>
    </row>
    <row r="221" spans="1:50" ht="31.4" customHeight="1" x14ac:dyDescent="0.35">
      <c r="A221" s="136" t="s">
        <v>678</v>
      </c>
      <c r="B221" s="7" t="s">
        <v>188</v>
      </c>
      <c r="C221" s="7" t="s">
        <v>6</v>
      </c>
      <c r="D221" s="7" t="s">
        <v>679</v>
      </c>
      <c r="E221" s="157">
        <v>45453</v>
      </c>
      <c r="F221" s="9">
        <f>IF($E221="","",WORKDAY($E221,1,$V$33:$V$41))</f>
        <v>45454</v>
      </c>
      <c r="G221" s="9">
        <f>IF($E221="","",WORKDAY($E221,10,$V$33:$V$41))</f>
        <v>45467</v>
      </c>
      <c r="H221" s="9">
        <f>IF($E221="","",WORKDAY($E221,20,$V$33:$V$47))</f>
        <v>45481</v>
      </c>
      <c r="I221" s="157" t="str">
        <f>IF(ISBLANK(E221),"",TEXT(E221,"mmm"))</f>
        <v>Jun</v>
      </c>
      <c r="J221" s="14" t="str">
        <f ca="1">IF(E221="","",IF(N221="",H221-TODAY(),""))</f>
        <v/>
      </c>
      <c r="K221" s="25" t="s">
        <v>5</v>
      </c>
      <c r="L221" s="25" t="s">
        <v>16</v>
      </c>
      <c r="M221" s="25" t="s">
        <v>71</v>
      </c>
      <c r="N221" s="9">
        <v>45455</v>
      </c>
      <c r="O221" s="159">
        <f>IF($N221="","",NETWORKDAYS($E221,$N221,$V$33:$V$47)-1)</f>
        <v>2</v>
      </c>
      <c r="P221" s="10" t="str">
        <f>IF(ISBLANK(N221),"",IF(N221&gt;H221,"No","Yes"))</f>
        <v>Yes</v>
      </c>
      <c r="Q221" s="9" t="s">
        <v>117</v>
      </c>
      <c r="R221" s="7" t="s">
        <v>150</v>
      </c>
      <c r="S221" s="7" t="s">
        <v>142</v>
      </c>
      <c r="T221" s="7"/>
      <c r="U221" s="6"/>
      <c r="V221" s="6"/>
      <c r="W221" s="6"/>
      <c r="X221" s="6"/>
      <c r="Y221" s="6"/>
      <c r="Z221" s="6"/>
      <c r="AX221" s="6" t="str">
        <v>Quarter 1</v>
      </c>
    </row>
    <row r="222" spans="1:50" ht="31.4" customHeight="1" x14ac:dyDescent="0.35">
      <c r="A222" s="136" t="s">
        <v>680</v>
      </c>
      <c r="B222" s="4" t="s">
        <v>8</v>
      </c>
      <c r="C222" s="4" t="s">
        <v>8</v>
      </c>
      <c r="D222" s="4" t="s">
        <v>681</v>
      </c>
      <c r="E222" s="157">
        <v>45454</v>
      </c>
      <c r="F222" s="9">
        <f>IF($E222="","",WORKDAY($E222,1,$V$33:$V$41))</f>
        <v>45455</v>
      </c>
      <c r="G222" s="9">
        <f>IF($E222="","",WORKDAY($E222,10,$V$33:$V$41))</f>
        <v>45468</v>
      </c>
      <c r="H222" s="9">
        <f>IF($E222="","",WORKDAY($E222,20,$V$33:$V$41))</f>
        <v>45482</v>
      </c>
      <c r="I222" s="157" t="str">
        <f t="shared" si="3"/>
        <v>Jun</v>
      </c>
      <c r="J222" s="14" t="str">
        <f ca="1">IF(E222="","",IF(N222="",H222-TODAY(),""))</f>
        <v/>
      </c>
      <c r="K222" s="157" t="s">
        <v>124</v>
      </c>
      <c r="L222" s="157" t="s">
        <v>14</v>
      </c>
      <c r="M222" s="157" t="s">
        <v>69</v>
      </c>
      <c r="N222" s="9">
        <v>45481</v>
      </c>
      <c r="O222" s="159">
        <f>IF($N222="","",NETWORKDAYS($E222,$N222,$V$33:$V$47)-1)</f>
        <v>19</v>
      </c>
      <c r="P222" s="10" t="str">
        <f>IF(ISBLANK(N222),"",IF(N222&gt;H222,"No","Yes"))</f>
        <v>Yes</v>
      </c>
      <c r="Q222" s="9" t="s">
        <v>117</v>
      </c>
      <c r="R222" s="4" t="s">
        <v>118</v>
      </c>
      <c r="S222" s="4"/>
      <c r="T222" s="4"/>
      <c r="U222" s="6"/>
      <c r="V222" s="6"/>
      <c r="W222" s="6"/>
      <c r="X222" s="6"/>
      <c r="Y222" s="6"/>
      <c r="Z222" s="6"/>
      <c r="AX222" s="6" t="str">
        <v>Quarter 1</v>
      </c>
    </row>
    <row r="223" spans="1:50" ht="31.4" customHeight="1" x14ac:dyDescent="0.35">
      <c r="A223" s="136" t="s">
        <v>682</v>
      </c>
      <c r="B223" s="4" t="s">
        <v>683</v>
      </c>
      <c r="C223" s="4" t="s">
        <v>15</v>
      </c>
      <c r="D223" s="4" t="s">
        <v>684</v>
      </c>
      <c r="E223" s="157">
        <v>45454</v>
      </c>
      <c r="F223" s="9">
        <f>IF($E223="","",WORKDAY($E223,1,$V$33:$V$41))</f>
        <v>45455</v>
      </c>
      <c r="G223" s="9">
        <f>IF($E223="","",WORKDAY($E223,10,$V$33:$V$41))</f>
        <v>45468</v>
      </c>
      <c r="H223" s="9">
        <f>IF($E223="","",WORKDAY($E223,20,$V$33:$V$41))</f>
        <v>45482</v>
      </c>
      <c r="I223" s="157" t="str">
        <f t="shared" si="3"/>
        <v>Jun</v>
      </c>
      <c r="J223" s="14" t="str">
        <f ca="1">IF(E223="","",IF(N223="",H223-TODAY(),""))</f>
        <v/>
      </c>
      <c r="K223" s="157" t="s">
        <v>124</v>
      </c>
      <c r="L223" s="157" t="s">
        <v>20</v>
      </c>
      <c r="M223" s="157" t="s">
        <v>70</v>
      </c>
      <c r="N223" s="9">
        <v>45454</v>
      </c>
      <c r="O223" s="159">
        <f>IF($N223="","",NETWORKDAYS($E223,$N223,$V$33:$V$47)-1)</f>
        <v>0</v>
      </c>
      <c r="P223" s="10" t="str">
        <f>IF(ISBLANK(N223),"",IF(N223&gt;H223,"No","Yes"))</f>
        <v>Yes</v>
      </c>
      <c r="Q223" s="9" t="s">
        <v>117</v>
      </c>
      <c r="R223" s="4" t="s">
        <v>150</v>
      </c>
      <c r="S223" s="4"/>
      <c r="T223" s="4"/>
      <c r="U223" s="6"/>
      <c r="V223" s="6"/>
      <c r="W223" s="6"/>
      <c r="X223" s="6"/>
      <c r="Y223" s="6"/>
      <c r="Z223" s="6"/>
      <c r="AX223" s="6" t="str">
        <v>Quarter 1</v>
      </c>
    </row>
    <row r="224" spans="1:50" ht="31.4" customHeight="1" x14ac:dyDescent="0.35">
      <c r="A224" s="136" t="s">
        <v>685</v>
      </c>
      <c r="B224" s="4" t="s">
        <v>686</v>
      </c>
      <c r="C224" s="4" t="s">
        <v>6</v>
      </c>
      <c r="D224" s="4" t="s">
        <v>687</v>
      </c>
      <c r="E224" s="157">
        <v>45454</v>
      </c>
      <c r="F224" s="9">
        <f>IF($E224="","",WORKDAY($E224,1,$V$33:$V$41))</f>
        <v>45455</v>
      </c>
      <c r="G224" s="9">
        <f>IF($E224="","",WORKDAY($E224,10,$V$33:$V$41))</f>
        <v>45468</v>
      </c>
      <c r="H224" s="9">
        <f>IF($E224="","",WORKDAY($E224,20,$V$33:$V$41))</f>
        <v>45482</v>
      </c>
      <c r="I224" s="157" t="str">
        <f t="shared" si="3"/>
        <v>Jun</v>
      </c>
      <c r="J224" s="14" t="str">
        <f ca="1">IF(E224="","",IF(N224="",H224-TODAY(),""))</f>
        <v/>
      </c>
      <c r="K224" s="157" t="s">
        <v>5</v>
      </c>
      <c r="L224" s="157" t="s">
        <v>18</v>
      </c>
      <c r="M224" s="157" t="s">
        <v>66</v>
      </c>
      <c r="N224" s="9">
        <v>45454</v>
      </c>
      <c r="O224" s="159">
        <f>IF($N224="","",NETWORKDAYS($E224,$N224,$V$33:$V$47)-1)</f>
        <v>0</v>
      </c>
      <c r="P224" s="10" t="str">
        <f>IF(ISBLANK(N224),"",IF(N224&gt;H224,"No","Yes"))</f>
        <v>Yes</v>
      </c>
      <c r="Q224" s="9" t="s">
        <v>117</v>
      </c>
      <c r="R224" s="4" t="s">
        <v>150</v>
      </c>
      <c r="S224" s="4"/>
      <c r="T224" s="4"/>
      <c r="U224" s="6"/>
      <c r="V224" s="6"/>
      <c r="W224" s="6"/>
      <c r="X224" s="6"/>
      <c r="Y224" s="6"/>
      <c r="Z224" s="6"/>
      <c r="AX224" s="6" t="str">
        <v>Quarter 1</v>
      </c>
    </row>
    <row r="225" spans="1:50" ht="31.4" customHeight="1" x14ac:dyDescent="0.35">
      <c r="A225" s="136" t="s">
        <v>688</v>
      </c>
      <c r="B225" s="4" t="s">
        <v>8</v>
      </c>
      <c r="C225" s="4" t="s">
        <v>8</v>
      </c>
      <c r="D225" s="4" t="s">
        <v>689</v>
      </c>
      <c r="E225" s="157">
        <v>45455</v>
      </c>
      <c r="F225" s="9">
        <f>IF($E225="","",WORKDAY($E225,1,$V$33:$V$41))</f>
        <v>45456</v>
      </c>
      <c r="G225" s="9">
        <f>IF($E225="","",WORKDAY($E225,10,$V$33:$V$41))</f>
        <v>45469</v>
      </c>
      <c r="H225" s="9">
        <v>45483</v>
      </c>
      <c r="I225" s="157" t="str">
        <f t="shared" si="3"/>
        <v>Jun</v>
      </c>
      <c r="J225" s="14" t="str">
        <f ca="1">IF(E225="","",IF(N225="",H225-TODAY(),""))</f>
        <v/>
      </c>
      <c r="K225" s="157" t="s">
        <v>124</v>
      </c>
      <c r="L225" s="157" t="s">
        <v>20</v>
      </c>
      <c r="M225" s="157" t="s">
        <v>70</v>
      </c>
      <c r="N225" s="9">
        <v>45456</v>
      </c>
      <c r="O225" s="159">
        <f>IF($N225="","",NETWORKDAYS($E225,$N225,$V$33:$V$47)-1)</f>
        <v>1</v>
      </c>
      <c r="P225" s="10" t="str">
        <f>IF(ISBLANK(N225),"",IF(N225&gt;H225,"No","Yes"))</f>
        <v>Yes</v>
      </c>
      <c r="Q225" s="9" t="s">
        <v>117</v>
      </c>
      <c r="R225" s="4" t="s">
        <v>126</v>
      </c>
      <c r="S225" s="4" t="s">
        <v>119</v>
      </c>
      <c r="T225" s="4"/>
      <c r="U225" s="6"/>
      <c r="V225" s="6"/>
      <c r="W225" s="6"/>
      <c r="X225" s="6"/>
      <c r="Y225" s="6"/>
      <c r="Z225" s="6"/>
      <c r="AX225" s="6" t="str">
        <v>Quarter 1</v>
      </c>
    </row>
    <row r="226" spans="1:50" ht="31.4" customHeight="1" x14ac:dyDescent="0.35">
      <c r="A226" s="136" t="s">
        <v>690</v>
      </c>
      <c r="B226" s="4" t="s">
        <v>8</v>
      </c>
      <c r="C226" s="4" t="s">
        <v>8</v>
      </c>
      <c r="D226" s="4" t="s">
        <v>691</v>
      </c>
      <c r="E226" s="157">
        <v>45455</v>
      </c>
      <c r="F226" s="9">
        <f>IF($E226="","",WORKDAY($E226,1,$V$33:$V$41))</f>
        <v>45456</v>
      </c>
      <c r="G226" s="9">
        <f>IF($E226="","",WORKDAY($E226,10,$V$33:$V$41))</f>
        <v>45469</v>
      </c>
      <c r="H226" s="9">
        <f>IF($E226="","",WORKDAY($E226,20,$V$33:$V$41))</f>
        <v>45483</v>
      </c>
      <c r="I226" s="157" t="str">
        <f t="shared" si="3"/>
        <v>Jun</v>
      </c>
      <c r="J226" s="14" t="str">
        <f ca="1">IF(E226="","",IF(N226="",H226-TODAY(),""))</f>
        <v/>
      </c>
      <c r="K226" s="157" t="s">
        <v>124</v>
      </c>
      <c r="L226" s="157" t="s">
        <v>20</v>
      </c>
      <c r="M226" s="157" t="s">
        <v>70</v>
      </c>
      <c r="N226" s="9">
        <v>45456</v>
      </c>
      <c r="O226" s="159">
        <f>IF($N226="","",NETWORKDAYS($E226,$N226,$V$33:$V$47)-1)</f>
        <v>1</v>
      </c>
      <c r="P226" s="10" t="str">
        <f>IF(ISBLANK(N226),"",IF(N226&gt;H226,"No","Yes"))</f>
        <v>Yes</v>
      </c>
      <c r="Q226" s="9" t="s">
        <v>117</v>
      </c>
      <c r="R226" s="4" t="s">
        <v>118</v>
      </c>
      <c r="S226" s="4"/>
      <c r="T226" s="4"/>
      <c r="U226" s="6"/>
      <c r="V226" s="6"/>
      <c r="W226" s="6"/>
      <c r="X226" s="6"/>
      <c r="Y226" s="6"/>
      <c r="Z226" s="6"/>
      <c r="AX226" s="6" t="str">
        <v>Quarter 1</v>
      </c>
    </row>
    <row r="227" spans="1:50" ht="31.4" customHeight="1" x14ac:dyDescent="0.35">
      <c r="A227" s="136" t="s">
        <v>692</v>
      </c>
      <c r="B227" s="4" t="s">
        <v>8</v>
      </c>
      <c r="C227" s="4" t="s">
        <v>8</v>
      </c>
      <c r="D227" s="4" t="s">
        <v>693</v>
      </c>
      <c r="E227" s="157">
        <v>45456</v>
      </c>
      <c r="F227" s="9">
        <f>IF($E227="","",WORKDAY($E227,1,$V$33:$V$41))</f>
        <v>45457</v>
      </c>
      <c r="G227" s="9">
        <f>IF($E227="","",WORKDAY($E227,10,$V$33:$V$41))</f>
        <v>45470</v>
      </c>
      <c r="H227" s="9">
        <f>IF($E227="","",WORKDAY($E227,20,$V$33:$V$41))</f>
        <v>45484</v>
      </c>
      <c r="I227" s="157" t="str">
        <f t="shared" si="3"/>
        <v>Jun</v>
      </c>
      <c r="J227" s="14" t="str">
        <f ca="1">IF(E227="","",IF(N227="",H227-TODAY(),""))</f>
        <v/>
      </c>
      <c r="K227" s="157" t="s">
        <v>124</v>
      </c>
      <c r="L227" s="157" t="s">
        <v>20</v>
      </c>
      <c r="M227" s="157" t="s">
        <v>70</v>
      </c>
      <c r="N227" s="9">
        <v>45457</v>
      </c>
      <c r="O227" s="159">
        <f>IF($N227="","",NETWORKDAYS($E227,$N227,$V$33:$V$47)-1)</f>
        <v>1</v>
      </c>
      <c r="P227" s="10" t="str">
        <f>IF(ISBLANK(N227),"",IF(N227&gt;H227,"No","Yes"))</f>
        <v>Yes</v>
      </c>
      <c r="Q227" s="9" t="s">
        <v>117</v>
      </c>
      <c r="R227" s="4" t="s">
        <v>118</v>
      </c>
      <c r="S227" s="4" t="s">
        <v>119</v>
      </c>
      <c r="T227" s="4"/>
      <c r="U227" s="6"/>
      <c r="V227" s="6"/>
      <c r="W227" s="6"/>
      <c r="X227" s="6"/>
      <c r="Y227" s="6"/>
      <c r="Z227" s="6"/>
      <c r="AX227" s="6" t="str">
        <v>Quarter 1</v>
      </c>
    </row>
    <row r="228" spans="1:50" ht="31.4" customHeight="1" x14ac:dyDescent="0.35">
      <c r="A228" s="136" t="s">
        <v>694</v>
      </c>
      <c r="B228" s="4" t="s">
        <v>695</v>
      </c>
      <c r="C228" s="4" t="s">
        <v>13</v>
      </c>
      <c r="D228" s="4" t="s">
        <v>696</v>
      </c>
      <c r="E228" s="157">
        <v>45456</v>
      </c>
      <c r="F228" s="9">
        <f>IF($E228="","",WORKDAY($E228,1,$V$33:$V$41))</f>
        <v>45457</v>
      </c>
      <c r="G228" s="9">
        <f>IF($E228="","",WORKDAY($E228,10,$V$33:$V$41))</f>
        <v>45470</v>
      </c>
      <c r="H228" s="9">
        <f>IF($E228="","",WORKDAY($E228,20,$V$33:$V$41))</f>
        <v>45484</v>
      </c>
      <c r="I228" s="157" t="str">
        <f t="shared" si="3"/>
        <v>Jun</v>
      </c>
      <c r="J228" s="14" t="str">
        <f ca="1">IF(E228="","",IF(N228="",H228-TODAY(),""))</f>
        <v/>
      </c>
      <c r="K228" s="157" t="s">
        <v>5</v>
      </c>
      <c r="L228" s="157" t="s">
        <v>18</v>
      </c>
      <c r="M228" s="157" t="s">
        <v>66</v>
      </c>
      <c r="N228" s="9">
        <v>45457</v>
      </c>
      <c r="O228" s="159">
        <f>IF($N228="","",NETWORKDAYS($E228,$N228,$V$33:$V$47)-1)</f>
        <v>1</v>
      </c>
      <c r="P228" s="10" t="str">
        <f>IF(ISBLANK(N228),"",IF(N228&gt;H228,"No","Yes"))</f>
        <v>Yes</v>
      </c>
      <c r="Q228" s="9" t="s">
        <v>117</v>
      </c>
      <c r="R228" s="4" t="s">
        <v>118</v>
      </c>
      <c r="S228" s="4" t="s">
        <v>135</v>
      </c>
      <c r="T228" s="4"/>
      <c r="U228" s="6"/>
      <c r="V228" s="6"/>
      <c r="W228" s="6"/>
      <c r="X228" s="6"/>
      <c r="Y228" s="6"/>
      <c r="Z228" s="6"/>
      <c r="AX228" s="6" t="str">
        <v>Quarter 1</v>
      </c>
    </row>
    <row r="229" spans="1:50" ht="31.4" customHeight="1" x14ac:dyDescent="0.35">
      <c r="A229" s="136" t="s">
        <v>697</v>
      </c>
      <c r="B229" s="4" t="s">
        <v>8</v>
      </c>
      <c r="C229" s="4" t="s">
        <v>8</v>
      </c>
      <c r="D229" s="4" t="s">
        <v>698</v>
      </c>
      <c r="E229" s="157">
        <v>45481</v>
      </c>
      <c r="F229" s="9">
        <f>IF($E229="","",WORKDAY($E229,1,$V$33:$V$41))</f>
        <v>45482</v>
      </c>
      <c r="G229" s="9">
        <f>IF($E229="","",WORKDAY($E229,10,$V$33:$V$41))</f>
        <v>45495</v>
      </c>
      <c r="H229" s="9">
        <f>IF($E229="","",WORKDAY($E229,20,$V$33:$V$41))</f>
        <v>45509</v>
      </c>
      <c r="I229" s="157" t="str">
        <f t="shared" si="3"/>
        <v>Jul</v>
      </c>
      <c r="J229" s="14" t="str">
        <f ca="1">IF(E229="","",IF(N229="",H229-TODAY(),""))</f>
        <v/>
      </c>
      <c r="K229" s="157" t="s">
        <v>4</v>
      </c>
      <c r="L229" s="157" t="s">
        <v>3</v>
      </c>
      <c r="M229" s="157" t="s">
        <v>34</v>
      </c>
      <c r="N229" s="9">
        <v>45481</v>
      </c>
      <c r="O229" s="159">
        <f>IF($N229="","",NETWORKDAYS($E229,$N229,$V$33:$V$47)-1)</f>
        <v>0</v>
      </c>
      <c r="P229" s="10" t="str">
        <f>IF(ISBLANK(N229),"",IF(N229&gt;H229,"No","Yes"))</f>
        <v>Yes</v>
      </c>
      <c r="Q229" s="9" t="s">
        <v>117</v>
      </c>
      <c r="R229" s="4" t="s">
        <v>132</v>
      </c>
      <c r="S229" s="4" t="s">
        <v>206</v>
      </c>
      <c r="T229" s="4"/>
      <c r="U229" s="6"/>
      <c r="V229" s="6"/>
      <c r="W229" s="6"/>
      <c r="X229" s="6"/>
      <c r="Y229" s="6"/>
      <c r="Z229" s="6"/>
      <c r="AX229" s="6" t="str">
        <v>Quarter 2</v>
      </c>
    </row>
    <row r="230" spans="1:50" ht="31.4" customHeight="1" x14ac:dyDescent="0.35">
      <c r="A230" s="136" t="s">
        <v>699</v>
      </c>
      <c r="B230" s="4" t="s">
        <v>8</v>
      </c>
      <c r="C230" s="4" t="s">
        <v>8</v>
      </c>
      <c r="D230" s="4" t="s">
        <v>700</v>
      </c>
      <c r="E230" s="157">
        <v>45460</v>
      </c>
      <c r="F230" s="9">
        <f>IF($E230="","",WORKDAY($E230,1,$V$33:$V$41))</f>
        <v>45461</v>
      </c>
      <c r="G230" s="9">
        <f>IF($E230="","",WORKDAY($E230,10,$V$33:$V$41))</f>
        <v>45474</v>
      </c>
      <c r="H230" s="9">
        <f>IF($E230="","",WORKDAY($E230,20,$V$33:$V$41))</f>
        <v>45488</v>
      </c>
      <c r="I230" s="157" t="str">
        <f t="shared" si="3"/>
        <v>Jun</v>
      </c>
      <c r="J230" s="14" t="str">
        <f ca="1">IF(E230="","",IF(N230="",H230-TODAY(),""))</f>
        <v/>
      </c>
      <c r="K230" s="157" t="s">
        <v>124</v>
      </c>
      <c r="L230" s="157" t="s">
        <v>24</v>
      </c>
      <c r="M230" s="157" t="s">
        <v>61</v>
      </c>
      <c r="N230" s="9">
        <v>45461</v>
      </c>
      <c r="O230" s="159">
        <f>IF($N230="","",NETWORKDAYS($E230,$N230,$V$33:$V$47)-1)</f>
        <v>1</v>
      </c>
      <c r="P230" s="10" t="str">
        <f>IF(ISBLANK(N230),"",IF(N230&gt;H230,"No","Yes"))</f>
        <v>Yes</v>
      </c>
      <c r="Q230" s="9" t="s">
        <v>117</v>
      </c>
      <c r="R230" s="4" t="s">
        <v>118</v>
      </c>
      <c r="S230" s="4"/>
      <c r="T230" s="4" t="s">
        <v>701</v>
      </c>
      <c r="U230" s="6"/>
      <c r="V230" s="6"/>
      <c r="W230" s="6"/>
      <c r="X230" s="6"/>
      <c r="Y230" s="6"/>
      <c r="Z230" s="6"/>
      <c r="AX230" s="6" t="str">
        <v>Quarter 1</v>
      </c>
    </row>
    <row r="231" spans="1:50" ht="31.4" customHeight="1" x14ac:dyDescent="0.35">
      <c r="A231" s="136" t="s">
        <v>702</v>
      </c>
      <c r="B231" s="4" t="s">
        <v>703</v>
      </c>
      <c r="C231" s="4" t="s">
        <v>15</v>
      </c>
      <c r="D231" s="4" t="s">
        <v>704</v>
      </c>
      <c r="E231" s="157">
        <v>45460</v>
      </c>
      <c r="F231" s="9">
        <f>IF($E231="","",WORKDAY($E231,1,$V$33:$V$41))</f>
        <v>45461</v>
      </c>
      <c r="G231" s="9">
        <f>IF($E231="","",WORKDAY($E231,10,$V$33:$V$41))</f>
        <v>45474</v>
      </c>
      <c r="H231" s="9">
        <f>IF($E231="","",WORKDAY($E231,20,$V$33:$V$41))</f>
        <v>45488</v>
      </c>
      <c r="I231" s="157" t="str">
        <f t="shared" si="3"/>
        <v>Jun</v>
      </c>
      <c r="J231" s="14" t="str">
        <f ca="1">IF(E231="","",IF(N231="",H231-TODAY(),""))</f>
        <v/>
      </c>
      <c r="K231" s="157" t="s">
        <v>4</v>
      </c>
      <c r="L231" s="157" t="s">
        <v>26</v>
      </c>
      <c r="M231" s="157" t="s">
        <v>93</v>
      </c>
      <c r="N231" s="9">
        <v>45463</v>
      </c>
      <c r="O231" s="159">
        <f>IF($N231="","",NETWORKDAYS($E231,$N231,$V$33:$V$47)-1)</f>
        <v>3</v>
      </c>
      <c r="P231" s="10" t="str">
        <f>IF(ISBLANK(N231),"",IF(N231&gt;H231,"No","Yes"))</f>
        <v>Yes</v>
      </c>
      <c r="Q231" s="9" t="s">
        <v>117</v>
      </c>
      <c r="R231" s="4" t="s">
        <v>118</v>
      </c>
      <c r="S231" s="4"/>
      <c r="T231" s="4"/>
      <c r="U231" s="6"/>
      <c r="V231" s="6"/>
      <c r="W231" s="6"/>
      <c r="X231" s="6"/>
      <c r="Y231" s="6"/>
      <c r="Z231" s="6"/>
      <c r="AX231" s="6" t="str">
        <v>Quarter 1</v>
      </c>
    </row>
    <row r="232" spans="1:50" ht="31.4" customHeight="1" x14ac:dyDescent="0.35">
      <c r="A232" s="136" t="s">
        <v>705</v>
      </c>
      <c r="B232" s="4" t="s">
        <v>266</v>
      </c>
      <c r="C232" s="4" t="s">
        <v>15</v>
      </c>
      <c r="D232" s="4" t="s">
        <v>706</v>
      </c>
      <c r="E232" s="157">
        <v>45460</v>
      </c>
      <c r="F232" s="9">
        <f>IF($E232="","",WORKDAY($E232,1,$V$33:$V$41))</f>
        <v>45461</v>
      </c>
      <c r="G232" s="9">
        <f>IF($E232="","",WORKDAY($E232,10,$V$33:$V$41))</f>
        <v>45474</v>
      </c>
      <c r="H232" s="9">
        <f>IF($E232="","",WORKDAY($E232,20,$V$33:$V$41))</f>
        <v>45488</v>
      </c>
      <c r="I232" s="157" t="str">
        <f t="shared" si="3"/>
        <v>Jun</v>
      </c>
      <c r="J232" s="14" t="str">
        <f ca="1">IF(E232="","",IF(N232="",H232-TODAY(),""))</f>
        <v/>
      </c>
      <c r="K232" s="157" t="s">
        <v>4</v>
      </c>
      <c r="L232" s="157" t="s">
        <v>7</v>
      </c>
      <c r="M232" s="157" t="s">
        <v>31</v>
      </c>
      <c r="N232" s="9">
        <v>45468</v>
      </c>
      <c r="O232" s="159">
        <f>IF($N232="","",NETWORKDAYS($E232,$N232,$V$33:$V$47)-1)</f>
        <v>6</v>
      </c>
      <c r="P232" s="10" t="str">
        <f>IF(ISBLANK(N232),"",IF(N232&gt;H232,"No","Yes"))</f>
        <v>Yes</v>
      </c>
      <c r="Q232" s="9" t="s">
        <v>117</v>
      </c>
      <c r="R232" s="4" t="s">
        <v>118</v>
      </c>
      <c r="S232" s="4"/>
      <c r="T232" s="4"/>
      <c r="U232" s="6"/>
      <c r="V232" s="6"/>
      <c r="W232" s="6"/>
      <c r="X232" s="6"/>
      <c r="Y232" s="6"/>
      <c r="Z232" s="6"/>
      <c r="AX232" s="6" t="str">
        <v>Quarter 1</v>
      </c>
    </row>
    <row r="233" spans="1:50" ht="31.4" customHeight="1" x14ac:dyDescent="0.35">
      <c r="A233" s="136" t="s">
        <v>707</v>
      </c>
      <c r="B233" s="4" t="s">
        <v>8</v>
      </c>
      <c r="C233" s="4" t="s">
        <v>8</v>
      </c>
      <c r="D233" s="4" t="s">
        <v>708</v>
      </c>
      <c r="E233" s="157">
        <v>45460</v>
      </c>
      <c r="F233" s="9">
        <f>IF($E233="","",WORKDAY($E233,1,$V$33:$V$41))</f>
        <v>45461</v>
      </c>
      <c r="G233" s="9">
        <f>IF($E233="","",WORKDAY($E233,10,$V$33:$V$41))</f>
        <v>45474</v>
      </c>
      <c r="H233" s="9">
        <f>IF($E233="","",WORKDAY($E233,20,$V$33:$V$41))</f>
        <v>45488</v>
      </c>
      <c r="I233" s="157" t="str">
        <f t="shared" si="3"/>
        <v>Jun</v>
      </c>
      <c r="J233" s="14" t="str">
        <f ca="1">IF(E233="","",IF(N233="",H233-TODAY(),""))</f>
        <v/>
      </c>
      <c r="K233" s="157" t="s">
        <v>10</v>
      </c>
      <c r="L233" s="157" t="s">
        <v>27</v>
      </c>
      <c r="M233" s="157" t="s">
        <v>37</v>
      </c>
      <c r="N233" s="9">
        <v>45471</v>
      </c>
      <c r="O233" s="159">
        <f>IF($N233="","",NETWORKDAYS($E233,$N233,$V$33:$V$47)-1)</f>
        <v>9</v>
      </c>
      <c r="P233" s="10" t="str">
        <f>IF(ISBLANK(N233),"",IF(N233&gt;H233,"No","Yes"))</f>
        <v>Yes</v>
      </c>
      <c r="Q233" s="9" t="s">
        <v>117</v>
      </c>
      <c r="R233" s="4" t="s">
        <v>132</v>
      </c>
      <c r="S233" s="4" t="s">
        <v>120</v>
      </c>
      <c r="T233" s="4"/>
      <c r="U233" s="6"/>
      <c r="V233" s="6"/>
      <c r="W233" s="6"/>
      <c r="X233" s="6"/>
      <c r="Y233" s="6"/>
      <c r="Z233" s="6"/>
      <c r="AX233" s="6" t="str">
        <v>Quarter 1</v>
      </c>
    </row>
    <row r="234" spans="1:50" ht="31.4" customHeight="1" x14ac:dyDescent="0.35">
      <c r="A234" s="136" t="s">
        <v>709</v>
      </c>
      <c r="B234" s="7" t="s">
        <v>258</v>
      </c>
      <c r="C234" s="7" t="s">
        <v>6</v>
      </c>
      <c r="D234" s="4" t="s">
        <v>710</v>
      </c>
      <c r="E234" s="157">
        <v>45460</v>
      </c>
      <c r="F234" s="9">
        <f>IF($E234="","",WORKDAY($E234,1,$V$33:$V$41))</f>
        <v>45461</v>
      </c>
      <c r="G234" s="9">
        <f>IF($E234="","",WORKDAY($E234,10,$V$33:$V$41))</f>
        <v>45474</v>
      </c>
      <c r="H234" s="9">
        <f>IF($E234="","",WORKDAY($E234,20,$V$33:$V$41))</f>
        <v>45488</v>
      </c>
      <c r="I234" s="157" t="str">
        <f t="shared" si="3"/>
        <v>Jun</v>
      </c>
      <c r="J234" s="14" t="str">
        <f ca="1">IF(E234="","",IF(N234="",H234-TODAY(),""))</f>
        <v/>
      </c>
      <c r="K234" s="157" t="s">
        <v>10</v>
      </c>
      <c r="L234" s="157" t="s">
        <v>27</v>
      </c>
      <c r="M234" s="157" t="s">
        <v>37</v>
      </c>
      <c r="N234" s="9">
        <v>45463</v>
      </c>
      <c r="O234" s="159">
        <f>IF($N234="","",NETWORKDAYS($E234,$N234,$V$33:$V$47)-1)</f>
        <v>3</v>
      </c>
      <c r="P234" s="10" t="str">
        <f>IF(ISBLANK(N234),"",IF(N234&gt;H234,"No","Yes"))</f>
        <v>Yes</v>
      </c>
      <c r="Q234" s="9" t="s">
        <v>117</v>
      </c>
      <c r="R234" s="4" t="s">
        <v>118</v>
      </c>
      <c r="S234" s="4"/>
      <c r="T234" s="4"/>
      <c r="U234" s="6"/>
      <c r="V234" s="6"/>
      <c r="W234" s="6"/>
      <c r="X234" s="6"/>
      <c r="Y234" s="6"/>
      <c r="Z234" s="6"/>
      <c r="AX234" s="6" t="str">
        <v>Quarter 1</v>
      </c>
    </row>
    <row r="235" spans="1:50" ht="31.4" customHeight="1" x14ac:dyDescent="0.35">
      <c r="A235" s="136" t="s">
        <v>711</v>
      </c>
      <c r="B235" s="7" t="s">
        <v>8</v>
      </c>
      <c r="C235" s="7" t="s">
        <v>8</v>
      </c>
      <c r="D235" s="7" t="s">
        <v>712</v>
      </c>
      <c r="E235" s="25">
        <v>45460</v>
      </c>
      <c r="F235" s="9">
        <f>IF($E235="","",WORKDAY($E235,1,$V$33:$V$41))</f>
        <v>45461</v>
      </c>
      <c r="G235" s="9">
        <f>IF($E235="","",WORKDAY($E235,10,$V$33:$V$41))</f>
        <v>45474</v>
      </c>
      <c r="H235" s="9">
        <f>IF($E235="","",WORKDAY($E235,20,$V$33:$V$41))</f>
        <v>45488</v>
      </c>
      <c r="I235" s="157" t="str">
        <f t="shared" si="3"/>
        <v>Jun</v>
      </c>
      <c r="J235" s="14" t="str">
        <f ca="1">IF(E235="","",IF(N235="",H235-TODAY(),""))</f>
        <v/>
      </c>
      <c r="K235" s="25" t="s">
        <v>124</v>
      </c>
      <c r="L235" s="25" t="s">
        <v>20</v>
      </c>
      <c r="M235" s="25" t="s">
        <v>63</v>
      </c>
      <c r="N235" s="9">
        <v>45467</v>
      </c>
      <c r="O235" s="159">
        <f>IF($N235="","",NETWORKDAYS($E235,$N235,$V$33:$V$47)-1)</f>
        <v>5</v>
      </c>
      <c r="P235" s="10" t="str">
        <f>IF(ISBLANK(N235),"",IF(N235&gt;H235,"No","Yes"))</f>
        <v>Yes</v>
      </c>
      <c r="Q235" s="9" t="s">
        <v>117</v>
      </c>
      <c r="R235" s="4" t="s">
        <v>118</v>
      </c>
      <c r="S235" s="7"/>
      <c r="T235" s="7" t="s">
        <v>141</v>
      </c>
      <c r="U235" s="6"/>
      <c r="V235" s="6"/>
      <c r="W235" s="6"/>
      <c r="X235" s="6"/>
      <c r="Y235" s="6"/>
      <c r="Z235" s="6"/>
      <c r="AX235" s="6" t="str">
        <v>Quarter 1</v>
      </c>
    </row>
    <row r="236" spans="1:50" ht="31.4" customHeight="1" x14ac:dyDescent="0.35">
      <c r="A236" s="136" t="s">
        <v>713</v>
      </c>
      <c r="B236" s="4" t="s">
        <v>714</v>
      </c>
      <c r="C236" s="4" t="s">
        <v>13</v>
      </c>
      <c r="D236" s="4" t="s">
        <v>715</v>
      </c>
      <c r="E236" s="157">
        <v>45461</v>
      </c>
      <c r="F236" s="9">
        <f>IF($E236="","",WORKDAY($E236,1,$V$33:$V$41))</f>
        <v>45462</v>
      </c>
      <c r="G236" s="9">
        <f>IF($E236="","",WORKDAY($E236,10,$V$33:$V$41))</f>
        <v>45475</v>
      </c>
      <c r="H236" s="9">
        <f>IF($E236="","",WORKDAY($E236,20,$V$33:$V$41))</f>
        <v>45489</v>
      </c>
      <c r="I236" s="157" t="str">
        <f t="shared" si="3"/>
        <v>Jun</v>
      </c>
      <c r="J236" s="14" t="str">
        <f ca="1">IF(E236="","",IF(N236="",H236-TODAY(),""))</f>
        <v/>
      </c>
      <c r="K236" s="157" t="s">
        <v>5</v>
      </c>
      <c r="L236" s="157" t="s">
        <v>22</v>
      </c>
      <c r="M236" s="157" t="s">
        <v>46</v>
      </c>
      <c r="N236" s="9">
        <v>45462</v>
      </c>
      <c r="O236" s="159">
        <f>IF($N236="","",NETWORKDAYS($E236,$N236,$V$33:$V$47)-1)</f>
        <v>1</v>
      </c>
      <c r="P236" s="10" t="str">
        <f>IF(ISBLANK(N236),"",IF(N236&gt;H236,"No","Yes"))</f>
        <v>Yes</v>
      </c>
      <c r="Q236" s="9" t="s">
        <v>117</v>
      </c>
      <c r="R236" s="4" t="s">
        <v>118</v>
      </c>
      <c r="S236" s="4"/>
      <c r="T236" s="4" t="s">
        <v>141</v>
      </c>
      <c r="U236" s="6"/>
      <c r="V236" s="6"/>
      <c r="W236" s="6"/>
      <c r="X236" s="6"/>
      <c r="Y236" s="6"/>
      <c r="Z236" s="6"/>
      <c r="AX236" s="6" t="str">
        <v>Quarter 1</v>
      </c>
    </row>
    <row r="237" spans="1:50" ht="31.4" customHeight="1" x14ac:dyDescent="0.35">
      <c r="A237" s="136" t="s">
        <v>716</v>
      </c>
      <c r="B237" s="4" t="s">
        <v>8</v>
      </c>
      <c r="C237" s="4" t="s">
        <v>8</v>
      </c>
      <c r="D237" s="4" t="s">
        <v>717</v>
      </c>
      <c r="E237" s="157">
        <v>45462</v>
      </c>
      <c r="F237" s="9">
        <f>IF($E237="","",WORKDAY($E237,1,$V$33:$V$41))</f>
        <v>45463</v>
      </c>
      <c r="G237" s="9">
        <f>IF($E237="","",WORKDAY($E237,10,$V$33:$V$41))</f>
        <v>45476</v>
      </c>
      <c r="H237" s="9">
        <f>IF($E237="","",WORKDAY($E237,20,$V$33:$V$41))</f>
        <v>45490</v>
      </c>
      <c r="I237" s="157" t="str">
        <f t="shared" si="3"/>
        <v>Jun</v>
      </c>
      <c r="J237" s="14" t="str">
        <f ca="1">IF(E237="","",IF(N237="",H237-TODAY(),""))</f>
        <v/>
      </c>
      <c r="K237" s="157" t="s">
        <v>4</v>
      </c>
      <c r="L237" s="157" t="s">
        <v>7</v>
      </c>
      <c r="M237" s="157" t="s">
        <v>31</v>
      </c>
      <c r="N237" s="9">
        <v>45471</v>
      </c>
      <c r="O237" s="159">
        <f>IF($N237="","",NETWORKDAYS($E237,$N237,$V$33:$V$47)-1)</f>
        <v>7</v>
      </c>
      <c r="P237" s="10" t="str">
        <f>IF(ISBLANK(N237),"",IF(N237&gt;H237,"No","Yes"))</f>
        <v>Yes</v>
      </c>
      <c r="Q237" s="9" t="s">
        <v>117</v>
      </c>
      <c r="R237" s="4" t="s">
        <v>118</v>
      </c>
      <c r="S237" s="4"/>
      <c r="T237" s="4"/>
      <c r="U237" s="6"/>
      <c r="V237" s="6"/>
      <c r="W237" s="6"/>
      <c r="X237" s="6"/>
      <c r="Y237" s="6"/>
      <c r="Z237" s="6"/>
      <c r="AX237" s="6" t="str">
        <v>Quarter 1</v>
      </c>
    </row>
    <row r="238" spans="1:50" ht="31.4" customHeight="1" x14ac:dyDescent="0.35">
      <c r="A238" s="136" t="s">
        <v>718</v>
      </c>
      <c r="B238" s="4" t="s">
        <v>8</v>
      </c>
      <c r="C238" s="4" t="s">
        <v>8</v>
      </c>
      <c r="D238" s="4" t="s">
        <v>719</v>
      </c>
      <c r="E238" s="157">
        <v>45462</v>
      </c>
      <c r="F238" s="9">
        <f>IF($E238="","",WORKDAY($E238,1,$V$33:$V$41))</f>
        <v>45463</v>
      </c>
      <c r="G238" s="9">
        <f>IF($E238="","",WORKDAY($E238,10,$V$33:$V$41))</f>
        <v>45476</v>
      </c>
      <c r="H238" s="9">
        <f>IF($E238="","",WORKDAY($E238,20,$V$33:$V$41))</f>
        <v>45490</v>
      </c>
      <c r="I238" s="157" t="str">
        <f t="shared" si="3"/>
        <v>Jun</v>
      </c>
      <c r="J238" s="14" t="str">
        <f ca="1">IF(E238="","",IF(N238="",H238-TODAY(),""))</f>
        <v/>
      </c>
      <c r="K238" s="157" t="s">
        <v>124</v>
      </c>
      <c r="L238" s="157" t="s">
        <v>20</v>
      </c>
      <c r="M238" s="157" t="s">
        <v>63</v>
      </c>
      <c r="N238" s="9">
        <v>45463</v>
      </c>
      <c r="O238" s="159">
        <f>IF($N238="","",NETWORKDAYS($E238,$N238,$V$33:$V$47)-1)</f>
        <v>1</v>
      </c>
      <c r="P238" s="10" t="str">
        <f>IF(ISBLANK(N238),"",IF(N238&gt;H238,"No","Yes"))</f>
        <v>Yes</v>
      </c>
      <c r="Q238" s="9" t="s">
        <v>117</v>
      </c>
      <c r="R238" s="4" t="s">
        <v>118</v>
      </c>
      <c r="S238" s="4"/>
      <c r="T238" s="4"/>
      <c r="U238" s="6"/>
      <c r="V238" s="6"/>
      <c r="W238" s="6"/>
      <c r="X238" s="6"/>
      <c r="Y238" s="6"/>
      <c r="Z238" s="6"/>
      <c r="AX238" s="6" t="str">
        <v>Quarter 1</v>
      </c>
    </row>
    <row r="239" spans="1:50" ht="31.4" customHeight="1" x14ac:dyDescent="0.35">
      <c r="A239" s="136" t="s">
        <v>720</v>
      </c>
      <c r="B239" s="7" t="s">
        <v>8</v>
      </c>
      <c r="C239" s="7" t="s">
        <v>8</v>
      </c>
      <c r="D239" s="7" t="s">
        <v>721</v>
      </c>
      <c r="E239" s="157">
        <v>45462</v>
      </c>
      <c r="F239" s="9">
        <f>IF($E239="","",WORKDAY($E239,1,$V$33:$V$41))</f>
        <v>45463</v>
      </c>
      <c r="G239" s="9">
        <f>IF($E239="","",WORKDAY($E239,10,$V$33:$V$41))</f>
        <v>45476</v>
      </c>
      <c r="H239" s="9">
        <f>IF($E239="","",WORKDAY($E239,20,$V$33:$V$41))</f>
        <v>45490</v>
      </c>
      <c r="I239" s="157" t="str">
        <f t="shared" si="3"/>
        <v>Jun</v>
      </c>
      <c r="J239" s="14" t="str">
        <f ca="1">IF(E239="","",IF(N239="",H239-TODAY(),""))</f>
        <v/>
      </c>
      <c r="K239" s="157" t="s">
        <v>5</v>
      </c>
      <c r="L239" s="157" t="s">
        <v>16</v>
      </c>
      <c r="M239" s="157" t="s">
        <v>52</v>
      </c>
      <c r="N239" s="9">
        <v>45489</v>
      </c>
      <c r="O239" s="159">
        <f>IF($N239="","",NETWORKDAYS($E239,$N239,$V$33:$V$47)-1)</f>
        <v>19</v>
      </c>
      <c r="P239" s="10" t="str">
        <f>IF(ISBLANK(N239),"",IF(N239&gt;H239,"No","Yes"))</f>
        <v>Yes</v>
      </c>
      <c r="Q239" s="9" t="s">
        <v>117</v>
      </c>
      <c r="R239" s="4" t="s">
        <v>118</v>
      </c>
      <c r="S239" s="4"/>
      <c r="T239" s="7"/>
      <c r="U239" s="6"/>
      <c r="V239" s="6"/>
      <c r="W239" s="6"/>
      <c r="X239" s="6"/>
      <c r="Y239" s="6"/>
      <c r="Z239" s="6"/>
      <c r="AX239" s="6" t="str">
        <v>Quarter 1</v>
      </c>
    </row>
    <row r="240" spans="1:50" ht="31.4" customHeight="1" x14ac:dyDescent="0.35">
      <c r="A240" s="136" t="s">
        <v>722</v>
      </c>
      <c r="B240" s="4" t="s">
        <v>8</v>
      </c>
      <c r="C240" s="4" t="s">
        <v>8</v>
      </c>
      <c r="D240" s="4" t="s">
        <v>723</v>
      </c>
      <c r="E240" s="157">
        <v>45462</v>
      </c>
      <c r="F240" s="9">
        <f>IF($E240="","",WORKDAY($E240,1,$V$33:$V$41))</f>
        <v>45463</v>
      </c>
      <c r="G240" s="9">
        <f>IF($E240="","",WORKDAY($E240,10,$V$33:$V$41))</f>
        <v>45476</v>
      </c>
      <c r="H240" s="9">
        <f>IF($E240="","",WORKDAY($E240,20,$V$33:$V$41))</f>
        <v>45490</v>
      </c>
      <c r="I240" s="157" t="str">
        <f t="shared" si="3"/>
        <v>Jun</v>
      </c>
      <c r="J240" s="14" t="str">
        <f ca="1">IF(E240="","",IF(N240="",H240-TODAY(),""))</f>
        <v/>
      </c>
      <c r="K240" s="157" t="s">
        <v>10</v>
      </c>
      <c r="L240" s="157" t="s">
        <v>27</v>
      </c>
      <c r="M240" s="157" t="s">
        <v>86</v>
      </c>
      <c r="N240" s="9">
        <v>45488</v>
      </c>
      <c r="O240" s="159">
        <f>IF($N240="","",NETWORKDAYS($E240,$N240,$V$33:$V$47)-1)</f>
        <v>18</v>
      </c>
      <c r="P240" s="10" t="str">
        <f>IF(ISBLANK(N240),"",IF(N240&gt;H240,"No","Yes"))</f>
        <v>Yes</v>
      </c>
      <c r="Q240" s="9" t="s">
        <v>117</v>
      </c>
      <c r="R240" s="4" t="s">
        <v>118</v>
      </c>
      <c r="S240" s="4"/>
      <c r="T240" s="4" t="s">
        <v>141</v>
      </c>
      <c r="U240" s="6"/>
      <c r="V240" s="6"/>
      <c r="W240" s="6"/>
      <c r="X240" s="6"/>
      <c r="Y240" s="6"/>
      <c r="Z240" s="6"/>
      <c r="AX240" s="6" t="str">
        <v>Quarter 1</v>
      </c>
    </row>
    <row r="241" spans="1:50" ht="31.4" customHeight="1" x14ac:dyDescent="0.35">
      <c r="A241" s="136" t="s">
        <v>724</v>
      </c>
      <c r="B241" s="4" t="s">
        <v>725</v>
      </c>
      <c r="C241" s="4" t="s">
        <v>6</v>
      </c>
      <c r="D241" s="4" t="s">
        <v>726</v>
      </c>
      <c r="E241" s="157">
        <v>45462</v>
      </c>
      <c r="F241" s="9">
        <f>IF($E241="","",WORKDAY($E241,1,$V$33:$V$41))</f>
        <v>45463</v>
      </c>
      <c r="G241" s="9">
        <f>IF($E241="","",WORKDAY($E241,10,$V$33:$V$41))</f>
        <v>45476</v>
      </c>
      <c r="H241" s="9">
        <f>IF($E241="","",WORKDAY($E241,20,$V$33:$V$41))</f>
        <v>45490</v>
      </c>
      <c r="I241" s="157" t="str">
        <f t="shared" si="3"/>
        <v>Jun</v>
      </c>
      <c r="J241" s="14" t="str">
        <f ca="1">IF(E241="","",IF(N241="",H241-TODAY(),""))</f>
        <v/>
      </c>
      <c r="K241" s="157" t="s">
        <v>124</v>
      </c>
      <c r="L241" s="157" t="s">
        <v>24</v>
      </c>
      <c r="M241" s="157" t="s">
        <v>87</v>
      </c>
      <c r="N241" s="9">
        <v>45481</v>
      </c>
      <c r="O241" s="159">
        <f>IF($N241="","",NETWORKDAYS($E241,$N241,$V$33:$V$47)-1)</f>
        <v>13</v>
      </c>
      <c r="P241" s="10" t="str">
        <f>IF(ISBLANK(N241),"",IF(N241&gt;H241,"No","Yes"))</f>
        <v>Yes</v>
      </c>
      <c r="Q241" s="9" t="s">
        <v>117</v>
      </c>
      <c r="R241" s="4" t="s">
        <v>118</v>
      </c>
      <c r="S241" s="4"/>
      <c r="T241" s="4"/>
      <c r="U241" s="6"/>
      <c r="V241" s="6"/>
      <c r="W241" s="6"/>
      <c r="X241" s="6"/>
      <c r="Y241" s="6"/>
      <c r="Z241" s="6"/>
      <c r="AX241" s="6" t="str">
        <v>Quarter 1</v>
      </c>
    </row>
    <row r="242" spans="1:50" ht="31.4" customHeight="1" x14ac:dyDescent="0.35">
      <c r="A242" s="136" t="s">
        <v>727</v>
      </c>
      <c r="B242" s="4" t="s">
        <v>672</v>
      </c>
      <c r="C242" s="4" t="s">
        <v>6</v>
      </c>
      <c r="D242" s="4" t="s">
        <v>728</v>
      </c>
      <c r="E242" s="157">
        <v>45463</v>
      </c>
      <c r="F242" s="9">
        <f>IF($E242="","",WORKDAY($E242,1,$V$33:$V$41))</f>
        <v>45464</v>
      </c>
      <c r="G242" s="9">
        <f>IF($E242="","",WORKDAY($E242,10,$V$33:$V$41))</f>
        <v>45477</v>
      </c>
      <c r="H242" s="9">
        <f>IF($E242="","",WORKDAY($E242,20,$V$33:$V$41))</f>
        <v>45491</v>
      </c>
      <c r="I242" s="157" t="str">
        <f t="shared" si="3"/>
        <v>Jun</v>
      </c>
      <c r="J242" s="14" t="str">
        <f ca="1">IF(E242="","",IF(N242="",H242-TODAY(),""))</f>
        <v/>
      </c>
      <c r="K242" s="157" t="s">
        <v>124</v>
      </c>
      <c r="L242" s="157" t="s">
        <v>20</v>
      </c>
      <c r="M242" s="157" t="s">
        <v>63</v>
      </c>
      <c r="N242" s="9">
        <v>45467</v>
      </c>
      <c r="O242" s="159">
        <f>IF($N242="","",NETWORKDAYS($E242,$N242,$V$33:$V$47)-1)</f>
        <v>2</v>
      </c>
      <c r="P242" s="10" t="str">
        <f>IF(ISBLANK(N242),"",IF(N242&gt;H242,"No","Yes"))</f>
        <v>Yes</v>
      </c>
      <c r="Q242" s="9" t="s">
        <v>117</v>
      </c>
      <c r="R242" s="4" t="s">
        <v>150</v>
      </c>
      <c r="S242" s="4"/>
      <c r="T242" s="4"/>
      <c r="U242" s="6"/>
      <c r="V242" s="6"/>
      <c r="W242" s="6"/>
      <c r="X242" s="6"/>
      <c r="Y242" s="6"/>
      <c r="Z242" s="6"/>
      <c r="AX242" s="6" t="str">
        <v>Quarter 1</v>
      </c>
    </row>
    <row r="243" spans="1:50" ht="31.4" customHeight="1" x14ac:dyDescent="0.35">
      <c r="A243" s="136" t="s">
        <v>729</v>
      </c>
      <c r="B243" s="4" t="s">
        <v>481</v>
      </c>
      <c r="C243" s="4" t="s">
        <v>6</v>
      </c>
      <c r="D243" s="4" t="s">
        <v>730</v>
      </c>
      <c r="E243" s="157">
        <v>45464</v>
      </c>
      <c r="F243" s="9">
        <f>IF($E243="","",WORKDAY($E243,1,$V$33:$V$41))</f>
        <v>45467</v>
      </c>
      <c r="G243" s="9">
        <f>IF($E243="","",WORKDAY($E243,10,$V$33:$V$41))</f>
        <v>45478</v>
      </c>
      <c r="H243" s="9">
        <f>IF($E243="","",WORKDAY($E243,20,$V$33:$V$41))</f>
        <v>45492</v>
      </c>
      <c r="I243" s="157" t="str">
        <f t="shared" si="3"/>
        <v>Jun</v>
      </c>
      <c r="J243" s="14" t="str">
        <f ca="1">IF(E243="","",IF(N243="",H243-TODAY(),""))</f>
        <v/>
      </c>
      <c r="K243" s="157" t="s">
        <v>124</v>
      </c>
      <c r="L243" s="157" t="s">
        <v>20</v>
      </c>
      <c r="M243" s="157" t="s">
        <v>62</v>
      </c>
      <c r="N243" s="9">
        <v>45467</v>
      </c>
      <c r="O243" s="159">
        <f>IF($N243="","",NETWORKDAYS($E243,$N243,$V$33:$V$47)-1)</f>
        <v>1</v>
      </c>
      <c r="P243" s="10" t="str">
        <f>IF(ISBLANK(N243),"",IF(N243&gt;H243,"No","Yes"))</f>
        <v>Yes</v>
      </c>
      <c r="Q243" s="9" t="s">
        <v>117</v>
      </c>
      <c r="R243" s="4" t="s">
        <v>150</v>
      </c>
      <c r="S243" s="4"/>
      <c r="T243" s="4"/>
      <c r="U243" s="6"/>
      <c r="V243" s="6"/>
      <c r="W243" s="6"/>
      <c r="X243" s="6"/>
      <c r="Y243" s="6"/>
      <c r="Z243" s="6"/>
      <c r="AX243" s="6" t="str">
        <v>Quarter 1</v>
      </c>
    </row>
    <row r="244" spans="1:50" ht="31.4" customHeight="1" x14ac:dyDescent="0.35">
      <c r="A244" s="136" t="s">
        <v>731</v>
      </c>
      <c r="B244" s="4" t="s">
        <v>732</v>
      </c>
      <c r="C244" s="4" t="s">
        <v>13</v>
      </c>
      <c r="D244" s="4" t="s">
        <v>275</v>
      </c>
      <c r="E244" s="157">
        <v>45464</v>
      </c>
      <c r="F244" s="9">
        <f>IF($E244="","",WORKDAY($E244,1,$V$33:$V$41))</f>
        <v>45467</v>
      </c>
      <c r="G244" s="9">
        <f>IF($E244="","",WORKDAY($E244,10,$V$33:$V$41))</f>
        <v>45478</v>
      </c>
      <c r="H244" s="9">
        <f>IF($E244="","",WORKDAY($E244,20,$V$33:$V$41))</f>
        <v>45492</v>
      </c>
      <c r="I244" s="157" t="str">
        <f t="shared" si="3"/>
        <v>Jun</v>
      </c>
      <c r="J244" s="14" t="str">
        <f ca="1">IF(E244="","",IF(N244="",H244-TODAY(),""))</f>
        <v/>
      </c>
      <c r="K244" s="157" t="s">
        <v>124</v>
      </c>
      <c r="L244" s="157" t="s">
        <v>20</v>
      </c>
      <c r="M244" s="157" t="s">
        <v>70</v>
      </c>
      <c r="N244" s="9">
        <v>45467</v>
      </c>
      <c r="O244" s="159">
        <f>IF($N244="","",NETWORKDAYS($E244,$N244,$V$33:$V$47)-1)</f>
        <v>1</v>
      </c>
      <c r="P244" s="10" t="str">
        <f>IF(ISBLANK(N244),"",IF(N244&gt;H244,"No","Yes"))</f>
        <v>Yes</v>
      </c>
      <c r="Q244" s="9" t="s">
        <v>117</v>
      </c>
      <c r="R244" s="4" t="s">
        <v>126</v>
      </c>
      <c r="S244" s="4" t="s">
        <v>134</v>
      </c>
      <c r="T244" s="4"/>
      <c r="U244" s="6"/>
      <c r="V244" s="6"/>
      <c r="W244" s="6"/>
      <c r="X244" s="6"/>
      <c r="Y244" s="6"/>
      <c r="Z244" s="6"/>
      <c r="AX244" s="6" t="str">
        <v>Quarter 1</v>
      </c>
    </row>
    <row r="245" spans="1:50" ht="31.4" customHeight="1" x14ac:dyDescent="0.35">
      <c r="A245" s="136" t="s">
        <v>733</v>
      </c>
      <c r="B245" s="4" t="s">
        <v>8</v>
      </c>
      <c r="C245" s="4" t="s">
        <v>8</v>
      </c>
      <c r="D245" s="4" t="s">
        <v>264</v>
      </c>
      <c r="E245" s="157"/>
      <c r="F245" s="9" t="str">
        <f>IF($E245="","",WORKDAY($E245,1,$V$33:$V$41))</f>
        <v/>
      </c>
      <c r="G245" s="9" t="str">
        <f>IF($E245="","",WORKDAY($E245,10,$V$33:$V$41))</f>
        <v/>
      </c>
      <c r="H245" s="9" t="str">
        <f>IF($E245="","",WORKDAY($E245,20,$V$33:$V$41))</f>
        <v/>
      </c>
      <c r="I245" s="157" t="s">
        <v>734</v>
      </c>
      <c r="J245" s="14" t="str">
        <f ca="1">IF(E245="","",IF(N245="",H245-TODAY(),""))</f>
        <v/>
      </c>
      <c r="K245" s="157" t="s">
        <v>5</v>
      </c>
      <c r="L245" s="157" t="s">
        <v>16</v>
      </c>
      <c r="M245" s="157" t="s">
        <v>52</v>
      </c>
      <c r="N245" s="9"/>
      <c r="O245" s="159" t="str">
        <f>IF($N245="","",NETWORKDAYS($E245,$N245,$V$33:$V$47)-1)</f>
        <v/>
      </c>
      <c r="P245" s="10" t="str">
        <f>IF(ISBLANK(N245),"",IF(N245&gt;H245,"No","Yes"))</f>
        <v/>
      </c>
      <c r="Q245" s="9" t="s">
        <v>140</v>
      </c>
      <c r="R245" s="4" t="s">
        <v>140</v>
      </c>
      <c r="S245" s="4"/>
      <c r="T245" s="4" t="s">
        <v>735</v>
      </c>
      <c r="U245" s="6"/>
      <c r="V245" s="6"/>
      <c r="W245" s="6"/>
      <c r="X245" s="6"/>
      <c r="Y245" s="6"/>
      <c r="Z245" s="6"/>
      <c r="AX245" s="6" t="str">
        <v>Quarter 1</v>
      </c>
    </row>
    <row r="246" spans="1:50" ht="31.4" customHeight="1" x14ac:dyDescent="0.35">
      <c r="A246" s="136" t="s">
        <v>736</v>
      </c>
      <c r="B246" s="4" t="s">
        <v>8</v>
      </c>
      <c r="C246" s="4" t="s">
        <v>8</v>
      </c>
      <c r="D246" s="4" t="s">
        <v>737</v>
      </c>
      <c r="E246" s="157">
        <v>45467</v>
      </c>
      <c r="F246" s="9">
        <f>IF($E246="","",WORKDAY($E246,1,$V$33:$V$41))</f>
        <v>45468</v>
      </c>
      <c r="G246" s="9">
        <f>IF($E246="","",WORKDAY($E246,10,$V$33:$V$41))</f>
        <v>45481</v>
      </c>
      <c r="H246" s="9">
        <f>IF($E246="","",WORKDAY($E246,20,$V$33:$V$41))</f>
        <v>45495</v>
      </c>
      <c r="I246" s="157" t="str">
        <f t="shared" si="3"/>
        <v>Jun</v>
      </c>
      <c r="J246" s="14" t="str">
        <f ca="1">IF(E246="","",IF(N246="",H246-TODAY(),""))</f>
        <v/>
      </c>
      <c r="K246" s="157" t="s">
        <v>124</v>
      </c>
      <c r="L246" s="157" t="s">
        <v>20</v>
      </c>
      <c r="M246" s="157" t="s">
        <v>70</v>
      </c>
      <c r="N246" s="9">
        <v>45467</v>
      </c>
      <c r="O246" s="159">
        <f>IF($N246="","",NETWORKDAYS($E246,$N246,$V$33:$V$47)-1)</f>
        <v>0</v>
      </c>
      <c r="P246" s="10" t="str">
        <f>IF(ISBLANK(N246),"",IF(N246&gt;H246,"No","Yes"))</f>
        <v>Yes</v>
      </c>
      <c r="Q246" s="9" t="s">
        <v>117</v>
      </c>
      <c r="R246" s="4" t="s">
        <v>150</v>
      </c>
      <c r="S246" s="4"/>
      <c r="T246" s="4"/>
      <c r="U246" s="6"/>
      <c r="V246" s="6"/>
      <c r="W246" s="6"/>
      <c r="X246" s="6"/>
      <c r="Y246" s="6"/>
      <c r="Z246" s="6"/>
      <c r="AX246" s="6" t="str">
        <v>Quarter 1</v>
      </c>
    </row>
    <row r="247" spans="1:50" ht="31.4" customHeight="1" x14ac:dyDescent="0.35">
      <c r="A247" s="136" t="s">
        <v>738</v>
      </c>
      <c r="B247" s="4" t="s">
        <v>8</v>
      </c>
      <c r="C247" s="4" t="s">
        <v>8</v>
      </c>
      <c r="D247" s="4" t="s">
        <v>739</v>
      </c>
      <c r="E247" s="157">
        <v>45467</v>
      </c>
      <c r="F247" s="9">
        <f>IF($E247="","",WORKDAY($E247,1,$V$33:$V$41))</f>
        <v>45468</v>
      </c>
      <c r="G247" s="9">
        <f>IF($E247="","",WORKDAY($E247,10,$V$33:$V$41))</f>
        <v>45481</v>
      </c>
      <c r="H247" s="9">
        <f>IF($E247="","",WORKDAY($E247,20,$V$33:$V$41))</f>
        <v>45495</v>
      </c>
      <c r="I247" s="157" t="str">
        <f t="shared" si="3"/>
        <v>Jun</v>
      </c>
      <c r="J247" s="14" t="str">
        <f ca="1">IF(E247="","",IF(N247="",H247-TODAY(),""))</f>
        <v/>
      </c>
      <c r="K247" s="157" t="s">
        <v>10</v>
      </c>
      <c r="L247" s="157" t="s">
        <v>27</v>
      </c>
      <c r="M247" s="157" t="s">
        <v>86</v>
      </c>
      <c r="N247" s="9">
        <v>45468</v>
      </c>
      <c r="O247" s="159">
        <f>IF($N247="","",NETWORKDAYS($E247,$N247,$V$33:$V$47)-1)</f>
        <v>1</v>
      </c>
      <c r="P247" s="10" t="str">
        <f>IF(ISBLANK(N247),"",IF(N247&gt;H247,"No","Yes"))</f>
        <v>Yes</v>
      </c>
      <c r="Q247" s="9" t="s">
        <v>117</v>
      </c>
      <c r="R247" s="4" t="s">
        <v>118</v>
      </c>
      <c r="S247" s="4"/>
      <c r="T247" s="4"/>
      <c r="U247" s="6"/>
      <c r="V247" s="6"/>
      <c r="W247" s="6"/>
      <c r="X247" s="6"/>
      <c r="Y247" s="6"/>
      <c r="Z247" s="6"/>
      <c r="AX247" s="6" t="str">
        <v>Quarter 1</v>
      </c>
    </row>
    <row r="248" spans="1:50" ht="31.4" customHeight="1" x14ac:dyDescent="0.35">
      <c r="A248" s="136" t="s">
        <v>740</v>
      </c>
      <c r="B248" s="4" t="s">
        <v>8</v>
      </c>
      <c r="C248" s="4" t="s">
        <v>8</v>
      </c>
      <c r="D248" s="4" t="s">
        <v>741</v>
      </c>
      <c r="E248" s="157">
        <v>45467</v>
      </c>
      <c r="F248" s="9">
        <f>IF($E248="","",WORKDAY($E248,1,$V$33:$V$41))</f>
        <v>45468</v>
      </c>
      <c r="G248" s="9">
        <f>IF($E248="","",WORKDAY($E248,10,$V$33:$V$41))</f>
        <v>45481</v>
      </c>
      <c r="H248" s="9">
        <f>IF($E248="","",WORKDAY($E248,20,$V$33:$V$41))</f>
        <v>45495</v>
      </c>
      <c r="I248" s="157" t="str">
        <f t="shared" si="3"/>
        <v>Jun</v>
      </c>
      <c r="J248" s="14" t="str">
        <f ca="1">IF(E248="","",IF(N248="",H248-TODAY(),""))</f>
        <v/>
      </c>
      <c r="K248" s="157" t="s">
        <v>124</v>
      </c>
      <c r="L248" s="157" t="s">
        <v>24</v>
      </c>
      <c r="M248" s="157" t="s">
        <v>76</v>
      </c>
      <c r="N248" s="9">
        <v>45467</v>
      </c>
      <c r="O248" s="159">
        <f>IF($N248="","",NETWORKDAYS($E248,$N248,$V$33:$V$47)-1)</f>
        <v>0</v>
      </c>
      <c r="P248" s="10" t="str">
        <f>IF(ISBLANK(N248),"",IF(N248&gt;H248,"No","Yes"))</f>
        <v>Yes</v>
      </c>
      <c r="Q248" s="9" t="s">
        <v>117</v>
      </c>
      <c r="R248" s="4" t="s">
        <v>118</v>
      </c>
      <c r="S248" s="4"/>
      <c r="T248" s="4"/>
      <c r="U248" s="6"/>
      <c r="V248" s="6"/>
      <c r="W248" s="6"/>
      <c r="X248" s="6"/>
      <c r="Y248" s="6"/>
      <c r="Z248" s="6"/>
      <c r="AX248" s="6" t="str">
        <v>Quarter 1</v>
      </c>
    </row>
    <row r="249" spans="1:50" ht="31.4" customHeight="1" x14ac:dyDescent="0.35">
      <c r="A249" s="136" t="s">
        <v>742</v>
      </c>
      <c r="B249" s="4" t="s">
        <v>138</v>
      </c>
      <c r="C249" s="4" t="s">
        <v>19</v>
      </c>
      <c r="D249" s="4" t="s">
        <v>743</v>
      </c>
      <c r="E249" s="157">
        <v>45470</v>
      </c>
      <c r="F249" s="9">
        <f>IF($E249="","",WORKDAY($E249,1,$V$33:$V$41))</f>
        <v>45471</v>
      </c>
      <c r="G249" s="9">
        <f>IF($E249="","",WORKDAY($E249,10,$V$33:$V$41))</f>
        <v>45484</v>
      </c>
      <c r="H249" s="9">
        <f>IF($E249="","",WORKDAY($E249,20,$V$33:$V$41))</f>
        <v>45498</v>
      </c>
      <c r="I249" s="157" t="str">
        <f t="shared" si="3"/>
        <v>Jun</v>
      </c>
      <c r="J249" s="14" t="str">
        <f ca="1">IF(E249="","",IF(N249="",H249-TODAY(),""))</f>
        <v/>
      </c>
      <c r="K249" s="157" t="s">
        <v>10</v>
      </c>
      <c r="L249" s="157" t="s">
        <v>9</v>
      </c>
      <c r="M249" s="157" t="s">
        <v>38</v>
      </c>
      <c r="N249" s="9">
        <v>45484</v>
      </c>
      <c r="O249" s="159">
        <f>IF($N249="","",NETWORKDAYS($E249,$N249,$V$33:$V$47)-1)</f>
        <v>10</v>
      </c>
      <c r="P249" s="10" t="str">
        <f>IF(ISBLANK(N249),"",IF(N249&gt;H249,"No","Yes"))</f>
        <v>Yes</v>
      </c>
      <c r="Q249" s="9" t="s">
        <v>117</v>
      </c>
      <c r="R249" s="4" t="s">
        <v>118</v>
      </c>
      <c r="S249" s="4"/>
      <c r="T249" s="4"/>
      <c r="U249" s="6"/>
      <c r="V249" s="6"/>
      <c r="W249" s="6"/>
      <c r="X249" s="6"/>
      <c r="Y249" s="6"/>
      <c r="Z249" s="6"/>
      <c r="AX249" s="6" t="str">
        <v>Quarter 1</v>
      </c>
    </row>
    <row r="250" spans="1:50" ht="31.4" customHeight="1" x14ac:dyDescent="0.35">
      <c r="A250" s="136" t="s">
        <v>744</v>
      </c>
      <c r="B250" s="7" t="s">
        <v>745</v>
      </c>
      <c r="C250" s="7" t="s">
        <v>13</v>
      </c>
      <c r="D250" s="4" t="s">
        <v>746</v>
      </c>
      <c r="E250" s="157">
        <v>45467</v>
      </c>
      <c r="F250" s="9">
        <f>IF($E250="","",WORKDAY($E250,1,$V$33:$V$41))</f>
        <v>45468</v>
      </c>
      <c r="G250" s="9">
        <f>IF($E250="","",WORKDAY($E250,10,$V$33:$V$41))</f>
        <v>45481</v>
      </c>
      <c r="H250" s="9">
        <f>IF($E250="","",WORKDAY($E250,20,$V$33:$V$41))</f>
        <v>45495</v>
      </c>
      <c r="I250" s="157" t="str">
        <f t="shared" si="3"/>
        <v>Jun</v>
      </c>
      <c r="J250" s="14" t="str">
        <f ca="1">IF(E250="","",IF(N250="",H250-TODAY(),""))</f>
        <v/>
      </c>
      <c r="K250" s="157" t="s">
        <v>124</v>
      </c>
      <c r="L250" s="157" t="s">
        <v>14</v>
      </c>
      <c r="M250" s="157" t="s">
        <v>81</v>
      </c>
      <c r="N250" s="9">
        <v>45467</v>
      </c>
      <c r="O250" s="159">
        <f>IF($N250="","",NETWORKDAYS($E250,$N250,$V$33:$V$47)-1)</f>
        <v>0</v>
      </c>
      <c r="P250" s="10" t="str">
        <f>IF(ISBLANK(N250),"",IF(N250&gt;H250,"No","Yes"))</f>
        <v>Yes</v>
      </c>
      <c r="Q250" s="9" t="s">
        <v>117</v>
      </c>
      <c r="R250" s="4" t="s">
        <v>118</v>
      </c>
      <c r="S250" s="4"/>
      <c r="T250" s="4"/>
      <c r="U250" s="6"/>
      <c r="V250" s="6"/>
      <c r="W250" s="6"/>
      <c r="X250" s="6"/>
      <c r="Y250" s="6"/>
      <c r="Z250" s="6"/>
      <c r="AX250" s="6" t="str">
        <v>Quarter 1</v>
      </c>
    </row>
    <row r="251" spans="1:50" ht="31.4" customHeight="1" x14ac:dyDescent="0.35">
      <c r="A251" s="136" t="s">
        <v>747</v>
      </c>
      <c r="B251" s="7" t="s">
        <v>748</v>
      </c>
      <c r="C251" s="7" t="s">
        <v>13</v>
      </c>
      <c r="D251" s="7" t="s">
        <v>749</v>
      </c>
      <c r="E251" s="157">
        <v>45468</v>
      </c>
      <c r="F251" s="9">
        <f>IF($E251="","",WORKDAY($E251,1,$V$33:$V$41))</f>
        <v>45469</v>
      </c>
      <c r="G251" s="9">
        <f>IF($E251="","",WORKDAY($E251,10,$V$33:$V$41))</f>
        <v>45482</v>
      </c>
      <c r="H251" s="9">
        <f>IF($E251="","",WORKDAY($E251,20,$V$33:$V$41))</f>
        <v>45496</v>
      </c>
      <c r="I251" s="157" t="str">
        <f t="shared" si="3"/>
        <v>Jun</v>
      </c>
      <c r="J251" s="14" t="str">
        <f ca="1">IF(E251="","",IF(N251="",H251-TODAY(),""))</f>
        <v/>
      </c>
      <c r="K251" s="157" t="s">
        <v>124</v>
      </c>
      <c r="L251" s="157" t="s">
        <v>24</v>
      </c>
      <c r="M251" s="157" t="s">
        <v>87</v>
      </c>
      <c r="N251" s="9">
        <v>45468</v>
      </c>
      <c r="O251" s="159">
        <f>IF($N251="","",NETWORKDAYS($E251,$N251,$V$33:$V$47)-1)</f>
        <v>0</v>
      </c>
      <c r="P251" s="10" t="str">
        <f>IF(ISBLANK(N251),"",IF(N251&gt;H251,"No","Yes"))</f>
        <v>Yes</v>
      </c>
      <c r="Q251" s="9" t="s">
        <v>117</v>
      </c>
      <c r="R251" s="4" t="s">
        <v>118</v>
      </c>
      <c r="S251" s="4"/>
      <c r="T251" s="4" t="s">
        <v>141</v>
      </c>
      <c r="U251" s="6"/>
      <c r="V251" s="6"/>
      <c r="W251" s="6"/>
      <c r="X251" s="6"/>
      <c r="Y251" s="6"/>
      <c r="Z251" s="6"/>
      <c r="AX251" s="6" t="str">
        <v>Quarter 1</v>
      </c>
    </row>
    <row r="252" spans="1:50" ht="31.4" customHeight="1" x14ac:dyDescent="0.35">
      <c r="A252" s="136" t="s">
        <v>750</v>
      </c>
      <c r="B252" s="7" t="s">
        <v>751</v>
      </c>
      <c r="C252" s="7" t="s">
        <v>6</v>
      </c>
      <c r="D252" s="7" t="s">
        <v>651</v>
      </c>
      <c r="E252" s="157">
        <v>45468</v>
      </c>
      <c r="F252" s="9">
        <f>IF($E252="","",WORKDAY($E252,1,$V$33:$V$41))</f>
        <v>45469</v>
      </c>
      <c r="G252" s="9">
        <f>IF($E252="","",WORKDAY($E252,10,$V$33:$V$41))</f>
        <v>45482</v>
      </c>
      <c r="H252" s="9">
        <f>IF($E252="","",WORKDAY($E252,20,$V$33:$V$41))</f>
        <v>45496</v>
      </c>
      <c r="I252" s="157" t="str">
        <f t="shared" si="3"/>
        <v>Jun</v>
      </c>
      <c r="J252" s="14" t="str">
        <f ca="1">IF(E252="","",IF(N252="",H252-TODAY(),""))</f>
        <v/>
      </c>
      <c r="K252" s="157" t="s">
        <v>10</v>
      </c>
      <c r="L252" s="157" t="s">
        <v>12</v>
      </c>
      <c r="M252" s="157" t="s">
        <v>65</v>
      </c>
      <c r="N252" s="9">
        <v>45469</v>
      </c>
      <c r="O252" s="159">
        <f>IF($N252="","",NETWORKDAYS($E252,$N252,$V$33:$V$47)-1)</f>
        <v>1</v>
      </c>
      <c r="P252" s="10" t="str">
        <f>IF(ISBLANK(N252),"",IF(N252&gt;H252,"No","Yes"))</f>
        <v>Yes</v>
      </c>
      <c r="Q252" s="9" t="s">
        <v>117</v>
      </c>
      <c r="R252" s="4" t="s">
        <v>118</v>
      </c>
      <c r="S252" s="4"/>
      <c r="T252" s="4"/>
      <c r="U252" s="6"/>
      <c r="V252" s="6"/>
      <c r="W252" s="6"/>
      <c r="X252" s="6"/>
      <c r="Y252" s="6"/>
      <c r="Z252" s="6"/>
      <c r="AX252" s="6" t="str">
        <v>Quarter 1</v>
      </c>
    </row>
    <row r="253" spans="1:50" ht="31.4" customHeight="1" x14ac:dyDescent="0.35">
      <c r="A253" s="136" t="s">
        <v>752</v>
      </c>
      <c r="B253" s="4" t="s">
        <v>753</v>
      </c>
      <c r="C253" s="4" t="s">
        <v>13</v>
      </c>
      <c r="D253" s="4" t="s">
        <v>754</v>
      </c>
      <c r="E253" s="157">
        <v>45468</v>
      </c>
      <c r="F253" s="9">
        <f>IF($E253="","",WORKDAY($E253,1,$V$33:$V$41))</f>
        <v>45469</v>
      </c>
      <c r="G253" s="9">
        <f>IF($E253="","",WORKDAY($E253,10,$V$33:$V$41))</f>
        <v>45482</v>
      </c>
      <c r="H253" s="9">
        <f>IF($E253="","",WORKDAY($E253,20,$V$33:$V$41))</f>
        <v>45496</v>
      </c>
      <c r="I253" s="157" t="str">
        <f t="shared" si="3"/>
        <v>Jun</v>
      </c>
      <c r="J253" s="14" t="str">
        <f ca="1">IF(E253="","",IF(N253="",H253-TODAY(),""))</f>
        <v/>
      </c>
      <c r="K253" s="157" t="s">
        <v>5</v>
      </c>
      <c r="L253" s="157" t="s">
        <v>16</v>
      </c>
      <c r="M253" s="157" t="s">
        <v>52</v>
      </c>
      <c r="N253" s="9">
        <v>45484</v>
      </c>
      <c r="O253" s="159">
        <f>IF($N253="","",NETWORKDAYS($E253,$N253,$V$33:$V$47)-1)</f>
        <v>12</v>
      </c>
      <c r="P253" s="10" t="str">
        <f>IF(ISBLANK(N253),"",IF(N253&gt;H253,"No","Yes"))</f>
        <v>Yes</v>
      </c>
      <c r="Q253" s="9" t="s">
        <v>117</v>
      </c>
      <c r="R253" s="4" t="s">
        <v>118</v>
      </c>
      <c r="S253" s="4"/>
      <c r="T253" s="7"/>
      <c r="U253" s="6"/>
      <c r="V253" s="6"/>
      <c r="W253" s="6"/>
      <c r="X253" s="6"/>
      <c r="Y253" s="6"/>
      <c r="Z253" s="6"/>
      <c r="AX253" s="6" t="str">
        <v>Quarter 1</v>
      </c>
    </row>
    <row r="254" spans="1:50" ht="31.4" customHeight="1" x14ac:dyDescent="0.35">
      <c r="A254" s="136" t="s">
        <v>755</v>
      </c>
      <c r="B254" s="4" t="s">
        <v>756</v>
      </c>
      <c r="C254" s="4" t="s">
        <v>6</v>
      </c>
      <c r="D254" s="4" t="s">
        <v>757</v>
      </c>
      <c r="E254" s="157">
        <v>45468</v>
      </c>
      <c r="F254" s="9">
        <f>IF($E254="","",WORKDAY($E254,1,$V$33:$V$41))</f>
        <v>45469</v>
      </c>
      <c r="G254" s="9">
        <f>IF($E254="","",WORKDAY($E254,10,$V$33:$V$41))</f>
        <v>45482</v>
      </c>
      <c r="H254" s="9">
        <f>IF($E254="","",WORKDAY($E254,20,$V$33:$V$41))</f>
        <v>45496</v>
      </c>
      <c r="I254" s="157" t="str">
        <f t="shared" si="3"/>
        <v>Jun</v>
      </c>
      <c r="J254" s="14" t="str">
        <f ca="1">IF(E254="","",IF(N254="",H254-TODAY(),""))</f>
        <v/>
      </c>
      <c r="K254" s="157" t="s">
        <v>5</v>
      </c>
      <c r="L254" s="157" t="s">
        <v>16</v>
      </c>
      <c r="M254" s="157" t="s">
        <v>52</v>
      </c>
      <c r="N254" s="9">
        <v>45492</v>
      </c>
      <c r="O254" s="159">
        <f>IF($N254="","",NETWORKDAYS($E254,$N254,$V$33:$V$47)-1)</f>
        <v>18</v>
      </c>
      <c r="P254" s="10" t="str">
        <f>IF(ISBLANK(N254),"",IF(N254&gt;H254,"No","Yes"))</f>
        <v>Yes</v>
      </c>
      <c r="Q254" s="9" t="s">
        <v>117</v>
      </c>
      <c r="R254" s="4" t="s">
        <v>118</v>
      </c>
      <c r="S254" s="4" t="s">
        <v>135</v>
      </c>
      <c r="T254" s="7" t="s">
        <v>141</v>
      </c>
      <c r="U254" s="6"/>
      <c r="V254" s="6"/>
      <c r="W254" s="6"/>
      <c r="X254" s="6"/>
      <c r="Y254" s="6"/>
      <c r="Z254" s="6"/>
      <c r="AX254" s="6" t="str">
        <v>Quarter 1</v>
      </c>
    </row>
    <row r="255" spans="1:50" ht="31.4" customHeight="1" x14ac:dyDescent="0.35">
      <c r="A255" s="136" t="s">
        <v>758</v>
      </c>
      <c r="B255" s="7" t="s">
        <v>8</v>
      </c>
      <c r="C255" s="7" t="s">
        <v>8</v>
      </c>
      <c r="D255" s="7" t="s">
        <v>759</v>
      </c>
      <c r="E255" s="157">
        <v>45469</v>
      </c>
      <c r="F255" s="9">
        <f>IF($E255="","",WORKDAY($E255,1,$V$33:$V$41))</f>
        <v>45470</v>
      </c>
      <c r="G255" s="9">
        <f>IF($E255="","",WORKDAY($E255,10,$V$33:$V$41))</f>
        <v>45483</v>
      </c>
      <c r="H255" s="9">
        <f>IF($E255="","",WORKDAY($E255,20,$V$33:$V$41))</f>
        <v>45497</v>
      </c>
      <c r="I255" s="157" t="str">
        <f t="shared" si="3"/>
        <v>Jun</v>
      </c>
      <c r="J255" s="14" t="str">
        <f ca="1">IF(E255="","",IF(N255="",H255-TODAY(),""))</f>
        <v/>
      </c>
      <c r="K255" s="157" t="s">
        <v>5</v>
      </c>
      <c r="L255" s="157" t="s">
        <v>16</v>
      </c>
      <c r="M255" s="157" t="s">
        <v>52</v>
      </c>
      <c r="N255" s="9">
        <v>45488</v>
      </c>
      <c r="O255" s="159">
        <f>IF($N255="","",NETWORKDAYS($E255,$N255,$V$33:$V$47)-1)</f>
        <v>13</v>
      </c>
      <c r="P255" s="10" t="str">
        <f>IF(ISBLANK(N255),"",IF(N255&gt;H255,"No","Yes"))</f>
        <v>Yes</v>
      </c>
      <c r="Q255" s="9" t="s">
        <v>117</v>
      </c>
      <c r="R255" s="4" t="s">
        <v>118</v>
      </c>
      <c r="S255" s="4"/>
      <c r="T255" s="7" t="s">
        <v>141</v>
      </c>
      <c r="U255" s="6"/>
      <c r="V255" s="6"/>
      <c r="W255" s="6"/>
      <c r="X255" s="6"/>
      <c r="Y255" s="6"/>
      <c r="Z255" s="6"/>
      <c r="AX255" s="6" t="str">
        <v>Quarter 1</v>
      </c>
    </row>
    <row r="256" spans="1:50" ht="31.4" customHeight="1" x14ac:dyDescent="0.35">
      <c r="A256" s="136" t="s">
        <v>760</v>
      </c>
      <c r="B256" s="7" t="s">
        <v>8</v>
      </c>
      <c r="C256" s="7" t="s">
        <v>8</v>
      </c>
      <c r="D256" s="7" t="s">
        <v>761</v>
      </c>
      <c r="E256" s="157">
        <v>45469</v>
      </c>
      <c r="F256" s="9">
        <f>IF($E256="","",WORKDAY($E256,1,$V$33:$V$41))</f>
        <v>45470</v>
      </c>
      <c r="G256" s="9">
        <f>IF($E256="","",WORKDAY($E256,10,$V$33:$V$41))</f>
        <v>45483</v>
      </c>
      <c r="H256" s="9">
        <f>IF($E256="","",WORKDAY($E256,20,$V$33:$V$41))</f>
        <v>45497</v>
      </c>
      <c r="I256" s="157" t="str">
        <f t="shared" si="3"/>
        <v>Jun</v>
      </c>
      <c r="J256" s="14" t="str">
        <f ca="1">IF(E256="","",IF(N256="",H256-TODAY(),""))</f>
        <v/>
      </c>
      <c r="K256" s="157" t="s">
        <v>5</v>
      </c>
      <c r="L256" s="157" t="s">
        <v>16</v>
      </c>
      <c r="M256" s="157" t="s">
        <v>71</v>
      </c>
      <c r="N256" s="9">
        <v>45497</v>
      </c>
      <c r="O256" s="159">
        <f>IF($N256="","",NETWORKDAYS($E256,$N256,$V$33:$V$47)-1)</f>
        <v>20</v>
      </c>
      <c r="P256" s="10" t="str">
        <f>IF(ISBLANK(N256),"",IF(N256&gt;H256,"No","Yes"))</f>
        <v>Yes</v>
      </c>
      <c r="Q256" s="9" t="s">
        <v>117</v>
      </c>
      <c r="R256" s="4" t="s">
        <v>126</v>
      </c>
      <c r="S256" s="4" t="s">
        <v>119</v>
      </c>
      <c r="T256" s="4"/>
      <c r="U256" s="6"/>
      <c r="V256" s="6"/>
      <c r="W256" s="6"/>
      <c r="X256" s="6"/>
      <c r="Y256" s="6"/>
      <c r="Z256" s="6"/>
      <c r="AX256" s="6" t="str">
        <v>Quarter 1</v>
      </c>
    </row>
    <row r="257" spans="1:50" ht="31.4" customHeight="1" x14ac:dyDescent="0.35">
      <c r="A257" s="136" t="s">
        <v>762</v>
      </c>
      <c r="B257" s="4" t="s">
        <v>8</v>
      </c>
      <c r="C257" s="4" t="s">
        <v>8</v>
      </c>
      <c r="D257" s="4" t="s">
        <v>763</v>
      </c>
      <c r="E257" s="157"/>
      <c r="F257" s="9" t="str">
        <f>IF($E257="","",WORKDAY($E257,1,$V$33:$V$41))</f>
        <v/>
      </c>
      <c r="G257" s="9" t="str">
        <f>IF($E257="","",WORKDAY($E257,10,$V$33:$V$41))</f>
        <v/>
      </c>
      <c r="H257" s="9" t="str">
        <f>IF($E257="","",WORKDAY($E257,20,$V$33:$V$41))</f>
        <v/>
      </c>
      <c r="I257" s="157" t="s">
        <v>734</v>
      </c>
      <c r="J257" s="14" t="str">
        <f ca="1">IF(E257="","",IF(N257="",H257-TODAY(),""))</f>
        <v/>
      </c>
      <c r="K257" s="157" t="s">
        <v>5</v>
      </c>
      <c r="L257" s="157" t="s">
        <v>18</v>
      </c>
      <c r="M257" s="157" t="s">
        <v>80</v>
      </c>
      <c r="N257" s="9"/>
      <c r="O257" s="159" t="str">
        <f>IF($N257="","",NETWORKDAYS($E257,$N257,$V$33:$V$47)-1)</f>
        <v/>
      </c>
      <c r="P257" s="10" t="str">
        <f>IF(ISBLANK(N257),"",IF(N257&gt;H257,"No","Yes"))</f>
        <v/>
      </c>
      <c r="Q257" s="9" t="s">
        <v>133</v>
      </c>
      <c r="R257" s="4" t="s">
        <v>133</v>
      </c>
      <c r="S257" s="4"/>
      <c r="T257" s="4" t="s">
        <v>764</v>
      </c>
      <c r="U257" s="6"/>
      <c r="V257" s="6"/>
      <c r="W257" s="6"/>
      <c r="X257" s="6"/>
      <c r="Y257" s="6"/>
      <c r="Z257" s="6"/>
      <c r="AX257" s="6" t="str">
        <v>Quarter 1</v>
      </c>
    </row>
    <row r="258" spans="1:50" ht="31.4" customHeight="1" x14ac:dyDescent="0.35">
      <c r="A258" s="136" t="s">
        <v>765</v>
      </c>
      <c r="B258" s="4" t="s">
        <v>766</v>
      </c>
      <c r="C258" s="4" t="s">
        <v>13</v>
      </c>
      <c r="D258" s="4" t="s">
        <v>767</v>
      </c>
      <c r="E258" s="157">
        <v>45470</v>
      </c>
      <c r="F258" s="9">
        <f>IF($E258="","",WORKDAY($E258,1,$V$33:$V$41))</f>
        <v>45471</v>
      </c>
      <c r="G258" s="9">
        <f>IF($E258="","",WORKDAY($E258,10,$V$33:$V$41))</f>
        <v>45484</v>
      </c>
      <c r="H258" s="9">
        <f>IF($E258="","",WORKDAY($E258,20,$V$33:$V$41))</f>
        <v>45498</v>
      </c>
      <c r="I258" s="157" t="str">
        <f t="shared" ref="I258:I321" si="4">IF(ISBLANK(E258),"",TEXT(E258,"mmm"))</f>
        <v>Jun</v>
      </c>
      <c r="J258" s="14" t="str">
        <f ca="1">IF(E258="","",IF(N258="",H258-TODAY(),""))</f>
        <v/>
      </c>
      <c r="K258" s="157" t="s">
        <v>5</v>
      </c>
      <c r="L258" s="157" t="s">
        <v>16</v>
      </c>
      <c r="M258" s="157" t="s">
        <v>67</v>
      </c>
      <c r="N258" s="9">
        <v>45484</v>
      </c>
      <c r="O258" s="159">
        <f>IF($N258="","",NETWORKDAYS($E258,$N258,$V$33:$V$47)-1)</f>
        <v>10</v>
      </c>
      <c r="P258" s="10" t="str">
        <f>IF(ISBLANK(N258),"",IF(N258&gt;H258,"No","Yes"))</f>
        <v>Yes</v>
      </c>
      <c r="Q258" s="9" t="s">
        <v>117</v>
      </c>
      <c r="R258" s="4" t="s">
        <v>118</v>
      </c>
      <c r="S258" s="4"/>
      <c r="T258" s="4" t="s">
        <v>141</v>
      </c>
      <c r="U258" s="6"/>
      <c r="V258" s="6"/>
      <c r="W258" s="6"/>
      <c r="X258" s="6"/>
      <c r="Y258" s="6"/>
      <c r="Z258" s="6"/>
      <c r="AX258" s="6" t="str">
        <v>Quarter 1</v>
      </c>
    </row>
    <row r="259" spans="1:50" ht="31.4" customHeight="1" x14ac:dyDescent="0.35">
      <c r="A259" s="136" t="s">
        <v>768</v>
      </c>
      <c r="B259" s="4" t="s">
        <v>8</v>
      </c>
      <c r="C259" s="4" t="s">
        <v>8</v>
      </c>
      <c r="D259" s="4" t="s">
        <v>769</v>
      </c>
      <c r="E259" s="157">
        <v>45470</v>
      </c>
      <c r="F259" s="9">
        <f>IF($E259="","",WORKDAY($E259,1,$V$33:$V$41))</f>
        <v>45471</v>
      </c>
      <c r="G259" s="9">
        <f>IF($E259="","",WORKDAY($E259,10,$V$33:$V$41))</f>
        <v>45484</v>
      </c>
      <c r="H259" s="9">
        <f>IF($E259="","",WORKDAY($E259,20,$V$33:$V$41))</f>
        <v>45498</v>
      </c>
      <c r="I259" s="157" t="str">
        <f t="shared" si="4"/>
        <v>Jun</v>
      </c>
      <c r="J259" s="14" t="str">
        <f ca="1">IF(E259="","",IF(N259="",H259-TODAY(),""))</f>
        <v/>
      </c>
      <c r="K259" s="157" t="s">
        <v>124</v>
      </c>
      <c r="L259" s="157" t="s">
        <v>20</v>
      </c>
      <c r="M259" s="157" t="s">
        <v>70</v>
      </c>
      <c r="N259" s="9">
        <v>45474</v>
      </c>
      <c r="O259" s="159">
        <f>IF($N259="","",NETWORKDAYS($E259,$N259,$V$33:$V$47)-1)</f>
        <v>2</v>
      </c>
      <c r="P259" s="10" t="str">
        <f>IF(ISBLANK(N259),"",IF(N259&gt;H259,"No","Yes"))</f>
        <v>Yes</v>
      </c>
      <c r="Q259" s="9" t="s">
        <v>117</v>
      </c>
      <c r="R259" s="4" t="s">
        <v>118</v>
      </c>
      <c r="S259" s="4"/>
      <c r="T259" s="4"/>
      <c r="U259" s="6"/>
      <c r="V259" s="6"/>
      <c r="W259" s="6"/>
      <c r="X259" s="6"/>
      <c r="Y259" s="6"/>
      <c r="Z259" s="6"/>
      <c r="AX259" s="6" t="str">
        <v>Quarter 1</v>
      </c>
    </row>
    <row r="260" spans="1:50" ht="31.4" customHeight="1" x14ac:dyDescent="0.35">
      <c r="A260" s="136" t="s">
        <v>770</v>
      </c>
      <c r="B260" s="4" t="s">
        <v>771</v>
      </c>
      <c r="C260" s="4" t="s">
        <v>23</v>
      </c>
      <c r="D260" s="4" t="s">
        <v>772</v>
      </c>
      <c r="E260" s="157">
        <v>45470</v>
      </c>
      <c r="F260" s="9">
        <f>IF($E260="","",WORKDAY($E260,1,$V$33:$V$41))</f>
        <v>45471</v>
      </c>
      <c r="G260" s="9">
        <f>IF($E260="","",WORKDAY($E260,10,$V$33:$V$41))</f>
        <v>45484</v>
      </c>
      <c r="H260" s="9">
        <f>IF($E260="","",WORKDAY($E260,20,$V$33:$V$41))</f>
        <v>45498</v>
      </c>
      <c r="I260" s="157" t="str">
        <f t="shared" si="4"/>
        <v>Jun</v>
      </c>
      <c r="J260" s="14" t="str">
        <f ca="1">IF(E260="","",IF(N260="",H260-TODAY(),""))</f>
        <v/>
      </c>
      <c r="K260" s="157" t="s">
        <v>5</v>
      </c>
      <c r="L260" s="157" t="s">
        <v>16</v>
      </c>
      <c r="M260" s="157" t="s">
        <v>67</v>
      </c>
      <c r="N260" s="9">
        <v>45481</v>
      </c>
      <c r="O260" s="159">
        <f>IF($N260="","",NETWORKDAYS($E260,$N260,$V$33:$V$47)-1)</f>
        <v>7</v>
      </c>
      <c r="P260" s="10" t="str">
        <f>IF(ISBLANK(N260),"",IF(N260&gt;H260,"No","Yes"))</f>
        <v>Yes</v>
      </c>
      <c r="Q260" s="9" t="s">
        <v>117</v>
      </c>
      <c r="R260" s="4" t="s">
        <v>118</v>
      </c>
      <c r="S260" s="4" t="s">
        <v>119</v>
      </c>
      <c r="T260" s="4"/>
      <c r="U260" s="6"/>
      <c r="V260" s="6"/>
      <c r="W260" s="6"/>
      <c r="X260" s="6"/>
      <c r="Y260" s="6"/>
      <c r="Z260" s="6"/>
      <c r="AX260" s="6" t="str">
        <v>Quarter 1</v>
      </c>
    </row>
    <row r="261" spans="1:50" ht="31.4" customHeight="1" x14ac:dyDescent="0.35">
      <c r="A261" s="136" t="s">
        <v>773</v>
      </c>
      <c r="B261" s="4" t="s">
        <v>138</v>
      </c>
      <c r="C261" s="4" t="s">
        <v>19</v>
      </c>
      <c r="D261" s="4" t="s">
        <v>249</v>
      </c>
      <c r="E261" s="157">
        <v>45470</v>
      </c>
      <c r="F261" s="9">
        <f>IF($E261="","",WORKDAY($E261,1,$V$33:$V$41))</f>
        <v>45471</v>
      </c>
      <c r="G261" s="9">
        <f>IF($E261="","",WORKDAY($E261,10,$V$33:$V$41))</f>
        <v>45484</v>
      </c>
      <c r="H261" s="9">
        <f>IF($E261="","",WORKDAY($E261,20,$V$33:$V$41))</f>
        <v>45498</v>
      </c>
      <c r="I261" s="157" t="str">
        <f t="shared" si="4"/>
        <v>Jun</v>
      </c>
      <c r="J261" s="14" t="str">
        <f ca="1">IF(E261="","",IF(N261="",H261-TODAY(),""))</f>
        <v/>
      </c>
      <c r="K261" s="157" t="s">
        <v>124</v>
      </c>
      <c r="L261" s="157" t="s">
        <v>24</v>
      </c>
      <c r="M261" s="157" t="s">
        <v>61</v>
      </c>
      <c r="N261" s="9">
        <v>45474</v>
      </c>
      <c r="O261" s="159">
        <f>IF($N261="","",NETWORKDAYS($E261,$N261,$V$33:$V$47)-1)</f>
        <v>2</v>
      </c>
      <c r="P261" s="10" t="str">
        <f>IF(ISBLANK(N261),"",IF(N261&gt;H261,"No","Yes"))</f>
        <v>Yes</v>
      </c>
      <c r="Q261" s="9" t="s">
        <v>117</v>
      </c>
      <c r="R261" s="4" t="s">
        <v>118</v>
      </c>
      <c r="S261" s="4"/>
      <c r="T261" s="4"/>
      <c r="U261" s="6"/>
      <c r="V261" s="6"/>
      <c r="W261" s="6"/>
      <c r="X261" s="6"/>
      <c r="Y261" s="6"/>
      <c r="Z261" s="6"/>
      <c r="AX261" s="6" t="str">
        <v>Quarter 1</v>
      </c>
    </row>
    <row r="262" spans="1:50" ht="31.4" customHeight="1" x14ac:dyDescent="0.35">
      <c r="A262" s="136" t="s">
        <v>774</v>
      </c>
      <c r="B262" s="4" t="s">
        <v>8</v>
      </c>
      <c r="C262" s="4" t="s">
        <v>8</v>
      </c>
      <c r="D262" s="4" t="s">
        <v>775</v>
      </c>
      <c r="E262" s="157">
        <v>45471</v>
      </c>
      <c r="F262" s="9">
        <f>IF($E262="","",WORKDAY($E262,1,$V$33:$V$41))</f>
        <v>45474</v>
      </c>
      <c r="G262" s="9">
        <f>IF($E262="","",WORKDAY($E262,10,$V$33:$V$41))</f>
        <v>45485</v>
      </c>
      <c r="H262" s="9">
        <f>IF($E262="","",WORKDAY($E262,20,$V$33:$V$41))</f>
        <v>45499</v>
      </c>
      <c r="I262" s="157" t="str">
        <f t="shared" si="4"/>
        <v>Jun</v>
      </c>
      <c r="J262" s="14" t="str">
        <f ca="1">IF(E262="","",IF(N262="",H262-TODAY(),""))</f>
        <v/>
      </c>
      <c r="K262" s="157" t="s">
        <v>5</v>
      </c>
      <c r="L262" s="157" t="s">
        <v>16</v>
      </c>
      <c r="M262" s="157" t="s">
        <v>67</v>
      </c>
      <c r="N262" s="9">
        <v>45495</v>
      </c>
      <c r="O262" s="159">
        <f>IF($N262="","",NETWORKDAYS($E262,$N262,$V$33:$V$47)-1)</f>
        <v>16</v>
      </c>
      <c r="P262" s="10" t="str">
        <f>IF(ISBLANK(N262),"",IF(N262&gt;H262,"No","Yes"))</f>
        <v>Yes</v>
      </c>
      <c r="Q262" s="9" t="s">
        <v>117</v>
      </c>
      <c r="R262" s="4" t="s">
        <v>118</v>
      </c>
      <c r="S262" s="4" t="s">
        <v>119</v>
      </c>
      <c r="T262" s="4"/>
      <c r="U262" s="6"/>
      <c r="V262" s="6"/>
      <c r="W262" s="6"/>
      <c r="X262" s="6"/>
      <c r="Y262" s="6"/>
      <c r="Z262" s="6"/>
      <c r="AX262" s="6" t="str">
        <v>Quarter 1</v>
      </c>
    </row>
    <row r="263" spans="1:50" ht="31.4" customHeight="1" x14ac:dyDescent="0.35">
      <c r="A263" s="136" t="s">
        <v>776</v>
      </c>
      <c r="B263" s="4" t="s">
        <v>8</v>
      </c>
      <c r="C263" s="4" t="s">
        <v>8</v>
      </c>
      <c r="D263" s="4" t="s">
        <v>777</v>
      </c>
      <c r="E263" s="157">
        <v>45471</v>
      </c>
      <c r="F263" s="9">
        <f>IF($E263="","",WORKDAY($E263,1,$V$33:$V$41))</f>
        <v>45474</v>
      </c>
      <c r="G263" s="9">
        <f>IF($E263="","",WORKDAY($E263,10,$V$33:$V$41))</f>
        <v>45485</v>
      </c>
      <c r="H263" s="9">
        <f>IF($E263="","",WORKDAY($E263,20,$V$33:$V$41))</f>
        <v>45499</v>
      </c>
      <c r="I263" s="157" t="str">
        <f t="shared" si="4"/>
        <v>Jun</v>
      </c>
      <c r="J263" s="14" t="str">
        <f ca="1">IF(E263="","",IF(N263="",H263-TODAY(),""))</f>
        <v/>
      </c>
      <c r="K263" s="157" t="s">
        <v>10</v>
      </c>
      <c r="L263" s="157" t="s">
        <v>27</v>
      </c>
      <c r="M263" s="157" t="s">
        <v>86</v>
      </c>
      <c r="N263" s="9">
        <v>45474</v>
      </c>
      <c r="O263" s="159">
        <f>IF($N263="","",NETWORKDAYS($E263,$N263,$V$33:$V$47)-1)</f>
        <v>1</v>
      </c>
      <c r="P263" s="10" t="str">
        <f>IF(ISBLANK(N263),"",IF(N263&gt;H263,"No","Yes"))</f>
        <v>Yes</v>
      </c>
      <c r="Q263" s="9" t="s">
        <v>117</v>
      </c>
      <c r="R263" s="4" t="s">
        <v>118</v>
      </c>
      <c r="S263" s="4"/>
      <c r="T263" s="4"/>
      <c r="U263" s="6"/>
      <c r="V263" s="6"/>
      <c r="W263" s="6"/>
      <c r="X263" s="6"/>
      <c r="Y263" s="6"/>
      <c r="Z263" s="6"/>
      <c r="AX263" s="6" t="str">
        <v>Quarter 1</v>
      </c>
    </row>
    <row r="264" spans="1:50" ht="31.4" customHeight="1" x14ac:dyDescent="0.35">
      <c r="A264" s="136" t="s">
        <v>778</v>
      </c>
      <c r="B264" s="4" t="s">
        <v>8</v>
      </c>
      <c r="C264" s="4" t="s">
        <v>8</v>
      </c>
      <c r="D264" s="4" t="s">
        <v>779</v>
      </c>
      <c r="E264" s="157">
        <v>45471</v>
      </c>
      <c r="F264" s="9">
        <f>IF($E264="","",WORKDAY($E264,1,$V$33:$V$41))</f>
        <v>45474</v>
      </c>
      <c r="G264" s="9">
        <f>IF($E264="","",WORKDAY($E264,10,$V$33:$V$41))</f>
        <v>45485</v>
      </c>
      <c r="H264" s="9">
        <f>IF($E264="","",WORKDAY($E264,20,$V$33:$V$41))</f>
        <v>45499</v>
      </c>
      <c r="I264" s="157" t="str">
        <f t="shared" si="4"/>
        <v>Jun</v>
      </c>
      <c r="J264" s="14" t="str">
        <f ca="1">IF(E264="","",IF(N264="",H264-TODAY(),""))</f>
        <v/>
      </c>
      <c r="K264" s="157" t="s">
        <v>4</v>
      </c>
      <c r="L264" s="157" t="s">
        <v>7</v>
      </c>
      <c r="M264" s="157" t="s">
        <v>31</v>
      </c>
      <c r="N264" s="9">
        <v>45485</v>
      </c>
      <c r="O264" s="159">
        <f>IF($N264="","",NETWORKDAYS($E264,$N264,$V$33:$V$47)-1)</f>
        <v>10</v>
      </c>
      <c r="P264" s="10" t="str">
        <f>IF(ISBLANK(N264),"",IF(N264&gt;H264,"No","Yes"))</f>
        <v>Yes</v>
      </c>
      <c r="Q264" s="9" t="s">
        <v>117</v>
      </c>
      <c r="R264" s="4" t="s">
        <v>118</v>
      </c>
      <c r="S264" s="4"/>
      <c r="T264" s="4"/>
      <c r="U264" s="6"/>
      <c r="V264" s="6"/>
      <c r="W264" s="6"/>
      <c r="X264" s="6"/>
      <c r="Y264" s="6"/>
      <c r="Z264" s="6"/>
      <c r="AX264" s="6" t="str">
        <v>Quarter 1</v>
      </c>
    </row>
    <row r="265" spans="1:50" ht="31.4" customHeight="1" x14ac:dyDescent="0.35">
      <c r="A265" s="136" t="s">
        <v>780</v>
      </c>
      <c r="B265" s="4" t="s">
        <v>8</v>
      </c>
      <c r="C265" s="4" t="s">
        <v>8</v>
      </c>
      <c r="D265" s="4" t="s">
        <v>781</v>
      </c>
      <c r="E265" s="157">
        <v>45471</v>
      </c>
      <c r="F265" s="9">
        <f>IF($E265="","",WORKDAY($E265,1,$V$33:$V$41))</f>
        <v>45474</v>
      </c>
      <c r="G265" s="9">
        <f>IF($E265="","",WORKDAY($E265,10,$V$33:$V$41))</f>
        <v>45485</v>
      </c>
      <c r="H265" s="9">
        <f>IF($E265="","",WORKDAY($E265,20,$V$33:$V$41))</f>
        <v>45499</v>
      </c>
      <c r="I265" s="157" t="str">
        <f t="shared" si="4"/>
        <v>Jun</v>
      </c>
      <c r="J265" s="14" t="str">
        <f ca="1">IF(E265="","",IF(N265="",H265-TODAY(),""))</f>
        <v/>
      </c>
      <c r="K265" s="157" t="s">
        <v>124</v>
      </c>
      <c r="L265" s="157" t="s">
        <v>24</v>
      </c>
      <c r="M265" s="157" t="s">
        <v>61</v>
      </c>
      <c r="N265" s="9">
        <v>45497</v>
      </c>
      <c r="O265" s="159">
        <f>IF($N265="","",NETWORKDAYS($E265,$N265,$V$33:$V$47)-1)</f>
        <v>18</v>
      </c>
      <c r="P265" s="10" t="str">
        <f>IF(ISBLANK(N265),"",IF(N265&gt;H265,"No","Yes"))</f>
        <v>Yes</v>
      </c>
      <c r="Q265" s="9" t="s">
        <v>117</v>
      </c>
      <c r="R265" s="4" t="s">
        <v>118</v>
      </c>
      <c r="S265" s="4"/>
      <c r="T265" s="4" t="s">
        <v>141</v>
      </c>
      <c r="U265" s="6"/>
      <c r="V265" s="6"/>
      <c r="W265" s="6"/>
      <c r="X265" s="6"/>
      <c r="Y265" s="6"/>
      <c r="Z265" s="6"/>
      <c r="AX265" s="6" t="str">
        <v>Quarter 1</v>
      </c>
    </row>
    <row r="266" spans="1:50" ht="31.4" customHeight="1" x14ac:dyDescent="0.35">
      <c r="A266" s="136" t="s">
        <v>782</v>
      </c>
      <c r="B266" s="4" t="s">
        <v>751</v>
      </c>
      <c r="C266" s="4" t="s">
        <v>6</v>
      </c>
      <c r="D266" s="4" t="s">
        <v>783</v>
      </c>
      <c r="E266" s="157">
        <v>45471</v>
      </c>
      <c r="F266" s="9">
        <f>IF($E266="","",WORKDAY($E266,1,$V$33:$V$41))</f>
        <v>45474</v>
      </c>
      <c r="G266" s="9">
        <f>IF($E266="","",WORKDAY($E266,10,$V$33:$V$41))</f>
        <v>45485</v>
      </c>
      <c r="H266" s="9">
        <f>IF($E266="","",WORKDAY($E266,20,$V$33:$V$41))</f>
        <v>45499</v>
      </c>
      <c r="I266" s="157" t="str">
        <f t="shared" si="4"/>
        <v>Jun</v>
      </c>
      <c r="J266" s="14" t="str">
        <f ca="1">IF(E266="","",IF(N266="",H266-TODAY(),""))</f>
        <v/>
      </c>
      <c r="K266" s="157" t="s">
        <v>5</v>
      </c>
      <c r="L266" s="157" t="s">
        <v>16</v>
      </c>
      <c r="M266" s="157" t="s">
        <v>71</v>
      </c>
      <c r="N266" s="9">
        <v>45474</v>
      </c>
      <c r="O266" s="159">
        <f>IF($N266="","",NETWORKDAYS($E266,$N266,$V$33:$V$47)-1)</f>
        <v>1</v>
      </c>
      <c r="P266" s="10" t="str">
        <f>IF(ISBLANK(N266),"",IF(N266&gt;H266,"No","Yes"))</f>
        <v>Yes</v>
      </c>
      <c r="Q266" s="9" t="s">
        <v>117</v>
      </c>
      <c r="R266" s="4" t="s">
        <v>132</v>
      </c>
      <c r="S266" s="4" t="s">
        <v>120</v>
      </c>
      <c r="T266" s="4"/>
      <c r="U266" s="6"/>
      <c r="V266" s="6"/>
      <c r="W266" s="6"/>
      <c r="X266" s="6"/>
      <c r="Y266" s="6"/>
      <c r="Z266" s="6"/>
      <c r="AX266" s="6" t="str">
        <v>Quarter 1</v>
      </c>
    </row>
    <row r="267" spans="1:50" ht="31.4" customHeight="1" x14ac:dyDescent="0.35">
      <c r="A267" s="136" t="s">
        <v>784</v>
      </c>
      <c r="B267" s="4" t="s">
        <v>785</v>
      </c>
      <c r="C267" s="4" t="s">
        <v>13</v>
      </c>
      <c r="D267" s="4" t="s">
        <v>786</v>
      </c>
      <c r="E267" s="157">
        <v>45474</v>
      </c>
      <c r="F267" s="9">
        <f>IF($E267="","",WORKDAY($E267,1,$V$33:$V$41))</f>
        <v>45475</v>
      </c>
      <c r="G267" s="9">
        <f>IF($E267="","",WORKDAY($E267,10,$V$33:$V$41))</f>
        <v>45488</v>
      </c>
      <c r="H267" s="9">
        <f>IF($E267="","",WORKDAY($E267,20,$V$33:$V$41))</f>
        <v>45502</v>
      </c>
      <c r="I267" s="157" t="str">
        <f t="shared" si="4"/>
        <v>Jul</v>
      </c>
      <c r="J267" s="14" t="str">
        <f ca="1">IF(E267="","",IF(N267="",H267-TODAY(),""))</f>
        <v/>
      </c>
      <c r="K267" s="157" t="s">
        <v>10</v>
      </c>
      <c r="L267" s="157" t="s">
        <v>9</v>
      </c>
      <c r="M267" s="157" t="s">
        <v>38</v>
      </c>
      <c r="N267" s="9">
        <v>45481</v>
      </c>
      <c r="O267" s="159">
        <f>IF($N267="","",NETWORKDAYS($E267,$N267,$V$33:$V$47)-1)</f>
        <v>5</v>
      </c>
      <c r="P267" s="10" t="str">
        <f>IF(ISBLANK(N267),"",IF(N267&gt;H267,"No","Yes"))</f>
        <v>Yes</v>
      </c>
      <c r="Q267" s="9" t="s">
        <v>117</v>
      </c>
      <c r="R267" s="4" t="s">
        <v>118</v>
      </c>
      <c r="S267" s="4"/>
      <c r="T267" s="4"/>
      <c r="U267" s="6"/>
      <c r="V267" s="6"/>
      <c r="W267" s="6"/>
      <c r="X267" s="6"/>
      <c r="Y267" s="6"/>
      <c r="Z267" s="6"/>
      <c r="AX267" s="6" t="str">
        <v>Quarter 2</v>
      </c>
    </row>
    <row r="268" spans="1:50" ht="31.4" customHeight="1" x14ac:dyDescent="0.35">
      <c r="A268" s="136" t="s">
        <v>787</v>
      </c>
      <c r="B268" s="4" t="s">
        <v>8</v>
      </c>
      <c r="C268" s="4" t="s">
        <v>8</v>
      </c>
      <c r="D268" s="4" t="s">
        <v>788</v>
      </c>
      <c r="E268" s="157">
        <v>45474</v>
      </c>
      <c r="F268" s="9">
        <f>IF($E268="","",WORKDAY($E268,1,$V$33:$V$41))</f>
        <v>45475</v>
      </c>
      <c r="G268" s="9">
        <f>IF($E268="","",WORKDAY($E268,10,$V$33:$V$41))</f>
        <v>45488</v>
      </c>
      <c r="H268" s="9">
        <f>IF($E268="","",WORKDAY($E268,20,$V$33:$V$41))</f>
        <v>45502</v>
      </c>
      <c r="I268" s="157" t="str">
        <f t="shared" si="4"/>
        <v>Jul</v>
      </c>
      <c r="J268" s="14" t="str">
        <f ca="1">IF(E268="","",IF(N268="",H268-TODAY(),""))</f>
        <v/>
      </c>
      <c r="K268" s="157" t="s">
        <v>5</v>
      </c>
      <c r="L268" s="157" t="s">
        <v>22</v>
      </c>
      <c r="M268" s="157" t="s">
        <v>64</v>
      </c>
      <c r="N268" s="9">
        <v>45512</v>
      </c>
      <c r="O268" s="159">
        <f>IF($N268="","",NETWORKDAYS($E268,$N268,$V$33:$V$47)-1)</f>
        <v>28</v>
      </c>
      <c r="P268" s="10" t="str">
        <f>IF(ISBLANK(N268),"",IF(N268&gt;H268,"No","Yes"))</f>
        <v>No</v>
      </c>
      <c r="Q268" s="9" t="s">
        <v>117</v>
      </c>
      <c r="R268" s="4" t="s">
        <v>118</v>
      </c>
      <c r="S268" s="4"/>
      <c r="T268" s="4"/>
      <c r="U268" s="6"/>
      <c r="V268" s="6"/>
      <c r="W268" s="6"/>
      <c r="X268" s="6"/>
      <c r="Y268" s="6"/>
      <c r="Z268" s="6"/>
      <c r="AX268" s="6" t="str">
        <v>Quarter 2</v>
      </c>
    </row>
    <row r="269" spans="1:50" ht="31.4" customHeight="1" x14ac:dyDescent="0.35">
      <c r="A269" s="136" t="s">
        <v>789</v>
      </c>
      <c r="B269" s="4" t="s">
        <v>129</v>
      </c>
      <c r="C269" s="4" t="s">
        <v>13</v>
      </c>
      <c r="D269" s="4" t="s">
        <v>790</v>
      </c>
      <c r="E269" s="157">
        <v>45474</v>
      </c>
      <c r="F269" s="9">
        <f>IF($E269="","",WORKDAY($E269,1,$V$33:$V$41))</f>
        <v>45475</v>
      </c>
      <c r="G269" s="9">
        <f>IF($E269="","",WORKDAY($E269,10,$V$33:$V$41))</f>
        <v>45488</v>
      </c>
      <c r="H269" s="9">
        <f>IF($E269="","",WORKDAY($E269,20,$V$33:$V$41))</f>
        <v>45502</v>
      </c>
      <c r="I269" s="157" t="str">
        <f t="shared" si="4"/>
        <v>Jul</v>
      </c>
      <c r="J269" s="14" t="str">
        <f ca="1">IF(E269="","",IF(N269="",H269-TODAY(),""))</f>
        <v/>
      </c>
      <c r="K269" s="157" t="s">
        <v>5</v>
      </c>
      <c r="L269" s="157" t="s">
        <v>18</v>
      </c>
      <c r="M269" s="157" t="s">
        <v>66</v>
      </c>
      <c r="N269" s="9">
        <v>45474</v>
      </c>
      <c r="O269" s="159">
        <f>IF($N269="","",NETWORKDAYS($E269,$N269,$V$33:$V$47)-1)</f>
        <v>0</v>
      </c>
      <c r="P269" s="10" t="str">
        <f>IF(ISBLANK(N269),"",IF(N269&gt;H269,"No","Yes"))</f>
        <v>Yes</v>
      </c>
      <c r="Q269" s="9" t="s">
        <v>117</v>
      </c>
      <c r="R269" s="4" t="s">
        <v>132</v>
      </c>
      <c r="S269" s="4" t="s">
        <v>134</v>
      </c>
      <c r="T269" s="4"/>
      <c r="U269" s="6"/>
      <c r="V269" s="6"/>
      <c r="W269" s="6"/>
      <c r="X269" s="6"/>
      <c r="Y269" s="6"/>
      <c r="Z269" s="6"/>
      <c r="AX269" s="6" t="str">
        <v>Quarter 2</v>
      </c>
    </row>
    <row r="270" spans="1:50" ht="31.4" customHeight="1" x14ac:dyDescent="0.35">
      <c r="A270" s="136" t="s">
        <v>791</v>
      </c>
      <c r="B270" s="4" t="s">
        <v>792</v>
      </c>
      <c r="C270" s="4" t="s">
        <v>13</v>
      </c>
      <c r="D270" s="4" t="s">
        <v>793</v>
      </c>
      <c r="E270" s="157">
        <v>45474</v>
      </c>
      <c r="F270" s="9">
        <f>IF($E270="","",WORKDAY($E270,1,$V$33:$V$41))</f>
        <v>45475</v>
      </c>
      <c r="G270" s="9">
        <f>IF($E270="","",WORKDAY($E270,10,$V$33:$V$41))</f>
        <v>45488</v>
      </c>
      <c r="H270" s="9">
        <f>IF($E270="","",WORKDAY($E270,20,$V$33:$V$41))</f>
        <v>45502</v>
      </c>
      <c r="I270" s="157" t="str">
        <f t="shared" si="4"/>
        <v>Jul</v>
      </c>
      <c r="J270" s="14" t="str">
        <f ca="1">IF(E270="","",IF(N270="",H270-TODAY(),""))</f>
        <v/>
      </c>
      <c r="K270" s="157" t="s">
        <v>5</v>
      </c>
      <c r="L270" s="157" t="s">
        <v>16</v>
      </c>
      <c r="M270" s="157" t="s">
        <v>71</v>
      </c>
      <c r="N270" s="9">
        <v>45475</v>
      </c>
      <c r="O270" s="159">
        <f>IF($N270="","",NETWORKDAYS($E270,$N270,$V$33:$V$47)-1)</f>
        <v>1</v>
      </c>
      <c r="P270" s="10" t="str">
        <f>IF(ISBLANK(N270),"",IF(N270&gt;H270,"No","Yes"))</f>
        <v>Yes</v>
      </c>
      <c r="Q270" s="9" t="s">
        <v>117</v>
      </c>
      <c r="R270" s="4" t="s">
        <v>132</v>
      </c>
      <c r="S270" s="4" t="s">
        <v>134</v>
      </c>
      <c r="T270" s="4"/>
      <c r="U270" s="6"/>
      <c r="V270" s="6"/>
      <c r="W270" s="6"/>
      <c r="X270" s="6"/>
      <c r="Y270" s="6"/>
      <c r="Z270" s="6"/>
      <c r="AX270" s="6" t="str">
        <v>Quarter 2</v>
      </c>
    </row>
    <row r="271" spans="1:50" ht="31.4" customHeight="1" x14ac:dyDescent="0.35">
      <c r="A271" s="162">
        <v>270</v>
      </c>
      <c r="B271" s="4" t="s">
        <v>794</v>
      </c>
      <c r="C271" s="4" t="s">
        <v>17</v>
      </c>
      <c r="D271" s="4" t="s">
        <v>795</v>
      </c>
      <c r="E271" s="157">
        <v>45474</v>
      </c>
      <c r="F271" s="9">
        <f>IF($E271="","",WORKDAY($E271,1,$V$33:$V$41))</f>
        <v>45475</v>
      </c>
      <c r="G271" s="9">
        <f>IF($E271="","",WORKDAY($E271,10,$V$33:$V$41))</f>
        <v>45488</v>
      </c>
      <c r="H271" s="9">
        <f>IF($E271="","",WORKDAY($E271,20,$V$33:$V$41))</f>
        <v>45502</v>
      </c>
      <c r="I271" s="157" t="str">
        <f t="shared" si="4"/>
        <v>Jul</v>
      </c>
      <c r="J271" s="14" t="str">
        <f ca="1">IF(E271="","",IF(N271="",H271-TODAY(),""))</f>
        <v/>
      </c>
      <c r="K271" s="157" t="s">
        <v>10</v>
      </c>
      <c r="L271" s="157" t="s">
        <v>27</v>
      </c>
      <c r="M271" s="157" t="s">
        <v>37</v>
      </c>
      <c r="N271" s="9">
        <v>45502</v>
      </c>
      <c r="O271" s="159">
        <f>IF($N271="","",NETWORKDAYS($E271,$N271,$V$33:$V$47)-1)</f>
        <v>20</v>
      </c>
      <c r="P271" s="10" t="str">
        <f>IF(ISBLANK(N271),"",IF(N271&gt;H271,"No","Yes"))</f>
        <v>Yes</v>
      </c>
      <c r="Q271" s="9" t="s">
        <v>117</v>
      </c>
      <c r="R271" s="4" t="s">
        <v>118</v>
      </c>
      <c r="S271" s="4"/>
      <c r="T271" s="4"/>
      <c r="U271" s="6"/>
      <c r="V271" s="6"/>
      <c r="W271" s="6"/>
      <c r="X271" s="6"/>
      <c r="Y271" s="6"/>
      <c r="Z271" s="6"/>
      <c r="AX271" s="6" t="str">
        <v>Quarter 2</v>
      </c>
    </row>
    <row r="272" spans="1:50" ht="31.4" customHeight="1" x14ac:dyDescent="0.35">
      <c r="A272" s="162">
        <v>271</v>
      </c>
      <c r="B272" s="4" t="s">
        <v>8</v>
      </c>
      <c r="C272" s="4" t="s">
        <v>8</v>
      </c>
      <c r="D272" s="4" t="s">
        <v>796</v>
      </c>
      <c r="E272" s="157">
        <v>45474</v>
      </c>
      <c r="F272" s="9">
        <f>IF($E272="","",WORKDAY($E272,1,$V$33:$V$41))</f>
        <v>45475</v>
      </c>
      <c r="G272" s="9">
        <f>IF($E272="","",WORKDAY($E272,10,$V$33:$V$41))</f>
        <v>45488</v>
      </c>
      <c r="H272" s="9">
        <f>IF($E272="","",WORKDAY($E272,20,$V$33:$V$41))</f>
        <v>45502</v>
      </c>
      <c r="I272" s="157" t="str">
        <f t="shared" si="4"/>
        <v>Jul</v>
      </c>
      <c r="J272" s="14" t="str">
        <f ca="1">IF(E272="","",IF(N272="",H272-TODAY(),""))</f>
        <v/>
      </c>
      <c r="K272" s="157" t="s">
        <v>124</v>
      </c>
      <c r="L272" s="157" t="s">
        <v>24</v>
      </c>
      <c r="M272" s="157" t="s">
        <v>53</v>
      </c>
      <c r="N272" s="9">
        <v>45489</v>
      </c>
      <c r="O272" s="159">
        <f>IF($N272="","",NETWORKDAYS($E272,$N272,$V$33:$V$47)-1)</f>
        <v>11</v>
      </c>
      <c r="P272" s="10" t="str">
        <f>IF(ISBLANK(N272),"",IF(N272&gt;H272,"No","Yes"))</f>
        <v>Yes</v>
      </c>
      <c r="Q272" s="9" t="s">
        <v>117</v>
      </c>
      <c r="R272" s="4" t="s">
        <v>126</v>
      </c>
      <c r="S272" s="4" t="s">
        <v>134</v>
      </c>
      <c r="T272" s="4"/>
      <c r="U272" s="6"/>
      <c r="V272" s="6"/>
      <c r="W272" s="6"/>
      <c r="X272" s="6"/>
      <c r="Y272" s="6"/>
      <c r="Z272" s="6"/>
      <c r="AX272" s="6" t="str">
        <v>Quarter 2</v>
      </c>
    </row>
    <row r="273" spans="1:50" ht="31.4" customHeight="1" x14ac:dyDescent="0.35">
      <c r="A273" s="162">
        <v>272</v>
      </c>
      <c r="B273" s="4" t="s">
        <v>8</v>
      </c>
      <c r="C273" s="4" t="s">
        <v>8</v>
      </c>
      <c r="D273" s="4" t="s">
        <v>797</v>
      </c>
      <c r="E273" s="157">
        <v>45474</v>
      </c>
      <c r="F273" s="9">
        <f>IF($E273="","",WORKDAY($E273,1,$V$33:$V$41))</f>
        <v>45475</v>
      </c>
      <c r="G273" s="9">
        <f>IF($E273="","",WORKDAY($E273,10,$V$33:$V$41))</f>
        <v>45488</v>
      </c>
      <c r="H273" s="9">
        <f>IF($E273="","",WORKDAY($E273,20,$V$33:$V$41))</f>
        <v>45502</v>
      </c>
      <c r="I273" s="157" t="str">
        <f t="shared" si="4"/>
        <v>Jul</v>
      </c>
      <c r="J273" s="14" t="str">
        <f ca="1">IF(E273="","",IF(N273="",H273-TODAY(),""))</f>
        <v/>
      </c>
      <c r="K273" s="157" t="s">
        <v>10</v>
      </c>
      <c r="L273" s="157" t="s">
        <v>27</v>
      </c>
      <c r="M273" s="157" t="s">
        <v>37</v>
      </c>
      <c r="N273" s="9">
        <v>45488</v>
      </c>
      <c r="O273" s="159">
        <f>IF($N273="","",NETWORKDAYS($E273,$N273,$V$33:$V$47)-1)</f>
        <v>10</v>
      </c>
      <c r="P273" s="10" t="str">
        <f>IF(ISBLANK(N273),"",IF(N273&gt;H273,"No","Yes"))</f>
        <v>Yes</v>
      </c>
      <c r="Q273" s="9" t="s">
        <v>117</v>
      </c>
      <c r="R273" s="4" t="s">
        <v>118</v>
      </c>
      <c r="S273" s="4"/>
      <c r="T273" s="4"/>
      <c r="U273" s="6"/>
      <c r="V273" s="6"/>
      <c r="W273" s="6"/>
      <c r="X273" s="6"/>
      <c r="Y273" s="6"/>
      <c r="Z273" s="6"/>
      <c r="AX273" s="6" t="str">
        <v>Quarter 2</v>
      </c>
    </row>
    <row r="274" spans="1:50" ht="31.4" customHeight="1" x14ac:dyDescent="0.35">
      <c r="A274" s="162">
        <v>273</v>
      </c>
      <c r="B274" s="4" t="s">
        <v>798</v>
      </c>
      <c r="C274" s="4" t="s">
        <v>15</v>
      </c>
      <c r="D274" s="4" t="s">
        <v>799</v>
      </c>
      <c r="E274" s="157">
        <v>45474</v>
      </c>
      <c r="F274" s="9">
        <f>IF($E274="","",WORKDAY($E274,1,$V$33:$V$41))</f>
        <v>45475</v>
      </c>
      <c r="G274" s="9">
        <f>IF($E274="","",WORKDAY($E274,10,$V$33:$V$41))</f>
        <v>45488</v>
      </c>
      <c r="H274" s="9">
        <f>IF($E274="","",WORKDAY($E274,20,$V$33:$V$41))</f>
        <v>45502</v>
      </c>
      <c r="I274" s="157" t="str">
        <f t="shared" si="4"/>
        <v>Jul</v>
      </c>
      <c r="J274" s="14" t="str">
        <f ca="1">IF(E274="","",IF(N274="",H274-TODAY(),""))</f>
        <v/>
      </c>
      <c r="K274" s="157" t="s">
        <v>124</v>
      </c>
      <c r="L274" s="157" t="s">
        <v>24</v>
      </c>
      <c r="M274" s="157" t="s">
        <v>87</v>
      </c>
      <c r="N274" s="9">
        <v>45478</v>
      </c>
      <c r="O274" s="159">
        <f>IF($N274="","",NETWORKDAYS($E274,$N274,$V$33:$V$47)-1)</f>
        <v>4</v>
      </c>
      <c r="P274" s="10" t="str">
        <f>IF(ISBLANK(N274),"",IF(N274&gt;H274,"No","Yes"))</f>
        <v>Yes</v>
      </c>
      <c r="Q274" s="9" t="s">
        <v>117</v>
      </c>
      <c r="R274" s="4" t="s">
        <v>118</v>
      </c>
      <c r="S274" s="4"/>
      <c r="T274" s="4" t="s">
        <v>141</v>
      </c>
      <c r="U274" s="6"/>
      <c r="V274" s="6"/>
      <c r="W274" s="6"/>
      <c r="X274" s="6"/>
      <c r="Y274" s="6"/>
      <c r="Z274" s="6"/>
      <c r="AX274" s="6" t="str">
        <v>Quarter 2</v>
      </c>
    </row>
    <row r="275" spans="1:50" ht="31.4" customHeight="1" x14ac:dyDescent="0.35">
      <c r="A275" s="162">
        <v>274</v>
      </c>
      <c r="B275" s="4" t="s">
        <v>800</v>
      </c>
      <c r="C275" s="4" t="s">
        <v>6</v>
      </c>
      <c r="D275" s="4" t="s">
        <v>801</v>
      </c>
      <c r="E275" s="157">
        <v>45475</v>
      </c>
      <c r="F275" s="9">
        <f>IF($E275="","",WORKDAY($E275,1,$V$33:$V$41))</f>
        <v>45476</v>
      </c>
      <c r="G275" s="9">
        <f>IF($E275="","",WORKDAY($E275,10,$V$33:$V$41))</f>
        <v>45489</v>
      </c>
      <c r="H275" s="9">
        <f>IF($E275="","",WORKDAY($E275,20,$V$33:$V$41))</f>
        <v>45503</v>
      </c>
      <c r="I275" s="157" t="str">
        <f t="shared" si="4"/>
        <v>Jul</v>
      </c>
      <c r="J275" s="14" t="str">
        <f ca="1">IF(E275="","",IF(N275="",H275-TODAY(),""))</f>
        <v/>
      </c>
      <c r="K275" s="157" t="s">
        <v>124</v>
      </c>
      <c r="L275" s="157" t="s">
        <v>14</v>
      </c>
      <c r="M275" s="157" t="s">
        <v>49</v>
      </c>
      <c r="N275" s="9">
        <v>45489</v>
      </c>
      <c r="O275" s="159">
        <f>IF($N275="","",NETWORKDAYS($E275,$N275,$V$33:$V$47)-1)</f>
        <v>10</v>
      </c>
      <c r="P275" s="10" t="str">
        <f>IF(ISBLANK(N275),"",IF(N275&gt;H275,"No","Yes"))</f>
        <v>Yes</v>
      </c>
      <c r="Q275" s="9" t="s">
        <v>117</v>
      </c>
      <c r="R275" s="4" t="s">
        <v>118</v>
      </c>
      <c r="S275" s="4"/>
      <c r="T275" s="4" t="s">
        <v>141</v>
      </c>
      <c r="U275" s="6"/>
      <c r="V275" s="6"/>
      <c r="W275" s="6"/>
      <c r="X275" s="6"/>
      <c r="Y275" s="6"/>
      <c r="Z275" s="6"/>
      <c r="AX275" s="6" t="str">
        <v>Quarter 2</v>
      </c>
    </row>
    <row r="276" spans="1:50" ht="31.4" customHeight="1" x14ac:dyDescent="0.35">
      <c r="A276" s="162">
        <v>275</v>
      </c>
      <c r="B276" s="4" t="s">
        <v>138</v>
      </c>
      <c r="C276" s="4" t="s">
        <v>19</v>
      </c>
      <c r="D276" s="4" t="s">
        <v>802</v>
      </c>
      <c r="E276" s="157">
        <v>45476</v>
      </c>
      <c r="F276" s="9">
        <f>IF($E276="","",WORKDAY($E276,1,$V$33:$V$41))</f>
        <v>45477</v>
      </c>
      <c r="G276" s="9">
        <f>IF($E276="","",WORKDAY($E276,10,$V$33:$V$41))</f>
        <v>45490</v>
      </c>
      <c r="H276" s="9">
        <f>IF($E276="","",WORKDAY($E276,20,$V$33:$V$41))</f>
        <v>45504</v>
      </c>
      <c r="I276" s="157" t="str">
        <f t="shared" si="4"/>
        <v>Jul</v>
      </c>
      <c r="J276" s="14" t="str">
        <f ca="1">IF(E276="","",IF(N276="",H276-TODAY(),""))</f>
        <v/>
      </c>
      <c r="K276" s="157" t="s">
        <v>5</v>
      </c>
      <c r="L276" s="157" t="s">
        <v>16</v>
      </c>
      <c r="M276" s="157" t="s">
        <v>67</v>
      </c>
      <c r="N276" s="9">
        <v>45478</v>
      </c>
      <c r="O276" s="159">
        <f>IF($N276="","",NETWORKDAYS($E276,$N276,$V$33:$V$47)-1)</f>
        <v>2</v>
      </c>
      <c r="P276" s="10" t="str">
        <f>IF(ISBLANK(N276),"",IF(N276&gt;H276,"No","Yes"))</f>
        <v>Yes</v>
      </c>
      <c r="Q276" s="9" t="s">
        <v>117</v>
      </c>
      <c r="R276" s="4" t="s">
        <v>150</v>
      </c>
      <c r="S276" s="4"/>
      <c r="T276" s="4"/>
      <c r="U276" s="6"/>
      <c r="V276" s="6"/>
      <c r="W276" s="6"/>
      <c r="X276" s="6"/>
      <c r="Y276" s="6"/>
      <c r="Z276" s="6"/>
      <c r="AX276" s="6" t="str">
        <v>Quarter 2</v>
      </c>
    </row>
    <row r="277" spans="1:50" ht="31.4" customHeight="1" x14ac:dyDescent="0.35">
      <c r="A277" s="162">
        <v>276</v>
      </c>
      <c r="B277" s="4" t="s">
        <v>803</v>
      </c>
      <c r="C277" s="4" t="s">
        <v>6</v>
      </c>
      <c r="D277" s="4" t="s">
        <v>804</v>
      </c>
      <c r="E277" s="157">
        <v>45476</v>
      </c>
      <c r="F277" s="9">
        <f>IF($E277="","",WORKDAY($E277,1,$V$33:$V$41))</f>
        <v>45477</v>
      </c>
      <c r="G277" s="9">
        <f>IF($E277="","",WORKDAY($E277,10,$V$33:$V$41))</f>
        <v>45490</v>
      </c>
      <c r="H277" s="9">
        <f>IF($E277="","",WORKDAY($E277,20,$V$33:$V$41))</f>
        <v>45504</v>
      </c>
      <c r="I277" s="157" t="str">
        <f t="shared" si="4"/>
        <v>Jul</v>
      </c>
      <c r="J277" s="14" t="str">
        <f ca="1">IF(E277="","",IF(N277="",H277-TODAY(),""))</f>
        <v/>
      </c>
      <c r="K277" s="157" t="s">
        <v>124</v>
      </c>
      <c r="L277" s="157" t="s">
        <v>20</v>
      </c>
      <c r="M277" s="157" t="s">
        <v>47</v>
      </c>
      <c r="N277" s="9">
        <v>45487</v>
      </c>
      <c r="O277" s="159">
        <f>IF($N277="","",NETWORKDAYS($E277,$N277,$V$33:$V$47)-1)</f>
        <v>7</v>
      </c>
      <c r="P277" s="10" t="str">
        <f>IF(ISBLANK(N277),"",IF(N277&gt;H277,"No","Yes"))</f>
        <v>Yes</v>
      </c>
      <c r="Q277" s="9" t="s">
        <v>117</v>
      </c>
      <c r="R277" s="4" t="s">
        <v>118</v>
      </c>
      <c r="S277" s="4"/>
      <c r="T277" s="4"/>
      <c r="U277" s="6"/>
      <c r="V277" s="6"/>
      <c r="W277" s="6"/>
      <c r="X277" s="6"/>
      <c r="Y277" s="6"/>
      <c r="Z277" s="6"/>
      <c r="AX277" s="6" t="str">
        <v>Quarter 2</v>
      </c>
    </row>
    <row r="278" spans="1:50" ht="31.4" customHeight="1" x14ac:dyDescent="0.35">
      <c r="A278" s="162">
        <v>277</v>
      </c>
      <c r="B278" s="4" t="s">
        <v>8</v>
      </c>
      <c r="C278" s="4" t="s">
        <v>8</v>
      </c>
      <c r="D278" s="4" t="s">
        <v>805</v>
      </c>
      <c r="E278" s="157">
        <v>45476</v>
      </c>
      <c r="F278" s="9">
        <f>IF($E278="","",WORKDAY($E278,1,$V$33:$V$41))</f>
        <v>45477</v>
      </c>
      <c r="G278" s="9">
        <f>IF($E278="","",WORKDAY($E278,10,$V$33:$V$41))</f>
        <v>45490</v>
      </c>
      <c r="H278" s="9">
        <f>IF($E278="","",WORKDAY($E278,20,$V$33:$V$41))</f>
        <v>45504</v>
      </c>
      <c r="I278" s="157" t="str">
        <f t="shared" si="4"/>
        <v>Jul</v>
      </c>
      <c r="J278" s="14" t="str">
        <f ca="1">IF(E278="","",IF(N278="",H278-TODAY(),""))</f>
        <v/>
      </c>
      <c r="K278" s="157" t="s">
        <v>5</v>
      </c>
      <c r="L278" s="157" t="s">
        <v>22</v>
      </c>
      <c r="M278" s="157" t="s">
        <v>56</v>
      </c>
      <c r="N278" s="9">
        <v>45477</v>
      </c>
      <c r="O278" s="159">
        <f>IF($N278="","",NETWORKDAYS($E278,$N278,$V$33:$V$47)-1)</f>
        <v>1</v>
      </c>
      <c r="P278" s="10" t="str">
        <f>IF(ISBLANK(N278),"",IF(N278&gt;H278,"No","Yes"))</f>
        <v>Yes</v>
      </c>
      <c r="Q278" s="9" t="s">
        <v>117</v>
      </c>
      <c r="R278" s="4" t="s">
        <v>118</v>
      </c>
      <c r="S278" s="4"/>
      <c r="T278" s="4"/>
      <c r="U278" s="6"/>
      <c r="V278" s="6"/>
      <c r="W278" s="6"/>
      <c r="X278" s="6"/>
      <c r="Y278" s="6"/>
      <c r="Z278" s="6"/>
      <c r="AX278" s="6" t="str">
        <v>Quarter 2</v>
      </c>
    </row>
    <row r="279" spans="1:50" ht="31.4" customHeight="1" x14ac:dyDescent="0.35">
      <c r="A279" s="162">
        <v>278</v>
      </c>
      <c r="B279" s="4" t="s">
        <v>806</v>
      </c>
      <c r="C279" s="4" t="s">
        <v>15</v>
      </c>
      <c r="D279" s="4" t="s">
        <v>807</v>
      </c>
      <c r="E279" s="157">
        <v>45477</v>
      </c>
      <c r="F279" s="9">
        <f>IF($E279="","",WORKDAY($E279,1,$V$33:$V$41))</f>
        <v>45478</v>
      </c>
      <c r="G279" s="9">
        <f>IF($E279="","",WORKDAY($E279,10,$V$33:$V$41))</f>
        <v>45491</v>
      </c>
      <c r="H279" s="9">
        <f>IF($E279="","",WORKDAY($E279,20,$V$33:$V$41))</f>
        <v>45505</v>
      </c>
      <c r="I279" s="157" t="str">
        <f t="shared" si="4"/>
        <v>Jul</v>
      </c>
      <c r="J279" s="14" t="str">
        <f ca="1">IF(E279="","",IF(N279="",H279-TODAY(),""))</f>
        <v/>
      </c>
      <c r="K279" s="157" t="s">
        <v>5</v>
      </c>
      <c r="L279" s="157" t="s">
        <v>18</v>
      </c>
      <c r="M279" s="157" t="s">
        <v>42</v>
      </c>
      <c r="N279" s="9">
        <v>45495</v>
      </c>
      <c r="O279" s="159">
        <f>IF($N279="","",NETWORKDAYS($E279,$N279,$V$33:$V$47)-1)</f>
        <v>12</v>
      </c>
      <c r="P279" s="10" t="str">
        <f>IF(ISBLANK(N279),"",IF(N279&gt;H279,"No","Yes"))</f>
        <v>Yes</v>
      </c>
      <c r="Q279" s="9" t="s">
        <v>117</v>
      </c>
      <c r="R279" s="4" t="s">
        <v>118</v>
      </c>
      <c r="S279" s="4"/>
      <c r="T279" s="4"/>
      <c r="U279" s="6"/>
      <c r="V279" s="6"/>
      <c r="W279" s="6"/>
      <c r="X279" s="6"/>
      <c r="Y279" s="6"/>
      <c r="Z279" s="6"/>
      <c r="AX279" s="6" t="str">
        <v>Quarter 2</v>
      </c>
    </row>
    <row r="280" spans="1:50" ht="31.4" customHeight="1" x14ac:dyDescent="0.35">
      <c r="A280" s="162">
        <v>279</v>
      </c>
      <c r="B280" s="4" t="s">
        <v>808</v>
      </c>
      <c r="C280" s="4" t="s">
        <v>17</v>
      </c>
      <c r="D280" s="4" t="s">
        <v>809</v>
      </c>
      <c r="E280" s="157">
        <v>45477</v>
      </c>
      <c r="F280" s="9">
        <f>IF($E280="","",WORKDAY($E280,1,$V$33:$V$41))</f>
        <v>45478</v>
      </c>
      <c r="G280" s="9">
        <f>IF($E280="","",WORKDAY($E280,10,$V$33:$V$41))</f>
        <v>45491</v>
      </c>
      <c r="H280" s="9">
        <f>IF($E280="","",WORKDAY($E280,20,$V$33:$V$41))</f>
        <v>45505</v>
      </c>
      <c r="I280" s="157" t="str">
        <f t="shared" si="4"/>
        <v>Jul</v>
      </c>
      <c r="J280" s="14" t="str">
        <f ca="1">IF(E280="","",IF(N280="",H280-TODAY(),""))</f>
        <v/>
      </c>
      <c r="K280" s="157" t="s">
        <v>10</v>
      </c>
      <c r="L280" s="157" t="s">
        <v>12</v>
      </c>
      <c r="M280" s="157" t="s">
        <v>91</v>
      </c>
      <c r="N280" s="9">
        <v>45488</v>
      </c>
      <c r="O280" s="159">
        <f>IF($N280="","",NETWORKDAYS($E280,$N280,$V$33:$V$47)-1)</f>
        <v>7</v>
      </c>
      <c r="P280" s="10" t="str">
        <f>IF(ISBLANK(N280),"",IF(N280&gt;H280,"No","Yes"))</f>
        <v>Yes</v>
      </c>
      <c r="Q280" s="9" t="s">
        <v>117</v>
      </c>
      <c r="R280" s="4" t="s">
        <v>132</v>
      </c>
      <c r="S280" s="4" t="s">
        <v>120</v>
      </c>
      <c r="T280" s="4"/>
      <c r="U280" s="6"/>
      <c r="V280" s="6"/>
      <c r="W280" s="6"/>
      <c r="X280" s="6"/>
      <c r="Y280" s="6"/>
      <c r="Z280" s="6"/>
      <c r="AX280" s="6" t="str">
        <v>Quarter 2</v>
      </c>
    </row>
    <row r="281" spans="1:50" ht="31.4" customHeight="1" x14ac:dyDescent="0.35">
      <c r="A281" s="162">
        <v>280</v>
      </c>
      <c r="B281" s="4" t="s">
        <v>810</v>
      </c>
      <c r="C281" s="4" t="s">
        <v>13</v>
      </c>
      <c r="D281" s="4" t="s">
        <v>811</v>
      </c>
      <c r="E281" s="157">
        <v>45478</v>
      </c>
      <c r="F281" s="9">
        <f>IF($E281="","",WORKDAY($E281,1,$V$33:$V$41))</f>
        <v>45481</v>
      </c>
      <c r="G281" s="9">
        <f>IF($E281="","",WORKDAY($E281,10,$V$33:$V$41))</f>
        <v>45492</v>
      </c>
      <c r="H281" s="9">
        <f>IF($E281="","",WORKDAY($E281,20,$V$33:$V$41))</f>
        <v>45506</v>
      </c>
      <c r="I281" s="157" t="str">
        <f t="shared" si="4"/>
        <v>Jul</v>
      </c>
      <c r="J281" s="14" t="str">
        <f ca="1">IF(E281="","",IF(N281="",H281-TODAY(),""))</f>
        <v/>
      </c>
      <c r="K281" s="157" t="s">
        <v>5</v>
      </c>
      <c r="L281" s="157" t="s">
        <v>22</v>
      </c>
      <c r="M281" s="157" t="s">
        <v>64</v>
      </c>
      <c r="N281" s="9">
        <v>45492</v>
      </c>
      <c r="O281" s="159">
        <f>IF($N281="","",NETWORKDAYS($E281,$N281,$V$33:$V$47)-1)</f>
        <v>10</v>
      </c>
      <c r="P281" s="10" t="str">
        <f>IF(ISBLANK(N281),"",IF(N281&gt;H281,"No","Yes"))</f>
        <v>Yes</v>
      </c>
      <c r="Q281" s="9" t="s">
        <v>117</v>
      </c>
      <c r="R281" s="4" t="s">
        <v>118</v>
      </c>
      <c r="S281" s="4" t="s">
        <v>135</v>
      </c>
      <c r="T281" s="4"/>
      <c r="U281" s="6"/>
      <c r="V281" s="6"/>
      <c r="W281" s="6"/>
      <c r="X281" s="6"/>
      <c r="Y281" s="6"/>
      <c r="Z281" s="6"/>
      <c r="AX281" s="6" t="str">
        <v>Quarter 2</v>
      </c>
    </row>
    <row r="282" spans="1:50" ht="31.4" customHeight="1" x14ac:dyDescent="0.35">
      <c r="A282" s="162">
        <v>281</v>
      </c>
      <c r="B282" s="4" t="s">
        <v>174</v>
      </c>
      <c r="C282" s="4" t="s">
        <v>23</v>
      </c>
      <c r="D282" s="4" t="s">
        <v>812</v>
      </c>
      <c r="E282" s="157">
        <v>45481</v>
      </c>
      <c r="F282" s="9">
        <f>IF($E282="","",WORKDAY($E282,1,$V$33:$V$41))</f>
        <v>45482</v>
      </c>
      <c r="G282" s="9">
        <f>IF($E282="","",WORKDAY($E282,10,$V$33:$V$41))</f>
        <v>45495</v>
      </c>
      <c r="H282" s="9">
        <f>IF($E282="","",WORKDAY($E282,20,$V$33:$V$41))</f>
        <v>45509</v>
      </c>
      <c r="I282" s="157" t="str">
        <f t="shared" si="4"/>
        <v>Jul</v>
      </c>
      <c r="J282" s="14" t="str">
        <f ca="1">IF(E282="","",IF(N282="",H282-TODAY(),""))</f>
        <v/>
      </c>
      <c r="K282" s="157" t="s">
        <v>124</v>
      </c>
      <c r="L282" s="157" t="s">
        <v>14</v>
      </c>
      <c r="M282" s="157" t="s">
        <v>44</v>
      </c>
      <c r="N282" s="9">
        <v>45497</v>
      </c>
      <c r="O282" s="159">
        <f>IF($N282="","",NETWORKDAYS($E282,$N282,$V$33:$V$47)-1)</f>
        <v>12</v>
      </c>
      <c r="P282" s="10" t="str">
        <f>IF(ISBLANK(N282),"",IF(N282&gt;H282,"No","Yes"))</f>
        <v>Yes</v>
      </c>
      <c r="Q282" s="9" t="s">
        <v>117</v>
      </c>
      <c r="R282" s="4" t="s">
        <v>118</v>
      </c>
      <c r="S282" s="4"/>
      <c r="T282" s="4"/>
      <c r="U282" s="6"/>
      <c r="V282" s="6"/>
      <c r="W282" s="6"/>
      <c r="X282" s="6"/>
      <c r="Y282" s="6"/>
      <c r="Z282" s="6"/>
      <c r="AX282" s="6" t="str">
        <v>Quarter 2</v>
      </c>
    </row>
    <row r="283" spans="1:50" ht="31.4" customHeight="1" x14ac:dyDescent="0.35">
      <c r="A283" s="162">
        <v>282</v>
      </c>
      <c r="B283" s="4" t="s">
        <v>138</v>
      </c>
      <c r="C283" s="4" t="s">
        <v>19</v>
      </c>
      <c r="D283" s="4" t="s">
        <v>813</v>
      </c>
      <c r="E283" s="157">
        <v>45499</v>
      </c>
      <c r="F283" s="9">
        <f>IF($E283="","",WORKDAY($E283,1,$V$33:$V$41))</f>
        <v>45502</v>
      </c>
      <c r="G283" s="9">
        <f>IF($E283="","",WORKDAY($E283,10,$V$33:$V$41))</f>
        <v>45513</v>
      </c>
      <c r="H283" s="9">
        <f>IF($E283="","",WORKDAY($E283,20,$V$33:$V$41))</f>
        <v>45527</v>
      </c>
      <c r="I283" s="157" t="str">
        <f t="shared" si="4"/>
        <v>Jul</v>
      </c>
      <c r="J283" s="14" t="str">
        <f ca="1">IF(E283="","",IF(N283="",H283-TODAY(),""))</f>
        <v/>
      </c>
      <c r="K283" s="157" t="s">
        <v>10</v>
      </c>
      <c r="L283" s="157" t="s">
        <v>9</v>
      </c>
      <c r="M283" s="157" t="s">
        <v>38</v>
      </c>
      <c r="N283" s="9">
        <v>45508</v>
      </c>
      <c r="O283" s="159">
        <f>IF($N283="","",NETWORKDAYS($E283,$N283,$V$33:$V$47)-1)</f>
        <v>5</v>
      </c>
      <c r="P283" s="10" t="str">
        <f>IF(ISBLANK(N283),"",IF(N283&gt;H283,"No","Yes"))</f>
        <v>Yes</v>
      </c>
      <c r="Q283" s="9" t="s">
        <v>117</v>
      </c>
      <c r="R283" s="4" t="s">
        <v>118</v>
      </c>
      <c r="S283" s="4"/>
      <c r="T283" s="4"/>
      <c r="U283" s="6"/>
      <c r="V283" s="6"/>
      <c r="W283" s="6"/>
      <c r="X283" s="6"/>
      <c r="Y283" s="6"/>
      <c r="Z283" s="6"/>
      <c r="AX283" s="6" t="str">
        <v>Quarter 2</v>
      </c>
    </row>
    <row r="284" spans="1:50" ht="31.4" customHeight="1" x14ac:dyDescent="0.35">
      <c r="A284" s="162">
        <v>283</v>
      </c>
      <c r="B284" s="4" t="s">
        <v>8</v>
      </c>
      <c r="C284" s="4" t="s">
        <v>8</v>
      </c>
      <c r="D284" s="4" t="s">
        <v>814</v>
      </c>
      <c r="E284" s="157">
        <v>45481</v>
      </c>
      <c r="F284" s="9">
        <f>IF($E284="","",WORKDAY($E284,1,$V$33:$V$41))</f>
        <v>45482</v>
      </c>
      <c r="G284" s="9">
        <f>IF($E284="","",WORKDAY($E284,10,$V$33:$V$41))</f>
        <v>45495</v>
      </c>
      <c r="H284" s="9">
        <f>IF($E284="","",WORKDAY($E284,20,$V$33:$V$41))</f>
        <v>45509</v>
      </c>
      <c r="I284" s="157" t="str">
        <f t="shared" si="4"/>
        <v>Jul</v>
      </c>
      <c r="J284" s="14" t="str">
        <f ca="1">IF(E284="","",IF(N284="",H284-TODAY(),""))</f>
        <v/>
      </c>
      <c r="K284" s="157" t="s">
        <v>5</v>
      </c>
      <c r="L284" s="157" t="s">
        <v>18</v>
      </c>
      <c r="M284" s="157" t="s">
        <v>66</v>
      </c>
      <c r="N284" s="9">
        <v>45481</v>
      </c>
      <c r="O284" s="159">
        <f>IF($N284="","",NETWORKDAYS($E284,$N284,$V$33:$V$47)-1)</f>
        <v>0</v>
      </c>
      <c r="P284" s="10" t="str">
        <f>IF(ISBLANK(N284),"",IF(N284&gt;H284,"No","Yes"))</f>
        <v>Yes</v>
      </c>
      <c r="Q284" s="9" t="s">
        <v>117</v>
      </c>
      <c r="R284" s="4" t="s">
        <v>150</v>
      </c>
      <c r="S284" s="4"/>
      <c r="T284" s="4"/>
      <c r="U284" s="6"/>
      <c r="V284" s="6"/>
      <c r="W284" s="6"/>
      <c r="X284" s="6"/>
      <c r="Y284" s="6"/>
      <c r="Z284" s="6"/>
      <c r="AX284" s="6" t="str">
        <v>Quarter 2</v>
      </c>
    </row>
    <row r="285" spans="1:50" ht="31.4" customHeight="1" x14ac:dyDescent="0.35">
      <c r="A285" s="162">
        <v>284</v>
      </c>
      <c r="B285" s="4" t="s">
        <v>815</v>
      </c>
      <c r="C285" s="4" t="s">
        <v>13</v>
      </c>
      <c r="D285" s="4" t="s">
        <v>816</v>
      </c>
      <c r="E285" s="157">
        <v>45482</v>
      </c>
      <c r="F285" s="9">
        <f>IF($E285="","",WORKDAY($E285,1,$V$33:$V$41))</f>
        <v>45483</v>
      </c>
      <c r="G285" s="9">
        <f>IF($E285="","",WORKDAY($E285,10,$V$33:$V$41))</f>
        <v>45496</v>
      </c>
      <c r="H285" s="9">
        <f>IF($E285="","",WORKDAY($E285,20,$V$33:$V$41))</f>
        <v>45510</v>
      </c>
      <c r="I285" s="157" t="str">
        <f t="shared" si="4"/>
        <v>Jul</v>
      </c>
      <c r="J285" s="14" t="str">
        <f ca="1">IF(E285="","",IF(N285="",H285-TODAY(),""))</f>
        <v/>
      </c>
      <c r="K285" s="157" t="s">
        <v>5</v>
      </c>
      <c r="L285" s="157" t="s">
        <v>18</v>
      </c>
      <c r="M285" s="157" t="s">
        <v>42</v>
      </c>
      <c r="N285" s="9">
        <v>45484</v>
      </c>
      <c r="O285" s="159">
        <f>IF($N285="","",NETWORKDAYS($E285,$N285,$V$33:$V$47)-1)</f>
        <v>2</v>
      </c>
      <c r="P285" s="163" t="s">
        <v>116</v>
      </c>
      <c r="Q285" s="9" t="s">
        <v>117</v>
      </c>
      <c r="R285" s="4" t="s">
        <v>150</v>
      </c>
      <c r="S285" s="4"/>
      <c r="T285" s="4"/>
      <c r="U285" s="6"/>
      <c r="V285" s="6"/>
      <c r="W285" s="6"/>
      <c r="X285" s="6"/>
      <c r="Y285" s="6"/>
      <c r="Z285" s="6"/>
      <c r="AX285" s="6" t="str">
        <v>Quarter 2</v>
      </c>
    </row>
    <row r="286" spans="1:50" ht="31.4" customHeight="1" x14ac:dyDescent="0.35">
      <c r="A286" s="162">
        <v>285</v>
      </c>
      <c r="B286" s="4" t="s">
        <v>817</v>
      </c>
      <c r="C286" s="4" t="s">
        <v>11</v>
      </c>
      <c r="D286" s="4" t="s">
        <v>818</v>
      </c>
      <c r="E286" s="157">
        <v>45482</v>
      </c>
      <c r="F286" s="9">
        <f>IF($E286="","",WORKDAY($E286,1,$V$33:$V$41))</f>
        <v>45483</v>
      </c>
      <c r="G286" s="9">
        <f>IF($E286="","",WORKDAY($E286,10,$V$33:$V$41))</f>
        <v>45496</v>
      </c>
      <c r="H286" s="9">
        <f>IF($E286="","",WORKDAY($E286,20,$V$33:$V$41))</f>
        <v>45510</v>
      </c>
      <c r="I286" s="157" t="str">
        <f t="shared" si="4"/>
        <v>Jul</v>
      </c>
      <c r="J286" s="14" t="str">
        <f ca="1">IF(E286="","",IF(N286="",H286-TODAY(),""))</f>
        <v/>
      </c>
      <c r="K286" s="157" t="s">
        <v>5</v>
      </c>
      <c r="L286" s="157" t="s">
        <v>16</v>
      </c>
      <c r="M286" s="157" t="s">
        <v>67</v>
      </c>
      <c r="N286" s="9">
        <v>45496</v>
      </c>
      <c r="O286" s="159">
        <f>IF($N286="","",NETWORKDAYS($E286,$N286,$V$33:$V$47)-1)</f>
        <v>10</v>
      </c>
      <c r="P286" s="10" t="str">
        <f>IF(ISBLANK(N286),"",IF(N286&gt;H286,"No","Yes"))</f>
        <v>Yes</v>
      </c>
      <c r="Q286" s="9" t="s">
        <v>117</v>
      </c>
      <c r="R286" s="4" t="s">
        <v>150</v>
      </c>
      <c r="S286" s="4"/>
      <c r="T286" s="4"/>
      <c r="U286" s="6"/>
      <c r="V286" s="6"/>
      <c r="W286" s="6"/>
      <c r="X286" s="6"/>
      <c r="Y286" s="6"/>
      <c r="Z286" s="6"/>
      <c r="AX286" s="6" t="str">
        <v>Quarter 2</v>
      </c>
    </row>
    <row r="287" spans="1:50" ht="31.4" customHeight="1" x14ac:dyDescent="0.35">
      <c r="A287" s="162">
        <v>286</v>
      </c>
      <c r="B287" s="4" t="s">
        <v>138</v>
      </c>
      <c r="C287" s="4" t="s">
        <v>19</v>
      </c>
      <c r="D287" s="4" t="s">
        <v>819</v>
      </c>
      <c r="E287" s="157">
        <v>45482</v>
      </c>
      <c r="F287" s="9">
        <f>IF($E287="","",WORKDAY($E287,1,$V$33:$V$41))</f>
        <v>45483</v>
      </c>
      <c r="G287" s="9">
        <f>IF($E287="","",WORKDAY($E287,10,$V$33:$V$41))</f>
        <v>45496</v>
      </c>
      <c r="H287" s="9">
        <f>IF($E287="","",WORKDAY($E287,20,$V$33:$V$41))</f>
        <v>45510</v>
      </c>
      <c r="I287" s="157" t="str">
        <f t="shared" si="4"/>
        <v>Jul</v>
      </c>
      <c r="J287" s="14" t="str">
        <f ca="1">IF(E287="","",IF(N287="",H287-TODAY(),""))</f>
        <v/>
      </c>
      <c r="K287" s="157" t="s">
        <v>5</v>
      </c>
      <c r="L287" s="157" t="s">
        <v>18</v>
      </c>
      <c r="M287" s="157" t="s">
        <v>66</v>
      </c>
      <c r="N287" s="9">
        <v>45482</v>
      </c>
      <c r="O287" s="159">
        <f>IF($N287="","",NETWORKDAYS($E287,$N287,$V$33:$V$47)-1)</f>
        <v>0</v>
      </c>
      <c r="P287" s="10" t="str">
        <f>IF(ISBLANK(N287),"",IF(N287&gt;H287,"No","Yes"))</f>
        <v>Yes</v>
      </c>
      <c r="Q287" s="9" t="s">
        <v>117</v>
      </c>
      <c r="R287" s="4" t="s">
        <v>126</v>
      </c>
      <c r="S287" s="4" t="s">
        <v>134</v>
      </c>
      <c r="T287" s="4"/>
      <c r="U287" s="6"/>
      <c r="V287" s="6"/>
      <c r="W287" s="6"/>
      <c r="X287" s="6"/>
      <c r="Y287" s="6"/>
      <c r="Z287" s="6"/>
      <c r="AX287" s="6" t="str">
        <v>Quarter 2</v>
      </c>
    </row>
    <row r="288" spans="1:50" ht="31.4" customHeight="1" x14ac:dyDescent="0.35">
      <c r="A288" s="162">
        <v>287</v>
      </c>
      <c r="B288" s="4" t="s">
        <v>8</v>
      </c>
      <c r="C288" s="4" t="s">
        <v>8</v>
      </c>
      <c r="D288" s="4" t="s">
        <v>820</v>
      </c>
      <c r="E288" s="157">
        <v>45482</v>
      </c>
      <c r="F288" s="9">
        <f>IF($E288="","",WORKDAY($E288,1,$V$33:$V$41))</f>
        <v>45483</v>
      </c>
      <c r="G288" s="9">
        <f>IF($E288="","",WORKDAY($E288,10,$V$33:$V$41))</f>
        <v>45496</v>
      </c>
      <c r="H288" s="9">
        <f>IF($E288="","",WORKDAY($E288,20,$V$33:$V$41))</f>
        <v>45510</v>
      </c>
      <c r="I288" s="157" t="str">
        <f t="shared" si="4"/>
        <v>Jul</v>
      </c>
      <c r="J288" s="14" t="str">
        <f ca="1">IF(E288="","",IF(N288="",H288-TODAY(),""))</f>
        <v/>
      </c>
      <c r="K288" s="157" t="s">
        <v>10</v>
      </c>
      <c r="L288" s="157" t="s">
        <v>12</v>
      </c>
      <c r="M288" s="157" t="s">
        <v>91</v>
      </c>
      <c r="N288" s="9">
        <v>45502</v>
      </c>
      <c r="O288" s="159">
        <f>IF($N288="","",NETWORKDAYS($E288,$N288,$V$33:$V$47)-1)</f>
        <v>14</v>
      </c>
      <c r="P288" s="10" t="str">
        <f>IF(ISBLANK(N288),"",IF(N288&gt;H288,"No","Yes"))</f>
        <v>Yes</v>
      </c>
      <c r="Q288" s="9" t="s">
        <v>117</v>
      </c>
      <c r="R288" s="4" t="s">
        <v>132</v>
      </c>
      <c r="S288" s="4" t="s">
        <v>120</v>
      </c>
      <c r="T288" s="4"/>
      <c r="U288" s="6"/>
      <c r="V288" s="6"/>
      <c r="W288" s="6"/>
      <c r="X288" s="6"/>
      <c r="Y288" s="6"/>
      <c r="Z288" s="6"/>
      <c r="AX288" s="6" t="str">
        <v>Quarter 2</v>
      </c>
    </row>
    <row r="289" spans="1:50" ht="31.4" customHeight="1" x14ac:dyDescent="0.35">
      <c r="A289" s="162">
        <v>288</v>
      </c>
      <c r="B289" s="4" t="s">
        <v>8</v>
      </c>
      <c r="C289" s="4" t="s">
        <v>8</v>
      </c>
      <c r="D289" s="4" t="s">
        <v>821</v>
      </c>
      <c r="E289" s="157">
        <v>45483</v>
      </c>
      <c r="F289" s="9">
        <f>IF($E289="","",WORKDAY($E289,1,$V$33:$V$41))</f>
        <v>45484</v>
      </c>
      <c r="G289" s="9">
        <f>IF($E289="","",WORKDAY($E289,10,$V$33:$V$41))</f>
        <v>45497</v>
      </c>
      <c r="H289" s="9">
        <f>IF($E289="","",WORKDAY($E289,20,$V$33:$V$41))</f>
        <v>45511</v>
      </c>
      <c r="I289" s="157" t="str">
        <f t="shared" si="4"/>
        <v>Jul</v>
      </c>
      <c r="J289" s="14" t="str">
        <f ca="1">IF(E289="","",IF(N289="",H289-TODAY(),""))</f>
        <v/>
      </c>
      <c r="K289" s="157" t="s">
        <v>5</v>
      </c>
      <c r="L289" s="157" t="s">
        <v>16</v>
      </c>
      <c r="M289" s="157" t="s">
        <v>71</v>
      </c>
      <c r="N289" s="9">
        <v>45492</v>
      </c>
      <c r="O289" s="159">
        <f>IF($N289="","",NETWORKDAYS($E289,$N289,$V$33:$V$47)-1)</f>
        <v>7</v>
      </c>
      <c r="P289" s="10" t="str">
        <f>IF(ISBLANK(N289),"",IF(N289&gt;H289,"No","Yes"))</f>
        <v>Yes</v>
      </c>
      <c r="Q289" s="9" t="s">
        <v>117</v>
      </c>
      <c r="R289" s="4" t="s">
        <v>118</v>
      </c>
      <c r="S289" s="4"/>
      <c r="T289" s="4" t="s">
        <v>141</v>
      </c>
      <c r="U289" s="6"/>
      <c r="V289" s="6"/>
      <c r="W289" s="6"/>
      <c r="X289" s="6"/>
      <c r="Y289" s="6"/>
      <c r="Z289" s="6"/>
      <c r="AX289" s="6" t="str">
        <v>Quarter 2</v>
      </c>
    </row>
    <row r="290" spans="1:50" ht="31.4" customHeight="1" x14ac:dyDescent="0.35">
      <c r="A290" s="162">
        <v>289</v>
      </c>
      <c r="B290" s="4" t="s">
        <v>8</v>
      </c>
      <c r="C290" s="4" t="s">
        <v>8</v>
      </c>
      <c r="D290" s="4" t="s">
        <v>822</v>
      </c>
      <c r="E290" s="157">
        <v>45483</v>
      </c>
      <c r="F290" s="9">
        <f>IF($E290="","",WORKDAY($E290,1,$V$33:$V$41))</f>
        <v>45484</v>
      </c>
      <c r="G290" s="9">
        <f>IF($E290="","",WORKDAY($E290,10,$V$33:$V$41))</f>
        <v>45497</v>
      </c>
      <c r="H290" s="9">
        <f>IF($E290="","",WORKDAY($E290,20,$V$33:$V$41))</f>
        <v>45511</v>
      </c>
      <c r="I290" s="157" t="str">
        <f t="shared" si="4"/>
        <v>Jul</v>
      </c>
      <c r="J290" s="14" t="str">
        <f ca="1">IF(E290="","",IF(N290="",H290-TODAY(),""))</f>
        <v/>
      </c>
      <c r="K290" s="157" t="s">
        <v>5</v>
      </c>
      <c r="L290" s="157" t="s">
        <v>22</v>
      </c>
      <c r="M290" s="157" t="s">
        <v>46</v>
      </c>
      <c r="N290" s="9">
        <v>45484</v>
      </c>
      <c r="O290" s="159">
        <f>IF($N290="","",NETWORKDAYS($E290,$N290,$V$33:$V$47)-1)</f>
        <v>1</v>
      </c>
      <c r="P290" s="10" t="str">
        <f>IF(ISBLANK(N290),"",IF(N290&gt;H290,"No","Yes"))</f>
        <v>Yes</v>
      </c>
      <c r="Q290" s="9" t="s">
        <v>117</v>
      </c>
      <c r="R290" s="4" t="s">
        <v>150</v>
      </c>
      <c r="S290" s="4"/>
      <c r="T290" s="4"/>
      <c r="U290" s="6"/>
      <c r="V290" s="6"/>
      <c r="W290" s="6"/>
      <c r="X290" s="6"/>
      <c r="Y290" s="6"/>
      <c r="Z290" s="6"/>
      <c r="AX290" s="6" t="str">
        <v>Quarter 2</v>
      </c>
    </row>
    <row r="291" spans="1:50" ht="31.4" customHeight="1" x14ac:dyDescent="0.35">
      <c r="A291" s="162">
        <v>290</v>
      </c>
      <c r="B291" s="4" t="s">
        <v>823</v>
      </c>
      <c r="C291" s="4" t="s">
        <v>13</v>
      </c>
      <c r="D291" s="4" t="s">
        <v>275</v>
      </c>
      <c r="E291" s="157">
        <v>45484</v>
      </c>
      <c r="F291" s="9">
        <f>IF($E291="","",WORKDAY($E291,1,$V$33:$V$41))</f>
        <v>45485</v>
      </c>
      <c r="G291" s="9">
        <f>IF($E291="","",WORKDAY($E291,10,$V$33:$V$41))</f>
        <v>45498</v>
      </c>
      <c r="H291" s="9">
        <f>IF($E291="","",WORKDAY($E291,20,$V$33:$V$41))</f>
        <v>45512</v>
      </c>
      <c r="I291" s="157" t="str">
        <f t="shared" si="4"/>
        <v>Jul</v>
      </c>
      <c r="J291" s="14" t="str">
        <f ca="1">IF(E291="","",IF(N291="",H291-TODAY(),""))</f>
        <v/>
      </c>
      <c r="K291" s="157" t="s">
        <v>124</v>
      </c>
      <c r="L291" s="157" t="s">
        <v>20</v>
      </c>
      <c r="M291" s="157" t="s">
        <v>70</v>
      </c>
      <c r="N291" s="9">
        <v>45484</v>
      </c>
      <c r="O291" s="159">
        <f>IF($N291="","",NETWORKDAYS($E291,$N291,$V$33:$V$47)-1)</f>
        <v>0</v>
      </c>
      <c r="P291" s="10" t="str">
        <f>IF(ISBLANK(N291),"",IF(N291&gt;H291,"No","Yes"))</f>
        <v>Yes</v>
      </c>
      <c r="Q291" s="9" t="s">
        <v>117</v>
      </c>
      <c r="R291" s="4" t="s">
        <v>126</v>
      </c>
      <c r="S291" s="4" t="s">
        <v>134</v>
      </c>
      <c r="T291" s="4"/>
      <c r="U291" s="6"/>
      <c r="V291" s="6"/>
      <c r="W291" s="6"/>
      <c r="X291" s="6"/>
      <c r="Y291" s="6"/>
      <c r="Z291" s="6"/>
      <c r="AX291" s="6" t="str">
        <v>Quarter 2</v>
      </c>
    </row>
    <row r="292" spans="1:50" ht="31.4" customHeight="1" x14ac:dyDescent="0.35">
      <c r="A292" s="162">
        <v>291</v>
      </c>
      <c r="B292" s="4" t="s">
        <v>8</v>
      </c>
      <c r="C292" s="4" t="s">
        <v>8</v>
      </c>
      <c r="D292" s="4" t="s">
        <v>824</v>
      </c>
      <c r="E292" s="157">
        <v>45484</v>
      </c>
      <c r="F292" s="9">
        <f>IF($E292="","",WORKDAY($E292,1,$V$33:$V$41))</f>
        <v>45485</v>
      </c>
      <c r="G292" s="9">
        <f>IF($E292="","",WORKDAY($E292,10,$V$33:$V$41))</f>
        <v>45498</v>
      </c>
      <c r="H292" s="9">
        <f>IF($E292="","",WORKDAY($E292,20,$V$33:$V$41))</f>
        <v>45512</v>
      </c>
      <c r="I292" s="157" t="str">
        <f t="shared" si="4"/>
        <v>Jul</v>
      </c>
      <c r="J292" s="14" t="str">
        <f ca="1">IF(E292="","",IF(N292="",H292-TODAY(),""))</f>
        <v/>
      </c>
      <c r="K292" s="157" t="s">
        <v>124</v>
      </c>
      <c r="L292" s="157" t="s">
        <v>20</v>
      </c>
      <c r="M292" s="157" t="s">
        <v>62</v>
      </c>
      <c r="N292" s="9">
        <v>45576</v>
      </c>
      <c r="O292" s="159">
        <f>IF($N292="","",NETWORKDAYS($E292,$N292,$V$33:$V$47)-1)</f>
        <v>66</v>
      </c>
      <c r="P292" s="10" t="str">
        <f>IF(ISBLANK(N292),"",IF(N292&gt;H292,"No","Yes"))</f>
        <v>No</v>
      </c>
      <c r="Q292" s="9" t="s">
        <v>117</v>
      </c>
      <c r="R292" s="4" t="s">
        <v>118</v>
      </c>
      <c r="S292" s="4"/>
      <c r="T292" s="4"/>
      <c r="U292" s="6"/>
      <c r="V292" s="6"/>
      <c r="W292" s="6"/>
      <c r="X292" s="6"/>
      <c r="Y292" s="6"/>
      <c r="Z292" s="6"/>
      <c r="AX292" s="6" t="str">
        <v>Quarter 2</v>
      </c>
    </row>
    <row r="293" spans="1:50" ht="31.4" customHeight="1" x14ac:dyDescent="0.35">
      <c r="A293" s="162">
        <v>292</v>
      </c>
      <c r="B293" s="4" t="s">
        <v>138</v>
      </c>
      <c r="C293" s="4" t="s">
        <v>19</v>
      </c>
      <c r="D293" s="4" t="s">
        <v>825</v>
      </c>
      <c r="E293" s="157">
        <v>45485</v>
      </c>
      <c r="F293" s="9">
        <f>IF($E293="","",WORKDAY($E293,1,$V$33:$V$41))</f>
        <v>45488</v>
      </c>
      <c r="G293" s="9">
        <f>IF($E293="","",WORKDAY($E293,10,$V$33:$V$41))</f>
        <v>45499</v>
      </c>
      <c r="H293" s="9">
        <f>IF($E293="","",WORKDAY($E293,20,$V$33:$V$41))</f>
        <v>45513</v>
      </c>
      <c r="I293" s="157" t="str">
        <f t="shared" si="4"/>
        <v>Jul</v>
      </c>
      <c r="J293" s="14" t="str">
        <f ca="1">IF(E293="","",IF(N293="",H293-TODAY(),""))</f>
        <v/>
      </c>
      <c r="K293" s="157" t="s">
        <v>124</v>
      </c>
      <c r="L293" s="157" t="s">
        <v>20</v>
      </c>
      <c r="M293" s="157" t="s">
        <v>62</v>
      </c>
      <c r="N293" s="9">
        <v>45488</v>
      </c>
      <c r="O293" s="159">
        <f>IF($N293="","",NETWORKDAYS($E293,$N293,$V$33:$V$47)-1)</f>
        <v>1</v>
      </c>
      <c r="P293" s="10" t="str">
        <f>IF(ISBLANK(N293),"",IF(N293&gt;H293,"No","Yes"))</f>
        <v>Yes</v>
      </c>
      <c r="Q293" s="9" t="s">
        <v>117</v>
      </c>
      <c r="R293" s="4" t="s">
        <v>118</v>
      </c>
      <c r="S293" s="4"/>
      <c r="T293" s="4"/>
      <c r="U293" s="6"/>
      <c r="V293" s="6"/>
      <c r="W293" s="6"/>
      <c r="X293" s="6"/>
      <c r="Y293" s="6"/>
      <c r="Z293" s="6"/>
      <c r="AX293" s="6" t="str">
        <v>Quarter 2</v>
      </c>
    </row>
    <row r="294" spans="1:50" ht="31.4" customHeight="1" x14ac:dyDescent="0.35">
      <c r="A294" s="162">
        <v>293</v>
      </c>
      <c r="B294" s="4" t="s">
        <v>826</v>
      </c>
      <c r="C294" s="4" t="s">
        <v>13</v>
      </c>
      <c r="D294" s="4" t="s">
        <v>827</v>
      </c>
      <c r="E294" s="157">
        <v>45485</v>
      </c>
      <c r="F294" s="9">
        <f>IF($E294="","",WORKDAY($E294,1,$V$33:$V$41))</f>
        <v>45488</v>
      </c>
      <c r="G294" s="9">
        <f>IF($E294="","",WORKDAY($E294,10,$V$33:$V$41))</f>
        <v>45499</v>
      </c>
      <c r="H294" s="9">
        <f>IF($E294="","",WORKDAY($E294,20,$V$33:$V$41))</f>
        <v>45513</v>
      </c>
      <c r="I294" s="157" t="str">
        <f t="shared" si="4"/>
        <v>Jul</v>
      </c>
      <c r="J294" s="14" t="str">
        <f ca="1">IF(E294="","",IF(N294="",H294-TODAY(),""))</f>
        <v/>
      </c>
      <c r="K294" s="157" t="s">
        <v>5</v>
      </c>
      <c r="L294" s="157" t="s">
        <v>18</v>
      </c>
      <c r="M294" s="157" t="s">
        <v>66</v>
      </c>
      <c r="N294" s="9">
        <v>45488</v>
      </c>
      <c r="O294" s="159">
        <f>IF($N294="","",NETWORKDAYS($E294,$N294,$V$33:$V$47)-1)</f>
        <v>1</v>
      </c>
      <c r="P294" s="10" t="str">
        <f>IF(ISBLANK(N294),"",IF(N294&gt;H294,"No","Yes"))</f>
        <v>Yes</v>
      </c>
      <c r="Q294" s="9" t="s">
        <v>117</v>
      </c>
      <c r="R294" s="4" t="s">
        <v>150</v>
      </c>
      <c r="S294" s="4"/>
      <c r="T294" s="4"/>
      <c r="U294" s="6"/>
      <c r="V294" s="6"/>
      <c r="W294" s="6"/>
      <c r="X294" s="6"/>
      <c r="Y294" s="6"/>
      <c r="Z294" s="6"/>
      <c r="AX294" s="6" t="str">
        <v>Quarter 2</v>
      </c>
    </row>
    <row r="295" spans="1:50" ht="31.4" customHeight="1" x14ac:dyDescent="0.35">
      <c r="A295" s="162">
        <v>294</v>
      </c>
      <c r="B295" s="4" t="s">
        <v>8</v>
      </c>
      <c r="C295" s="4" t="s">
        <v>13</v>
      </c>
      <c r="D295" s="4" t="s">
        <v>827</v>
      </c>
      <c r="E295" s="157">
        <v>45485</v>
      </c>
      <c r="F295" s="9">
        <f>IF($E295="","",WORKDAY($E295,1,$V$33:$V$41))</f>
        <v>45488</v>
      </c>
      <c r="G295" s="9">
        <f>IF($E295="","",WORKDAY($E295,10,$V$33:$V$41))</f>
        <v>45499</v>
      </c>
      <c r="H295" s="9">
        <f>IF($E295="","",WORKDAY($E295,20,$V$33:$V$41))</f>
        <v>45513</v>
      </c>
      <c r="I295" s="157" t="str">
        <f t="shared" si="4"/>
        <v>Jul</v>
      </c>
      <c r="J295" s="14" t="str">
        <f ca="1">IF(E295="","",IF(N295="",H295-TODAY(),""))</f>
        <v/>
      </c>
      <c r="K295" s="157" t="s">
        <v>5</v>
      </c>
      <c r="L295" s="157" t="s">
        <v>18</v>
      </c>
      <c r="M295" s="157" t="s">
        <v>66</v>
      </c>
      <c r="N295" s="9">
        <v>45488</v>
      </c>
      <c r="O295" s="159">
        <f>IF($N295="","",NETWORKDAYS($E295,$N295,$V$33:$V$47)-1)</f>
        <v>1</v>
      </c>
      <c r="P295" s="10" t="str">
        <f>IF(ISBLANK(N295),"",IF(N295&gt;H295,"No","Yes"))</f>
        <v>Yes</v>
      </c>
      <c r="Q295" s="9" t="s">
        <v>117</v>
      </c>
      <c r="R295" s="4" t="s">
        <v>150</v>
      </c>
      <c r="S295" s="4"/>
      <c r="T295" s="4"/>
      <c r="U295" s="6"/>
      <c r="V295" s="6"/>
      <c r="W295" s="6"/>
      <c r="X295" s="6"/>
      <c r="Y295" s="6"/>
      <c r="Z295" s="6"/>
      <c r="AX295" s="6" t="str">
        <v>Quarter 2</v>
      </c>
    </row>
    <row r="296" spans="1:50" ht="31.4" customHeight="1" x14ac:dyDescent="0.35">
      <c r="A296" s="162">
        <v>295</v>
      </c>
      <c r="B296" s="7" t="s">
        <v>800</v>
      </c>
      <c r="C296" s="7" t="s">
        <v>6</v>
      </c>
      <c r="D296" s="7" t="s">
        <v>828</v>
      </c>
      <c r="E296" s="157">
        <v>45485</v>
      </c>
      <c r="F296" s="9">
        <f>IF($E296="","",WORKDAY($E296,1,$V$33:$V$41))</f>
        <v>45488</v>
      </c>
      <c r="G296" s="9">
        <f>IF($E296="","",WORKDAY($E296,10,$V$33:$V$41))</f>
        <v>45499</v>
      </c>
      <c r="H296" s="9">
        <f>IF($E296="","",WORKDAY($E296,20,$V$33:$V$41))</f>
        <v>45513</v>
      </c>
      <c r="I296" s="157" t="str">
        <f t="shared" si="4"/>
        <v>Jul</v>
      </c>
      <c r="J296" s="14" t="str">
        <f ca="1">IF(E296="","",IF(N296="",H296-TODAY(),""))</f>
        <v/>
      </c>
      <c r="K296" s="157" t="s">
        <v>124</v>
      </c>
      <c r="L296" s="157" t="s">
        <v>20</v>
      </c>
      <c r="M296" s="157" t="s">
        <v>62</v>
      </c>
      <c r="N296" s="9">
        <v>45576</v>
      </c>
      <c r="O296" s="159">
        <f>IF($N296="","",NETWORKDAYS($E296,$N296,$V$33:$V$47)-1)</f>
        <v>65</v>
      </c>
      <c r="P296" s="10" t="str">
        <f>IF(ISBLANK(N296),"",IF(N296&gt;H296,"No","Yes"))</f>
        <v>No</v>
      </c>
      <c r="Q296" s="9" t="s">
        <v>117</v>
      </c>
      <c r="R296" s="4" t="s">
        <v>118</v>
      </c>
      <c r="S296" s="4"/>
      <c r="T296" s="7" t="s">
        <v>141</v>
      </c>
      <c r="U296" s="6"/>
      <c r="V296" s="6"/>
      <c r="W296" s="6"/>
      <c r="X296" s="6"/>
      <c r="Y296" s="6"/>
      <c r="Z296" s="6"/>
      <c r="AX296" s="6" t="str">
        <v>Quarter 2</v>
      </c>
    </row>
    <row r="297" spans="1:50" ht="31.4" customHeight="1" x14ac:dyDescent="0.35">
      <c r="A297" s="162">
        <v>296</v>
      </c>
      <c r="B297" s="4" t="s">
        <v>829</v>
      </c>
      <c r="C297" s="4" t="s">
        <v>11</v>
      </c>
      <c r="D297" s="4" t="s">
        <v>830</v>
      </c>
      <c r="E297" s="157">
        <v>45485</v>
      </c>
      <c r="F297" s="9">
        <f>IF($E297="","",WORKDAY($E297,1,$V$33:$V$41))</f>
        <v>45488</v>
      </c>
      <c r="G297" s="9">
        <f>IF($E297="","",WORKDAY($E297,10,$V$33:$V$41))</f>
        <v>45499</v>
      </c>
      <c r="H297" s="9">
        <f>IF($E297="","",WORKDAY($E297,20,$V$33:$V$41))</f>
        <v>45513</v>
      </c>
      <c r="I297" s="157" t="str">
        <f t="shared" si="4"/>
        <v>Jul</v>
      </c>
      <c r="J297" s="14" t="str">
        <f ca="1">IF(E297="","",IF(N297="",H297-TODAY(),""))</f>
        <v/>
      </c>
      <c r="K297" s="157" t="s">
        <v>5</v>
      </c>
      <c r="L297" s="157" t="s">
        <v>18</v>
      </c>
      <c r="M297" s="157" t="s">
        <v>66</v>
      </c>
      <c r="N297" s="9">
        <v>45488</v>
      </c>
      <c r="O297" s="159">
        <f>IF($N297="","",NETWORKDAYS($E297,$N297,$V$33:$V$47)-1)</f>
        <v>1</v>
      </c>
      <c r="P297" s="10" t="str">
        <f>IF(ISBLANK(N297),"",IF(N297&gt;H297,"No","Yes"))</f>
        <v>Yes</v>
      </c>
      <c r="Q297" s="9" t="s">
        <v>117</v>
      </c>
      <c r="R297" s="4" t="s">
        <v>150</v>
      </c>
      <c r="S297" s="4"/>
      <c r="T297" s="4"/>
      <c r="U297" s="6"/>
      <c r="V297" s="6"/>
      <c r="W297" s="6"/>
      <c r="X297" s="6"/>
      <c r="Y297" s="6"/>
      <c r="Z297" s="6"/>
      <c r="AX297" s="6" t="str">
        <v>Quarter 2</v>
      </c>
    </row>
    <row r="298" spans="1:50" ht="31.4" customHeight="1" x14ac:dyDescent="0.35">
      <c r="A298" s="162">
        <v>297</v>
      </c>
      <c r="B298" s="4" t="s">
        <v>8</v>
      </c>
      <c r="C298" s="4" t="s">
        <v>8</v>
      </c>
      <c r="D298" s="4" t="s">
        <v>831</v>
      </c>
      <c r="E298" s="157">
        <v>45488</v>
      </c>
      <c r="F298" s="9">
        <f>IF($E298="","",WORKDAY($E298,1,$V$33:$V$41))</f>
        <v>45489</v>
      </c>
      <c r="G298" s="9">
        <f>IF($E298="","",WORKDAY($E298,10,$V$33:$V$41))</f>
        <v>45502</v>
      </c>
      <c r="H298" s="9">
        <f>IF($E298="","",WORKDAY($E298,20,$V$33:$V$41))</f>
        <v>45516</v>
      </c>
      <c r="I298" s="157" t="str">
        <f t="shared" si="4"/>
        <v>Jul</v>
      </c>
      <c r="J298" s="14" t="str">
        <f ca="1">IF(E298="","",IF(N298="",H298-TODAY(),""))</f>
        <v/>
      </c>
      <c r="K298" s="157" t="s">
        <v>5</v>
      </c>
      <c r="L298" s="157" t="s">
        <v>16</v>
      </c>
      <c r="M298" s="157" t="s">
        <v>67</v>
      </c>
      <c r="N298" s="9">
        <v>45492</v>
      </c>
      <c r="O298" s="159">
        <f>IF($N298="","",NETWORKDAYS($E298,$N298,$V$33:$V$47)-1)</f>
        <v>4</v>
      </c>
      <c r="P298" s="10" t="str">
        <f>IF(ISBLANK(N298),"",IF(N298&gt;H298,"No","Yes"))</f>
        <v>Yes</v>
      </c>
      <c r="Q298" s="9" t="s">
        <v>117</v>
      </c>
      <c r="R298" s="4" t="s">
        <v>132</v>
      </c>
      <c r="S298" s="4" t="s">
        <v>120</v>
      </c>
      <c r="T298" s="4"/>
      <c r="U298" s="6"/>
      <c r="V298" s="6"/>
      <c r="W298" s="6"/>
      <c r="X298" s="6"/>
      <c r="Y298" s="6"/>
      <c r="Z298" s="6"/>
      <c r="AX298" s="6" t="str">
        <v>Quarter 2</v>
      </c>
    </row>
    <row r="299" spans="1:50" ht="31.4" customHeight="1" x14ac:dyDescent="0.35">
      <c r="A299" s="162">
        <v>298</v>
      </c>
      <c r="B299" s="4" t="s">
        <v>8</v>
      </c>
      <c r="C299" s="4" t="s">
        <v>8</v>
      </c>
      <c r="D299" s="4" t="s">
        <v>322</v>
      </c>
      <c r="E299" s="157">
        <v>45488</v>
      </c>
      <c r="F299" s="9">
        <f>IF($E299="","",WORKDAY($E299,1,$V$33:$V$41))</f>
        <v>45489</v>
      </c>
      <c r="G299" s="9">
        <f>IF($E299="","",WORKDAY($E299,10,$V$33:$V$41))</f>
        <v>45502</v>
      </c>
      <c r="H299" s="9">
        <f>IF($E299="","",WORKDAY($E299,20,$V$33:$V$41))</f>
        <v>45516</v>
      </c>
      <c r="I299" s="157" t="str">
        <f t="shared" si="4"/>
        <v>Jul</v>
      </c>
      <c r="J299" s="14" t="str">
        <f ca="1">IF(E299="","",IF(N299="",H299-TODAY(),""))</f>
        <v/>
      </c>
      <c r="K299" s="157" t="s">
        <v>5</v>
      </c>
      <c r="L299" s="157" t="s">
        <v>22</v>
      </c>
      <c r="M299" s="157" t="s">
        <v>64</v>
      </c>
      <c r="N299" s="9">
        <v>45488</v>
      </c>
      <c r="O299" s="159">
        <f>IF($N299="","",NETWORKDAYS($E299,$N299,$V$33:$V$47)-1)</f>
        <v>0</v>
      </c>
      <c r="P299" s="10" t="str">
        <f>IF(ISBLANK(N299),"",IF(N299&gt;H299,"No","Yes"))</f>
        <v>Yes</v>
      </c>
      <c r="Q299" s="9" t="s">
        <v>117</v>
      </c>
      <c r="R299" s="4" t="s">
        <v>118</v>
      </c>
      <c r="S299" s="4"/>
      <c r="T299" s="4"/>
      <c r="U299" s="6"/>
      <c r="V299" s="6"/>
      <c r="W299" s="6"/>
      <c r="X299" s="6"/>
      <c r="Y299" s="6"/>
      <c r="Z299" s="6"/>
      <c r="AX299" s="6" t="str">
        <v>Quarter 2</v>
      </c>
    </row>
    <row r="300" spans="1:50" ht="31.4" customHeight="1" x14ac:dyDescent="0.35">
      <c r="A300" s="162">
        <v>299</v>
      </c>
      <c r="B300" s="4" t="s">
        <v>138</v>
      </c>
      <c r="C300" s="4" t="s">
        <v>19</v>
      </c>
      <c r="D300" s="4" t="s">
        <v>832</v>
      </c>
      <c r="E300" s="157">
        <v>45488</v>
      </c>
      <c r="F300" s="9">
        <f>IF($E300="","",WORKDAY($E300,1,$V$33:$V$41))</f>
        <v>45489</v>
      </c>
      <c r="G300" s="9">
        <f>IF($E300="","",WORKDAY($E300,10,$V$33:$V$41))</f>
        <v>45502</v>
      </c>
      <c r="H300" s="9">
        <f>IF($E300="","",WORKDAY($E300,20,$V$33:$V$41))</f>
        <v>45516</v>
      </c>
      <c r="I300" s="157" t="str">
        <f t="shared" si="4"/>
        <v>Jul</v>
      </c>
      <c r="J300" s="14" t="str">
        <f ca="1">IF(E300="","",IF(N300="",H300-TODAY(),""))</f>
        <v/>
      </c>
      <c r="K300" s="157" t="s">
        <v>5</v>
      </c>
      <c r="L300" s="157" t="s">
        <v>16</v>
      </c>
      <c r="M300" s="157" t="s">
        <v>67</v>
      </c>
      <c r="N300" s="9">
        <v>45516</v>
      </c>
      <c r="O300" s="159">
        <f>IF($N300="","",NETWORKDAYS($E300,$N300,$V$33:$V$47)-1)</f>
        <v>20</v>
      </c>
      <c r="P300" s="10" t="str">
        <f>IF(ISBLANK(N300),"",IF(N300&gt;H300,"No","Yes"))</f>
        <v>Yes</v>
      </c>
      <c r="Q300" s="9" t="s">
        <v>117</v>
      </c>
      <c r="R300" s="4" t="s">
        <v>118</v>
      </c>
      <c r="S300" s="4" t="s">
        <v>119</v>
      </c>
      <c r="T300" s="4"/>
      <c r="U300" s="6"/>
      <c r="V300" s="6"/>
      <c r="W300" s="6"/>
      <c r="X300" s="6"/>
      <c r="Y300" s="6"/>
      <c r="Z300" s="6"/>
      <c r="AX300" s="6" t="str">
        <v>Quarter 2</v>
      </c>
    </row>
    <row r="301" spans="1:50" ht="31.4" customHeight="1" x14ac:dyDescent="0.35">
      <c r="A301" s="162">
        <v>300</v>
      </c>
      <c r="B301" s="4" t="s">
        <v>8</v>
      </c>
      <c r="C301" s="4" t="s">
        <v>8</v>
      </c>
      <c r="D301" s="4" t="s">
        <v>833</v>
      </c>
      <c r="E301" s="157">
        <v>45488</v>
      </c>
      <c r="F301" s="9">
        <f>IF($E301="","",WORKDAY($E301,1,$V$33:$V$41))</f>
        <v>45489</v>
      </c>
      <c r="G301" s="9">
        <f>IF($E301="","",WORKDAY($E301,10,$V$33:$V$41))</f>
        <v>45502</v>
      </c>
      <c r="H301" s="9">
        <f>IF($E301="","",WORKDAY($E301,20,$V$33:$V$41))</f>
        <v>45516</v>
      </c>
      <c r="I301" s="157" t="str">
        <f t="shared" si="4"/>
        <v>Jul</v>
      </c>
      <c r="J301" s="14" t="str">
        <f ca="1">IF(E301="","",IF(N301="",H301-TODAY(),""))</f>
        <v/>
      </c>
      <c r="K301" s="157" t="s">
        <v>10</v>
      </c>
      <c r="L301" s="157" t="s">
        <v>27</v>
      </c>
      <c r="M301" s="157" t="s">
        <v>37</v>
      </c>
      <c r="N301" s="9">
        <v>45492</v>
      </c>
      <c r="O301" s="159">
        <f>IF($N301="","",NETWORKDAYS($E301,$N301,$V$33:$V$47)-1)</f>
        <v>4</v>
      </c>
      <c r="P301" s="10" t="str">
        <f>IF(ISBLANK(N301),"",IF(N301&gt;H301,"No","Yes"))</f>
        <v>Yes</v>
      </c>
      <c r="Q301" s="9" t="s">
        <v>117</v>
      </c>
      <c r="R301" s="4" t="s">
        <v>118</v>
      </c>
      <c r="S301" s="4"/>
      <c r="T301" s="4" t="s">
        <v>141</v>
      </c>
      <c r="U301" s="6"/>
      <c r="V301" s="6"/>
      <c r="W301" s="6"/>
      <c r="X301" s="6"/>
      <c r="Y301" s="6"/>
      <c r="Z301" s="6"/>
      <c r="AX301" s="6" t="str">
        <v>Quarter 2</v>
      </c>
    </row>
    <row r="302" spans="1:50" ht="31.4" customHeight="1" x14ac:dyDescent="0.35">
      <c r="A302" s="162">
        <v>301</v>
      </c>
      <c r="B302" s="4" t="s">
        <v>771</v>
      </c>
      <c r="C302" s="4" t="s">
        <v>23</v>
      </c>
      <c r="D302" s="4" t="s">
        <v>832</v>
      </c>
      <c r="E302" s="157">
        <v>45488</v>
      </c>
      <c r="F302" s="9">
        <f>IF($E302="","",WORKDAY($E302,1,$V$33:$V$41))</f>
        <v>45489</v>
      </c>
      <c r="G302" s="9">
        <f>IF($E302="","",WORKDAY($E302,10,$V$33:$V$41))</f>
        <v>45502</v>
      </c>
      <c r="H302" s="9">
        <f>IF($E302="","",WORKDAY($E302,20,$V$33:$V$41))</f>
        <v>45516</v>
      </c>
      <c r="I302" s="157" t="str">
        <f t="shared" si="4"/>
        <v>Jul</v>
      </c>
      <c r="J302" s="14" t="str">
        <f ca="1">IF(E302="","",IF(N302="",H302-TODAY(),""))</f>
        <v/>
      </c>
      <c r="K302" s="157" t="s">
        <v>5</v>
      </c>
      <c r="L302" s="157" t="s">
        <v>16</v>
      </c>
      <c r="M302" s="157" t="s">
        <v>67</v>
      </c>
      <c r="N302" s="9">
        <v>45516</v>
      </c>
      <c r="O302" s="159">
        <f>IF($N302="","",NETWORKDAYS($E302,$N302,$V$33:$V$47)-1)</f>
        <v>20</v>
      </c>
      <c r="P302" s="10" t="str">
        <f>IF(ISBLANK(N302),"",IF(N302&gt;H302,"No","Yes"))</f>
        <v>Yes</v>
      </c>
      <c r="Q302" s="9" t="s">
        <v>117</v>
      </c>
      <c r="R302" s="4" t="s">
        <v>126</v>
      </c>
      <c r="S302" s="4" t="s">
        <v>211</v>
      </c>
      <c r="T302" s="4" t="s">
        <v>1225</v>
      </c>
      <c r="U302" s="6"/>
      <c r="V302" s="6"/>
      <c r="W302" s="6"/>
      <c r="X302" s="6"/>
      <c r="Y302" s="6"/>
      <c r="Z302" s="6"/>
      <c r="AX302" s="6" t="str">
        <v>Quarter 2</v>
      </c>
    </row>
    <row r="303" spans="1:50" ht="31.4" customHeight="1" x14ac:dyDescent="0.35">
      <c r="A303" s="162">
        <v>302</v>
      </c>
      <c r="B303" s="4" t="s">
        <v>834</v>
      </c>
      <c r="C303" s="4" t="s">
        <v>13</v>
      </c>
      <c r="D303" s="4" t="s">
        <v>835</v>
      </c>
      <c r="E303" s="157">
        <v>45488</v>
      </c>
      <c r="F303" s="9">
        <f>IF($E303="","",WORKDAY($E303,1,$V$33:$V$41))</f>
        <v>45489</v>
      </c>
      <c r="G303" s="9">
        <f>IF($E303="","",WORKDAY($E303,10,$V$33:$V$41))</f>
        <v>45502</v>
      </c>
      <c r="H303" s="9">
        <f>IF($E303="","",WORKDAY($E303,20,$V$33:$V$41))</f>
        <v>45516</v>
      </c>
      <c r="I303" s="157" t="str">
        <f t="shared" si="4"/>
        <v>Jul</v>
      </c>
      <c r="J303" s="14" t="str">
        <f ca="1">IF(E303="","",IF(N303="",H303-TODAY(),""))</f>
        <v/>
      </c>
      <c r="K303" s="157" t="s">
        <v>124</v>
      </c>
      <c r="L303" s="157" t="s">
        <v>20</v>
      </c>
      <c r="M303" s="157" t="s">
        <v>92</v>
      </c>
      <c r="N303" s="9">
        <v>45504</v>
      </c>
      <c r="O303" s="159">
        <f>IF($N303="","",NETWORKDAYS($E303,$N303,$V$33:$V$47)-1)</f>
        <v>12</v>
      </c>
      <c r="P303" s="10" t="str">
        <f>IF(ISBLANK(N303),"",IF(N303&gt;H303,"No","Yes"))</f>
        <v>Yes</v>
      </c>
      <c r="Q303" s="9" t="s">
        <v>117</v>
      </c>
      <c r="R303" s="4" t="s">
        <v>118</v>
      </c>
      <c r="S303" s="4"/>
      <c r="T303" s="4"/>
      <c r="U303" s="6"/>
      <c r="V303" s="6"/>
      <c r="W303" s="6"/>
      <c r="X303" s="6"/>
      <c r="Y303" s="6"/>
      <c r="Z303" s="6"/>
      <c r="AX303" s="6" t="str">
        <v>Quarter 2</v>
      </c>
    </row>
    <row r="304" spans="1:50" ht="31.4" customHeight="1" x14ac:dyDescent="0.35">
      <c r="A304" s="162">
        <v>303</v>
      </c>
      <c r="B304" s="4" t="s">
        <v>152</v>
      </c>
      <c r="C304" s="4" t="s">
        <v>13</v>
      </c>
      <c r="D304" s="4" t="s">
        <v>836</v>
      </c>
      <c r="E304" s="157">
        <v>45489</v>
      </c>
      <c r="F304" s="9">
        <f>IF($E304="","",WORKDAY($E304,1,$V$33:$V$41))</f>
        <v>45490</v>
      </c>
      <c r="G304" s="9">
        <f>IF($E304="","",WORKDAY($E304,10,$V$33:$V$41))</f>
        <v>45503</v>
      </c>
      <c r="H304" s="9">
        <f>IF($E304="","",WORKDAY($E304,20,$V$33:$V$41))</f>
        <v>45517</v>
      </c>
      <c r="I304" s="157" t="str">
        <f t="shared" si="4"/>
        <v>Jul</v>
      </c>
      <c r="J304" s="14" t="str">
        <f ca="1">IF(E304="","",IF(N304="",H304-TODAY(),""))</f>
        <v/>
      </c>
      <c r="K304" s="157" t="s">
        <v>10</v>
      </c>
      <c r="L304" s="157" t="s">
        <v>12</v>
      </c>
      <c r="M304" s="157" t="s">
        <v>30</v>
      </c>
      <c r="N304" s="9">
        <v>45489</v>
      </c>
      <c r="O304" s="159">
        <f>IF($N304="","",NETWORKDAYS($E304,$N304,$V$33:$V$47)-1)</f>
        <v>0</v>
      </c>
      <c r="P304" s="10" t="str">
        <f>IF(ISBLANK(N304),"",IF(N304&gt;H304,"No","Yes"))</f>
        <v>Yes</v>
      </c>
      <c r="Q304" s="9" t="s">
        <v>117</v>
      </c>
      <c r="R304" s="4" t="s">
        <v>150</v>
      </c>
      <c r="S304" s="4"/>
      <c r="T304" s="4"/>
      <c r="U304" s="6"/>
      <c r="V304" s="6"/>
      <c r="W304" s="6"/>
      <c r="X304" s="6"/>
      <c r="Y304" s="6"/>
      <c r="Z304" s="6"/>
      <c r="AX304" s="6" t="str">
        <v>Quarter 2</v>
      </c>
    </row>
    <row r="305" spans="1:50" ht="31.4" customHeight="1" x14ac:dyDescent="0.35">
      <c r="A305" s="162">
        <v>304</v>
      </c>
      <c r="B305" s="4" t="s">
        <v>152</v>
      </c>
      <c r="C305" s="4" t="s">
        <v>13</v>
      </c>
      <c r="D305" s="4" t="s">
        <v>837</v>
      </c>
      <c r="E305" s="157">
        <v>45489</v>
      </c>
      <c r="F305" s="9">
        <f>IF($E305="","",WORKDAY($E305,1,$V$33:$V$41))</f>
        <v>45490</v>
      </c>
      <c r="G305" s="9">
        <f>IF($E305="","",WORKDAY($E305,10,$V$33:$V$41))</f>
        <v>45503</v>
      </c>
      <c r="H305" s="9">
        <f>IF($E305="","",WORKDAY($E305,20,$V$33:$V$41))</f>
        <v>45517</v>
      </c>
      <c r="I305" s="157" t="str">
        <f t="shared" si="4"/>
        <v>Jul</v>
      </c>
      <c r="J305" s="14" t="str">
        <f ca="1">IF(E305="","",IF(N305="",H305-TODAY(),""))</f>
        <v/>
      </c>
      <c r="K305" s="157" t="s">
        <v>10</v>
      </c>
      <c r="L305" s="157" t="s">
        <v>12</v>
      </c>
      <c r="M305" s="157" t="s">
        <v>30</v>
      </c>
      <c r="N305" s="9">
        <v>45490</v>
      </c>
      <c r="O305" s="159">
        <f>IF($N305="","",NETWORKDAYS($E305,$N305,$V$33:$V$47)-1)</f>
        <v>1</v>
      </c>
      <c r="P305" s="10" t="str">
        <f>IF(ISBLANK(N305),"",IF(N305&gt;H305,"No","Yes"))</f>
        <v>Yes</v>
      </c>
      <c r="Q305" s="9" t="s">
        <v>117</v>
      </c>
      <c r="R305" s="4" t="s">
        <v>118</v>
      </c>
      <c r="S305" s="4"/>
      <c r="T305" s="4"/>
      <c r="U305" s="6"/>
      <c r="V305" s="6"/>
      <c r="W305" s="6"/>
      <c r="X305" s="6"/>
      <c r="Y305" s="6"/>
      <c r="Z305" s="6"/>
      <c r="AX305" s="6" t="str">
        <v>Quarter 2</v>
      </c>
    </row>
    <row r="306" spans="1:50" ht="31.4" customHeight="1" x14ac:dyDescent="0.35">
      <c r="A306" s="162">
        <v>305</v>
      </c>
      <c r="B306" s="4" t="s">
        <v>838</v>
      </c>
      <c r="C306" s="4" t="s">
        <v>6</v>
      </c>
      <c r="D306" s="4" t="s">
        <v>839</v>
      </c>
      <c r="E306" s="157">
        <v>45490</v>
      </c>
      <c r="F306" s="9">
        <f>IF($E306="","",WORKDAY($E306,1,$V$33:$V$41))</f>
        <v>45491</v>
      </c>
      <c r="G306" s="9">
        <f>IF($E306="","",WORKDAY($E306,10,$V$33:$V$41))</f>
        <v>45504</v>
      </c>
      <c r="H306" s="9">
        <f>IF($E306="","",WORKDAY($E306,20,$V$33:$V$41))</f>
        <v>45518</v>
      </c>
      <c r="I306" s="157" t="str">
        <f t="shared" si="4"/>
        <v>Jul</v>
      </c>
      <c r="J306" s="14" t="str">
        <f ca="1">IF(E306="","",IF(N306="",H306-TODAY(),""))</f>
        <v/>
      </c>
      <c r="K306" s="157" t="s">
        <v>124</v>
      </c>
      <c r="L306" s="157" t="s">
        <v>24</v>
      </c>
      <c r="M306" s="157" t="s">
        <v>87</v>
      </c>
      <c r="N306" s="9">
        <v>45510</v>
      </c>
      <c r="O306" s="159">
        <f>IF($N306="","",NETWORKDAYS($E306,$N306,$V$33:$V$47)-1)</f>
        <v>14</v>
      </c>
      <c r="P306" s="10" t="str">
        <f>IF(ISBLANK(N306),"",IF(N306&gt;H306,"No","Yes"))</f>
        <v>Yes</v>
      </c>
      <c r="Q306" s="9" t="s">
        <v>117</v>
      </c>
      <c r="R306" s="4" t="s">
        <v>118</v>
      </c>
      <c r="S306" s="4"/>
      <c r="T306" s="4"/>
      <c r="U306" s="6"/>
      <c r="V306" s="6"/>
      <c r="W306" s="6"/>
      <c r="X306" s="6"/>
      <c r="Y306" s="6"/>
      <c r="Z306" s="6"/>
      <c r="AX306" s="6" t="str">
        <v>Quarter 2</v>
      </c>
    </row>
    <row r="307" spans="1:50" ht="31.4" customHeight="1" x14ac:dyDescent="0.35">
      <c r="A307" s="162" t="s">
        <v>840</v>
      </c>
      <c r="B307" s="7" t="s">
        <v>310</v>
      </c>
      <c r="C307" s="7" t="s">
        <v>6</v>
      </c>
      <c r="D307" s="4" t="s">
        <v>841</v>
      </c>
      <c r="E307" s="157">
        <v>45490</v>
      </c>
      <c r="F307" s="9">
        <f>IF($E307="","",WORKDAY($E307,1,$V$33:$V$41))</f>
        <v>45491</v>
      </c>
      <c r="G307" s="9">
        <f>IF($E307="","",WORKDAY($E307,10,$V$33:$V$41))</f>
        <v>45504</v>
      </c>
      <c r="H307" s="9">
        <f>IF($E307="","",WORKDAY($E307,20,$V$33:$V$41))</f>
        <v>45518</v>
      </c>
      <c r="I307" s="157" t="str">
        <f t="shared" si="4"/>
        <v>Jul</v>
      </c>
      <c r="J307" s="14" t="str">
        <f ca="1">IF(E307="","",IF(N307="",H307-TODAY(),""))</f>
        <v/>
      </c>
      <c r="K307" s="157" t="s">
        <v>10</v>
      </c>
      <c r="L307" s="25" t="s">
        <v>12</v>
      </c>
      <c r="M307" s="25" t="s">
        <v>30</v>
      </c>
      <c r="N307" s="9">
        <v>45492</v>
      </c>
      <c r="O307" s="159">
        <f>IF($N307="","",NETWORKDAYS($E307,$N307,$V$33:$V$47)-1)</f>
        <v>2</v>
      </c>
      <c r="P307" s="10" t="str">
        <f>IF(ISBLANK(N307),"",IF(N307&gt;H307,"No","Yes"))</f>
        <v>Yes</v>
      </c>
      <c r="Q307" s="9" t="s">
        <v>117</v>
      </c>
      <c r="R307" s="4" t="s">
        <v>150</v>
      </c>
      <c r="S307" s="4"/>
      <c r="T307" s="7"/>
      <c r="U307" s="6"/>
      <c r="V307" s="6"/>
      <c r="W307" s="6"/>
      <c r="X307" s="6"/>
      <c r="Y307" s="6"/>
      <c r="Z307" s="6"/>
      <c r="AX307" s="6" t="str">
        <v>Quarter 2</v>
      </c>
    </row>
    <row r="308" spans="1:50" ht="31.4" customHeight="1" x14ac:dyDescent="0.35">
      <c r="A308" s="162">
        <v>307</v>
      </c>
      <c r="B308" s="7" t="s">
        <v>152</v>
      </c>
      <c r="C308" s="7" t="s">
        <v>13</v>
      </c>
      <c r="D308" s="4" t="s">
        <v>842</v>
      </c>
      <c r="E308" s="157">
        <v>45490</v>
      </c>
      <c r="F308" s="9">
        <f>IF($E308="","",WORKDAY($E308,1,$V$33:$V$41))</f>
        <v>45491</v>
      </c>
      <c r="G308" s="9">
        <f>IF($E308="","",WORKDAY($E308,10,$V$33:$V$41))</f>
        <v>45504</v>
      </c>
      <c r="H308" s="9">
        <f>IF($E308="","",WORKDAY($E308,20,$V$33:$V$41))</f>
        <v>45518</v>
      </c>
      <c r="I308" s="157" t="str">
        <f t="shared" si="4"/>
        <v>Jul</v>
      </c>
      <c r="J308" s="14" t="str">
        <f ca="1">IF(E308="","",IF(N308="",H308-TODAY(),""))</f>
        <v/>
      </c>
      <c r="K308" s="157" t="s">
        <v>10</v>
      </c>
      <c r="L308" s="25" t="s">
        <v>12</v>
      </c>
      <c r="M308" s="25" t="s">
        <v>30</v>
      </c>
      <c r="N308" s="9">
        <v>45496</v>
      </c>
      <c r="O308" s="159">
        <f>IF($N308="","",NETWORKDAYS($E308,$N308,$V$33:$V$47)-1)</f>
        <v>4</v>
      </c>
      <c r="P308" s="10" t="str">
        <f>IF(ISBLANK(N308),"",IF(N308&gt;H308,"No","Yes"))</f>
        <v>Yes</v>
      </c>
      <c r="Q308" s="9" t="s">
        <v>117</v>
      </c>
      <c r="R308" s="4" t="s">
        <v>118</v>
      </c>
      <c r="S308" s="4"/>
      <c r="T308" s="7"/>
      <c r="U308" s="6"/>
      <c r="V308" s="6"/>
      <c r="W308" s="6"/>
      <c r="X308" s="6"/>
      <c r="Y308" s="6"/>
      <c r="Z308" s="6"/>
      <c r="AX308" s="6" t="str">
        <v>Quarter 2</v>
      </c>
    </row>
    <row r="309" spans="1:50" ht="31.4" customHeight="1" x14ac:dyDescent="0.35">
      <c r="A309" s="162">
        <v>308</v>
      </c>
      <c r="B309" s="4" t="s">
        <v>8</v>
      </c>
      <c r="C309" s="4" t="s">
        <v>8</v>
      </c>
      <c r="D309" s="4" t="s">
        <v>843</v>
      </c>
      <c r="E309" s="157">
        <v>45485</v>
      </c>
      <c r="F309" s="9">
        <f>IF($E309="","",WORKDAY($E309,1,$V$33:$V$41))</f>
        <v>45488</v>
      </c>
      <c r="G309" s="9">
        <f>IF($E309="","",WORKDAY($E309,10,$V$33:$V$41))</f>
        <v>45499</v>
      </c>
      <c r="H309" s="9">
        <f>IF($E309="","",WORKDAY($E309,20,$V$33:$V$41))</f>
        <v>45513</v>
      </c>
      <c r="I309" s="157" t="str">
        <f t="shared" si="4"/>
        <v>Jul</v>
      </c>
      <c r="J309" s="14" t="str">
        <f ca="1">IF(E309="","",IF(N309="",H309-TODAY(),""))</f>
        <v/>
      </c>
      <c r="K309" s="157" t="s">
        <v>124</v>
      </c>
      <c r="L309" s="157" t="s">
        <v>20</v>
      </c>
      <c r="M309" s="157" t="s">
        <v>62</v>
      </c>
      <c r="N309" s="9">
        <v>45609</v>
      </c>
      <c r="O309" s="159">
        <f>IF($N309="","",NETWORKDAYS($E309,$N309,$V$33:$V$47)-1)</f>
        <v>88</v>
      </c>
      <c r="P309" s="10" t="str">
        <f>IF(ISBLANK(N309),"",IF(N309&gt;H309,"No","Yes"))</f>
        <v>No</v>
      </c>
      <c r="Q309" s="9" t="s">
        <v>117</v>
      </c>
      <c r="R309" s="4" t="s">
        <v>118</v>
      </c>
      <c r="S309" s="4"/>
      <c r="T309" s="4"/>
      <c r="U309" s="6"/>
      <c r="V309" s="6"/>
      <c r="W309" s="6"/>
      <c r="X309" s="6"/>
      <c r="Y309" s="6"/>
      <c r="Z309" s="6"/>
      <c r="AX309" s="6" t="str">
        <v>Quarter 2</v>
      </c>
    </row>
    <row r="310" spans="1:50" ht="31.4" customHeight="1" x14ac:dyDescent="0.35">
      <c r="A310" s="162">
        <v>309</v>
      </c>
      <c r="B310" s="4" t="s">
        <v>844</v>
      </c>
      <c r="C310" s="4" t="s">
        <v>11</v>
      </c>
      <c r="D310" s="4" t="s">
        <v>845</v>
      </c>
      <c r="E310" s="157">
        <v>45513</v>
      </c>
      <c r="F310" s="9">
        <f>IF($E310="","",WORKDAY($E310,1,$V$33:$V$41))</f>
        <v>45516</v>
      </c>
      <c r="G310" s="9">
        <f>IF($E310="","",WORKDAY($E310,10,$V$33:$V$41))</f>
        <v>45527</v>
      </c>
      <c r="H310" s="9">
        <f>IF($E310="","",WORKDAY($E310,20,$V$33:$V$41))</f>
        <v>45541</v>
      </c>
      <c r="I310" s="157" t="str">
        <f t="shared" si="4"/>
        <v>Aug</v>
      </c>
      <c r="J310" s="14" t="str">
        <f ca="1">IF(E310="","",IF(N310="",H310-TODAY(),""))</f>
        <v/>
      </c>
      <c r="K310" s="157" t="s">
        <v>4</v>
      </c>
      <c r="L310" s="157" t="s">
        <v>3</v>
      </c>
      <c r="M310" s="157" t="s">
        <v>66</v>
      </c>
      <c r="N310" s="9">
        <v>45538</v>
      </c>
      <c r="O310" s="159">
        <f>IF($N310="","",NETWORKDAYS($E310,$N310,$V$33:$V$47)-1)</f>
        <v>17</v>
      </c>
      <c r="P310" s="10" t="str">
        <f>IF(ISBLANK(N310),"",IF(N310&gt;H310,"No","Yes"))</f>
        <v>Yes</v>
      </c>
      <c r="Q310" s="9" t="s">
        <v>117</v>
      </c>
      <c r="R310" s="4" t="s">
        <v>118</v>
      </c>
      <c r="S310" s="4" t="s">
        <v>119</v>
      </c>
      <c r="T310" s="4"/>
      <c r="U310" s="6"/>
      <c r="V310" s="6"/>
      <c r="W310" s="6"/>
      <c r="X310" s="6"/>
      <c r="Y310" s="6"/>
      <c r="Z310" s="6"/>
      <c r="AX310" s="6" t="str">
        <v>Quarter 2</v>
      </c>
    </row>
    <row r="311" spans="1:50" ht="31.4" customHeight="1" x14ac:dyDescent="0.35">
      <c r="A311" s="162">
        <v>310</v>
      </c>
      <c r="B311" s="4" t="s">
        <v>846</v>
      </c>
      <c r="C311" s="4" t="s">
        <v>13</v>
      </c>
      <c r="D311" s="4" t="s">
        <v>847</v>
      </c>
      <c r="E311" s="157">
        <v>45491</v>
      </c>
      <c r="F311" s="9">
        <f>IF($E311="","",WORKDAY($E311,1,$V$33:$V$41))</f>
        <v>45492</v>
      </c>
      <c r="G311" s="9">
        <f>IF($E311="","",WORKDAY($E311,10,$V$33:$V$41))</f>
        <v>45505</v>
      </c>
      <c r="H311" s="9">
        <f>IF($E311="","",WORKDAY($E311,20,$V$33:$V$41))</f>
        <v>45519</v>
      </c>
      <c r="I311" s="157" t="str">
        <f t="shared" si="4"/>
        <v>Jul</v>
      </c>
      <c r="J311" s="14" t="str">
        <f ca="1">IF(E311="","",IF(N311="",H311-TODAY(),""))</f>
        <v/>
      </c>
      <c r="K311" s="157" t="s">
        <v>4</v>
      </c>
      <c r="L311" s="157" t="s">
        <v>26</v>
      </c>
      <c r="M311" s="157" t="s">
        <v>57</v>
      </c>
      <c r="N311" s="9">
        <v>45503</v>
      </c>
      <c r="O311" s="159">
        <f>IF($N311="","",NETWORKDAYS($E311,$N311,$V$33:$V$47)-1)</f>
        <v>8</v>
      </c>
      <c r="P311" s="10" t="str">
        <f>IF(ISBLANK(N311),"",IF(N311&gt;H311,"No","Yes"))</f>
        <v>Yes</v>
      </c>
      <c r="Q311" s="9" t="s">
        <v>117</v>
      </c>
      <c r="R311" s="4" t="s">
        <v>118</v>
      </c>
      <c r="S311" s="4"/>
      <c r="T311" s="4"/>
      <c r="U311" s="6"/>
      <c r="V311" s="6"/>
      <c r="W311" s="6"/>
      <c r="X311" s="6"/>
      <c r="Y311" s="6"/>
      <c r="Z311" s="6"/>
      <c r="AX311" s="6" t="str">
        <v>Quarter 2</v>
      </c>
    </row>
    <row r="312" spans="1:50" ht="31.4" customHeight="1" x14ac:dyDescent="0.35">
      <c r="A312" s="162">
        <v>311</v>
      </c>
      <c r="B312" s="4" t="s">
        <v>8</v>
      </c>
      <c r="C312" s="4" t="s">
        <v>8</v>
      </c>
      <c r="D312" s="4" t="s">
        <v>848</v>
      </c>
      <c r="E312" s="157">
        <v>45491</v>
      </c>
      <c r="F312" s="9">
        <f>IF($E312="","",WORKDAY($E312,1,$V$33:$V$41))</f>
        <v>45492</v>
      </c>
      <c r="G312" s="9">
        <f>IF($E312="","",WORKDAY($E312,10,$V$33:$V$41))</f>
        <v>45505</v>
      </c>
      <c r="H312" s="9">
        <f>IF($E312="","",WORKDAY($E312,20,$V$33:$V$41))</f>
        <v>45519</v>
      </c>
      <c r="I312" s="157" t="str">
        <f t="shared" si="4"/>
        <v>Jul</v>
      </c>
      <c r="J312" s="14" t="str">
        <f ca="1">IF(E312="","",IF(N312="",H312-TODAY(),""))</f>
        <v/>
      </c>
      <c r="K312" s="157" t="s">
        <v>5</v>
      </c>
      <c r="L312" s="157" t="s">
        <v>16</v>
      </c>
      <c r="M312" s="157" t="s">
        <v>67</v>
      </c>
      <c r="N312" s="9">
        <v>45495</v>
      </c>
      <c r="O312" s="159">
        <f>IF($N312="","",NETWORKDAYS($E312,$N312,$V$33:$V$47)-1)</f>
        <v>2</v>
      </c>
      <c r="P312" s="10" t="str">
        <f>IF(ISBLANK(N312),"",IF(N312&gt;H312,"No","Yes"))</f>
        <v>Yes</v>
      </c>
      <c r="Q312" s="9" t="s">
        <v>117</v>
      </c>
      <c r="R312" s="4" t="s">
        <v>118</v>
      </c>
      <c r="S312" s="4"/>
      <c r="T312" s="4"/>
      <c r="U312" s="6"/>
      <c r="V312" s="6"/>
      <c r="W312" s="6"/>
      <c r="X312" s="6"/>
      <c r="Y312" s="6"/>
      <c r="Z312" s="6"/>
      <c r="AX312" s="6" t="str">
        <v>Quarter 2</v>
      </c>
    </row>
    <row r="313" spans="1:50" ht="31.4" customHeight="1" x14ac:dyDescent="0.35">
      <c r="A313" s="162">
        <v>312</v>
      </c>
      <c r="B313" s="4" t="s">
        <v>8</v>
      </c>
      <c r="C313" s="4" t="s">
        <v>8</v>
      </c>
      <c r="D313" s="4" t="s">
        <v>849</v>
      </c>
      <c r="E313" s="157">
        <v>45491</v>
      </c>
      <c r="F313" s="9">
        <f>IF($E313="","",WORKDAY($E313,1,$V$33:$V$41))</f>
        <v>45492</v>
      </c>
      <c r="G313" s="9">
        <f>IF($E313="","",WORKDAY($E313,10,$V$33:$V$41))</f>
        <v>45505</v>
      </c>
      <c r="H313" s="9">
        <f>IF($E313="","",WORKDAY($E313,20,$V$33:$V$41))</f>
        <v>45519</v>
      </c>
      <c r="I313" s="157" t="str">
        <f t="shared" si="4"/>
        <v>Jul</v>
      </c>
      <c r="J313" s="14" t="str">
        <f ca="1">IF(E313="","",IF(N313="",H313-TODAY(),""))</f>
        <v/>
      </c>
      <c r="K313" s="157" t="s">
        <v>5</v>
      </c>
      <c r="L313" s="157" t="s">
        <v>16</v>
      </c>
      <c r="M313" s="157" t="s">
        <v>52</v>
      </c>
      <c r="N313" s="9">
        <v>45544</v>
      </c>
      <c r="O313" s="159">
        <f>IF($N313="","",NETWORKDAYS($E313,$N313,$V$33:$V$47)-1)</f>
        <v>37</v>
      </c>
      <c r="P313" s="10" t="str">
        <f>IF(ISBLANK(N313),"",IF(N313&gt;H313,"No","Yes"))</f>
        <v>No</v>
      </c>
      <c r="Q313" s="9" t="s">
        <v>117</v>
      </c>
      <c r="R313" s="4" t="s">
        <v>118</v>
      </c>
      <c r="S313" s="4" t="s">
        <v>135</v>
      </c>
      <c r="T313" s="4"/>
      <c r="U313" s="6"/>
      <c r="V313" s="6"/>
      <c r="W313" s="6"/>
      <c r="X313" s="6"/>
      <c r="Y313" s="6"/>
      <c r="Z313" s="6"/>
      <c r="AX313" s="6" t="str">
        <v>Quarter 2</v>
      </c>
    </row>
    <row r="314" spans="1:50" ht="31.4" customHeight="1" x14ac:dyDescent="0.35">
      <c r="A314" s="162">
        <v>313</v>
      </c>
      <c r="B314" s="4" t="s">
        <v>850</v>
      </c>
      <c r="C314" s="4" t="s">
        <v>13</v>
      </c>
      <c r="D314" s="4" t="s">
        <v>851</v>
      </c>
      <c r="E314" s="157">
        <v>45491</v>
      </c>
      <c r="F314" s="9">
        <f>IF($E314="","",WORKDAY($E314,1,$V$33:$V$41))</f>
        <v>45492</v>
      </c>
      <c r="G314" s="9">
        <f>IF($E314="","",WORKDAY($E314,10,$V$33:$V$41))</f>
        <v>45505</v>
      </c>
      <c r="H314" s="9">
        <f>IF($E314="","",WORKDAY($E314,20,$V$33:$V$41))</f>
        <v>45519</v>
      </c>
      <c r="I314" s="157" t="str">
        <f t="shared" si="4"/>
        <v>Jul</v>
      </c>
      <c r="J314" s="14" t="str">
        <f ca="1">IF(E314="","",IF(N314="",H314-TODAY(),""))</f>
        <v/>
      </c>
      <c r="K314" s="157" t="s">
        <v>5</v>
      </c>
      <c r="L314" s="157" t="s">
        <v>18</v>
      </c>
      <c r="M314" s="157" t="s">
        <v>42</v>
      </c>
      <c r="N314" s="9">
        <v>45495</v>
      </c>
      <c r="O314" s="159">
        <f>IF($N314="","",NETWORKDAYS($E314,$N314,$V$33:$V$47)-1)</f>
        <v>2</v>
      </c>
      <c r="P314" s="10" t="str">
        <f>IF(ISBLANK(N314),"",IF(N314&gt;H314,"No","Yes"))</f>
        <v>Yes</v>
      </c>
      <c r="Q314" s="9" t="s">
        <v>117</v>
      </c>
      <c r="R314" s="4" t="s">
        <v>118</v>
      </c>
      <c r="S314" s="4"/>
      <c r="T314" s="4"/>
      <c r="U314" s="6"/>
      <c r="V314" s="6"/>
      <c r="W314" s="6"/>
      <c r="X314" s="6"/>
      <c r="Y314" s="6"/>
      <c r="Z314" s="6"/>
      <c r="AX314" s="6" t="str">
        <v>Quarter 2</v>
      </c>
    </row>
    <row r="315" spans="1:50" ht="31.4" customHeight="1" x14ac:dyDescent="0.35">
      <c r="A315" s="162">
        <v>314</v>
      </c>
      <c r="B315" s="4" t="s">
        <v>8</v>
      </c>
      <c r="C315" s="4" t="s">
        <v>8</v>
      </c>
      <c r="D315" s="4" t="s">
        <v>852</v>
      </c>
      <c r="E315" s="157">
        <v>45492</v>
      </c>
      <c r="F315" s="9">
        <f>IF($E315="","",WORKDAY($E315,1,$V$33:$V$41))</f>
        <v>45495</v>
      </c>
      <c r="G315" s="9">
        <f>IF($E315="","",WORKDAY($E315,10,$V$33:$V$41))</f>
        <v>45506</v>
      </c>
      <c r="H315" s="9">
        <f>IF($E315="","",WORKDAY($E315,20,$V$33:$V$41))</f>
        <v>45520</v>
      </c>
      <c r="I315" s="157" t="str">
        <f t="shared" si="4"/>
        <v>Jul</v>
      </c>
      <c r="J315" s="14" t="str">
        <f ca="1">IF(E315="","",IF(N315="",H315-TODAY(),""))</f>
        <v/>
      </c>
      <c r="K315" s="157" t="s">
        <v>5</v>
      </c>
      <c r="L315" s="157" t="s">
        <v>22</v>
      </c>
      <c r="M315" s="157" t="s">
        <v>75</v>
      </c>
      <c r="N315" s="9">
        <v>45510</v>
      </c>
      <c r="O315" s="159">
        <f>IF($N315="","",NETWORKDAYS($E315,$N315,$V$33:$V$47)-1)</f>
        <v>12</v>
      </c>
      <c r="P315" s="10" t="str">
        <f>IF(ISBLANK(N315),"",IF(N315&gt;H315,"No","Yes"))</f>
        <v>Yes</v>
      </c>
      <c r="Q315" s="9" t="s">
        <v>117</v>
      </c>
      <c r="R315" s="4" t="s">
        <v>118</v>
      </c>
      <c r="S315" s="4"/>
      <c r="T315" s="4"/>
      <c r="U315" s="6"/>
      <c r="V315" s="6"/>
      <c r="W315" s="6"/>
      <c r="X315" s="6"/>
      <c r="Y315" s="6"/>
      <c r="Z315" s="6"/>
      <c r="AX315" s="6" t="str">
        <v>Quarter 2</v>
      </c>
    </row>
    <row r="316" spans="1:50" ht="31.4" customHeight="1" x14ac:dyDescent="0.35">
      <c r="A316" s="162">
        <v>315</v>
      </c>
      <c r="B316" s="4" t="s">
        <v>853</v>
      </c>
      <c r="C316" s="4" t="s">
        <v>13</v>
      </c>
      <c r="D316" s="4" t="s">
        <v>854</v>
      </c>
      <c r="E316" s="157">
        <v>45492</v>
      </c>
      <c r="F316" s="9">
        <f>IF($E316="","",WORKDAY($E316,1,$V$33:$V$41))</f>
        <v>45495</v>
      </c>
      <c r="G316" s="9">
        <f>IF($E316="","",WORKDAY($E316,10,$V$33:$V$41))</f>
        <v>45506</v>
      </c>
      <c r="H316" s="9">
        <f>IF($E316="","",WORKDAY($E316,20,$V$33:$V$41))</f>
        <v>45520</v>
      </c>
      <c r="I316" s="157" t="str">
        <f t="shared" si="4"/>
        <v>Jul</v>
      </c>
      <c r="J316" s="14" t="str">
        <f ca="1">IF(E316="","",IF(N316="",H316-TODAY(),""))</f>
        <v/>
      </c>
      <c r="K316" s="157" t="s">
        <v>10</v>
      </c>
      <c r="L316" s="157" t="s">
        <v>12</v>
      </c>
      <c r="M316" s="157" t="s">
        <v>91</v>
      </c>
      <c r="N316" s="9">
        <v>45518</v>
      </c>
      <c r="O316" s="159">
        <f>IF($N316="","",NETWORKDAYS($E316,$N316,$V$33:$V$47)-1)</f>
        <v>18</v>
      </c>
      <c r="P316" s="10" t="str">
        <f>IF(ISBLANK(N316),"",IF(N316&gt;H316,"No","Yes"))</f>
        <v>Yes</v>
      </c>
      <c r="Q316" s="9" t="s">
        <v>117</v>
      </c>
      <c r="R316" s="4" t="s">
        <v>118</v>
      </c>
      <c r="S316" s="4"/>
      <c r="T316" s="4" t="s">
        <v>141</v>
      </c>
      <c r="U316" s="6"/>
      <c r="V316" s="6"/>
      <c r="W316" s="6"/>
      <c r="X316" s="6"/>
      <c r="Y316" s="6"/>
      <c r="Z316" s="6"/>
      <c r="AX316" s="6" t="str">
        <v>Quarter 2</v>
      </c>
    </row>
    <row r="317" spans="1:50" ht="31.4" customHeight="1" x14ac:dyDescent="0.35">
      <c r="A317" s="162">
        <v>316</v>
      </c>
      <c r="B317" s="7" t="s">
        <v>138</v>
      </c>
      <c r="C317" s="7" t="s">
        <v>19</v>
      </c>
      <c r="D317" s="7" t="s">
        <v>855</v>
      </c>
      <c r="E317" s="25">
        <v>45492</v>
      </c>
      <c r="F317" s="9">
        <f>IF($E317="","",WORKDAY($E317,1,$V$33:$V$41))</f>
        <v>45495</v>
      </c>
      <c r="G317" s="9">
        <f>IF($E317="","",WORKDAY($E317,10,$V$33:$V$41))</f>
        <v>45506</v>
      </c>
      <c r="H317" s="9">
        <f>IF($E317="","",WORKDAY($E317,20,$V$33:$V$41))</f>
        <v>45520</v>
      </c>
      <c r="I317" s="157" t="str">
        <f t="shared" si="4"/>
        <v>Jul</v>
      </c>
      <c r="J317" s="14" t="str">
        <f ca="1">IF(E317="","",IF(N317="",H317-TODAY(),""))</f>
        <v/>
      </c>
      <c r="K317" s="25" t="s">
        <v>10</v>
      </c>
      <c r="L317" s="157" t="s">
        <v>12</v>
      </c>
      <c r="M317" s="157" t="s">
        <v>30</v>
      </c>
      <c r="N317" s="9">
        <v>45511</v>
      </c>
      <c r="O317" s="159">
        <f>IF($N317="","",NETWORKDAYS($E317,$N317,$V$33:$V$47)-1)</f>
        <v>13</v>
      </c>
      <c r="P317" s="10" t="str">
        <f>IF(ISBLANK(N317),"",IF(N317&gt;H317,"No","Yes"))</f>
        <v>Yes</v>
      </c>
      <c r="Q317" s="9" t="s">
        <v>117</v>
      </c>
      <c r="R317" s="4" t="s">
        <v>118</v>
      </c>
      <c r="S317" s="4"/>
      <c r="T317" s="4"/>
      <c r="U317" s="6"/>
      <c r="V317" s="6"/>
      <c r="W317" s="6"/>
      <c r="X317" s="6"/>
      <c r="Y317" s="6"/>
      <c r="Z317" s="6"/>
      <c r="AX317" s="6" t="str">
        <v>Quarter 2</v>
      </c>
    </row>
    <row r="318" spans="1:50" ht="31.4" customHeight="1" x14ac:dyDescent="0.35">
      <c r="A318" s="162">
        <v>317</v>
      </c>
      <c r="B318" s="4" t="s">
        <v>152</v>
      </c>
      <c r="C318" s="4" t="s">
        <v>13</v>
      </c>
      <c r="D318" s="4" t="s">
        <v>856</v>
      </c>
      <c r="E318" s="157">
        <v>45492</v>
      </c>
      <c r="F318" s="9">
        <f>IF($E318="","",WORKDAY($E318,1,$V$33:$V$41))</f>
        <v>45495</v>
      </c>
      <c r="G318" s="9">
        <f>IF($E318="","",WORKDAY($E318,10,$V$33:$V$41))</f>
        <v>45506</v>
      </c>
      <c r="H318" s="9">
        <f>IF($E318="","",WORKDAY($E318,20,$V$33:$V$41))</f>
        <v>45520</v>
      </c>
      <c r="I318" s="157" t="str">
        <f t="shared" si="4"/>
        <v>Jul</v>
      </c>
      <c r="J318" s="14" t="str">
        <f ca="1">IF(E318="","",IF(N318="",H318-TODAY(),""))</f>
        <v/>
      </c>
      <c r="K318" s="157" t="s">
        <v>10</v>
      </c>
      <c r="L318" s="157" t="s">
        <v>12</v>
      </c>
      <c r="M318" s="157" t="s">
        <v>30</v>
      </c>
      <c r="N318" s="9">
        <v>45492</v>
      </c>
      <c r="O318" s="159">
        <f>IF($N318="","",NETWORKDAYS($E318,$N318,$V$33:$V$47)-1)</f>
        <v>0</v>
      </c>
      <c r="P318" s="10" t="str">
        <f>IF(ISBLANK(N318),"",IF(N318&gt;H318,"No","Yes"))</f>
        <v>Yes</v>
      </c>
      <c r="Q318" s="9" t="s">
        <v>117</v>
      </c>
      <c r="R318" s="4" t="s">
        <v>118</v>
      </c>
      <c r="S318" s="4"/>
      <c r="T318" s="4"/>
      <c r="U318" s="6"/>
      <c r="V318" s="6"/>
      <c r="W318" s="6"/>
      <c r="X318" s="6"/>
      <c r="Y318" s="6"/>
      <c r="Z318" s="6"/>
      <c r="AX318" s="6" t="str">
        <v>Quarter 2</v>
      </c>
    </row>
    <row r="319" spans="1:50" ht="31.4" customHeight="1" x14ac:dyDescent="0.35">
      <c r="A319" s="162">
        <v>318</v>
      </c>
      <c r="B319" s="4" t="s">
        <v>857</v>
      </c>
      <c r="C319" s="4" t="s">
        <v>15</v>
      </c>
      <c r="D319" s="4" t="s">
        <v>858</v>
      </c>
      <c r="E319" s="157">
        <v>45492</v>
      </c>
      <c r="F319" s="9">
        <f>IF($E319="","",WORKDAY($E319,1,$V$33:$V$41))</f>
        <v>45495</v>
      </c>
      <c r="G319" s="9">
        <f>IF($E319="","",WORKDAY($E319,10,$V$33:$V$41))</f>
        <v>45506</v>
      </c>
      <c r="H319" s="9">
        <f>IF($E319="","",WORKDAY($E319,20,$V$33:$V$41))</f>
        <v>45520</v>
      </c>
      <c r="I319" s="157" t="str">
        <f t="shared" si="4"/>
        <v>Jul</v>
      </c>
      <c r="J319" s="14" t="str">
        <f ca="1">IF(E319="","",IF(N319="",H319-TODAY(),""))</f>
        <v/>
      </c>
      <c r="K319" s="157" t="s">
        <v>5</v>
      </c>
      <c r="L319" s="157" t="s">
        <v>18</v>
      </c>
      <c r="M319" s="157" t="s">
        <v>80</v>
      </c>
      <c r="N319" s="9">
        <v>45520</v>
      </c>
      <c r="O319" s="159">
        <f>IF($N319="","",NETWORKDAYS($E319,$N319,$V$33:$V$47)-1)</f>
        <v>20</v>
      </c>
      <c r="P319" s="10" t="str">
        <f>IF(ISBLANK(N319),"",IF(N319&gt;H319,"No","Yes"))</f>
        <v>Yes</v>
      </c>
      <c r="Q319" s="9" t="s">
        <v>117</v>
      </c>
      <c r="R319" s="4" t="s">
        <v>118</v>
      </c>
      <c r="S319" s="4"/>
      <c r="T319" s="4"/>
      <c r="U319" s="6"/>
      <c r="V319" s="6"/>
      <c r="W319" s="6"/>
      <c r="X319" s="6"/>
      <c r="Y319" s="6"/>
      <c r="Z319" s="6"/>
      <c r="AX319" s="6" t="str">
        <v>Quarter 2</v>
      </c>
    </row>
    <row r="320" spans="1:50" ht="31.4" customHeight="1" x14ac:dyDescent="0.35">
      <c r="A320" s="162">
        <v>319</v>
      </c>
      <c r="B320" s="4" t="s">
        <v>8</v>
      </c>
      <c r="C320" s="4" t="s">
        <v>8</v>
      </c>
      <c r="D320" s="4" t="s">
        <v>831</v>
      </c>
      <c r="E320" s="157">
        <v>45492</v>
      </c>
      <c r="F320" s="9">
        <f>IF($E320="","",WORKDAY($E320,1,$V$33:$V$41))</f>
        <v>45495</v>
      </c>
      <c r="G320" s="9">
        <f>IF($E320="","",WORKDAY($E320,10,$V$33:$V$41))</f>
        <v>45506</v>
      </c>
      <c r="H320" s="9">
        <f>IF($E320="","",WORKDAY($E320,20,$V$33:$V$41))</f>
        <v>45520</v>
      </c>
      <c r="I320" s="157" t="str">
        <f t="shared" si="4"/>
        <v>Jul</v>
      </c>
      <c r="J320" s="14" t="str">
        <f ca="1">IF(E320="","",IF(N320="",H320-TODAY(),""))</f>
        <v/>
      </c>
      <c r="K320" s="157" t="s">
        <v>5</v>
      </c>
      <c r="L320" s="157" t="s">
        <v>16</v>
      </c>
      <c r="M320" s="157" t="s">
        <v>67</v>
      </c>
      <c r="N320" s="9">
        <v>45516</v>
      </c>
      <c r="O320" s="159">
        <f>IF($N320="","",NETWORKDAYS($E320,$N320,$V$33:$V$47)-1)</f>
        <v>16</v>
      </c>
      <c r="P320" s="10" t="str">
        <f>IF(ISBLANK(N320),"",IF(N320&gt;H320,"No","Yes"))</f>
        <v>Yes</v>
      </c>
      <c r="Q320" s="9" t="s">
        <v>117</v>
      </c>
      <c r="R320" s="4" t="s">
        <v>118</v>
      </c>
      <c r="S320" s="4" t="s">
        <v>119</v>
      </c>
      <c r="T320" s="4"/>
      <c r="U320" s="6"/>
      <c r="V320" s="6"/>
      <c r="W320" s="6"/>
      <c r="X320" s="6"/>
      <c r="Y320" s="6"/>
      <c r="Z320" s="6"/>
      <c r="AX320" s="6" t="str">
        <v>Quarter 2</v>
      </c>
    </row>
    <row r="321" spans="1:50" ht="31.4" customHeight="1" x14ac:dyDescent="0.35">
      <c r="A321" s="162">
        <v>320</v>
      </c>
      <c r="B321" s="4" t="s">
        <v>8</v>
      </c>
      <c r="C321" s="4" t="s">
        <v>8</v>
      </c>
      <c r="D321" s="4" t="s">
        <v>859</v>
      </c>
      <c r="E321" s="157">
        <v>45495</v>
      </c>
      <c r="F321" s="9">
        <f>IF($E321="","",WORKDAY($E321,1,$V$33:$V$41))</f>
        <v>45496</v>
      </c>
      <c r="G321" s="9">
        <f>IF($E321="","",WORKDAY($E321,10,$V$33:$V$41))</f>
        <v>45509</v>
      </c>
      <c r="H321" s="9">
        <f>IF($E321="","",WORKDAY($E321,20,$V$33:$V$41))</f>
        <v>45523</v>
      </c>
      <c r="I321" s="157" t="str">
        <f t="shared" si="4"/>
        <v>Jul</v>
      </c>
      <c r="J321" s="14" t="str">
        <f ca="1">IF(E321="","",IF(N321="",H321-TODAY(),""))</f>
        <v/>
      </c>
      <c r="K321" s="157" t="s">
        <v>124</v>
      </c>
      <c r="L321" s="157" t="s">
        <v>20</v>
      </c>
      <c r="M321" s="157" t="s">
        <v>48</v>
      </c>
      <c r="N321" s="9">
        <v>45496</v>
      </c>
      <c r="O321" s="159">
        <f>IF($N321="","",NETWORKDAYS($E321,$N321,$V$33:$V$47)-1)</f>
        <v>1</v>
      </c>
      <c r="P321" s="10" t="str">
        <f>IF(ISBLANK(N321),"",IF(N321&gt;H321,"No","Yes"))</f>
        <v>Yes</v>
      </c>
      <c r="Q321" s="9" t="s">
        <v>117</v>
      </c>
      <c r="R321" s="4" t="s">
        <v>118</v>
      </c>
      <c r="S321" s="4"/>
      <c r="T321" s="4"/>
      <c r="U321" s="6"/>
      <c r="V321" s="6"/>
      <c r="W321" s="6"/>
      <c r="X321" s="6"/>
      <c r="Y321" s="6"/>
      <c r="Z321" s="6"/>
      <c r="AX321" s="6" t="str">
        <v>Quarter 2</v>
      </c>
    </row>
    <row r="322" spans="1:50" ht="31.4" customHeight="1" x14ac:dyDescent="0.35">
      <c r="A322" s="162">
        <v>321</v>
      </c>
      <c r="B322" s="4" t="s">
        <v>860</v>
      </c>
      <c r="C322" s="4" t="s">
        <v>15</v>
      </c>
      <c r="D322" s="4" t="s">
        <v>861</v>
      </c>
      <c r="E322" s="157">
        <v>45492</v>
      </c>
      <c r="F322" s="9">
        <f>IF($E322="","",WORKDAY($E322,1,$V$33:$V$41))</f>
        <v>45495</v>
      </c>
      <c r="G322" s="9">
        <f>IF($E322="","",WORKDAY($E322,10,$V$33:$V$41))</f>
        <v>45506</v>
      </c>
      <c r="H322" s="9">
        <f>IF($E322="","",WORKDAY($E322,20,$V$33:$V$41))</f>
        <v>45520</v>
      </c>
      <c r="I322" s="157" t="str">
        <f t="shared" ref="I322:I385" si="5">IF(ISBLANK(E322),"",TEXT(E322,"mmm"))</f>
        <v>Jul</v>
      </c>
      <c r="J322" s="14" t="str">
        <f ca="1">IF(E322="","",IF(N322="",H322-TODAY(),""))</f>
        <v/>
      </c>
      <c r="K322" s="157" t="s">
        <v>124</v>
      </c>
      <c r="L322" s="157" t="s">
        <v>20</v>
      </c>
      <c r="M322" s="157" t="s">
        <v>62</v>
      </c>
      <c r="N322" s="9">
        <v>45511</v>
      </c>
      <c r="O322" s="159">
        <f>IF($N322="","",NETWORKDAYS($E322,$N322,$V$33:$V$47)-1)</f>
        <v>13</v>
      </c>
      <c r="P322" s="10" t="str">
        <f>IF(ISBLANK(N322),"",IF(N322&gt;H322,"No","Yes"))</f>
        <v>Yes</v>
      </c>
      <c r="Q322" s="9" t="s">
        <v>117</v>
      </c>
      <c r="R322" s="4" t="s">
        <v>118</v>
      </c>
      <c r="S322" s="4"/>
      <c r="T322" s="4"/>
      <c r="U322" s="6"/>
      <c r="V322" s="6"/>
      <c r="W322" s="6"/>
      <c r="X322" s="6"/>
      <c r="Y322" s="6"/>
      <c r="Z322" s="6"/>
      <c r="AX322" s="6" t="str">
        <v>Quarter 2</v>
      </c>
    </row>
    <row r="323" spans="1:50" ht="31.4" customHeight="1" x14ac:dyDescent="0.35">
      <c r="A323" s="162">
        <v>322</v>
      </c>
      <c r="B323" s="4" t="s">
        <v>138</v>
      </c>
      <c r="C323" s="4" t="s">
        <v>19</v>
      </c>
      <c r="D323" s="4" t="s">
        <v>862</v>
      </c>
      <c r="E323" s="157">
        <v>45492</v>
      </c>
      <c r="F323" s="9">
        <f>IF($E323="","",WORKDAY($E323,1,$V$33:$V$41))</f>
        <v>45495</v>
      </c>
      <c r="G323" s="9">
        <f>IF($E323="","",WORKDAY($E323,10,$V$33:$V$41))</f>
        <v>45506</v>
      </c>
      <c r="H323" s="9">
        <f>IF($E323="","",WORKDAY($E323,20,$V$33:$V$41))</f>
        <v>45520</v>
      </c>
      <c r="I323" s="157" t="str">
        <f t="shared" si="5"/>
        <v>Jul</v>
      </c>
      <c r="J323" s="14" t="str">
        <f ca="1">IF(E323="","",IF(N323="",H323-TODAY(),""))</f>
        <v/>
      </c>
      <c r="K323" s="157" t="s">
        <v>10</v>
      </c>
      <c r="L323" s="157" t="s">
        <v>12</v>
      </c>
      <c r="M323" s="157" t="s">
        <v>68</v>
      </c>
      <c r="N323" s="9">
        <v>45502</v>
      </c>
      <c r="O323" s="159">
        <f>IF($N323="","",NETWORKDAYS($E323,$N323,$V$33:$V$47)-1)</f>
        <v>6</v>
      </c>
      <c r="P323" s="10" t="str">
        <f>IF(ISBLANK(N323),"",IF(N323&gt;H323,"No","Yes"))</f>
        <v>Yes</v>
      </c>
      <c r="Q323" s="9" t="s">
        <v>117</v>
      </c>
      <c r="R323" s="4" t="s">
        <v>126</v>
      </c>
      <c r="S323" s="4" t="s">
        <v>178</v>
      </c>
      <c r="T323" s="4" t="s">
        <v>2120</v>
      </c>
      <c r="U323" s="6"/>
      <c r="V323" s="6"/>
      <c r="W323" s="6"/>
      <c r="X323" s="6"/>
      <c r="Y323" s="6"/>
      <c r="Z323" s="6"/>
      <c r="AX323" s="6" t="str">
        <v>Quarter 2</v>
      </c>
    </row>
    <row r="324" spans="1:50" ht="31.4" customHeight="1" x14ac:dyDescent="0.35">
      <c r="A324" s="162">
        <v>323</v>
      </c>
      <c r="B324" s="4" t="s">
        <v>138</v>
      </c>
      <c r="C324" s="4" t="s">
        <v>19</v>
      </c>
      <c r="D324" s="4" t="s">
        <v>863</v>
      </c>
      <c r="E324" s="157">
        <v>45495</v>
      </c>
      <c r="F324" s="9">
        <f>IF($E324="","",WORKDAY($E324,1,$V$33:$V$41))</f>
        <v>45496</v>
      </c>
      <c r="G324" s="9">
        <f>IF($E324="","",WORKDAY($E324,10,$V$33:$V$41))</f>
        <v>45509</v>
      </c>
      <c r="H324" s="9">
        <f>IF($E324="","",WORKDAY($E324,20,$V$33:$V$41))</f>
        <v>45523</v>
      </c>
      <c r="I324" s="157" t="str">
        <f t="shared" si="5"/>
        <v>Jul</v>
      </c>
      <c r="J324" s="14" t="str">
        <f ca="1">IF(E324="","",IF(N324="",H324-TODAY(),""))</f>
        <v/>
      </c>
      <c r="K324" s="157" t="s">
        <v>10</v>
      </c>
      <c r="L324" s="157" t="s">
        <v>12</v>
      </c>
      <c r="M324" s="157" t="s">
        <v>65</v>
      </c>
      <c r="N324" s="9">
        <v>45495</v>
      </c>
      <c r="O324" s="159">
        <f>IF($N324="","",NETWORKDAYS($E324,$N324,$V$33:$V$47)-1)</f>
        <v>0</v>
      </c>
      <c r="P324" s="10" t="str">
        <f>IF(ISBLANK(N324),"",IF(N324&gt;H324,"No","Yes"))</f>
        <v>Yes</v>
      </c>
      <c r="Q324" s="9" t="s">
        <v>117</v>
      </c>
      <c r="R324" s="4" t="s">
        <v>118</v>
      </c>
      <c r="S324" s="4"/>
      <c r="T324" s="4"/>
      <c r="U324" s="6"/>
      <c r="V324" s="6"/>
      <c r="W324" s="6"/>
      <c r="X324" s="6"/>
      <c r="Y324" s="6"/>
      <c r="Z324" s="6"/>
      <c r="AX324" s="6" t="str">
        <v>Quarter 2</v>
      </c>
    </row>
    <row r="325" spans="1:50" ht="31.4" customHeight="1" x14ac:dyDescent="0.35">
      <c r="A325" s="162">
        <v>324</v>
      </c>
      <c r="B325" s="4" t="s">
        <v>138</v>
      </c>
      <c r="C325" s="4" t="s">
        <v>19</v>
      </c>
      <c r="D325" s="4" t="s">
        <v>864</v>
      </c>
      <c r="E325" s="157">
        <v>45495</v>
      </c>
      <c r="F325" s="9">
        <f>IF($E325="","",WORKDAY($E325,1,$V$33:$V$41))</f>
        <v>45496</v>
      </c>
      <c r="G325" s="9">
        <f>IF($E325="","",WORKDAY($E325,10,$V$33:$V$41))</f>
        <v>45509</v>
      </c>
      <c r="H325" s="9">
        <f>IF($E325="","",WORKDAY($E325,20,$V$33:$V$41))</f>
        <v>45523</v>
      </c>
      <c r="I325" s="157" t="str">
        <f t="shared" si="5"/>
        <v>Jul</v>
      </c>
      <c r="J325" s="14" t="str">
        <f ca="1">IF(E325="","",IF(N325="",H325-TODAY(),""))</f>
        <v/>
      </c>
      <c r="K325" s="157" t="s">
        <v>5</v>
      </c>
      <c r="L325" s="157" t="s">
        <v>18</v>
      </c>
      <c r="M325" s="157" t="s">
        <v>66</v>
      </c>
      <c r="N325" s="9">
        <v>45497</v>
      </c>
      <c r="O325" s="159">
        <f>IF($N325="","",NETWORKDAYS($E325,$N325,$V$33:$V$47)-1)</f>
        <v>2</v>
      </c>
      <c r="P325" s="10" t="str">
        <f>IF(ISBLANK(N325),"",IF(N325&gt;H325,"No","Yes"))</f>
        <v>Yes</v>
      </c>
      <c r="Q325" s="9" t="s">
        <v>117</v>
      </c>
      <c r="R325" s="4" t="s">
        <v>150</v>
      </c>
      <c r="S325" s="4"/>
      <c r="T325" s="4"/>
      <c r="U325" s="6"/>
      <c r="V325" s="6"/>
      <c r="W325" s="6"/>
      <c r="X325" s="6"/>
      <c r="Y325" s="6"/>
      <c r="Z325" s="6"/>
      <c r="AX325" s="6" t="str">
        <v>Quarter 2</v>
      </c>
    </row>
    <row r="326" spans="1:50" ht="31.4" customHeight="1" x14ac:dyDescent="0.35">
      <c r="A326" s="162">
        <v>325</v>
      </c>
      <c r="B326" s="4" t="s">
        <v>138</v>
      </c>
      <c r="C326" s="4" t="s">
        <v>19</v>
      </c>
      <c r="D326" s="4" t="s">
        <v>865</v>
      </c>
      <c r="E326" s="157">
        <v>45496</v>
      </c>
      <c r="F326" s="9">
        <f>IF($E326="","",WORKDAY($E326,1,$V$33:$V$41))</f>
        <v>45497</v>
      </c>
      <c r="G326" s="9">
        <f>IF($E326="","",WORKDAY($E326,10,$V$33:$V$41))</f>
        <v>45510</v>
      </c>
      <c r="H326" s="9">
        <f>IF($E326="","",WORKDAY($E326,20,$V$33:$V$41))</f>
        <v>45524</v>
      </c>
      <c r="I326" s="157" t="str">
        <f t="shared" si="5"/>
        <v>Jul</v>
      </c>
      <c r="J326" s="14" t="str">
        <f ca="1">IF(E326="","",IF(N326="",H326-TODAY(),""))</f>
        <v/>
      </c>
      <c r="K326" s="157" t="s">
        <v>124</v>
      </c>
      <c r="L326" s="157" t="s">
        <v>20</v>
      </c>
      <c r="M326" s="157" t="s">
        <v>62</v>
      </c>
      <c r="N326" s="9">
        <v>45497</v>
      </c>
      <c r="O326" s="159">
        <f>IF($N326="","",NETWORKDAYS($E326,$N326,$V$33:$V$47)-1)</f>
        <v>1</v>
      </c>
      <c r="P326" s="10" t="str">
        <f>IF(ISBLANK(N326),"",IF(N326&gt;H326,"No","Yes"))</f>
        <v>Yes</v>
      </c>
      <c r="Q326" s="9" t="s">
        <v>117</v>
      </c>
      <c r="R326" s="4" t="s">
        <v>150</v>
      </c>
      <c r="S326" s="4"/>
      <c r="T326" s="4"/>
      <c r="U326" s="6"/>
      <c r="V326" s="6"/>
      <c r="W326" s="6"/>
      <c r="X326" s="6"/>
      <c r="Y326" s="6"/>
      <c r="Z326" s="6"/>
      <c r="AX326" s="6" t="str">
        <v>Quarter 2</v>
      </c>
    </row>
    <row r="327" spans="1:50" ht="31.4" customHeight="1" x14ac:dyDescent="0.35">
      <c r="A327" s="162">
        <v>326</v>
      </c>
      <c r="B327" s="4" t="s">
        <v>165</v>
      </c>
      <c r="C327" s="4" t="s">
        <v>6</v>
      </c>
      <c r="D327" s="10" t="s">
        <v>866</v>
      </c>
      <c r="E327" s="157">
        <v>45495</v>
      </c>
      <c r="F327" s="9">
        <f>IF($E327="","",WORKDAY($E327,1,$V$33:$V$41))</f>
        <v>45496</v>
      </c>
      <c r="G327" s="9">
        <f>IF($E327="","",WORKDAY($E327,10,$V$33:$V$41))</f>
        <v>45509</v>
      </c>
      <c r="H327" s="9">
        <f>IF($E327="","",WORKDAY($E327,20,$V$33:$V$41))</f>
        <v>45523</v>
      </c>
      <c r="I327" s="157" t="str">
        <f t="shared" si="5"/>
        <v>Jul</v>
      </c>
      <c r="J327" s="14" t="str">
        <f ca="1">IF(E327="","",IF(N327="",H327-TODAY(),""))</f>
        <v/>
      </c>
      <c r="K327" s="157" t="s">
        <v>10</v>
      </c>
      <c r="L327" s="157" t="s">
        <v>12</v>
      </c>
      <c r="M327" s="157" t="s">
        <v>30</v>
      </c>
      <c r="N327" s="9">
        <v>45496</v>
      </c>
      <c r="O327" s="159">
        <f>IF($N327="","",NETWORKDAYS($E327,$N327,$V$33:$V$47)-1)</f>
        <v>1</v>
      </c>
      <c r="P327" s="10" t="str">
        <f>IF(ISBLANK(N327),"",IF(N327&gt;H327,"No","Yes"))</f>
        <v>Yes</v>
      </c>
      <c r="Q327" s="9" t="s">
        <v>117</v>
      </c>
      <c r="R327" s="4" t="s">
        <v>150</v>
      </c>
      <c r="S327" s="4"/>
      <c r="T327" s="4"/>
      <c r="U327" s="6"/>
      <c r="V327" s="6"/>
      <c r="W327" s="6"/>
      <c r="X327" s="6"/>
      <c r="Y327" s="6"/>
      <c r="Z327" s="6"/>
      <c r="AX327" s="6" t="str">
        <v>Quarter 2</v>
      </c>
    </row>
    <row r="328" spans="1:50" ht="31.4" customHeight="1" x14ac:dyDescent="0.35">
      <c r="A328" s="162">
        <v>327</v>
      </c>
      <c r="B328" s="4" t="s">
        <v>867</v>
      </c>
      <c r="C328" s="4" t="s">
        <v>13</v>
      </c>
      <c r="D328" s="4" t="s">
        <v>868</v>
      </c>
      <c r="E328" s="157"/>
      <c r="F328" s="9" t="str">
        <f>IF($E328="","",WORKDAY($E328,1,$V$33:$V$41))</f>
        <v/>
      </c>
      <c r="G328" s="9" t="str">
        <f>IF($E328="","",WORKDAY($E328,10,$V$33:$V$41))</f>
        <v/>
      </c>
      <c r="H328" s="9" t="str">
        <f>IF($E328="","",WORKDAY($E328,20,$V$33:$V$41))</f>
        <v/>
      </c>
      <c r="I328" s="157" t="s">
        <v>869</v>
      </c>
      <c r="J328" s="14" t="str">
        <f ca="1">IF(E328="","",IF(N328="",H328-TODAY(),""))</f>
        <v/>
      </c>
      <c r="K328" s="157" t="s">
        <v>4</v>
      </c>
      <c r="L328" s="157" t="s">
        <v>3</v>
      </c>
      <c r="M328" s="157" t="s">
        <v>31</v>
      </c>
      <c r="N328" s="9"/>
      <c r="O328" s="159" t="str">
        <f>IF($N328="","",NETWORKDAYS($E328,$N328,$V$33:$V$47)-1)</f>
        <v/>
      </c>
      <c r="P328" s="10" t="str">
        <f>IF(ISBLANK(N328),"",IF(N328&gt;H328,"No","Yes"))</f>
        <v/>
      </c>
      <c r="Q328" s="9" t="s">
        <v>133</v>
      </c>
      <c r="R328" s="4" t="s">
        <v>133</v>
      </c>
      <c r="S328" s="4"/>
      <c r="T328" s="4" t="s">
        <v>764</v>
      </c>
      <c r="U328" s="6"/>
      <c r="V328" s="6"/>
      <c r="W328" s="6"/>
      <c r="X328" s="6"/>
      <c r="Y328" s="6"/>
      <c r="Z328" s="6"/>
      <c r="AX328" s="6" t="str">
        <v>Quarter 2</v>
      </c>
    </row>
    <row r="329" spans="1:50" ht="31.4" customHeight="1" x14ac:dyDescent="0.35">
      <c r="A329" s="162">
        <v>328</v>
      </c>
      <c r="B329" s="4" t="s">
        <v>138</v>
      </c>
      <c r="C329" s="4" t="s">
        <v>19</v>
      </c>
      <c r="D329" s="4" t="s">
        <v>870</v>
      </c>
      <c r="E329" s="157">
        <v>45495</v>
      </c>
      <c r="F329" s="9">
        <f>IF($E329="","",WORKDAY($E329,1,$V$33:$V$41))</f>
        <v>45496</v>
      </c>
      <c r="G329" s="9">
        <f>IF($E329="","",WORKDAY($E329,10,$V$33:$V$41))</f>
        <v>45509</v>
      </c>
      <c r="H329" s="9">
        <f>IF($E329="","",WORKDAY($E329,20,$V$33:$V$41))</f>
        <v>45523</v>
      </c>
      <c r="I329" s="157" t="str">
        <f t="shared" si="5"/>
        <v>Jul</v>
      </c>
      <c r="J329" s="14" t="str">
        <f ca="1">IF(E329="","",IF(N329="",H329-TODAY(),""))</f>
        <v/>
      </c>
      <c r="K329" s="157" t="s">
        <v>5</v>
      </c>
      <c r="L329" s="157" t="s">
        <v>16</v>
      </c>
      <c r="M329" s="157" t="s">
        <v>52</v>
      </c>
      <c r="N329" s="9">
        <v>45510</v>
      </c>
      <c r="O329" s="159">
        <f>IF($N329="","",NETWORKDAYS($E329,$N329,$V$33:$V$47)-1)</f>
        <v>11</v>
      </c>
      <c r="P329" s="10" t="str">
        <f>IF(ISBLANK(N329),"",IF(N329&gt;H329,"No","Yes"))</f>
        <v>Yes</v>
      </c>
      <c r="Q329" s="9" t="s">
        <v>117</v>
      </c>
      <c r="R329" s="4" t="s">
        <v>118</v>
      </c>
      <c r="S329" s="4"/>
      <c r="T329" s="4"/>
      <c r="U329" s="6"/>
      <c r="V329" s="6"/>
      <c r="W329" s="6"/>
      <c r="X329" s="6"/>
      <c r="Y329" s="6"/>
      <c r="Z329" s="6"/>
      <c r="AX329" s="6" t="str">
        <v>Quarter 2</v>
      </c>
    </row>
    <row r="330" spans="1:50" ht="31.4" customHeight="1" x14ac:dyDescent="0.35">
      <c r="A330" s="162">
        <v>329</v>
      </c>
      <c r="B330" s="4" t="s">
        <v>138</v>
      </c>
      <c r="C330" s="4" t="s">
        <v>19</v>
      </c>
      <c r="D330" s="4" t="s">
        <v>871</v>
      </c>
      <c r="E330" s="157">
        <v>45496</v>
      </c>
      <c r="F330" s="9">
        <f>IF($E330="","",WORKDAY($E330,1,$V$33:$V$41))</f>
        <v>45497</v>
      </c>
      <c r="G330" s="9">
        <f>IF($E330="","",WORKDAY($E330,10,$V$33:$V$41))</f>
        <v>45510</v>
      </c>
      <c r="H330" s="9">
        <f>IF($E330="","",WORKDAY($E330,20,$V$33:$V$41))</f>
        <v>45524</v>
      </c>
      <c r="I330" s="157" t="str">
        <f t="shared" si="5"/>
        <v>Jul</v>
      </c>
      <c r="J330" s="14" t="str">
        <f ca="1">IF(E330="","",IF(N330="",H330-TODAY(),""))</f>
        <v/>
      </c>
      <c r="K330" s="157" t="s">
        <v>124</v>
      </c>
      <c r="L330" s="157" t="s">
        <v>20</v>
      </c>
      <c r="M330" s="157" t="s">
        <v>47</v>
      </c>
      <c r="N330" s="9">
        <v>45496</v>
      </c>
      <c r="O330" s="159">
        <f>IF($N330="","",NETWORKDAYS($E330,$N330,$V$33:$V$47)-1)</f>
        <v>0</v>
      </c>
      <c r="P330" s="10" t="str">
        <f>IF(ISBLANK(N330),"",IF(N330&gt;H330,"No","Yes"))</f>
        <v>Yes</v>
      </c>
      <c r="Q330" s="9" t="s">
        <v>117</v>
      </c>
      <c r="R330" s="4" t="s">
        <v>118</v>
      </c>
      <c r="S330" s="4"/>
      <c r="T330" s="4"/>
      <c r="U330" s="6"/>
      <c r="V330" s="6"/>
      <c r="W330" s="6"/>
      <c r="X330" s="6"/>
      <c r="Y330" s="6"/>
      <c r="Z330" s="6"/>
      <c r="AX330" s="6" t="str">
        <v>Quarter 2</v>
      </c>
    </row>
    <row r="331" spans="1:50" ht="31.4" customHeight="1" x14ac:dyDescent="0.35">
      <c r="A331" s="162">
        <v>330</v>
      </c>
      <c r="B331" s="7" t="s">
        <v>8</v>
      </c>
      <c r="C331" s="7" t="s">
        <v>8</v>
      </c>
      <c r="D331" s="7" t="s">
        <v>872</v>
      </c>
      <c r="E331" s="157">
        <v>45496</v>
      </c>
      <c r="F331" s="9">
        <f>IF($E331="","",WORKDAY($E331,1,$V$33:$V$41))</f>
        <v>45497</v>
      </c>
      <c r="G331" s="9">
        <f>IF($E331="","",WORKDAY($E331,10,$V$33:$V$41))</f>
        <v>45510</v>
      </c>
      <c r="H331" s="9">
        <f>IF($E331="","",WORKDAY($E331,20,$V$33:$V$41))</f>
        <v>45524</v>
      </c>
      <c r="I331" s="157" t="str">
        <f t="shared" si="5"/>
        <v>Jul</v>
      </c>
      <c r="J331" s="14" t="str">
        <f ca="1">IF(E331="","",IF(N331="",H331-TODAY(),""))</f>
        <v/>
      </c>
      <c r="K331" s="157" t="s">
        <v>124</v>
      </c>
      <c r="L331" s="157" t="s">
        <v>24</v>
      </c>
      <c r="M331" s="157" t="s">
        <v>76</v>
      </c>
      <c r="N331" s="9">
        <v>45497</v>
      </c>
      <c r="O331" s="159">
        <f>IF($N331="","",NETWORKDAYS($E331,$N331,$V$33:$V$47)-1)</f>
        <v>1</v>
      </c>
      <c r="P331" s="10" t="str">
        <f>IF(ISBLANK(N331),"",IF(N331&gt;H331,"No","Yes"))</f>
        <v>Yes</v>
      </c>
      <c r="Q331" s="9" t="s">
        <v>117</v>
      </c>
      <c r="R331" s="4" t="s">
        <v>118</v>
      </c>
      <c r="S331" s="4"/>
      <c r="T331" s="4" t="s">
        <v>141</v>
      </c>
      <c r="U331" s="6"/>
      <c r="V331" s="6"/>
      <c r="W331" s="6"/>
      <c r="X331" s="6"/>
      <c r="Y331" s="6"/>
      <c r="Z331" s="6"/>
      <c r="AX331" s="6" t="str">
        <v>Quarter 2</v>
      </c>
    </row>
    <row r="332" spans="1:50" ht="31.4" customHeight="1" x14ac:dyDescent="0.35">
      <c r="A332" s="162">
        <v>331</v>
      </c>
      <c r="B332" s="4" t="s">
        <v>873</v>
      </c>
      <c r="C332" s="4" t="s">
        <v>6</v>
      </c>
      <c r="D332" s="4" t="s">
        <v>874</v>
      </c>
      <c r="E332" s="157">
        <v>45496</v>
      </c>
      <c r="F332" s="9">
        <f>IF($E332="","",WORKDAY($E332,1,$V$33:$V$41))</f>
        <v>45497</v>
      </c>
      <c r="G332" s="9">
        <f>IF($E332="","",WORKDAY($E332,10,$V$33:$V$41))</f>
        <v>45510</v>
      </c>
      <c r="H332" s="9">
        <f>IF($E332="","",WORKDAY($E332,20,$V$33:$V$41))</f>
        <v>45524</v>
      </c>
      <c r="I332" s="157" t="str">
        <f t="shared" si="5"/>
        <v>Jul</v>
      </c>
      <c r="J332" s="14" t="str">
        <f ca="1">IF(E332="","",IF(N332="",H332-TODAY(),""))</f>
        <v/>
      </c>
      <c r="K332" s="157" t="s">
        <v>124</v>
      </c>
      <c r="L332" s="157" t="s">
        <v>20</v>
      </c>
      <c r="M332" s="157" t="s">
        <v>92</v>
      </c>
      <c r="N332" s="9">
        <v>45517</v>
      </c>
      <c r="O332" s="159">
        <f>IF($N332="","",NETWORKDAYS($E332,$N332,$V$33:$V$47)-1)</f>
        <v>15</v>
      </c>
      <c r="P332" s="10" t="str">
        <f>IF(ISBLANK(N332),"",IF(N332&gt;H332,"No","Yes"))</f>
        <v>Yes</v>
      </c>
      <c r="Q332" s="9" t="s">
        <v>117</v>
      </c>
      <c r="R332" s="4" t="s">
        <v>118</v>
      </c>
      <c r="S332" s="4"/>
      <c r="T332" s="4"/>
      <c r="U332" s="6"/>
      <c r="V332" s="6"/>
      <c r="W332" s="6"/>
      <c r="X332" s="6"/>
      <c r="Y332" s="6"/>
      <c r="Z332" s="6"/>
      <c r="AX332" s="6" t="str">
        <v>Quarter 2</v>
      </c>
    </row>
    <row r="333" spans="1:50" ht="31.4" customHeight="1" x14ac:dyDescent="0.35">
      <c r="A333" s="162">
        <v>332</v>
      </c>
      <c r="B333" s="4" t="s">
        <v>875</v>
      </c>
      <c r="C333" s="4" t="s">
        <v>13</v>
      </c>
      <c r="D333" s="4" t="s">
        <v>876</v>
      </c>
      <c r="E333" s="157">
        <v>45496</v>
      </c>
      <c r="F333" s="9">
        <f>IF($E333="","",WORKDAY($E333,1,$V$33:$V$41))</f>
        <v>45497</v>
      </c>
      <c r="G333" s="9">
        <f>IF($E333="","",WORKDAY($E333,10,$V$33:$V$41))</f>
        <v>45510</v>
      </c>
      <c r="H333" s="9">
        <f>IF($E333="","",WORKDAY($E333,20,$V$33:$V$41))</f>
        <v>45524</v>
      </c>
      <c r="I333" s="157" t="str">
        <f t="shared" si="5"/>
        <v>Jul</v>
      </c>
      <c r="J333" s="14" t="str">
        <f ca="1">IF(E333="","",IF(N333="",H333-TODAY(),""))</f>
        <v/>
      </c>
      <c r="K333" s="157" t="s">
        <v>124</v>
      </c>
      <c r="L333" s="157" t="s">
        <v>20</v>
      </c>
      <c r="M333" s="157" t="s">
        <v>62</v>
      </c>
      <c r="N333" s="9">
        <v>45511</v>
      </c>
      <c r="O333" s="159">
        <f>IF($N333="","",NETWORKDAYS($E333,$N333,$V$33:$V$47)-1)</f>
        <v>11</v>
      </c>
      <c r="P333" s="10" t="str">
        <f>IF(ISBLANK(N333),"",IF(N333&gt;H333,"No","Yes"))</f>
        <v>Yes</v>
      </c>
      <c r="Q333" s="9" t="s">
        <v>117</v>
      </c>
      <c r="R333" s="4" t="s">
        <v>118</v>
      </c>
      <c r="S333" s="4"/>
      <c r="T333" s="4"/>
      <c r="U333" s="6"/>
      <c r="V333" s="6"/>
      <c r="W333" s="6"/>
      <c r="X333" s="6"/>
      <c r="Y333" s="6"/>
      <c r="Z333" s="6"/>
      <c r="AX333" s="6" t="str">
        <v>Quarter 2</v>
      </c>
    </row>
    <row r="334" spans="1:50" ht="31.4" customHeight="1" x14ac:dyDescent="0.35">
      <c r="A334" s="162">
        <v>333</v>
      </c>
      <c r="B334" s="4" t="s">
        <v>8</v>
      </c>
      <c r="C334" s="4" t="s">
        <v>8</v>
      </c>
      <c r="D334" s="4" t="s">
        <v>877</v>
      </c>
      <c r="E334" s="157">
        <v>45497</v>
      </c>
      <c r="F334" s="9">
        <f>IF($E334="","",WORKDAY($E334,1,$V$33:$V$41))</f>
        <v>45498</v>
      </c>
      <c r="G334" s="9">
        <f>IF($E334="","",WORKDAY($E334,10,$V$33:$V$41))</f>
        <v>45511</v>
      </c>
      <c r="H334" s="9">
        <f>IF($E334="","",WORKDAY($E334,20,$V$33:$V$41))</f>
        <v>45525</v>
      </c>
      <c r="I334" s="157" t="str">
        <f t="shared" si="5"/>
        <v>Jul</v>
      </c>
      <c r="J334" s="14" t="str">
        <f ca="1">IF(E334="","",IF(N334="",H334-TODAY(),""))</f>
        <v/>
      </c>
      <c r="K334" s="157" t="s">
        <v>10</v>
      </c>
      <c r="L334" s="157" t="s">
        <v>27</v>
      </c>
      <c r="M334" s="157" t="s">
        <v>72</v>
      </c>
      <c r="N334" s="9">
        <v>45502</v>
      </c>
      <c r="O334" s="159">
        <f>IF($N334="","",NETWORKDAYS($E334,$N334,$V$33:$V$47)-1)</f>
        <v>3</v>
      </c>
      <c r="P334" s="10" t="str">
        <f>IF(ISBLANK(N334),"",IF(N334&gt;H334,"No","Yes"))</f>
        <v>Yes</v>
      </c>
      <c r="Q334" s="9" t="s">
        <v>117</v>
      </c>
      <c r="R334" s="4" t="s">
        <v>118</v>
      </c>
      <c r="S334" s="4"/>
      <c r="T334" s="4"/>
      <c r="U334" s="6"/>
      <c r="V334" s="6"/>
      <c r="W334" s="6"/>
      <c r="X334" s="6"/>
      <c r="Y334" s="6"/>
      <c r="Z334" s="6"/>
      <c r="AX334" s="6" t="str">
        <v>Quarter 2</v>
      </c>
    </row>
    <row r="335" spans="1:50" ht="31.4" customHeight="1" x14ac:dyDescent="0.35">
      <c r="A335" s="162">
        <v>334</v>
      </c>
      <c r="B335" s="4" t="s">
        <v>8</v>
      </c>
      <c r="C335" s="4" t="s">
        <v>8</v>
      </c>
      <c r="D335" s="4" t="s">
        <v>878</v>
      </c>
      <c r="E335" s="157">
        <v>45497</v>
      </c>
      <c r="F335" s="9">
        <f>IF($E335="","",WORKDAY($E335,1,$V$33:$V$41))</f>
        <v>45498</v>
      </c>
      <c r="G335" s="9">
        <f>IF($E335="","",WORKDAY($E335,10,$V$33:$V$41))</f>
        <v>45511</v>
      </c>
      <c r="H335" s="9">
        <f>IF($E335="","",WORKDAY($E335,20,$V$33:$V$41))</f>
        <v>45525</v>
      </c>
      <c r="I335" s="157" t="str">
        <f t="shared" si="5"/>
        <v>Jul</v>
      </c>
      <c r="J335" s="14" t="str">
        <f ca="1">IF(E335="","",IF(N335="",H335-TODAY(),""))</f>
        <v/>
      </c>
      <c r="K335" s="157" t="s">
        <v>4</v>
      </c>
      <c r="L335" s="157" t="s">
        <v>7</v>
      </c>
      <c r="M335" s="157" t="s">
        <v>31</v>
      </c>
      <c r="N335" s="9">
        <v>45512</v>
      </c>
      <c r="O335" s="159">
        <f>IF($N335="","",NETWORKDAYS($E335,$N335,$V$33:$V$47)-1)</f>
        <v>11</v>
      </c>
      <c r="P335" s="10" t="str">
        <f>IF(ISBLANK(N335),"",IF(N335&gt;H335,"No","Yes"))</f>
        <v>Yes</v>
      </c>
      <c r="Q335" s="9" t="s">
        <v>117</v>
      </c>
      <c r="R335" s="4" t="s">
        <v>126</v>
      </c>
      <c r="S335" s="4" t="s">
        <v>178</v>
      </c>
      <c r="T335" s="4"/>
      <c r="U335" s="6"/>
      <c r="V335" s="6"/>
      <c r="W335" s="6"/>
      <c r="X335" s="6"/>
      <c r="Y335" s="6"/>
      <c r="Z335" s="6"/>
      <c r="AX335" s="6" t="str">
        <v>Quarter 2</v>
      </c>
    </row>
    <row r="336" spans="1:50" ht="31.4" customHeight="1" x14ac:dyDescent="0.35">
      <c r="A336" s="162">
        <v>335</v>
      </c>
      <c r="B336" s="4" t="s">
        <v>8</v>
      </c>
      <c r="C336" s="4" t="s">
        <v>8</v>
      </c>
      <c r="D336" s="4" t="s">
        <v>879</v>
      </c>
      <c r="E336" s="157">
        <v>45497</v>
      </c>
      <c r="F336" s="9">
        <f>IF($E336="","",WORKDAY($E336,1,$V$33:$V$41))</f>
        <v>45498</v>
      </c>
      <c r="G336" s="9">
        <f>IF($E336="","",WORKDAY($E336,10,$V$33:$V$41))</f>
        <v>45511</v>
      </c>
      <c r="H336" s="9">
        <f>IF($E336="","",WORKDAY($E336,20,$V$33:$V$41))</f>
        <v>45525</v>
      </c>
      <c r="I336" s="157" t="str">
        <f t="shared" si="5"/>
        <v>Jul</v>
      </c>
      <c r="J336" s="14" t="str">
        <f ca="1">IF(E336="","",IF(N336="",H336-TODAY(),""))</f>
        <v/>
      </c>
      <c r="K336" s="157" t="s">
        <v>10</v>
      </c>
      <c r="L336" s="157" t="s">
        <v>27</v>
      </c>
      <c r="M336" s="157" t="s">
        <v>72</v>
      </c>
      <c r="N336" s="9">
        <v>45523</v>
      </c>
      <c r="O336" s="159">
        <f>IF($N336="","",NETWORKDAYS($E336,$N336,$V$33:$V$47)-1)</f>
        <v>18</v>
      </c>
      <c r="P336" s="10" t="str">
        <f>IF(ISBLANK(N336),"",IF(N336&gt;H336,"No","Yes"))</f>
        <v>Yes</v>
      </c>
      <c r="Q336" s="9" t="s">
        <v>117</v>
      </c>
      <c r="R336" s="4" t="s">
        <v>118</v>
      </c>
      <c r="S336" s="4"/>
      <c r="T336" s="4"/>
      <c r="U336" s="6"/>
      <c r="V336" s="6"/>
      <c r="W336" s="6"/>
      <c r="X336" s="6"/>
      <c r="Y336" s="6"/>
      <c r="Z336" s="6"/>
      <c r="AX336" s="6" t="str">
        <v>Quarter 2</v>
      </c>
    </row>
    <row r="337" spans="1:50" ht="31.4" customHeight="1" x14ac:dyDescent="0.35">
      <c r="A337" s="162">
        <v>336</v>
      </c>
      <c r="B337" s="4" t="s">
        <v>138</v>
      </c>
      <c r="C337" s="4" t="s">
        <v>19</v>
      </c>
      <c r="D337" s="4" t="s">
        <v>880</v>
      </c>
      <c r="E337" s="157">
        <v>45497</v>
      </c>
      <c r="F337" s="9">
        <f>IF($E337="","",WORKDAY($E337,1,$V$33:$V$41))</f>
        <v>45498</v>
      </c>
      <c r="G337" s="9">
        <f>IF($E337="","",WORKDAY($E337,10,$V$33:$V$41))</f>
        <v>45511</v>
      </c>
      <c r="H337" s="9">
        <f>IF($E337="","",WORKDAY($E337,20,$V$33:$V$41))</f>
        <v>45525</v>
      </c>
      <c r="I337" s="157" t="str">
        <f t="shared" si="5"/>
        <v>Jul</v>
      </c>
      <c r="J337" s="14" t="str">
        <f ca="1">IF(E337="","",IF(N337="",H337-TODAY(),""))</f>
        <v/>
      </c>
      <c r="K337" s="157" t="s">
        <v>5</v>
      </c>
      <c r="L337" s="157" t="s">
        <v>16</v>
      </c>
      <c r="M337" s="157" t="s">
        <v>67</v>
      </c>
      <c r="N337" s="9">
        <v>45511</v>
      </c>
      <c r="O337" s="159">
        <f>IF($N337="","",NETWORKDAYS($E337,$N337,$V$33:$V$47)-1)</f>
        <v>10</v>
      </c>
      <c r="P337" s="10" t="str">
        <f>IF(ISBLANK(N337),"",IF(N337&gt;H337,"No","Yes"))</f>
        <v>Yes</v>
      </c>
      <c r="Q337" s="9" t="s">
        <v>117</v>
      </c>
      <c r="R337" s="4" t="s">
        <v>126</v>
      </c>
      <c r="S337" s="4" t="s">
        <v>119</v>
      </c>
      <c r="T337" s="4"/>
      <c r="U337" s="6"/>
      <c r="V337" s="6"/>
      <c r="W337" s="6"/>
      <c r="X337" s="6"/>
      <c r="Y337" s="6"/>
      <c r="Z337" s="6"/>
      <c r="AX337" s="6" t="str">
        <v>Quarter 2</v>
      </c>
    </row>
    <row r="338" spans="1:50" ht="31.4" customHeight="1" x14ac:dyDescent="0.35">
      <c r="A338" s="162" t="s">
        <v>881</v>
      </c>
      <c r="B338" s="4" t="s">
        <v>8</v>
      </c>
      <c r="C338" s="4" t="s">
        <v>8</v>
      </c>
      <c r="D338" s="4" t="s">
        <v>845</v>
      </c>
      <c r="E338" s="157">
        <v>45498</v>
      </c>
      <c r="F338" s="9">
        <f>IF($E338="","",WORKDAY($E338,1,$V$33:$V$41))</f>
        <v>45499</v>
      </c>
      <c r="G338" s="9">
        <f>IF($E338="","",WORKDAY($E338,10,$V$33:$V$41))</f>
        <v>45512</v>
      </c>
      <c r="H338" s="9">
        <f>IF($E338="","",WORKDAY($E338,20,$V$33:$V$41))</f>
        <v>45526</v>
      </c>
      <c r="I338" s="157" t="str">
        <f t="shared" si="5"/>
        <v>Jul</v>
      </c>
      <c r="J338" s="14" t="str">
        <f ca="1">IF(E338="","",IF(N338="",H338-TODAY(),""))</f>
        <v/>
      </c>
      <c r="K338" s="157" t="s">
        <v>4</v>
      </c>
      <c r="L338" s="157" t="s">
        <v>7</v>
      </c>
      <c r="M338" s="157" t="s">
        <v>66</v>
      </c>
      <c r="N338" s="9">
        <v>45499</v>
      </c>
      <c r="O338" s="159">
        <f>IF($N338="","",NETWORKDAYS($E338,$N338,$V$33:$V$47)-1)</f>
        <v>1</v>
      </c>
      <c r="P338" s="10" t="str">
        <f>IF(ISBLANK(N338),"",IF(N338&gt;H338,"No","Yes"))</f>
        <v>Yes</v>
      </c>
      <c r="Q338" s="9" t="s">
        <v>117</v>
      </c>
      <c r="R338" s="4" t="s">
        <v>132</v>
      </c>
      <c r="S338" s="4" t="s">
        <v>206</v>
      </c>
      <c r="T338" s="4"/>
      <c r="U338" s="6"/>
      <c r="V338" s="6"/>
      <c r="W338" s="6"/>
      <c r="X338" s="6"/>
      <c r="Y338" s="6"/>
      <c r="Z338" s="6"/>
      <c r="AX338" s="6" t="str">
        <v>Quarter 2</v>
      </c>
    </row>
    <row r="339" spans="1:50" ht="31.4" customHeight="1" x14ac:dyDescent="0.35">
      <c r="A339" s="162">
        <v>338</v>
      </c>
      <c r="B339" s="4" t="s">
        <v>771</v>
      </c>
      <c r="C339" s="4" t="s">
        <v>23</v>
      </c>
      <c r="D339" s="4" t="s">
        <v>882</v>
      </c>
      <c r="E339" s="157">
        <v>45490</v>
      </c>
      <c r="F339" s="9">
        <f>IF($E339="","",WORKDAY($E339,1,$V$33:$V$41))</f>
        <v>45491</v>
      </c>
      <c r="G339" s="9">
        <f>IF($E339="","",WORKDAY($E339,10,$V$33:$V$41))</f>
        <v>45504</v>
      </c>
      <c r="H339" s="9">
        <f>IF($E339="","",WORKDAY($E339,20,$V$33:$V$41))</f>
        <v>45518</v>
      </c>
      <c r="I339" s="157" t="str">
        <f t="shared" si="5"/>
        <v>Jul</v>
      </c>
      <c r="J339" s="14" t="str">
        <f ca="1">IF(E339="","",IF(N339="",H339-TODAY(),""))</f>
        <v/>
      </c>
      <c r="K339" s="157" t="s">
        <v>10</v>
      </c>
      <c r="L339" s="157" t="s">
        <v>27</v>
      </c>
      <c r="M339" s="157" t="s">
        <v>37</v>
      </c>
      <c r="N339" s="9">
        <v>45520</v>
      </c>
      <c r="O339" s="159">
        <f>IF($N339="","",NETWORKDAYS($E339,$N339,$V$33:$V$47)-1)</f>
        <v>22</v>
      </c>
      <c r="P339" s="10" t="str">
        <f>IF(ISBLANK(N339),"",IF(N339&gt;H339,"No","Yes"))</f>
        <v>No</v>
      </c>
      <c r="Q339" s="9" t="s">
        <v>117</v>
      </c>
      <c r="R339" s="4" t="s">
        <v>118</v>
      </c>
      <c r="S339" s="4"/>
      <c r="T339" s="4"/>
      <c r="U339" s="6"/>
      <c r="V339" s="6"/>
      <c r="W339" s="6"/>
      <c r="X339" s="6"/>
      <c r="Y339" s="6"/>
      <c r="Z339" s="6"/>
      <c r="AX339" s="6" t="str">
        <v>Quarter 2</v>
      </c>
    </row>
    <row r="340" spans="1:50" ht="31.4" customHeight="1" x14ac:dyDescent="0.35">
      <c r="A340" s="162">
        <v>339</v>
      </c>
      <c r="B340" s="4" t="s">
        <v>8</v>
      </c>
      <c r="C340" s="4" t="s">
        <v>8</v>
      </c>
      <c r="D340" s="4" t="s">
        <v>883</v>
      </c>
      <c r="E340" s="157">
        <v>45498</v>
      </c>
      <c r="F340" s="9">
        <f>IF($E340="","",WORKDAY($E340,1,$V$33:$V$41))</f>
        <v>45499</v>
      </c>
      <c r="G340" s="9">
        <f>IF($E340="","",WORKDAY($E340,10,$V$33:$V$41))</f>
        <v>45512</v>
      </c>
      <c r="H340" s="9">
        <f>IF($E340="","",WORKDAY($E340,20,$V$33:$V$41))</f>
        <v>45526</v>
      </c>
      <c r="I340" s="157" t="str">
        <f t="shared" si="5"/>
        <v>Jul</v>
      </c>
      <c r="J340" s="14" t="str">
        <f ca="1">IF(E340="","",IF(N340="",H340-TODAY(),""))</f>
        <v/>
      </c>
      <c r="K340" s="157" t="s">
        <v>124</v>
      </c>
      <c r="L340" s="157" t="s">
        <v>20</v>
      </c>
      <c r="M340" s="157" t="s">
        <v>78</v>
      </c>
      <c r="N340" s="9">
        <v>45511</v>
      </c>
      <c r="O340" s="159">
        <f>IF($N340="","",NETWORKDAYS($E340,$N340,$V$33:$V$47)-1)</f>
        <v>9</v>
      </c>
      <c r="P340" s="10" t="str">
        <f>IF(ISBLANK(N340),"",IF(N340&gt;H340,"No","Yes"))</f>
        <v>Yes</v>
      </c>
      <c r="Q340" s="9" t="s">
        <v>117</v>
      </c>
      <c r="R340" s="4" t="s">
        <v>118</v>
      </c>
      <c r="S340" s="4"/>
      <c r="T340" s="4"/>
      <c r="U340" s="6"/>
      <c r="V340" s="6"/>
      <c r="W340" s="6"/>
      <c r="X340" s="6"/>
      <c r="Y340" s="6"/>
      <c r="Z340" s="6"/>
      <c r="AX340" s="6" t="str">
        <v>Quarter 2</v>
      </c>
    </row>
    <row r="341" spans="1:50" ht="31.4" customHeight="1" x14ac:dyDescent="0.35">
      <c r="A341" s="162">
        <v>340</v>
      </c>
      <c r="B341" s="4" t="s">
        <v>884</v>
      </c>
      <c r="C341" s="4" t="s">
        <v>13</v>
      </c>
      <c r="D341" s="4" t="s">
        <v>885</v>
      </c>
      <c r="E341" s="157">
        <v>45498</v>
      </c>
      <c r="F341" s="9">
        <f>IF($E341="","",WORKDAY($E341,1,$V$33:$V$41))</f>
        <v>45499</v>
      </c>
      <c r="G341" s="9">
        <f>IF($E341="","",WORKDAY($E341,10,$V$33:$V$41))</f>
        <v>45512</v>
      </c>
      <c r="H341" s="9">
        <f>IF($E341="","",WORKDAY($E341,20,$V$33:$V$41))</f>
        <v>45526</v>
      </c>
      <c r="I341" s="157" t="str">
        <f t="shared" si="5"/>
        <v>Jul</v>
      </c>
      <c r="J341" s="14" t="str">
        <f ca="1">IF(E341="","",IF(N341="",H341-TODAY(),""))</f>
        <v/>
      </c>
      <c r="K341" s="157" t="s">
        <v>10</v>
      </c>
      <c r="L341" s="157" t="s">
        <v>27</v>
      </c>
      <c r="M341" s="157" t="s">
        <v>37</v>
      </c>
      <c r="N341" s="9">
        <v>45509</v>
      </c>
      <c r="O341" s="159">
        <f>IF($N341="","",NETWORKDAYS($E341,$N341,$V$33:$V$47)-1)</f>
        <v>7</v>
      </c>
      <c r="P341" s="10" t="str">
        <f>IF(ISBLANK(N341),"",IF(N341&gt;H341,"No","Yes"))</f>
        <v>Yes</v>
      </c>
      <c r="Q341" s="9" t="s">
        <v>117</v>
      </c>
      <c r="R341" s="4" t="s">
        <v>118</v>
      </c>
      <c r="S341" s="4"/>
      <c r="T341" s="4"/>
      <c r="U341" s="6"/>
      <c r="V341" s="6"/>
      <c r="W341" s="6"/>
      <c r="X341" s="6"/>
      <c r="Y341" s="6"/>
      <c r="Z341" s="6"/>
      <c r="AX341" s="6" t="str">
        <v>Quarter 2</v>
      </c>
    </row>
    <row r="342" spans="1:50" ht="31.4" customHeight="1" x14ac:dyDescent="0.35">
      <c r="A342" s="162">
        <v>341</v>
      </c>
      <c r="B342" s="4" t="s">
        <v>8</v>
      </c>
      <c r="C342" s="4" t="s">
        <v>8</v>
      </c>
      <c r="D342" s="4" t="s">
        <v>886</v>
      </c>
      <c r="E342" s="157">
        <v>45498</v>
      </c>
      <c r="F342" s="9">
        <f>IF($E342="","",WORKDAY($E342,1,$V$33:$V$41))</f>
        <v>45499</v>
      </c>
      <c r="G342" s="9">
        <f>IF($E342="","",WORKDAY($E342,10,$V$33:$V$41))</f>
        <v>45512</v>
      </c>
      <c r="H342" s="9">
        <f>IF($E342="","",WORKDAY($E342,20,$V$33:$V$41))</f>
        <v>45526</v>
      </c>
      <c r="I342" s="157" t="str">
        <f t="shared" si="5"/>
        <v>Jul</v>
      </c>
      <c r="J342" s="14" t="str">
        <f ca="1">IF(E342="","",IF(N342="",H342-TODAY(),""))</f>
        <v/>
      </c>
      <c r="K342" s="157" t="s">
        <v>10</v>
      </c>
      <c r="L342" s="157" t="s">
        <v>12</v>
      </c>
      <c r="M342" s="157" t="s">
        <v>30</v>
      </c>
      <c r="N342" s="9">
        <v>45523</v>
      </c>
      <c r="O342" s="159">
        <f>IF($N342="","",NETWORKDAYS($E342,$N342,$V$33:$V$47)-1)</f>
        <v>17</v>
      </c>
      <c r="P342" s="10" t="str">
        <f>IF(ISBLANK(N342),"",IF(N342&gt;H342,"No","Yes"))</f>
        <v>Yes</v>
      </c>
      <c r="Q342" s="9" t="s">
        <v>117</v>
      </c>
      <c r="R342" s="4" t="s">
        <v>118</v>
      </c>
      <c r="S342" s="4"/>
      <c r="T342" s="4" t="s">
        <v>141</v>
      </c>
      <c r="U342" s="6"/>
      <c r="V342" s="6"/>
      <c r="W342" s="6"/>
      <c r="X342" s="6"/>
      <c r="Y342" s="6"/>
      <c r="Z342" s="6"/>
      <c r="AX342" s="6" t="str">
        <v>Quarter 2</v>
      </c>
    </row>
    <row r="343" spans="1:50" ht="31.4" customHeight="1" x14ac:dyDescent="0.35">
      <c r="A343" s="162">
        <v>342</v>
      </c>
      <c r="B343" s="4" t="s">
        <v>887</v>
      </c>
      <c r="C343" s="4" t="s">
        <v>15</v>
      </c>
      <c r="D343" s="4" t="s">
        <v>888</v>
      </c>
      <c r="E343" s="157">
        <v>45498</v>
      </c>
      <c r="F343" s="9">
        <f>IF($E343="","",WORKDAY($E343,1,$V$33:$V$41))</f>
        <v>45499</v>
      </c>
      <c r="G343" s="9">
        <f>IF($E343="","",WORKDAY($E343,10,$V$33:$V$41))</f>
        <v>45512</v>
      </c>
      <c r="H343" s="9">
        <f>IF($E343="","",WORKDAY($E343,20,$V$33:$V$41))</f>
        <v>45526</v>
      </c>
      <c r="I343" s="157" t="str">
        <f t="shared" si="5"/>
        <v>Jul</v>
      </c>
      <c r="J343" s="14" t="str">
        <f ca="1">IF(E343="","",IF(N343="",H343-TODAY(),""))</f>
        <v/>
      </c>
      <c r="K343" s="157" t="s">
        <v>10</v>
      </c>
      <c r="L343" s="157" t="s">
        <v>27</v>
      </c>
      <c r="M343" s="157" t="s">
        <v>37</v>
      </c>
      <c r="N343" s="9">
        <v>45512</v>
      </c>
      <c r="O343" s="159">
        <f>IF($N343="","",NETWORKDAYS($E343,$N343,$V$33:$V$47)-1)</f>
        <v>10</v>
      </c>
      <c r="P343" s="10" t="str">
        <f>IF(ISBLANK(N343),"",IF(N343&gt;H343,"No","Yes"))</f>
        <v>Yes</v>
      </c>
      <c r="Q343" s="9" t="s">
        <v>117</v>
      </c>
      <c r="R343" s="4" t="s">
        <v>118</v>
      </c>
      <c r="S343" s="4"/>
      <c r="T343" s="4"/>
      <c r="U343" s="6"/>
      <c r="V343" s="6"/>
      <c r="W343" s="6"/>
      <c r="X343" s="6"/>
      <c r="Y343" s="6"/>
      <c r="Z343" s="6"/>
      <c r="AX343" s="6" t="str">
        <v>Quarter 2</v>
      </c>
    </row>
    <row r="344" spans="1:50" ht="31.4" customHeight="1" x14ac:dyDescent="0.35">
      <c r="A344" s="162">
        <v>343</v>
      </c>
      <c r="B344" s="4" t="s">
        <v>138</v>
      </c>
      <c r="C344" s="4" t="s">
        <v>19</v>
      </c>
      <c r="D344" s="4" t="s">
        <v>889</v>
      </c>
      <c r="E344" s="157">
        <v>45498</v>
      </c>
      <c r="F344" s="9">
        <f>IF($E344="","",WORKDAY($E344,1,$V$33:$V$41))</f>
        <v>45499</v>
      </c>
      <c r="G344" s="9">
        <f>IF($E344="","",WORKDAY($E344,10,$V$33:$V$41))</f>
        <v>45512</v>
      </c>
      <c r="H344" s="9">
        <f>IF($E344="","",WORKDAY($E344,20,$V$33:$V$41))</f>
        <v>45526</v>
      </c>
      <c r="I344" s="157" t="str">
        <f t="shared" si="5"/>
        <v>Jul</v>
      </c>
      <c r="J344" s="14" t="str">
        <f ca="1">IF(E344="","",IF(N344="",H344-TODAY(),""))</f>
        <v/>
      </c>
      <c r="K344" s="157" t="s">
        <v>5</v>
      </c>
      <c r="L344" s="157" t="s">
        <v>18</v>
      </c>
      <c r="M344" s="157" t="s">
        <v>66</v>
      </c>
      <c r="N344" s="9">
        <v>45502</v>
      </c>
      <c r="O344" s="159">
        <f>IF($N344="","",NETWORKDAYS($E344,$N344,$V$33:$V$47)-1)</f>
        <v>2</v>
      </c>
      <c r="P344" s="10" t="str">
        <f>IF(ISBLANK(N344),"",IF(N344&gt;H344,"No","Yes"))</f>
        <v>Yes</v>
      </c>
      <c r="Q344" s="9" t="s">
        <v>117</v>
      </c>
      <c r="R344" s="4" t="s">
        <v>132</v>
      </c>
      <c r="S344" s="4" t="s">
        <v>119</v>
      </c>
      <c r="T344" s="4"/>
      <c r="U344" s="6"/>
      <c r="V344" s="6"/>
      <c r="W344" s="6"/>
      <c r="X344" s="6"/>
      <c r="Y344" s="6"/>
      <c r="Z344" s="6"/>
      <c r="AX344" s="6" t="str">
        <v>Quarter 2</v>
      </c>
    </row>
    <row r="345" spans="1:50" ht="31.4" customHeight="1" x14ac:dyDescent="0.35">
      <c r="A345" s="162">
        <v>344</v>
      </c>
      <c r="B345" s="4" t="s">
        <v>8</v>
      </c>
      <c r="C345" s="4" t="s">
        <v>8</v>
      </c>
      <c r="D345" s="4" t="s">
        <v>890</v>
      </c>
      <c r="E345" s="157">
        <v>45498</v>
      </c>
      <c r="F345" s="9">
        <f>IF($E345="","",WORKDAY($E345,1,$V$33:$V$41))</f>
        <v>45499</v>
      </c>
      <c r="G345" s="9">
        <f>IF($E345="","",WORKDAY($E345,10,$V$33:$V$41))</f>
        <v>45512</v>
      </c>
      <c r="H345" s="9">
        <f>IF($E345="","",WORKDAY($E345,20,$V$33:$V$41))</f>
        <v>45526</v>
      </c>
      <c r="I345" s="157" t="str">
        <f t="shared" si="5"/>
        <v>Jul</v>
      </c>
      <c r="J345" s="14" t="str">
        <f ca="1">IF(E345="","",IF(N345="",H345-TODAY(),""))</f>
        <v/>
      </c>
      <c r="K345" s="157" t="s">
        <v>124</v>
      </c>
      <c r="L345" s="157" t="s">
        <v>20</v>
      </c>
      <c r="M345" s="157" t="s">
        <v>62</v>
      </c>
      <c r="N345" s="9">
        <v>45538</v>
      </c>
      <c r="O345" s="159">
        <f>IF($N345="","",NETWORKDAYS($E345,$N345,$V$33:$V$47)-1)</f>
        <v>28</v>
      </c>
      <c r="P345" s="10" t="str">
        <f>IF(ISBLANK(N345),"",IF(N345&gt;H345,"No","Yes"))</f>
        <v>No</v>
      </c>
      <c r="Q345" s="9" t="s">
        <v>117</v>
      </c>
      <c r="R345" s="4" t="s">
        <v>118</v>
      </c>
      <c r="S345" s="4"/>
      <c r="T345" s="4"/>
      <c r="U345" s="6"/>
      <c r="V345" s="6"/>
      <c r="W345" s="6"/>
      <c r="X345" s="6"/>
      <c r="Y345" s="6"/>
      <c r="Z345" s="6"/>
      <c r="AX345" s="6" t="str">
        <v>Quarter 2</v>
      </c>
    </row>
    <row r="346" spans="1:50" ht="31.4" customHeight="1" x14ac:dyDescent="0.35">
      <c r="A346" s="162">
        <v>345</v>
      </c>
      <c r="B346" s="4" t="s">
        <v>8</v>
      </c>
      <c r="C346" s="4" t="s">
        <v>8</v>
      </c>
      <c r="D346" s="4" t="s">
        <v>891</v>
      </c>
      <c r="E346" s="157">
        <v>45499</v>
      </c>
      <c r="F346" s="9">
        <f>IF($E346="","",WORKDAY($E346,1,$V$33:$V$41))</f>
        <v>45502</v>
      </c>
      <c r="G346" s="9">
        <f>IF($E346="","",WORKDAY($E346,10,$V$33:$V$41))</f>
        <v>45513</v>
      </c>
      <c r="H346" s="9">
        <f>IF($E346="","",WORKDAY($E346,20,$V$33:$V$41))</f>
        <v>45527</v>
      </c>
      <c r="I346" s="157" t="str">
        <f t="shared" si="5"/>
        <v>Jul</v>
      </c>
      <c r="J346" s="14" t="str">
        <f ca="1">IF(E346="","",IF(N346="",H346-TODAY(),""))</f>
        <v/>
      </c>
      <c r="K346" s="157" t="s">
        <v>4</v>
      </c>
      <c r="L346" s="157" t="s">
        <v>26</v>
      </c>
      <c r="M346" s="157" t="s">
        <v>57</v>
      </c>
      <c r="N346" s="9">
        <v>45510</v>
      </c>
      <c r="O346" s="159">
        <f>IF($N346="","",NETWORKDAYS($E346,$N346,$V$33:$V$47)-1)</f>
        <v>7</v>
      </c>
      <c r="P346" s="10" t="str">
        <f>IF(ISBLANK(N346),"",IF(N346&gt;H346,"No","Yes"))</f>
        <v>Yes</v>
      </c>
      <c r="Q346" s="9" t="s">
        <v>117</v>
      </c>
      <c r="R346" s="4" t="s">
        <v>150</v>
      </c>
      <c r="S346" s="4"/>
      <c r="T346" s="4"/>
      <c r="U346" s="6"/>
      <c r="V346" s="6"/>
      <c r="W346" s="6"/>
      <c r="X346" s="6"/>
      <c r="Y346" s="6"/>
      <c r="Z346" s="6"/>
      <c r="AX346" s="6" t="str">
        <v>Quarter 2</v>
      </c>
    </row>
    <row r="347" spans="1:50" ht="31.4" customHeight="1" x14ac:dyDescent="0.35">
      <c r="A347" s="162">
        <v>346</v>
      </c>
      <c r="B347" s="4" t="s">
        <v>138</v>
      </c>
      <c r="C347" s="4" t="s">
        <v>19</v>
      </c>
      <c r="D347" s="4" t="s">
        <v>892</v>
      </c>
      <c r="E347" s="157">
        <v>45499</v>
      </c>
      <c r="F347" s="9">
        <f>IF($E347="","",WORKDAY($E347,1,$V$33:$V$41))</f>
        <v>45502</v>
      </c>
      <c r="G347" s="9">
        <f>IF($E347="","",WORKDAY($E347,10,$V$33:$V$41))</f>
        <v>45513</v>
      </c>
      <c r="H347" s="9">
        <f>IF($E347="","",WORKDAY($E347,20,$V$33:$V$41))</f>
        <v>45527</v>
      </c>
      <c r="I347" s="157" t="str">
        <f t="shared" si="5"/>
        <v>Jul</v>
      </c>
      <c r="J347" s="14" t="str">
        <f ca="1">IF(E347="","",IF(N347="",H347-TODAY(),""))</f>
        <v/>
      </c>
      <c r="K347" s="157" t="s">
        <v>4</v>
      </c>
      <c r="L347" s="157" t="s">
        <v>7</v>
      </c>
      <c r="M347" s="157" t="s">
        <v>31</v>
      </c>
      <c r="N347" s="9">
        <v>45523</v>
      </c>
      <c r="O347" s="159">
        <f>IF($N347="","",NETWORKDAYS($E347,$N347,$V$33:$V$47)-1)</f>
        <v>16</v>
      </c>
      <c r="P347" s="10" t="str">
        <f>IF(ISBLANK(N347),"",IF(N347&gt;H347,"No","Yes"))</f>
        <v>Yes</v>
      </c>
      <c r="Q347" s="9" t="s">
        <v>117</v>
      </c>
      <c r="R347" s="4" t="s">
        <v>118</v>
      </c>
      <c r="S347" s="4"/>
      <c r="T347" s="4"/>
      <c r="U347" s="6"/>
      <c r="V347" s="6"/>
      <c r="W347" s="6"/>
      <c r="X347" s="6"/>
      <c r="Y347" s="6"/>
      <c r="Z347" s="6"/>
      <c r="AX347" s="6" t="str">
        <v>Quarter 2</v>
      </c>
    </row>
    <row r="348" spans="1:50" ht="31.4" customHeight="1" x14ac:dyDescent="0.35">
      <c r="A348" s="162">
        <v>347</v>
      </c>
      <c r="B348" s="4" t="s">
        <v>8</v>
      </c>
      <c r="C348" s="4" t="s">
        <v>8</v>
      </c>
      <c r="D348" s="4" t="s">
        <v>893</v>
      </c>
      <c r="E348" s="157">
        <v>45502</v>
      </c>
      <c r="F348" s="9">
        <f>IF($E348="","",WORKDAY($E348,1,$V$33:$V$41))</f>
        <v>45503</v>
      </c>
      <c r="G348" s="9">
        <f>IF($E348="","",WORKDAY($E348,10,$V$33:$V$41))</f>
        <v>45516</v>
      </c>
      <c r="H348" s="9">
        <f>IF($E348="","",WORKDAY($E348,20,$V$33:$V$41))</f>
        <v>45530</v>
      </c>
      <c r="I348" s="157" t="str">
        <f t="shared" si="5"/>
        <v>Jul</v>
      </c>
      <c r="J348" s="14" t="str">
        <f ca="1">IF(E348="","",IF(N348="",H348-TODAY(),""))</f>
        <v/>
      </c>
      <c r="K348" s="157" t="s">
        <v>124</v>
      </c>
      <c r="L348" s="157" t="s">
        <v>24</v>
      </c>
      <c r="M348" s="157" t="s">
        <v>61</v>
      </c>
      <c r="N348" s="9">
        <v>45518</v>
      </c>
      <c r="O348" s="159">
        <f>IF($N348="","",NETWORKDAYS($E348,$N348,$V$33:$V$47)-1)</f>
        <v>12</v>
      </c>
      <c r="P348" s="10" t="str">
        <f>IF(ISBLANK(N348),"",IF(N348&gt;H348,"No","Yes"))</f>
        <v>Yes</v>
      </c>
      <c r="Q348" s="9" t="s">
        <v>117</v>
      </c>
      <c r="R348" s="4" t="s">
        <v>118</v>
      </c>
      <c r="S348" s="4"/>
      <c r="T348" s="4" t="s">
        <v>141</v>
      </c>
      <c r="U348" s="6"/>
      <c r="V348" s="6"/>
      <c r="W348" s="6"/>
      <c r="X348" s="6"/>
      <c r="Y348" s="6"/>
      <c r="Z348" s="6"/>
      <c r="AX348" s="6" t="str">
        <v>Quarter 2</v>
      </c>
    </row>
    <row r="349" spans="1:50" ht="31.4" customHeight="1" x14ac:dyDescent="0.35">
      <c r="A349" s="162">
        <v>348</v>
      </c>
      <c r="B349" s="4" t="s">
        <v>155</v>
      </c>
      <c r="C349" s="4" t="s">
        <v>13</v>
      </c>
      <c r="D349" s="4" t="s">
        <v>894</v>
      </c>
      <c r="E349" s="157">
        <v>45502</v>
      </c>
      <c r="F349" s="9">
        <f>IF($E349="","",WORKDAY($E349,1,$V$33:$V$41))</f>
        <v>45503</v>
      </c>
      <c r="G349" s="9">
        <f>IF($E349="","",WORKDAY($E349,10,$V$33:$V$41))</f>
        <v>45516</v>
      </c>
      <c r="H349" s="9">
        <f>IF($E349="","",WORKDAY($E349,20,$V$33:$V$41))</f>
        <v>45530</v>
      </c>
      <c r="I349" s="157" t="str">
        <f t="shared" si="5"/>
        <v>Jul</v>
      </c>
      <c r="J349" s="14" t="str">
        <f ca="1">IF(E349="","",IF(N349="",H349-TODAY(),""))</f>
        <v/>
      </c>
      <c r="K349" s="157" t="s">
        <v>124</v>
      </c>
      <c r="L349" s="157" t="s">
        <v>20</v>
      </c>
      <c r="M349" s="157" t="s">
        <v>79</v>
      </c>
      <c r="N349" s="9">
        <v>45502</v>
      </c>
      <c r="O349" s="159">
        <f>IF($N349="","",NETWORKDAYS($E349,$N349,$V$33:$V$47)-1)</f>
        <v>0</v>
      </c>
      <c r="P349" s="10" t="str">
        <f>IF(ISBLANK(N349),"",IF(N349&gt;H349,"No","Yes"))</f>
        <v>Yes</v>
      </c>
      <c r="Q349" s="9" t="s">
        <v>117</v>
      </c>
      <c r="R349" s="4" t="s">
        <v>118</v>
      </c>
      <c r="S349" s="4" t="s">
        <v>135</v>
      </c>
      <c r="T349" s="4"/>
      <c r="U349" s="6"/>
      <c r="V349" s="6"/>
      <c r="W349" s="6"/>
      <c r="X349" s="6"/>
      <c r="Y349" s="6"/>
      <c r="Z349" s="6"/>
      <c r="AX349" s="6" t="str">
        <v>Quarter 2</v>
      </c>
    </row>
    <row r="350" spans="1:50" ht="31.4" customHeight="1" x14ac:dyDescent="0.35">
      <c r="A350" s="162">
        <v>349</v>
      </c>
      <c r="B350" s="4" t="s">
        <v>8</v>
      </c>
      <c r="C350" s="4" t="s">
        <v>8</v>
      </c>
      <c r="D350" s="4" t="s">
        <v>895</v>
      </c>
      <c r="E350" s="157">
        <v>45502</v>
      </c>
      <c r="F350" s="9">
        <f>IF($E350="","",WORKDAY($E350,1,$V$33:$V$41))</f>
        <v>45503</v>
      </c>
      <c r="G350" s="9">
        <f>IF($E350="","",WORKDAY($E350,10,$V$33:$V$41))</f>
        <v>45516</v>
      </c>
      <c r="H350" s="9">
        <f>IF($E350="","",WORKDAY($E350,20,$V$33:$V$41))</f>
        <v>45530</v>
      </c>
      <c r="I350" s="157" t="str">
        <f t="shared" ref="I350" si="6">IF(ISBLANK(E350),"",TEXT(E350,"mmm"))</f>
        <v>Jul</v>
      </c>
      <c r="J350" s="14" t="str">
        <f ca="1">IF(E350="","",IF(N350="",H350-TODAY(),""))</f>
        <v/>
      </c>
      <c r="K350" s="157" t="s">
        <v>124</v>
      </c>
      <c r="L350" s="157" t="s">
        <v>14</v>
      </c>
      <c r="M350" s="157" t="s">
        <v>83</v>
      </c>
      <c r="N350" s="9">
        <v>45523</v>
      </c>
      <c r="O350" s="159">
        <f>IF($N350="","",NETWORKDAYS($E350,$N350,$V$33:$V$47)-1)</f>
        <v>15</v>
      </c>
      <c r="P350" s="10" t="str">
        <f>IF(ISBLANK(N350),"",IF(N350&gt;H350,"No","Yes"))</f>
        <v>Yes</v>
      </c>
      <c r="Q350" s="9" t="s">
        <v>117</v>
      </c>
      <c r="R350" s="4" t="s">
        <v>118</v>
      </c>
      <c r="S350" s="4"/>
      <c r="T350" s="4"/>
      <c r="U350" s="6"/>
      <c r="V350" s="6"/>
      <c r="W350" s="6"/>
      <c r="X350" s="6"/>
      <c r="Y350" s="6"/>
      <c r="Z350" s="6"/>
      <c r="AX350" s="6" t="str">
        <v>Quarter 2</v>
      </c>
    </row>
    <row r="351" spans="1:50" ht="31.4" customHeight="1" x14ac:dyDescent="0.35">
      <c r="A351" s="162">
        <v>350</v>
      </c>
      <c r="B351" s="4" t="s">
        <v>896</v>
      </c>
      <c r="C351" s="4" t="s">
        <v>6</v>
      </c>
      <c r="D351" s="4" t="s">
        <v>897</v>
      </c>
      <c r="E351" s="157">
        <v>45502</v>
      </c>
      <c r="F351" s="9">
        <f>IF($E351="","",WORKDAY($E351,1,$V$33:$V$41))</f>
        <v>45503</v>
      </c>
      <c r="G351" s="9">
        <f>IF($E351="","",WORKDAY($E351,10,$V$33:$V$41))</f>
        <v>45516</v>
      </c>
      <c r="H351" s="9">
        <f>IF($E351="","",WORKDAY($E351,20,$V$33:$V$41))</f>
        <v>45530</v>
      </c>
      <c r="I351" s="157" t="str">
        <f t="shared" si="5"/>
        <v>Jul</v>
      </c>
      <c r="J351" s="14" t="str">
        <f ca="1">IF(E351="","",IF(N351="",H351-TODAY(),""))</f>
        <v/>
      </c>
      <c r="K351" s="157" t="s">
        <v>124</v>
      </c>
      <c r="L351" s="157" t="s">
        <v>24</v>
      </c>
      <c r="M351" s="157" t="s">
        <v>61</v>
      </c>
      <c r="N351" s="9">
        <v>45503</v>
      </c>
      <c r="O351" s="159">
        <f>IF($N351="","",NETWORKDAYS($E351,$N351,$V$33:$V$47)-1)</f>
        <v>1</v>
      </c>
      <c r="P351" s="10" t="str">
        <f>IF(ISBLANK(N351),"",IF(N351&gt;H351,"No","Yes"))</f>
        <v>Yes</v>
      </c>
      <c r="Q351" s="9" t="s">
        <v>117</v>
      </c>
      <c r="R351" s="4" t="s">
        <v>118</v>
      </c>
      <c r="S351" s="4"/>
      <c r="T351" s="4" t="s">
        <v>141</v>
      </c>
      <c r="U351" s="6"/>
      <c r="V351" s="6"/>
      <c r="W351" s="6"/>
      <c r="X351" s="6"/>
      <c r="Y351" s="6"/>
      <c r="Z351" s="6"/>
      <c r="AX351" s="6" t="str">
        <v>Quarter 2</v>
      </c>
    </row>
    <row r="352" spans="1:50" ht="31.4" customHeight="1" x14ac:dyDescent="0.35">
      <c r="A352" s="162">
        <v>351</v>
      </c>
      <c r="B352" s="4" t="s">
        <v>8</v>
      </c>
      <c r="C352" s="4" t="s">
        <v>8</v>
      </c>
      <c r="D352" s="4" t="s">
        <v>898</v>
      </c>
      <c r="E352" s="157">
        <v>45502</v>
      </c>
      <c r="F352" s="9">
        <f>IF($E352="","",WORKDAY($E352,1,$V$33:$V$41))</f>
        <v>45503</v>
      </c>
      <c r="G352" s="9">
        <f>IF($E352="","",WORKDAY($E352,10,$V$33:$V$41))</f>
        <v>45516</v>
      </c>
      <c r="H352" s="9">
        <f>IF($E352="","",WORKDAY($E352,20,$V$33:$V$41))</f>
        <v>45530</v>
      </c>
      <c r="I352" s="157" t="str">
        <f t="shared" si="5"/>
        <v>Jul</v>
      </c>
      <c r="J352" s="14" t="str">
        <f ca="1">IF(E352="","",IF(N352="",H352-TODAY(),""))</f>
        <v/>
      </c>
      <c r="K352" s="157" t="s">
        <v>5</v>
      </c>
      <c r="L352" s="157" t="s">
        <v>18</v>
      </c>
      <c r="M352" s="157" t="s">
        <v>66</v>
      </c>
      <c r="N352" s="9">
        <v>45503</v>
      </c>
      <c r="O352" s="159">
        <f>IF($N352="","",NETWORKDAYS($E352,$N352,$V$33:$V$47)-1)</f>
        <v>1</v>
      </c>
      <c r="P352" s="10" t="str">
        <f>IF(ISBLANK(N352),"",IF(N352&gt;H352,"No","Yes"))</f>
        <v>Yes</v>
      </c>
      <c r="Q352" s="9" t="s">
        <v>117</v>
      </c>
      <c r="R352" s="4" t="s">
        <v>150</v>
      </c>
      <c r="S352" s="4"/>
      <c r="T352" s="4"/>
      <c r="U352" s="6"/>
      <c r="V352" s="6"/>
      <c r="W352" s="6"/>
      <c r="X352" s="6"/>
      <c r="Y352" s="6"/>
      <c r="Z352" s="6"/>
      <c r="AX352" s="6" t="str">
        <v>Quarter 2</v>
      </c>
    </row>
    <row r="353" spans="1:50" ht="31.4" customHeight="1" x14ac:dyDescent="0.35">
      <c r="A353" s="162">
        <v>352</v>
      </c>
      <c r="B353" s="4" t="s">
        <v>8</v>
      </c>
      <c r="C353" s="4" t="s">
        <v>8</v>
      </c>
      <c r="D353" s="4" t="s">
        <v>899</v>
      </c>
      <c r="E353" s="157">
        <v>45503</v>
      </c>
      <c r="F353" s="9">
        <f>IF($E353="","",WORKDAY($E353,1,$V$33:$V$41))</f>
        <v>45504</v>
      </c>
      <c r="G353" s="9">
        <f>IF($E353="","",WORKDAY($E353,10,$V$33:$V$41))</f>
        <v>45517</v>
      </c>
      <c r="H353" s="9">
        <f>IF($E353="","",WORKDAY($E353,20,$V$33:$V$41))</f>
        <v>45531</v>
      </c>
      <c r="I353" s="157" t="str">
        <f t="shared" si="5"/>
        <v>Jul</v>
      </c>
      <c r="J353" s="14" t="str">
        <f ca="1">IF(E353="","",IF(N353="",H353-TODAY(),""))</f>
        <v/>
      </c>
      <c r="K353" s="157" t="s">
        <v>10</v>
      </c>
      <c r="L353" s="157" t="s">
        <v>27</v>
      </c>
      <c r="M353" s="157" t="s">
        <v>37</v>
      </c>
      <c r="N353" s="9">
        <v>45532</v>
      </c>
      <c r="O353" s="159">
        <f>IF($N353="","",NETWORKDAYS($E353,$N353,$V$33:$V$47)-1)</f>
        <v>21</v>
      </c>
      <c r="P353" s="10" t="str">
        <f>IF(ISBLANK(N353),"",IF(N353&gt;H353,"No","Yes"))</f>
        <v>No</v>
      </c>
      <c r="Q353" s="9" t="s">
        <v>117</v>
      </c>
      <c r="R353" s="4" t="s">
        <v>118</v>
      </c>
      <c r="S353" s="4"/>
      <c r="T353" s="4" t="s">
        <v>141</v>
      </c>
      <c r="U353" s="6"/>
      <c r="V353" s="6"/>
      <c r="W353" s="6"/>
      <c r="X353" s="6"/>
      <c r="Y353" s="6"/>
      <c r="Z353" s="6"/>
      <c r="AX353" s="6" t="str">
        <v>Quarter 2</v>
      </c>
    </row>
    <row r="354" spans="1:50" ht="31.4" customHeight="1" x14ac:dyDescent="0.35">
      <c r="A354" s="162">
        <v>353</v>
      </c>
      <c r="B354" s="4" t="s">
        <v>8</v>
      </c>
      <c r="C354" s="4" t="s">
        <v>8</v>
      </c>
      <c r="D354" s="141" t="s">
        <v>900</v>
      </c>
      <c r="E354" s="157">
        <v>45503</v>
      </c>
      <c r="F354" s="9">
        <f>IF($E354="","",WORKDAY($E354,1,$V$33:$V$41))</f>
        <v>45504</v>
      </c>
      <c r="G354" s="9">
        <f>IF($E354="","",WORKDAY($E354,10,$V$33:$V$41))</f>
        <v>45517</v>
      </c>
      <c r="H354" s="9">
        <f>IF($E354="","",WORKDAY($E354,20,$V$33:$V$41))</f>
        <v>45531</v>
      </c>
      <c r="I354" s="157" t="str">
        <f t="shared" si="5"/>
        <v>Jul</v>
      </c>
      <c r="J354" s="14" t="str">
        <f ca="1">IF(E354="","",IF(N354="",H354-TODAY(),""))</f>
        <v/>
      </c>
      <c r="K354" s="157" t="s">
        <v>5</v>
      </c>
      <c r="L354" s="157" t="s">
        <v>16</v>
      </c>
      <c r="M354" s="157" t="s">
        <v>67</v>
      </c>
      <c r="N354" s="9">
        <v>45509</v>
      </c>
      <c r="O354" s="159">
        <f>IF($N354="","",NETWORKDAYS($E354,$N354,$V$33:$V$47)-1)</f>
        <v>4</v>
      </c>
      <c r="P354" s="10" t="str">
        <f>IF(ISBLANK(N354),"",IF(N354&gt;H354,"No","Yes"))</f>
        <v>Yes</v>
      </c>
      <c r="Q354" s="9" t="s">
        <v>117</v>
      </c>
      <c r="R354" s="4" t="s">
        <v>132</v>
      </c>
      <c r="S354" s="4" t="s">
        <v>120</v>
      </c>
      <c r="T354" s="4"/>
      <c r="U354" s="6"/>
      <c r="V354" s="6"/>
      <c r="W354" s="6"/>
      <c r="X354" s="6"/>
      <c r="Y354" s="6"/>
      <c r="Z354" s="6"/>
      <c r="AX354" s="6" t="str">
        <v>Quarter 2</v>
      </c>
    </row>
    <row r="355" spans="1:50" ht="31.4" customHeight="1" x14ac:dyDescent="0.35">
      <c r="A355" s="162">
        <v>354</v>
      </c>
      <c r="B355" s="4" t="s">
        <v>901</v>
      </c>
      <c r="C355" s="4" t="s">
        <v>13</v>
      </c>
      <c r="D355" s="4" t="s">
        <v>902</v>
      </c>
      <c r="E355" s="157">
        <v>45503</v>
      </c>
      <c r="F355" s="9">
        <f>IF($E355="","",WORKDAY($E355,1,$V$33:$V$41))</f>
        <v>45504</v>
      </c>
      <c r="G355" s="9">
        <f>IF($E355="","",WORKDAY($E355,10,$V$33:$V$41))</f>
        <v>45517</v>
      </c>
      <c r="H355" s="9">
        <f>IF($E355="","",WORKDAY($E355,20,$V$33:$V$41))</f>
        <v>45531</v>
      </c>
      <c r="I355" s="157" t="str">
        <f t="shared" si="5"/>
        <v>Jul</v>
      </c>
      <c r="J355" s="14" t="str">
        <f ca="1">IF(E355="","",IF(N355="",H355-TODAY(),""))</f>
        <v/>
      </c>
      <c r="K355" s="157" t="s">
        <v>5</v>
      </c>
      <c r="L355" s="157" t="s">
        <v>16</v>
      </c>
      <c r="M355" s="157" t="s">
        <v>71</v>
      </c>
      <c r="N355" s="9">
        <v>45509</v>
      </c>
      <c r="O355" s="159">
        <f>IF($N355="","",NETWORKDAYS($E355,$N355,$V$33:$V$47)-1)</f>
        <v>4</v>
      </c>
      <c r="P355" s="10" t="str">
        <f>IF(ISBLANK(N355),"",IF(N355&gt;H355,"No","Yes"))</f>
        <v>Yes</v>
      </c>
      <c r="Q355" s="9" t="s">
        <v>117</v>
      </c>
      <c r="R355" s="4" t="s">
        <v>132</v>
      </c>
      <c r="S355" s="4" t="s">
        <v>134</v>
      </c>
      <c r="T355" s="4"/>
      <c r="U355" s="6"/>
      <c r="V355" s="6"/>
      <c r="W355" s="6"/>
      <c r="X355" s="6"/>
      <c r="Y355" s="6"/>
      <c r="Z355" s="6"/>
      <c r="AX355" s="6" t="str">
        <v>Quarter 2</v>
      </c>
    </row>
    <row r="356" spans="1:50" ht="31.4" customHeight="1" x14ac:dyDescent="0.35">
      <c r="A356" s="162">
        <v>355</v>
      </c>
      <c r="B356" s="4" t="s">
        <v>8</v>
      </c>
      <c r="C356" s="4" t="s">
        <v>8</v>
      </c>
      <c r="D356" s="4" t="s">
        <v>903</v>
      </c>
      <c r="E356" s="157">
        <v>45503</v>
      </c>
      <c r="F356" s="9">
        <f>IF($E356="","",WORKDAY($E356,1,$V$33:$V$41))</f>
        <v>45504</v>
      </c>
      <c r="G356" s="9">
        <f>IF($E356="","",WORKDAY($E356,10,$V$33:$V$41))</f>
        <v>45517</v>
      </c>
      <c r="H356" s="9">
        <f>IF($E356="","",WORKDAY($E356,20,$V$33:$V$41))</f>
        <v>45531</v>
      </c>
      <c r="I356" s="157" t="str">
        <f t="shared" si="5"/>
        <v>Jul</v>
      </c>
      <c r="J356" s="14" t="str">
        <f ca="1">IF(E356="","",IF(N356="",H356-TODAY(),""))</f>
        <v/>
      </c>
      <c r="K356" s="157" t="s">
        <v>124</v>
      </c>
      <c r="L356" s="157" t="s">
        <v>14</v>
      </c>
      <c r="M356" s="157" t="s">
        <v>83</v>
      </c>
      <c r="N356" s="9">
        <v>45518</v>
      </c>
      <c r="O356" s="159">
        <f>IF($N356="","",NETWORKDAYS($E356,$N356,$V$33:$V$47)-1)</f>
        <v>11</v>
      </c>
      <c r="P356" s="10" t="str">
        <f>IF(ISBLANK(N356),"",IF(N356&gt;H356,"No","Yes"))</f>
        <v>Yes</v>
      </c>
      <c r="Q356" s="9" t="s">
        <v>117</v>
      </c>
      <c r="R356" s="4" t="s">
        <v>118</v>
      </c>
      <c r="S356" s="4" t="s">
        <v>135</v>
      </c>
      <c r="T356" s="4"/>
      <c r="U356" s="6"/>
      <c r="V356" s="6"/>
      <c r="W356" s="6"/>
      <c r="X356" s="6"/>
      <c r="Y356" s="6"/>
      <c r="Z356" s="6"/>
      <c r="AX356" s="6" t="str">
        <v>Quarter 2</v>
      </c>
    </row>
    <row r="357" spans="1:50" ht="31.4" customHeight="1" x14ac:dyDescent="0.35">
      <c r="A357" s="162">
        <v>356</v>
      </c>
      <c r="B357" s="4" t="s">
        <v>753</v>
      </c>
      <c r="C357" s="4" t="s">
        <v>13</v>
      </c>
      <c r="D357" s="4" t="s">
        <v>904</v>
      </c>
      <c r="E357" s="157">
        <v>45503</v>
      </c>
      <c r="F357" s="9">
        <f>IF($E357="","",WORKDAY($E357,1,$V$33:$V$41))</f>
        <v>45504</v>
      </c>
      <c r="G357" s="9">
        <f>IF($E357="","",WORKDAY($E357,10,$V$33:$V$41))</f>
        <v>45517</v>
      </c>
      <c r="H357" s="9">
        <f>IF($E357="","",WORKDAY($E357,20,$V$33:$V$41))</f>
        <v>45531</v>
      </c>
      <c r="I357" s="157" t="str">
        <f t="shared" si="5"/>
        <v>Jul</v>
      </c>
      <c r="J357" s="14" t="str">
        <f ca="1">IF(E357="","",IF(N357="",H357-TODAY(),""))</f>
        <v/>
      </c>
      <c r="K357" s="157" t="s">
        <v>5</v>
      </c>
      <c r="L357" s="157" t="s">
        <v>16</v>
      </c>
      <c r="M357" s="157" t="s">
        <v>52</v>
      </c>
      <c r="N357" s="9">
        <v>45518</v>
      </c>
      <c r="O357" s="159">
        <f>IF($N357="","",NETWORKDAYS($E357,$N357,$V$33:$V$47)-1)</f>
        <v>11</v>
      </c>
      <c r="P357" s="10" t="str">
        <f>IF(ISBLANK(N357),"",IF(N357&gt;H357,"No","Yes"))</f>
        <v>Yes</v>
      </c>
      <c r="Q357" s="9" t="s">
        <v>117</v>
      </c>
      <c r="R357" s="4" t="s">
        <v>118</v>
      </c>
      <c r="S357" s="4"/>
      <c r="T357" s="4" t="s">
        <v>141</v>
      </c>
      <c r="U357" s="6"/>
      <c r="V357" s="6"/>
      <c r="W357" s="6"/>
      <c r="X357" s="6"/>
      <c r="Y357" s="6"/>
      <c r="Z357" s="6"/>
      <c r="AX357" s="6" t="str">
        <v>Quarter 2</v>
      </c>
    </row>
    <row r="358" spans="1:50" ht="31.4" customHeight="1" x14ac:dyDescent="0.35">
      <c r="A358" s="162">
        <v>357</v>
      </c>
      <c r="B358" s="7" t="s">
        <v>138</v>
      </c>
      <c r="C358" s="7" t="s">
        <v>19</v>
      </c>
      <c r="D358" s="7" t="s">
        <v>905</v>
      </c>
      <c r="E358" s="157">
        <v>45504</v>
      </c>
      <c r="F358" s="9">
        <f>IF($E358="","",WORKDAY($E358,1,$V$33:$V$41))</f>
        <v>45505</v>
      </c>
      <c r="G358" s="9">
        <f>IF($E358="","",WORKDAY($E358,10,$V$33:$V$41))</f>
        <v>45518</v>
      </c>
      <c r="H358" s="9">
        <f>IF($E358="","",WORKDAY($E358,20,$V$33:$V$41))</f>
        <v>45532</v>
      </c>
      <c r="I358" s="157" t="str">
        <f t="shared" si="5"/>
        <v>Jul</v>
      </c>
      <c r="J358" s="14" t="str">
        <f ca="1">IF(E358="","",IF(N358="",H358-TODAY(),""))</f>
        <v/>
      </c>
      <c r="K358" s="157" t="s">
        <v>4</v>
      </c>
      <c r="L358" s="25" t="s">
        <v>7</v>
      </c>
      <c r="M358" s="25" t="s">
        <v>31</v>
      </c>
      <c r="N358" s="9">
        <v>45509</v>
      </c>
      <c r="O358" s="159">
        <f>IF($N358="","",NETWORKDAYS($E358,$N358,$V$33:$V$47)-1)</f>
        <v>3</v>
      </c>
      <c r="P358" s="10" t="str">
        <f>IF(ISBLANK(N358),"",IF(N358&gt;H358,"No","Yes"))</f>
        <v>Yes</v>
      </c>
      <c r="Q358" s="9" t="s">
        <v>117</v>
      </c>
      <c r="R358" s="4" t="s">
        <v>118</v>
      </c>
      <c r="S358" s="7"/>
      <c r="T358" s="7"/>
      <c r="U358" s="6"/>
      <c r="V358" s="6"/>
      <c r="W358" s="6"/>
      <c r="X358" s="6"/>
      <c r="Y358" s="6"/>
      <c r="Z358" s="6"/>
      <c r="AX358" s="6" t="str">
        <v>Quarter 2</v>
      </c>
    </row>
    <row r="359" spans="1:50" ht="31.4" customHeight="1" x14ac:dyDescent="0.35">
      <c r="A359" s="162">
        <v>358</v>
      </c>
      <c r="B359" s="4" t="s">
        <v>8</v>
      </c>
      <c r="C359" s="4" t="s">
        <v>8</v>
      </c>
      <c r="D359" s="4" t="s">
        <v>906</v>
      </c>
      <c r="E359" s="157">
        <v>45504</v>
      </c>
      <c r="F359" s="9">
        <f>IF($E359="","",WORKDAY($E359,1,$V$33:$V$41))</f>
        <v>45505</v>
      </c>
      <c r="G359" s="9">
        <f>IF($E359="","",WORKDAY($E359,10,$V$33:$V$41))</f>
        <v>45518</v>
      </c>
      <c r="H359" s="9">
        <f>IF($E359="","",WORKDAY($E359,20,$V$33:$V$41))</f>
        <v>45532</v>
      </c>
      <c r="I359" s="157" t="str">
        <f t="shared" si="5"/>
        <v>Jul</v>
      </c>
      <c r="J359" s="14" t="str">
        <f ca="1">IF(E359="","",IF(N359="",H359-TODAY(),""))</f>
        <v/>
      </c>
      <c r="K359" s="157" t="s">
        <v>124</v>
      </c>
      <c r="L359" s="157" t="s">
        <v>20</v>
      </c>
      <c r="M359" s="157" t="s">
        <v>79</v>
      </c>
      <c r="N359" s="9">
        <v>45509</v>
      </c>
      <c r="O359" s="159">
        <f>IF($N359="","",NETWORKDAYS($E359,$N359,$V$33:$V$47)-1)</f>
        <v>3</v>
      </c>
      <c r="P359" s="10" t="str">
        <f>IF(ISBLANK(N359),"",IF(N359&gt;H359,"No","Yes"))</f>
        <v>Yes</v>
      </c>
      <c r="Q359" s="9" t="s">
        <v>117</v>
      </c>
      <c r="R359" s="4" t="s">
        <v>118</v>
      </c>
      <c r="S359" s="4"/>
      <c r="T359" s="4"/>
      <c r="U359" s="6"/>
      <c r="V359" s="6"/>
      <c r="W359" s="6"/>
      <c r="X359" s="6"/>
      <c r="Y359" s="6"/>
      <c r="Z359" s="6"/>
      <c r="AX359" s="6" t="str">
        <v>Quarter 2</v>
      </c>
    </row>
    <row r="360" spans="1:50" ht="31.4" customHeight="1" x14ac:dyDescent="0.35">
      <c r="A360" s="162">
        <v>359</v>
      </c>
      <c r="B360" s="4" t="s">
        <v>138</v>
      </c>
      <c r="C360" s="4" t="s">
        <v>19</v>
      </c>
      <c r="D360" s="4" t="s">
        <v>907</v>
      </c>
      <c r="E360" s="157">
        <v>45504</v>
      </c>
      <c r="F360" s="9">
        <f>IF($E360="","",WORKDAY($E360,1,$V$33:$V$41))</f>
        <v>45505</v>
      </c>
      <c r="G360" s="9">
        <f>IF($E360="","",WORKDAY($E360,10,$V$33:$V$41))</f>
        <v>45518</v>
      </c>
      <c r="H360" s="9">
        <f>IF($E360="","",WORKDAY($E360,20,$V$33:$V$41))</f>
        <v>45532</v>
      </c>
      <c r="I360" s="157" t="str">
        <f t="shared" si="5"/>
        <v>Jul</v>
      </c>
      <c r="J360" s="14" t="str">
        <f ca="1">IF(E360="","",IF(N360="",H360-TODAY(),""))</f>
        <v/>
      </c>
      <c r="K360" s="157" t="s">
        <v>10</v>
      </c>
      <c r="L360" s="157" t="s">
        <v>27</v>
      </c>
      <c r="M360" s="157" t="s">
        <v>50</v>
      </c>
      <c r="N360" s="9">
        <v>45531</v>
      </c>
      <c r="O360" s="159">
        <f>IF($N360="","",NETWORKDAYS($E360,$N360,$V$33:$V$47)-1)</f>
        <v>19</v>
      </c>
      <c r="P360" s="10" t="str">
        <f>IF(ISBLANK(N360),"",IF(N360&gt;H360,"No","Yes"))</f>
        <v>Yes</v>
      </c>
      <c r="Q360" s="9" t="s">
        <v>117</v>
      </c>
      <c r="R360" s="4" t="s">
        <v>118</v>
      </c>
      <c r="S360" s="4"/>
      <c r="T360" s="4" t="s">
        <v>141</v>
      </c>
      <c r="U360" s="6"/>
      <c r="V360" s="6"/>
      <c r="W360" s="6"/>
      <c r="X360" s="6"/>
      <c r="Y360" s="6"/>
      <c r="Z360" s="6"/>
      <c r="AX360" s="6" t="str">
        <v>Quarter 2</v>
      </c>
    </row>
    <row r="361" spans="1:50" ht="31.4" customHeight="1" x14ac:dyDescent="0.35">
      <c r="A361" s="162">
        <v>360</v>
      </c>
      <c r="B361" s="4" t="s">
        <v>771</v>
      </c>
      <c r="C361" s="4" t="s">
        <v>23</v>
      </c>
      <c r="D361" s="4" t="s">
        <v>908</v>
      </c>
      <c r="E361" s="157">
        <v>45505</v>
      </c>
      <c r="F361" s="9">
        <f>IF($E361="","",WORKDAY($E361,1,$V$33:$V$41))</f>
        <v>45506</v>
      </c>
      <c r="G361" s="9">
        <f>IF($E361="","",WORKDAY($E361,10,$V$33:$V$41))</f>
        <v>45519</v>
      </c>
      <c r="H361" s="9">
        <f>IF($E361="","",WORKDAY($E361,20,$V$33:$V$41))</f>
        <v>45533</v>
      </c>
      <c r="I361" s="157" t="str">
        <f t="shared" si="5"/>
        <v>Aug</v>
      </c>
      <c r="J361" s="14" t="str">
        <f ca="1">IF(E361="","",IF(N361="",H361-TODAY(),""))</f>
        <v/>
      </c>
      <c r="K361" s="157" t="s">
        <v>5</v>
      </c>
      <c r="L361" s="157" t="s">
        <v>16</v>
      </c>
      <c r="M361" s="157" t="s">
        <v>67</v>
      </c>
      <c r="N361" s="9">
        <v>45531</v>
      </c>
      <c r="O361" s="159">
        <f>IF($N361="","",NETWORKDAYS($E361,$N361,$V$33:$V$47)-1)</f>
        <v>18</v>
      </c>
      <c r="P361" s="10" t="str">
        <f>IF(ISBLANK(N361),"",IF(N361&gt;H361,"No","Yes"))</f>
        <v>Yes</v>
      </c>
      <c r="Q361" s="9" t="s">
        <v>117</v>
      </c>
      <c r="R361" s="4" t="s">
        <v>118</v>
      </c>
      <c r="S361" s="4" t="s">
        <v>119</v>
      </c>
      <c r="T361" s="4"/>
      <c r="U361" s="6"/>
      <c r="V361" s="6"/>
      <c r="W361" s="6"/>
      <c r="X361" s="6"/>
      <c r="Y361" s="6"/>
      <c r="Z361" s="6"/>
      <c r="AX361" s="6" t="str">
        <v>Quarter 2</v>
      </c>
    </row>
    <row r="362" spans="1:50" ht="31.4" customHeight="1" x14ac:dyDescent="0.35">
      <c r="A362" s="162">
        <v>361</v>
      </c>
      <c r="B362" s="4" t="s">
        <v>8</v>
      </c>
      <c r="C362" s="4" t="s">
        <v>8</v>
      </c>
      <c r="D362" s="4" t="s">
        <v>229</v>
      </c>
      <c r="E362" s="157">
        <v>45505</v>
      </c>
      <c r="F362" s="9">
        <f>IF($E362="","",WORKDAY($E362,1,$V$33:$V$41))</f>
        <v>45506</v>
      </c>
      <c r="G362" s="9">
        <f>IF($E362="","",WORKDAY($E362,10,$V$33:$V$41))</f>
        <v>45519</v>
      </c>
      <c r="H362" s="9">
        <f>IF($E362="","",WORKDAY($E362,20,$V$33:$V$41))</f>
        <v>45533</v>
      </c>
      <c r="I362" s="157" t="str">
        <f t="shared" si="5"/>
        <v>Aug</v>
      </c>
      <c r="J362" s="14" t="str">
        <f ca="1">IF(E362="","",IF(N362="",H362-TODAY(),""))</f>
        <v/>
      </c>
      <c r="K362" s="157" t="s">
        <v>5</v>
      </c>
      <c r="L362" s="157" t="s">
        <v>18</v>
      </c>
      <c r="M362" s="157" t="s">
        <v>66</v>
      </c>
      <c r="N362" s="9">
        <v>45509</v>
      </c>
      <c r="O362" s="159">
        <f>IF($N362="","",NETWORKDAYS($E362,$N362,$V$33:$V$47)-1)</f>
        <v>2</v>
      </c>
      <c r="P362" s="10" t="str">
        <f>IF(ISBLANK(N362),"",IF(N362&gt;H362,"No","Yes"))</f>
        <v>Yes</v>
      </c>
      <c r="Q362" s="9" t="s">
        <v>117</v>
      </c>
      <c r="R362" s="4" t="s">
        <v>118</v>
      </c>
      <c r="S362" s="4" t="s">
        <v>119</v>
      </c>
      <c r="T362" s="4"/>
      <c r="U362" s="6"/>
      <c r="V362" s="6"/>
      <c r="W362" s="6"/>
      <c r="X362" s="6"/>
      <c r="Y362" s="6"/>
      <c r="Z362" s="6"/>
      <c r="AX362" s="6" t="str">
        <v>Quarter 2</v>
      </c>
    </row>
    <row r="363" spans="1:50" ht="31.4" customHeight="1" x14ac:dyDescent="0.35">
      <c r="A363" s="162">
        <v>362</v>
      </c>
      <c r="B363" s="4" t="s">
        <v>909</v>
      </c>
      <c r="C363" s="4" t="s">
        <v>13</v>
      </c>
      <c r="D363" s="4" t="s">
        <v>308</v>
      </c>
      <c r="E363" s="157">
        <v>45505</v>
      </c>
      <c r="F363" s="9">
        <f>IF($E363="","",WORKDAY($E363,1,$V$33:$V$41))</f>
        <v>45506</v>
      </c>
      <c r="G363" s="9">
        <f>IF($E363="","",WORKDAY($E363,10,$V$33:$V$41))</f>
        <v>45519</v>
      </c>
      <c r="H363" s="9">
        <f>IF($E363="","",WORKDAY($E363,20,$V$33:$V$41))</f>
        <v>45533</v>
      </c>
      <c r="I363" s="157" t="str">
        <f t="shared" si="5"/>
        <v>Aug</v>
      </c>
      <c r="J363" s="14" t="str">
        <f ca="1">IF(E363="","",IF(N363="",H363-TODAY(),""))</f>
        <v/>
      </c>
      <c r="K363" s="157" t="s">
        <v>5</v>
      </c>
      <c r="L363" s="157" t="s">
        <v>16</v>
      </c>
      <c r="M363" s="157" t="s">
        <v>71</v>
      </c>
      <c r="N363" s="9">
        <v>45532</v>
      </c>
      <c r="O363" s="159">
        <f>IF($N363="","",NETWORKDAYS($E363,$N363,$V$33:$V$47)-1)</f>
        <v>19</v>
      </c>
      <c r="P363" s="10" t="str">
        <f>IF(ISBLANK(N363),"",IF(N363&gt;H363,"No","Yes"))</f>
        <v>Yes</v>
      </c>
      <c r="Q363" s="9" t="s">
        <v>117</v>
      </c>
      <c r="R363" s="4" t="s">
        <v>118</v>
      </c>
      <c r="S363" s="4"/>
      <c r="T363" s="4"/>
      <c r="U363" s="6"/>
      <c r="V363" s="6"/>
      <c r="W363" s="6"/>
      <c r="X363" s="6"/>
      <c r="Y363" s="6"/>
      <c r="Z363" s="6"/>
      <c r="AX363" s="6" t="str">
        <v>Quarter 2</v>
      </c>
    </row>
    <row r="364" spans="1:50" ht="31.4" customHeight="1" x14ac:dyDescent="0.35">
      <c r="A364" s="162">
        <v>363</v>
      </c>
      <c r="B364" s="141" t="s">
        <v>8</v>
      </c>
      <c r="C364" s="141" t="s">
        <v>8</v>
      </c>
      <c r="D364" s="4" t="s">
        <v>910</v>
      </c>
      <c r="E364" s="157">
        <v>45505</v>
      </c>
      <c r="F364" s="9">
        <f>IF($E364="","",WORKDAY($E364,1,$V$33:$V$41))</f>
        <v>45506</v>
      </c>
      <c r="G364" s="9">
        <f>IF($E364="","",WORKDAY($E364,10,$V$33:$V$41))</f>
        <v>45519</v>
      </c>
      <c r="H364" s="9">
        <f>IF($E364="","",WORKDAY($E364,20,$V$33:$V$41))</f>
        <v>45533</v>
      </c>
      <c r="I364" s="157" t="str">
        <f t="shared" si="5"/>
        <v>Aug</v>
      </c>
      <c r="J364" s="14" t="str">
        <f ca="1">IF(E364="","",IF(N364="",H364-TODAY(),""))</f>
        <v/>
      </c>
      <c r="K364" s="157" t="s">
        <v>5</v>
      </c>
      <c r="L364" s="157" t="s">
        <v>16</v>
      </c>
      <c r="M364" s="157" t="s">
        <v>67</v>
      </c>
      <c r="N364" s="9">
        <v>45509</v>
      </c>
      <c r="O364" s="159">
        <f>IF($N364="","",NETWORKDAYS($E364,$N364,$V$33:$V$47)-1)</f>
        <v>2</v>
      </c>
      <c r="P364" s="10" t="str">
        <f>IF(ISBLANK(N364),"",IF(N364&gt;H364,"No","Yes"))</f>
        <v>Yes</v>
      </c>
      <c r="Q364" s="9" t="s">
        <v>117</v>
      </c>
      <c r="R364" s="4" t="s">
        <v>150</v>
      </c>
      <c r="S364" s="4"/>
      <c r="T364" s="4"/>
      <c r="U364" s="6"/>
      <c r="V364" s="6"/>
      <c r="W364" s="6"/>
      <c r="X364" s="6"/>
      <c r="Y364" s="6"/>
      <c r="Z364" s="6"/>
      <c r="AX364" s="6" t="str">
        <v>Quarter 2</v>
      </c>
    </row>
    <row r="365" spans="1:50" ht="31.4" customHeight="1" x14ac:dyDescent="0.35">
      <c r="A365" s="162">
        <v>364</v>
      </c>
      <c r="B365" s="4" t="s">
        <v>138</v>
      </c>
      <c r="C365" s="4" t="s">
        <v>19</v>
      </c>
      <c r="D365" s="4" t="s">
        <v>229</v>
      </c>
      <c r="E365" s="157">
        <v>45505</v>
      </c>
      <c r="F365" s="9">
        <f>IF($E365="","",WORKDAY($E365,1,$V$33:$V$41))</f>
        <v>45506</v>
      </c>
      <c r="G365" s="9">
        <f>IF($E365="","",WORKDAY($E365,10,$V$33:$V$41))</f>
        <v>45519</v>
      </c>
      <c r="H365" s="9">
        <f>IF($E365="","",WORKDAY($E365,20,$V$33:$V$41))</f>
        <v>45533</v>
      </c>
      <c r="I365" s="157" t="str">
        <f t="shared" si="5"/>
        <v>Aug</v>
      </c>
      <c r="J365" s="14" t="str">
        <f ca="1">IF(E365="","",IF(N365="",H365-TODAY(),""))</f>
        <v/>
      </c>
      <c r="K365" s="157" t="s">
        <v>5</v>
      </c>
      <c r="L365" s="157" t="s">
        <v>18</v>
      </c>
      <c r="M365" s="157" t="s">
        <v>66</v>
      </c>
      <c r="N365" s="9">
        <v>45509</v>
      </c>
      <c r="O365" s="159">
        <f>IF($N365="","",NETWORKDAYS($E365,$N365,$V$33:$V$47)-1)</f>
        <v>2</v>
      </c>
      <c r="P365" s="10" t="str">
        <f>IF(ISBLANK(N365),"",IF(N365&gt;H365,"No","Yes"))</f>
        <v>Yes</v>
      </c>
      <c r="Q365" s="9" t="s">
        <v>117</v>
      </c>
      <c r="R365" s="4" t="s">
        <v>126</v>
      </c>
      <c r="S365" s="4" t="s">
        <v>134</v>
      </c>
      <c r="T365" s="4"/>
      <c r="U365" s="6"/>
      <c r="V365" s="6"/>
      <c r="W365" s="6"/>
      <c r="X365" s="6"/>
      <c r="Y365" s="6"/>
      <c r="Z365" s="6"/>
      <c r="AX365" s="6" t="str">
        <v>Quarter 2</v>
      </c>
    </row>
    <row r="366" spans="1:50" ht="31.4" customHeight="1" x14ac:dyDescent="0.35">
      <c r="A366" s="162">
        <v>365</v>
      </c>
      <c r="B366" s="4" t="s">
        <v>138</v>
      </c>
      <c r="C366" s="4" t="s">
        <v>19</v>
      </c>
      <c r="D366" s="4" t="s">
        <v>911</v>
      </c>
      <c r="E366" s="157">
        <v>45506</v>
      </c>
      <c r="F366" s="9">
        <f>IF($E366="","",WORKDAY($E366,1,$V$33:$V$41))</f>
        <v>45509</v>
      </c>
      <c r="G366" s="9">
        <f>IF($E366="","",WORKDAY($E366,10,$V$33:$V$41))</f>
        <v>45520</v>
      </c>
      <c r="H366" s="9">
        <f>IF($E366="","",WORKDAY($E366,20,$V$33:$V$41))</f>
        <v>45534</v>
      </c>
      <c r="I366" s="157" t="str">
        <f t="shared" si="5"/>
        <v>Aug</v>
      </c>
      <c r="J366" s="14" t="str">
        <f ca="1">IF(E366="","",IF(N366="",H366-TODAY(),""))</f>
        <v/>
      </c>
      <c r="K366" s="157" t="s">
        <v>124</v>
      </c>
      <c r="L366" s="157" t="s">
        <v>20</v>
      </c>
      <c r="M366" s="157" t="s">
        <v>70</v>
      </c>
      <c r="N366" s="9">
        <v>45510</v>
      </c>
      <c r="O366" s="159">
        <f>IF($N366="","",NETWORKDAYS($E366,$N366,$V$33:$V$47)-1)</f>
        <v>2</v>
      </c>
      <c r="P366" s="10" t="str">
        <f>IF(ISBLANK(N366),"",IF(N366&gt;H366,"No","Yes"))</f>
        <v>Yes</v>
      </c>
      <c r="Q366" s="9" t="s">
        <v>117</v>
      </c>
      <c r="R366" s="4" t="s">
        <v>150</v>
      </c>
      <c r="S366" s="4"/>
      <c r="T366" s="4"/>
      <c r="U366" s="6"/>
      <c r="V366" s="6"/>
      <c r="W366" s="6"/>
      <c r="X366" s="6"/>
      <c r="Y366" s="6"/>
      <c r="Z366" s="6"/>
      <c r="AX366" s="6" t="str">
        <v>Quarter 2</v>
      </c>
    </row>
    <row r="367" spans="1:50" ht="31.4" customHeight="1" x14ac:dyDescent="0.35">
      <c r="A367" s="162">
        <v>366</v>
      </c>
      <c r="B367" s="4" t="s">
        <v>138</v>
      </c>
      <c r="C367" s="4" t="s">
        <v>19</v>
      </c>
      <c r="D367" s="4" t="s">
        <v>912</v>
      </c>
      <c r="E367" s="157">
        <v>45506</v>
      </c>
      <c r="F367" s="9">
        <f>IF($E367="","",WORKDAY($E367,1,$V$33:$V$41))</f>
        <v>45509</v>
      </c>
      <c r="G367" s="9">
        <f>IF($E367="","",WORKDAY($E367,10,$V$33:$V$41))</f>
        <v>45520</v>
      </c>
      <c r="H367" s="9">
        <f>IF($E367="","",WORKDAY($E367,20,$V$33:$V$41))</f>
        <v>45534</v>
      </c>
      <c r="I367" s="157" t="str">
        <f t="shared" si="5"/>
        <v>Aug</v>
      </c>
      <c r="J367" s="14" t="str">
        <f ca="1">IF(E367="","",IF(N367="",H367-TODAY(),""))</f>
        <v/>
      </c>
      <c r="K367" s="157" t="s">
        <v>5</v>
      </c>
      <c r="L367" s="157" t="s">
        <v>16</v>
      </c>
      <c r="M367" s="157" t="s">
        <v>67</v>
      </c>
      <c r="N367" s="9">
        <v>45510</v>
      </c>
      <c r="O367" s="159">
        <f>IF($N367="","",NETWORKDAYS($E367,$N367,$V$33:$V$47)-1)</f>
        <v>2</v>
      </c>
      <c r="P367" s="10" t="str">
        <f>IF(ISBLANK(N367),"",IF(N367&gt;H367,"No","Yes"))</f>
        <v>Yes</v>
      </c>
      <c r="Q367" s="9" t="s">
        <v>117</v>
      </c>
      <c r="R367" s="4" t="s">
        <v>118</v>
      </c>
      <c r="S367" s="4"/>
      <c r="T367" s="4"/>
      <c r="U367" s="6"/>
      <c r="V367" s="6"/>
      <c r="W367" s="6"/>
      <c r="X367" s="6"/>
      <c r="Y367" s="6"/>
      <c r="Z367" s="6"/>
      <c r="AX367" s="6" t="str">
        <v>Quarter 2</v>
      </c>
    </row>
    <row r="368" spans="1:50" ht="31.4" customHeight="1" x14ac:dyDescent="0.35">
      <c r="A368" s="162">
        <v>367</v>
      </c>
      <c r="B368" s="7" t="s">
        <v>913</v>
      </c>
      <c r="C368" s="7" t="s">
        <v>15</v>
      </c>
      <c r="D368" s="4" t="s">
        <v>914</v>
      </c>
      <c r="E368" s="157">
        <v>45506</v>
      </c>
      <c r="F368" s="9">
        <f>IF($E368="","",WORKDAY($E368,1,$V$33:$V$41))</f>
        <v>45509</v>
      </c>
      <c r="G368" s="9">
        <f>IF($E368="","",WORKDAY($E368,10,$V$33:$V$41))</f>
        <v>45520</v>
      </c>
      <c r="H368" s="9">
        <f>IF($E368="","",WORKDAY($E368,20,$V$33:$V$41))</f>
        <v>45534</v>
      </c>
      <c r="I368" s="157" t="str">
        <f t="shared" si="5"/>
        <v>Aug</v>
      </c>
      <c r="J368" s="14" t="str">
        <f ca="1">IF(E368="","",IF(N368="",H368-TODAY(),""))</f>
        <v/>
      </c>
      <c r="K368" s="157" t="s">
        <v>10</v>
      </c>
      <c r="L368" s="157" t="s">
        <v>27</v>
      </c>
      <c r="M368" s="157" t="s">
        <v>72</v>
      </c>
      <c r="N368" s="9">
        <v>45533</v>
      </c>
      <c r="O368" s="159">
        <f>IF($N368="","",NETWORKDAYS($E368,$N368,$V$33:$V$47)-1)</f>
        <v>19</v>
      </c>
      <c r="P368" s="10" t="str">
        <f>IF(ISBLANK(N368),"",IF(N368&gt;H368,"No","Yes"))</f>
        <v>Yes</v>
      </c>
      <c r="Q368" s="9" t="s">
        <v>117</v>
      </c>
      <c r="R368" s="4" t="s">
        <v>118</v>
      </c>
      <c r="S368" s="4"/>
      <c r="T368" s="4" t="s">
        <v>141</v>
      </c>
      <c r="U368" s="6"/>
      <c r="V368" s="6"/>
      <c r="W368" s="6"/>
      <c r="X368" s="6"/>
      <c r="Y368" s="6"/>
      <c r="Z368" s="6"/>
      <c r="AX368" s="6" t="str">
        <v>Quarter 2</v>
      </c>
    </row>
    <row r="369" spans="1:50" ht="31.4" customHeight="1" x14ac:dyDescent="0.35">
      <c r="A369" s="162">
        <v>368</v>
      </c>
      <c r="B369" s="7" t="s">
        <v>8</v>
      </c>
      <c r="C369" s="7" t="s">
        <v>8</v>
      </c>
      <c r="D369" s="7" t="s">
        <v>915</v>
      </c>
      <c r="E369" s="157">
        <v>45506</v>
      </c>
      <c r="F369" s="9">
        <f>IF($E369="","",WORKDAY($E369,1,$V$33:$V$41))</f>
        <v>45509</v>
      </c>
      <c r="G369" s="9">
        <f>IF($E369="","",WORKDAY($E369,10,$V$33:$V$41))</f>
        <v>45520</v>
      </c>
      <c r="H369" s="9">
        <f>IF($E369="","",WORKDAY($E369,20,$V$33:$V$41))</f>
        <v>45534</v>
      </c>
      <c r="I369" s="157" t="str">
        <f t="shared" si="5"/>
        <v>Aug</v>
      </c>
      <c r="J369" s="14" t="str">
        <f ca="1">IF(E369="","",IF(N369="",H369-TODAY(),""))</f>
        <v/>
      </c>
      <c r="K369" s="157" t="s">
        <v>5</v>
      </c>
      <c r="L369" s="25" t="s">
        <v>22</v>
      </c>
      <c r="M369" s="25" t="s">
        <v>75</v>
      </c>
      <c r="N369" s="9">
        <v>45511</v>
      </c>
      <c r="O369" s="159">
        <f>IF($N369="","",NETWORKDAYS($E369,$N369,$V$33:$V$47)-1)</f>
        <v>3</v>
      </c>
      <c r="P369" s="10" t="str">
        <f>IF(ISBLANK(N369),"",IF(N369&gt;H369,"No","Yes"))</f>
        <v>Yes</v>
      </c>
      <c r="Q369" s="9" t="s">
        <v>117</v>
      </c>
      <c r="R369" s="4" t="s">
        <v>118</v>
      </c>
      <c r="S369" s="7" t="s">
        <v>135</v>
      </c>
      <c r="T369" s="7"/>
      <c r="U369" s="6"/>
      <c r="V369" s="6"/>
      <c r="W369" s="6"/>
      <c r="X369" s="6"/>
      <c r="Y369" s="6"/>
      <c r="Z369" s="6"/>
      <c r="AX369" s="6" t="str">
        <v>Quarter 2</v>
      </c>
    </row>
    <row r="370" spans="1:50" ht="31.4" customHeight="1" x14ac:dyDescent="0.35">
      <c r="A370" s="162">
        <v>369</v>
      </c>
      <c r="B370" s="4" t="s">
        <v>138</v>
      </c>
      <c r="C370" s="4" t="s">
        <v>19</v>
      </c>
      <c r="D370" s="4" t="s">
        <v>916</v>
      </c>
      <c r="E370" s="157">
        <v>45506</v>
      </c>
      <c r="F370" s="9">
        <f>IF($E370="","",WORKDAY($E370,1,$V$33:$V$41))</f>
        <v>45509</v>
      </c>
      <c r="G370" s="9">
        <f>IF($E370="","",WORKDAY($E370,10,$V$33:$V$41))</f>
        <v>45520</v>
      </c>
      <c r="H370" s="9">
        <f>IF($E370="","",WORKDAY($E370,20,$V$33:$V$41))</f>
        <v>45534</v>
      </c>
      <c r="I370" s="157" t="str">
        <f t="shared" si="5"/>
        <v>Aug</v>
      </c>
      <c r="J370" s="14" t="str">
        <f ca="1">IF(E370="","",IF(N370="",H370-TODAY(),""))</f>
        <v/>
      </c>
      <c r="K370" s="157" t="s">
        <v>124</v>
      </c>
      <c r="L370" s="157" t="s">
        <v>14</v>
      </c>
      <c r="M370" s="157" t="s">
        <v>81</v>
      </c>
      <c r="N370" s="9">
        <v>45509</v>
      </c>
      <c r="O370" s="159">
        <f>IF($N370="","",NETWORKDAYS($E370,$N370,$V$33:$V$47)-1)</f>
        <v>1</v>
      </c>
      <c r="P370" s="10" t="str">
        <f>IF(ISBLANK(N370),"",IF(N370&gt;H370,"No","Yes"))</f>
        <v>Yes</v>
      </c>
      <c r="Q370" s="9" t="s">
        <v>117</v>
      </c>
      <c r="R370" s="4" t="s">
        <v>118</v>
      </c>
      <c r="S370" s="4"/>
      <c r="T370" s="4"/>
      <c r="U370" s="6"/>
      <c r="V370" s="6"/>
      <c r="W370" s="6"/>
      <c r="X370" s="6"/>
      <c r="Y370" s="6"/>
      <c r="Z370" s="6"/>
      <c r="AX370" s="6" t="str">
        <v>Quarter 2</v>
      </c>
    </row>
    <row r="371" spans="1:50" ht="31.4" customHeight="1" x14ac:dyDescent="0.35">
      <c r="A371" s="162">
        <v>370</v>
      </c>
      <c r="B371" s="4" t="s">
        <v>917</v>
      </c>
      <c r="C371" s="4" t="s">
        <v>13</v>
      </c>
      <c r="D371" s="4" t="s">
        <v>569</v>
      </c>
      <c r="E371" s="157">
        <v>45509</v>
      </c>
      <c r="F371" s="9">
        <f>IF($E371="","",WORKDAY($E371,1,$V$33:$V$41))</f>
        <v>45510</v>
      </c>
      <c r="G371" s="9">
        <f>IF($E371="","",WORKDAY($E371,10,$V$33:$V$41))</f>
        <v>45523</v>
      </c>
      <c r="H371" s="9">
        <f>IF($E371="","",WORKDAY($E371,20,$V$33:$V$41))</f>
        <v>45537</v>
      </c>
      <c r="I371" s="157" t="str">
        <f t="shared" si="5"/>
        <v>Aug</v>
      </c>
      <c r="J371" s="14" t="str">
        <f ca="1">IF(E371="","",IF(N371="",H371-TODAY(),""))</f>
        <v/>
      </c>
      <c r="K371" s="157" t="s">
        <v>10</v>
      </c>
      <c r="L371" s="157" t="s">
        <v>12</v>
      </c>
      <c r="M371" s="157" t="s">
        <v>91</v>
      </c>
      <c r="N371" s="9">
        <v>45519</v>
      </c>
      <c r="O371" s="159">
        <f>IF($N371="","",NETWORKDAYS($E371,$N371,$V$33:$V$47)-1)</f>
        <v>8</v>
      </c>
      <c r="P371" s="10" t="str">
        <f>IF(ISBLANK(N371),"",IF(N371&gt;H371,"No","Yes"))</f>
        <v>Yes</v>
      </c>
      <c r="Q371" s="9" t="s">
        <v>117</v>
      </c>
      <c r="R371" s="4" t="s">
        <v>118</v>
      </c>
      <c r="S371" s="4" t="s">
        <v>119</v>
      </c>
      <c r="T371" s="4"/>
      <c r="U371" s="6"/>
      <c r="V371" s="6"/>
      <c r="W371" s="6"/>
      <c r="X371" s="6"/>
      <c r="Y371" s="6"/>
      <c r="Z371" s="6"/>
      <c r="AX371" s="6" t="str">
        <v>Quarter 2</v>
      </c>
    </row>
    <row r="372" spans="1:50" ht="31.4" customHeight="1" x14ac:dyDescent="0.35">
      <c r="A372" s="162">
        <v>371</v>
      </c>
      <c r="B372" s="4" t="s">
        <v>138</v>
      </c>
      <c r="C372" s="4" t="s">
        <v>19</v>
      </c>
      <c r="D372" s="4" t="s">
        <v>918</v>
      </c>
      <c r="E372" s="157">
        <v>45509</v>
      </c>
      <c r="F372" s="9">
        <f>IF($E372="","",WORKDAY($E372,1,$V$33:$V$41))</f>
        <v>45510</v>
      </c>
      <c r="G372" s="9">
        <f>IF($E372="","",WORKDAY($E372,10,$V$33:$V$41))</f>
        <v>45523</v>
      </c>
      <c r="H372" s="9">
        <f>IF($E372="","",WORKDAY($E372,20,$V$33:$V$41))</f>
        <v>45537</v>
      </c>
      <c r="I372" s="157" t="str">
        <f t="shared" si="5"/>
        <v>Aug</v>
      </c>
      <c r="J372" s="14" t="str">
        <f ca="1">IF(E372="","",IF(N372="",H372-TODAY(),""))</f>
        <v/>
      </c>
      <c r="K372" s="157" t="s">
        <v>10</v>
      </c>
      <c r="L372" s="157" t="s">
        <v>12</v>
      </c>
      <c r="M372" s="157" t="s">
        <v>65</v>
      </c>
      <c r="N372" s="9">
        <v>45516</v>
      </c>
      <c r="O372" s="159">
        <f>IF($N372="","",NETWORKDAYS($E372,$N372,$V$33:$V$47)-1)</f>
        <v>5</v>
      </c>
      <c r="P372" s="10" t="str">
        <f>IF(ISBLANK(N372),"",IF(N372&gt;H372,"No","Yes"))</f>
        <v>Yes</v>
      </c>
      <c r="Q372" s="9" t="s">
        <v>117</v>
      </c>
      <c r="R372" s="4" t="s">
        <v>118</v>
      </c>
      <c r="S372" s="4"/>
      <c r="T372" s="4"/>
      <c r="U372" s="6"/>
      <c r="V372" s="6"/>
      <c r="W372" s="6"/>
      <c r="X372" s="6"/>
      <c r="Y372" s="6"/>
      <c r="Z372" s="6"/>
      <c r="AX372" s="6" t="str">
        <v>Quarter 2</v>
      </c>
    </row>
    <row r="373" spans="1:50" ht="31.4" customHeight="1" x14ac:dyDescent="0.35">
      <c r="A373" s="162">
        <v>372</v>
      </c>
      <c r="B373" s="4" t="s">
        <v>8</v>
      </c>
      <c r="C373" s="4" t="s">
        <v>8</v>
      </c>
      <c r="D373" s="4" t="s">
        <v>919</v>
      </c>
      <c r="E373" s="157">
        <v>45509</v>
      </c>
      <c r="F373" s="9">
        <f>IF($E373="","",WORKDAY($E373,1,$V$33:$V$41))</f>
        <v>45510</v>
      </c>
      <c r="G373" s="9">
        <f>IF($E373="","",WORKDAY($E373,10,$V$33:$V$41))</f>
        <v>45523</v>
      </c>
      <c r="H373" s="9">
        <f>IF($E373="","",WORKDAY($E373,20,$V$33:$V$41))</f>
        <v>45537</v>
      </c>
      <c r="I373" s="157" t="str">
        <f t="shared" si="5"/>
        <v>Aug</v>
      </c>
      <c r="J373" s="14" t="str">
        <f ca="1">IF(E373="","",IF(N373="",H373-TODAY(),""))</f>
        <v/>
      </c>
      <c r="K373" s="157" t="s">
        <v>5</v>
      </c>
      <c r="L373" s="157" t="s">
        <v>16</v>
      </c>
      <c r="M373" s="157" t="s">
        <v>67</v>
      </c>
      <c r="N373" s="9">
        <v>45512</v>
      </c>
      <c r="O373" s="159">
        <f>IF($N373="","",NETWORKDAYS($E373,$N373,$V$33:$V$47)-1)</f>
        <v>3</v>
      </c>
      <c r="P373" s="10" t="str">
        <f>IF(ISBLANK(N373),"",IF(N373&gt;H373,"No","Yes"))</f>
        <v>Yes</v>
      </c>
      <c r="Q373" s="9" t="s">
        <v>117</v>
      </c>
      <c r="R373" s="4" t="s">
        <v>150</v>
      </c>
      <c r="S373" s="4"/>
      <c r="T373" s="4"/>
      <c r="U373" s="6"/>
      <c r="V373" s="6"/>
      <c r="W373" s="6"/>
      <c r="X373" s="6"/>
      <c r="Y373" s="6"/>
      <c r="Z373" s="6"/>
      <c r="AX373" s="6" t="str">
        <v>Quarter 2</v>
      </c>
    </row>
    <row r="374" spans="1:50" ht="31.4" customHeight="1" x14ac:dyDescent="0.35">
      <c r="A374" s="162">
        <v>373</v>
      </c>
      <c r="B374" s="4" t="s">
        <v>8</v>
      </c>
      <c r="C374" s="4" t="s">
        <v>8</v>
      </c>
      <c r="D374" s="4" t="s">
        <v>920</v>
      </c>
      <c r="E374" s="157">
        <v>45509</v>
      </c>
      <c r="F374" s="9">
        <f>IF($E374="","",WORKDAY($E374,1,$V$33:$V$41))</f>
        <v>45510</v>
      </c>
      <c r="G374" s="9">
        <f>IF($E374="","",WORKDAY($E374,10,$V$33:$V$41))</f>
        <v>45523</v>
      </c>
      <c r="H374" s="9">
        <f>IF($E374="","",WORKDAY($E374,20,$V$33:$V$41))</f>
        <v>45537</v>
      </c>
      <c r="I374" s="157" t="str">
        <f t="shared" si="5"/>
        <v>Aug</v>
      </c>
      <c r="J374" s="14" t="str">
        <f ca="1">IF(E374="","",IF(N374="",H374-TODAY(),""))</f>
        <v/>
      </c>
      <c r="K374" s="157" t="s">
        <v>124</v>
      </c>
      <c r="L374" s="157" t="s">
        <v>20</v>
      </c>
      <c r="M374" s="157" t="s">
        <v>70</v>
      </c>
      <c r="N374" s="9">
        <v>45511</v>
      </c>
      <c r="O374" s="159">
        <f>IF($N374="","",NETWORKDAYS($E374,$N374,$V$33:$V$47)-1)</f>
        <v>2</v>
      </c>
      <c r="P374" s="10" t="str">
        <f>IF(ISBLANK(N374),"",IF(N374&gt;H374,"No","Yes"))</f>
        <v>Yes</v>
      </c>
      <c r="Q374" s="9" t="s">
        <v>117</v>
      </c>
      <c r="R374" s="4" t="s">
        <v>126</v>
      </c>
      <c r="S374" s="4" t="s">
        <v>119</v>
      </c>
      <c r="T374" s="4"/>
      <c r="U374" s="6"/>
      <c r="V374" s="6"/>
      <c r="W374" s="6"/>
      <c r="X374" s="6"/>
      <c r="Y374" s="6"/>
      <c r="Z374" s="6"/>
      <c r="AX374" s="6" t="str">
        <v>Quarter 2</v>
      </c>
    </row>
    <row r="375" spans="1:50" ht="31.4" customHeight="1" x14ac:dyDescent="0.35">
      <c r="A375" s="162">
        <v>374</v>
      </c>
      <c r="B375" s="4" t="s">
        <v>8</v>
      </c>
      <c r="C375" s="4" t="s">
        <v>8</v>
      </c>
      <c r="D375" s="4" t="s">
        <v>921</v>
      </c>
      <c r="E375" s="157">
        <v>45510</v>
      </c>
      <c r="F375" s="9">
        <f>IF($E375="","",WORKDAY($E375,1,$V$33:$V$41))</f>
        <v>45511</v>
      </c>
      <c r="G375" s="9">
        <f>IF($E375="","",WORKDAY($E375,10,$V$33:$V$41))</f>
        <v>45524</v>
      </c>
      <c r="H375" s="9">
        <f>IF($E375="","",WORKDAY($E375,20,$V$33:$V$41))</f>
        <v>45538</v>
      </c>
      <c r="I375" s="157" t="str">
        <f t="shared" si="5"/>
        <v>Aug</v>
      </c>
      <c r="J375" s="14" t="str">
        <f ca="1">IF(E375="","",IF(N375="",H375-TODAY(),""))</f>
        <v/>
      </c>
      <c r="K375" s="157" t="s">
        <v>10</v>
      </c>
      <c r="L375" s="157" t="s">
        <v>12</v>
      </c>
      <c r="M375" s="157" t="s">
        <v>91</v>
      </c>
      <c r="N375" s="9">
        <v>45531</v>
      </c>
      <c r="O375" s="159">
        <f>IF($N375="","",NETWORKDAYS($E375,$N375,$V$33:$V$47)-1)</f>
        <v>15</v>
      </c>
      <c r="P375" s="10" t="str">
        <f>IF(ISBLANK(N375),"",IF(N375&gt;H375,"No","Yes"))</f>
        <v>Yes</v>
      </c>
      <c r="Q375" s="9" t="s">
        <v>117</v>
      </c>
      <c r="R375" s="4" t="s">
        <v>118</v>
      </c>
      <c r="S375" s="4"/>
      <c r="T375" s="4"/>
      <c r="U375" s="6"/>
      <c r="V375" s="6"/>
      <c r="W375" s="6"/>
      <c r="X375" s="6"/>
      <c r="Y375" s="6"/>
      <c r="Z375" s="6"/>
      <c r="AX375" s="6" t="str">
        <v>Quarter 2</v>
      </c>
    </row>
    <row r="376" spans="1:50" ht="31.4" customHeight="1" x14ac:dyDescent="0.35">
      <c r="A376" s="162">
        <v>375</v>
      </c>
      <c r="B376" s="4" t="s">
        <v>817</v>
      </c>
      <c r="C376" s="4" t="s">
        <v>11</v>
      </c>
      <c r="D376" s="4" t="s">
        <v>922</v>
      </c>
      <c r="E376" s="157">
        <v>45510</v>
      </c>
      <c r="F376" s="9">
        <f>IF($E376="","",WORKDAY($E376,1,$V$33:$V$41))</f>
        <v>45511</v>
      </c>
      <c r="G376" s="9">
        <f>IF($E376="","",WORKDAY($E376,10,$V$33:$V$41))</f>
        <v>45524</v>
      </c>
      <c r="H376" s="9">
        <f>IF($E376="","",WORKDAY($E376,20,$V$33:$V$41))</f>
        <v>45538</v>
      </c>
      <c r="I376" s="157" t="str">
        <f t="shared" si="5"/>
        <v>Aug</v>
      </c>
      <c r="J376" s="14" t="str">
        <f ca="1">IF(E376="","",IF(N376="",H376-TODAY(),""))</f>
        <v/>
      </c>
      <c r="K376" s="157" t="s">
        <v>5</v>
      </c>
      <c r="L376" s="157" t="s">
        <v>16</v>
      </c>
      <c r="M376" s="157" t="s">
        <v>67</v>
      </c>
      <c r="N376" s="9">
        <v>45516</v>
      </c>
      <c r="O376" s="159">
        <f>IF($N376="","",NETWORKDAYS($E376,$N376,$V$33:$V$47)-1)</f>
        <v>4</v>
      </c>
      <c r="P376" s="10" t="str">
        <f>IF(ISBLANK(N376),"",IF(N376&gt;H376,"No","Yes"))</f>
        <v>Yes</v>
      </c>
      <c r="Q376" s="9" t="s">
        <v>117</v>
      </c>
      <c r="R376" s="4" t="s">
        <v>118</v>
      </c>
      <c r="S376" s="4" t="s">
        <v>119</v>
      </c>
      <c r="T376" s="4"/>
      <c r="U376" s="6"/>
      <c r="V376" s="6"/>
      <c r="W376" s="6"/>
      <c r="X376" s="6"/>
      <c r="Y376" s="6"/>
      <c r="Z376" s="6"/>
      <c r="AX376" s="6" t="str">
        <v>Quarter 2</v>
      </c>
    </row>
    <row r="377" spans="1:50" ht="31.4" customHeight="1" x14ac:dyDescent="0.35">
      <c r="A377" s="162">
        <v>376</v>
      </c>
      <c r="B377" s="4" t="s">
        <v>923</v>
      </c>
      <c r="C377" s="4" t="s">
        <v>13</v>
      </c>
      <c r="D377" s="4" t="s">
        <v>924</v>
      </c>
      <c r="E377" s="157">
        <v>45510</v>
      </c>
      <c r="F377" s="9">
        <f>IF($E377="","",WORKDAY($E377,1,$V$33:$V$41))</f>
        <v>45511</v>
      </c>
      <c r="G377" s="9">
        <f>IF($E377="","",WORKDAY($E377,10,$V$33:$V$41))</f>
        <v>45524</v>
      </c>
      <c r="H377" s="9">
        <f>IF($E377="","",WORKDAY($E377,20,$V$33:$V$41))</f>
        <v>45538</v>
      </c>
      <c r="I377" s="157" t="str">
        <f t="shared" si="5"/>
        <v>Aug</v>
      </c>
      <c r="J377" s="14" t="str">
        <f ca="1">IF(E377="","",IF(N377="",H377-TODAY(),""))</f>
        <v/>
      </c>
      <c r="K377" s="157" t="s">
        <v>124</v>
      </c>
      <c r="L377" s="157" t="s">
        <v>20</v>
      </c>
      <c r="M377" s="157" t="s">
        <v>79</v>
      </c>
      <c r="N377" s="9">
        <v>45516</v>
      </c>
      <c r="O377" s="159">
        <f>IF($N377="","",NETWORKDAYS($E377,$N377,$V$33:$V$47)-1)</f>
        <v>4</v>
      </c>
      <c r="P377" s="10" t="str">
        <f>IF(ISBLANK(N377),"",IF(N377&gt;H377,"No","Yes"))</f>
        <v>Yes</v>
      </c>
      <c r="Q377" s="9" t="s">
        <v>117</v>
      </c>
      <c r="R377" s="4" t="s">
        <v>118</v>
      </c>
      <c r="S377" s="4" t="s">
        <v>135</v>
      </c>
      <c r="T377" s="4" t="s">
        <v>141</v>
      </c>
      <c r="U377" s="6"/>
      <c r="V377" s="6"/>
      <c r="W377" s="6"/>
      <c r="X377" s="6"/>
      <c r="Y377" s="6"/>
      <c r="Z377" s="6"/>
      <c r="AX377" s="6" t="str">
        <v>Quarter 2</v>
      </c>
    </row>
    <row r="378" spans="1:50" ht="31.4" customHeight="1" x14ac:dyDescent="0.35">
      <c r="A378" s="162">
        <v>377</v>
      </c>
      <c r="B378" s="4" t="s">
        <v>925</v>
      </c>
      <c r="C378" s="4" t="s">
        <v>15</v>
      </c>
      <c r="D378" s="4" t="s">
        <v>275</v>
      </c>
      <c r="E378" s="157">
        <v>45510</v>
      </c>
      <c r="F378" s="9">
        <f>IF($E378="","",WORKDAY($E378,1,$V$33:$V$41))</f>
        <v>45511</v>
      </c>
      <c r="G378" s="9">
        <f>IF($E378="","",WORKDAY($E378,10,$V$33:$V$41))</f>
        <v>45524</v>
      </c>
      <c r="H378" s="9">
        <f>IF($E378="","",WORKDAY($E378,20,$V$33:$V$41))</f>
        <v>45538</v>
      </c>
      <c r="I378" s="157" t="str">
        <f t="shared" si="5"/>
        <v>Aug</v>
      </c>
      <c r="J378" s="14" t="str">
        <f ca="1">IF(E378="","",IF(N378="",H378-TODAY(),""))</f>
        <v/>
      </c>
      <c r="K378" s="157" t="s">
        <v>124</v>
      </c>
      <c r="L378" s="157" t="s">
        <v>20</v>
      </c>
      <c r="M378" s="157" t="s">
        <v>70</v>
      </c>
      <c r="N378" s="9">
        <v>45512</v>
      </c>
      <c r="O378" s="159">
        <f>IF($N378="","",NETWORKDAYS($E378,$N378,$V$33:$V$47)-1)</f>
        <v>2</v>
      </c>
      <c r="P378" s="10" t="str">
        <f>IF(ISBLANK(N378),"",IF(N378&gt;H378,"No","Yes"))</f>
        <v>Yes</v>
      </c>
      <c r="Q378" s="9" t="s">
        <v>117</v>
      </c>
      <c r="R378" s="4" t="s">
        <v>118</v>
      </c>
      <c r="S378" s="4"/>
      <c r="T378" s="4" t="s">
        <v>141</v>
      </c>
      <c r="U378" s="6"/>
      <c r="V378" s="6"/>
      <c r="W378" s="6"/>
      <c r="X378" s="6"/>
      <c r="Y378" s="6"/>
      <c r="Z378" s="6"/>
      <c r="AX378" s="6" t="str">
        <v>Quarter 2</v>
      </c>
    </row>
    <row r="379" spans="1:50" ht="31.4" customHeight="1" x14ac:dyDescent="0.35">
      <c r="A379" s="162">
        <v>378</v>
      </c>
      <c r="B379" s="4" t="s">
        <v>926</v>
      </c>
      <c r="C379" s="4" t="s">
        <v>13</v>
      </c>
      <c r="D379" s="4" t="s">
        <v>927</v>
      </c>
      <c r="E379" s="157">
        <v>45511</v>
      </c>
      <c r="F379" s="9">
        <f>IF($E379="","",WORKDAY($E379,1,$V$33:$V$41))</f>
        <v>45512</v>
      </c>
      <c r="G379" s="9">
        <f>IF($E379="","",WORKDAY($E379,10,$V$33:$V$41))</f>
        <v>45525</v>
      </c>
      <c r="H379" s="9">
        <f>IF($E379="","",WORKDAY($E379,20,$V$33:$V$41))</f>
        <v>45539</v>
      </c>
      <c r="I379" s="157" t="str">
        <f t="shared" si="5"/>
        <v>Aug</v>
      </c>
      <c r="J379" s="14" t="str">
        <f ca="1">IF(E379="","",IF(N379="",H379-TODAY(),""))</f>
        <v/>
      </c>
      <c r="K379" s="157" t="s">
        <v>124</v>
      </c>
      <c r="L379" s="157" t="s">
        <v>14</v>
      </c>
      <c r="M379" s="157" t="s">
        <v>44</v>
      </c>
      <c r="N379" s="9">
        <v>45531</v>
      </c>
      <c r="O379" s="159">
        <f>IF($N379="","",NETWORKDAYS($E379,$N379,$V$33:$V$47)-1)</f>
        <v>14</v>
      </c>
      <c r="P379" s="10" t="str">
        <f>IF(ISBLANK(N379),"",IF(N379&gt;H379,"No","Yes"))</f>
        <v>Yes</v>
      </c>
      <c r="Q379" s="9" t="s">
        <v>117</v>
      </c>
      <c r="R379" s="4" t="s">
        <v>118</v>
      </c>
      <c r="S379" s="4"/>
      <c r="T379" s="4"/>
      <c r="U379" s="6"/>
      <c r="V379" s="6"/>
      <c r="W379" s="6"/>
      <c r="X379" s="6"/>
      <c r="Y379" s="6"/>
      <c r="Z379" s="6"/>
      <c r="AX379" s="6" t="str">
        <v>Quarter 2</v>
      </c>
    </row>
    <row r="380" spans="1:50" ht="31.4" customHeight="1" x14ac:dyDescent="0.35">
      <c r="A380" s="162">
        <v>379</v>
      </c>
      <c r="B380" s="4" t="s">
        <v>8</v>
      </c>
      <c r="C380" s="4" t="s">
        <v>8</v>
      </c>
      <c r="D380" s="4" t="s">
        <v>928</v>
      </c>
      <c r="E380" s="157">
        <v>45511</v>
      </c>
      <c r="F380" s="9">
        <f>IF($E380="","",WORKDAY($E380,1,$V$33:$V$41))</f>
        <v>45512</v>
      </c>
      <c r="G380" s="9">
        <f>IF($E380="","",WORKDAY($E380,10,$V$33:$V$41))</f>
        <v>45525</v>
      </c>
      <c r="H380" s="9">
        <f>IF($E380="","",WORKDAY($E380,20,$V$33:$V$41))</f>
        <v>45539</v>
      </c>
      <c r="I380" s="157" t="str">
        <f t="shared" si="5"/>
        <v>Aug</v>
      </c>
      <c r="J380" s="14" t="str">
        <f ca="1">IF(E380="","",IF(N380="",H380-TODAY(),""))</f>
        <v/>
      </c>
      <c r="K380" s="157" t="s">
        <v>4</v>
      </c>
      <c r="L380" s="157" t="s">
        <v>7</v>
      </c>
      <c r="M380" s="157" t="s">
        <v>31</v>
      </c>
      <c r="N380" s="9">
        <v>45520</v>
      </c>
      <c r="O380" s="159">
        <f>IF($N380="","",NETWORKDAYS($E380,$N380,$V$33:$V$47)-1)</f>
        <v>7</v>
      </c>
      <c r="P380" s="10" t="str">
        <f>IF(ISBLANK(N380),"",IF(N380&gt;H380,"No","Yes"))</f>
        <v>Yes</v>
      </c>
      <c r="Q380" s="9" t="s">
        <v>117</v>
      </c>
      <c r="R380" s="4" t="s">
        <v>118</v>
      </c>
      <c r="S380" s="4"/>
      <c r="T380" s="4"/>
      <c r="U380" s="6"/>
      <c r="V380" s="6"/>
      <c r="W380" s="6"/>
      <c r="X380" s="6"/>
      <c r="Y380" s="6"/>
      <c r="Z380" s="6"/>
      <c r="AX380" s="6" t="str">
        <v>Quarter 2</v>
      </c>
    </row>
    <row r="381" spans="1:50" ht="31.4" customHeight="1" x14ac:dyDescent="0.35">
      <c r="A381" s="162">
        <v>380</v>
      </c>
      <c r="B381" s="4" t="s">
        <v>8</v>
      </c>
      <c r="C381" s="4" t="s">
        <v>8</v>
      </c>
      <c r="D381" s="4" t="s">
        <v>832</v>
      </c>
      <c r="E381" s="157">
        <v>45512</v>
      </c>
      <c r="F381" s="9">
        <f>IF($E381="","",WORKDAY($E381,1,$V$33:$V$41))</f>
        <v>45513</v>
      </c>
      <c r="G381" s="9">
        <f>IF($E381="","",WORKDAY($E381,10,$V$33:$V$41))</f>
        <v>45526</v>
      </c>
      <c r="H381" s="9">
        <f>IF($E381="","",WORKDAY($E381,20,$V$33:$V$41))</f>
        <v>45540</v>
      </c>
      <c r="I381" s="157" t="str">
        <f t="shared" si="5"/>
        <v>Aug</v>
      </c>
      <c r="J381" s="14" t="str">
        <f ca="1">IF(E381="","",IF(N381="",H381-TODAY(),""))</f>
        <v/>
      </c>
      <c r="K381" s="157" t="s">
        <v>5</v>
      </c>
      <c r="L381" s="157" t="s">
        <v>16</v>
      </c>
      <c r="M381" s="157" t="s">
        <v>67</v>
      </c>
      <c r="N381" s="9">
        <v>45518</v>
      </c>
      <c r="O381" s="159">
        <f>IF($N381="","",NETWORKDAYS($E381,$N381,$V$33:$V$47)-1)</f>
        <v>4</v>
      </c>
      <c r="P381" s="10" t="str">
        <f>IF(ISBLANK(N381),"",IF(N381&gt;H381,"No","Yes"))</f>
        <v>Yes</v>
      </c>
      <c r="Q381" s="9" t="s">
        <v>117</v>
      </c>
      <c r="R381" s="4" t="s">
        <v>150</v>
      </c>
      <c r="S381" s="4"/>
      <c r="T381" s="4"/>
      <c r="U381" s="6"/>
      <c r="V381" s="6"/>
      <c r="W381" s="6"/>
      <c r="X381" s="6"/>
      <c r="Y381" s="6"/>
      <c r="Z381" s="6"/>
      <c r="AX381" s="6" t="str">
        <v>Quarter 2</v>
      </c>
    </row>
    <row r="382" spans="1:50" ht="31.4" customHeight="1" x14ac:dyDescent="0.35">
      <c r="A382" s="162">
        <v>381</v>
      </c>
      <c r="B382" s="4" t="s">
        <v>338</v>
      </c>
      <c r="C382" s="4" t="s">
        <v>11</v>
      </c>
      <c r="D382" s="4" t="s">
        <v>929</v>
      </c>
      <c r="E382" s="157">
        <v>45512</v>
      </c>
      <c r="F382" s="9">
        <f>IF($E382="","",WORKDAY($E382,1,$V$33:$V$41))</f>
        <v>45513</v>
      </c>
      <c r="G382" s="9">
        <f>IF($E382="","",WORKDAY($E382,10,$V$33:$V$41))</f>
        <v>45526</v>
      </c>
      <c r="H382" s="9">
        <f>IF($E382="","",WORKDAY($E382,20,$V$33:$V$41))</f>
        <v>45540</v>
      </c>
      <c r="I382" s="157" t="str">
        <f t="shared" si="5"/>
        <v>Aug</v>
      </c>
      <c r="J382" s="14" t="str">
        <f ca="1">IF(E382="","",IF(N382="",H382-TODAY(),""))</f>
        <v/>
      </c>
      <c r="K382" s="157" t="s">
        <v>5</v>
      </c>
      <c r="L382" s="157" t="s">
        <v>18</v>
      </c>
      <c r="M382" s="157" t="s">
        <v>40</v>
      </c>
      <c r="N382" s="9">
        <v>45516</v>
      </c>
      <c r="O382" s="159">
        <f>IF($N382="","",NETWORKDAYS($E382,$N382,$V$33:$V$47)-1)</f>
        <v>2</v>
      </c>
      <c r="P382" s="10" t="str">
        <f>IF(ISBLANK(N382),"",IF(N382&gt;H382,"No","Yes"))</f>
        <v>Yes</v>
      </c>
      <c r="Q382" s="9" t="s">
        <v>117</v>
      </c>
      <c r="R382" s="4" t="s">
        <v>118</v>
      </c>
      <c r="S382" s="4" t="s">
        <v>135</v>
      </c>
      <c r="T382" s="4"/>
      <c r="U382" s="6"/>
      <c r="V382" s="6"/>
      <c r="W382" s="6"/>
      <c r="X382" s="6"/>
      <c r="Y382" s="6"/>
      <c r="Z382" s="6"/>
      <c r="AX382" s="6" t="str">
        <v>Quarter 2</v>
      </c>
    </row>
    <row r="383" spans="1:50" ht="31.4" customHeight="1" x14ac:dyDescent="0.35">
      <c r="A383" s="162">
        <v>382</v>
      </c>
      <c r="B383" s="4" t="s">
        <v>457</v>
      </c>
      <c r="C383" s="4" t="s">
        <v>6</v>
      </c>
      <c r="D383" s="4" t="s">
        <v>930</v>
      </c>
      <c r="E383" s="157">
        <v>45512</v>
      </c>
      <c r="F383" s="9">
        <f>IF($E383="","",WORKDAY($E383,1,$V$33:$V$41))</f>
        <v>45513</v>
      </c>
      <c r="G383" s="9">
        <f>IF($E383="","",WORKDAY($E383,10,$V$33:$V$41))</f>
        <v>45526</v>
      </c>
      <c r="H383" s="9">
        <f>IF($E383="","",WORKDAY($E383,20,$V$33:$V$41))</f>
        <v>45540</v>
      </c>
      <c r="I383" s="157" t="str">
        <f t="shared" si="5"/>
        <v>Aug</v>
      </c>
      <c r="J383" s="14" t="str">
        <f ca="1">IF(E383="","",IF(N383="",H383-TODAY(),""))</f>
        <v/>
      </c>
      <c r="K383" s="157" t="s">
        <v>124</v>
      </c>
      <c r="L383" s="157" t="s">
        <v>20</v>
      </c>
      <c r="M383" s="157" t="s">
        <v>62</v>
      </c>
      <c r="N383" s="9">
        <v>45538</v>
      </c>
      <c r="O383" s="159">
        <f>IF($N383="","",NETWORKDAYS($E383,$N383,$V$33:$V$47)-1)</f>
        <v>18</v>
      </c>
      <c r="P383" s="10" t="str">
        <f>IF(ISBLANK(N383),"",IF(N383&gt;H383,"No","Yes"))</f>
        <v>Yes</v>
      </c>
      <c r="Q383" s="9" t="s">
        <v>117</v>
      </c>
      <c r="R383" s="4" t="s">
        <v>118</v>
      </c>
      <c r="S383" s="4"/>
      <c r="T383" s="4"/>
      <c r="U383" s="6"/>
      <c r="V383" s="6"/>
      <c r="W383" s="6"/>
      <c r="X383" s="6"/>
      <c r="Y383" s="6"/>
      <c r="Z383" s="6"/>
      <c r="AX383" s="6" t="str">
        <v>Quarter 2</v>
      </c>
    </row>
    <row r="384" spans="1:50" ht="31.4" customHeight="1" x14ac:dyDescent="0.35">
      <c r="A384" s="162">
        <v>383</v>
      </c>
      <c r="B384" s="4" t="s">
        <v>8</v>
      </c>
      <c r="C384" s="4" t="s">
        <v>8</v>
      </c>
      <c r="D384" s="4" t="s">
        <v>569</v>
      </c>
      <c r="E384" s="157">
        <v>45512</v>
      </c>
      <c r="F384" s="9">
        <f>IF($E384="","",WORKDAY($E384,1,$V$33:$V$41))</f>
        <v>45513</v>
      </c>
      <c r="G384" s="9">
        <f>IF($E384="","",WORKDAY($E384,10,$V$33:$V$41))</f>
        <v>45526</v>
      </c>
      <c r="H384" s="9">
        <f>IF($E384="","",WORKDAY($E384,20,$V$33:$V$41))</f>
        <v>45540</v>
      </c>
      <c r="I384" s="157" t="str">
        <f t="shared" si="5"/>
        <v>Aug</v>
      </c>
      <c r="J384" s="14" t="str">
        <f ca="1">IF(E384="","",IF(N384="",H384-TODAY(),""))</f>
        <v/>
      </c>
      <c r="K384" s="157" t="s">
        <v>10</v>
      </c>
      <c r="L384" s="157" t="s">
        <v>12</v>
      </c>
      <c r="M384" s="157" t="s">
        <v>91</v>
      </c>
      <c r="N384" s="9">
        <v>45538</v>
      </c>
      <c r="O384" s="159">
        <f>IF($N384="","",NETWORKDAYS($E384,$N384,$V$33:$V$47)-1)</f>
        <v>18</v>
      </c>
      <c r="P384" s="10" t="str">
        <f>IF(ISBLANK(N384),"",IF(N384&gt;H384,"No","Yes"))</f>
        <v>Yes</v>
      </c>
      <c r="Q384" s="9" t="s">
        <v>117</v>
      </c>
      <c r="R384" s="4" t="s">
        <v>118</v>
      </c>
      <c r="S384" s="4" t="s">
        <v>119</v>
      </c>
      <c r="T384" s="4" t="s">
        <v>141</v>
      </c>
      <c r="U384" s="6"/>
      <c r="V384" s="6"/>
      <c r="W384" s="6"/>
      <c r="X384" s="6"/>
      <c r="Y384" s="6"/>
      <c r="Z384" s="6"/>
      <c r="AX384" s="6" t="str">
        <v>Quarter 2</v>
      </c>
    </row>
    <row r="385" spans="1:50" ht="31.4" customHeight="1" x14ac:dyDescent="0.35">
      <c r="A385" s="162">
        <v>384</v>
      </c>
      <c r="B385" s="4" t="s">
        <v>138</v>
      </c>
      <c r="C385" s="4" t="s">
        <v>19</v>
      </c>
      <c r="D385" s="4" t="s">
        <v>931</v>
      </c>
      <c r="E385" s="157">
        <v>45513</v>
      </c>
      <c r="F385" s="9">
        <f>IF($E385="","",WORKDAY($E385,1,$V$33:$V$41))</f>
        <v>45516</v>
      </c>
      <c r="G385" s="9">
        <f>IF($E385="","",WORKDAY($E385,10,$V$33:$V$41))</f>
        <v>45527</v>
      </c>
      <c r="H385" s="9">
        <f>IF($E385="","",WORKDAY($E385,20,$V$33:$V$41))</f>
        <v>45541</v>
      </c>
      <c r="I385" s="157" t="str">
        <f t="shared" si="5"/>
        <v>Aug</v>
      </c>
      <c r="J385" s="14" t="str">
        <f ca="1">IF(E385="","",IF(N385="",H385-TODAY(),""))</f>
        <v/>
      </c>
      <c r="K385" s="157" t="s">
        <v>10</v>
      </c>
      <c r="L385" s="157" t="s">
        <v>27</v>
      </c>
      <c r="M385" s="157" t="s">
        <v>37</v>
      </c>
      <c r="N385" s="9">
        <v>45524</v>
      </c>
      <c r="O385" s="159">
        <f>IF($N385="","",NETWORKDAYS($E385,$N385,$V$33:$V$47)-1)</f>
        <v>7</v>
      </c>
      <c r="P385" s="10" t="str">
        <f>IF(ISBLANK(N385),"",IF(N385&gt;H385,"No","Yes"))</f>
        <v>Yes</v>
      </c>
      <c r="Q385" s="9" t="s">
        <v>117</v>
      </c>
      <c r="R385" s="4" t="s">
        <v>118</v>
      </c>
      <c r="S385" s="4"/>
      <c r="T385" s="4"/>
      <c r="U385" s="6"/>
      <c r="V385" s="6"/>
      <c r="W385" s="6"/>
      <c r="X385" s="6"/>
      <c r="Y385" s="6"/>
      <c r="Z385" s="6"/>
      <c r="AX385" s="6" t="str">
        <v>Quarter 2</v>
      </c>
    </row>
    <row r="386" spans="1:50" ht="31.4" customHeight="1" x14ac:dyDescent="0.35">
      <c r="A386" s="162">
        <v>385</v>
      </c>
      <c r="B386" s="7" t="s">
        <v>8</v>
      </c>
      <c r="C386" s="7" t="s">
        <v>8</v>
      </c>
      <c r="D386" s="7" t="s">
        <v>932</v>
      </c>
      <c r="E386" s="25">
        <v>45516</v>
      </c>
      <c r="F386" s="9">
        <f>IF($E386="","",WORKDAY($E386,1,$V$33:$V$41))</f>
        <v>45517</v>
      </c>
      <c r="G386" s="9">
        <f>IF($E386="","",WORKDAY($E386,10,$V$33:$V$41))</f>
        <v>45530</v>
      </c>
      <c r="H386" s="9">
        <f>IF($E386="","",WORKDAY($E386,20,$V$33:$V$41))</f>
        <v>45544</v>
      </c>
      <c r="I386" s="157" t="str">
        <f t="shared" ref="I386:I449" si="7">IF(ISBLANK(E386),"",TEXT(E386,"mmm"))</f>
        <v>Aug</v>
      </c>
      <c r="J386" s="14" t="str">
        <f ca="1">IF(E386="","",IF(N386="",H386-TODAY(),""))</f>
        <v/>
      </c>
      <c r="K386" s="25" t="s">
        <v>124</v>
      </c>
      <c r="L386" s="25" t="s">
        <v>24</v>
      </c>
      <c r="M386" s="25" t="s">
        <v>61</v>
      </c>
      <c r="N386" s="9">
        <v>45531</v>
      </c>
      <c r="O386" s="159">
        <f>IF($N386="","",NETWORKDAYS($E386,$N386,$V$33:$V$47)-1)</f>
        <v>11</v>
      </c>
      <c r="P386" s="10" t="str">
        <f>IF(ISBLANK(N386),"",IF(N386&gt;H386,"No","Yes"))</f>
        <v>Yes</v>
      </c>
      <c r="Q386" s="9" t="s">
        <v>117</v>
      </c>
      <c r="R386" s="4" t="s">
        <v>118</v>
      </c>
      <c r="S386" s="4"/>
      <c r="T386" s="4" t="s">
        <v>141</v>
      </c>
      <c r="U386" s="6"/>
      <c r="V386" s="6"/>
      <c r="W386" s="6"/>
      <c r="X386" s="6"/>
      <c r="Y386" s="6"/>
      <c r="Z386" s="6"/>
      <c r="AX386" s="6" t="str">
        <v>Quarter 2</v>
      </c>
    </row>
    <row r="387" spans="1:50" ht="31.4" customHeight="1" x14ac:dyDescent="0.35">
      <c r="A387" s="162">
        <v>386</v>
      </c>
      <c r="B387" s="7" t="s">
        <v>293</v>
      </c>
      <c r="C387" s="7" t="s">
        <v>6</v>
      </c>
      <c r="D387" s="7" t="s">
        <v>933</v>
      </c>
      <c r="E387" s="25">
        <v>45516</v>
      </c>
      <c r="F387" s="9">
        <f>IF($E387="","",WORKDAY($E387,1,$V$33:$V$41))</f>
        <v>45517</v>
      </c>
      <c r="G387" s="9">
        <f>IF($E387="","",WORKDAY($E387,10,$V$33:$V$41))</f>
        <v>45530</v>
      </c>
      <c r="H387" s="9">
        <f>IF($E387="","",WORKDAY($E387,20,$V$33:$V$41))</f>
        <v>45544</v>
      </c>
      <c r="I387" s="157" t="str">
        <f t="shared" si="7"/>
        <v>Aug</v>
      </c>
      <c r="J387" s="14" t="str">
        <f ca="1">IF(E387="","",IF(N387="",H387-TODAY(),""))</f>
        <v/>
      </c>
      <c r="K387" s="25" t="s">
        <v>124</v>
      </c>
      <c r="L387" s="157" t="s">
        <v>20</v>
      </c>
      <c r="M387" s="157" t="s">
        <v>92</v>
      </c>
      <c r="N387" s="9">
        <v>45523</v>
      </c>
      <c r="O387" s="159">
        <f>IF($N387="","",NETWORKDAYS($E387,$N387,$V$33:$V$47)-1)</f>
        <v>5</v>
      </c>
      <c r="P387" s="10" t="str">
        <f>IF(ISBLANK(N387),"",IF(N387&gt;H387,"No","Yes"))</f>
        <v>Yes</v>
      </c>
      <c r="Q387" s="9" t="s">
        <v>117</v>
      </c>
      <c r="R387" s="4" t="s">
        <v>118</v>
      </c>
      <c r="S387" s="4"/>
      <c r="T387" s="4"/>
      <c r="U387" s="6"/>
      <c r="V387" s="6"/>
      <c r="W387" s="6"/>
      <c r="X387" s="6"/>
      <c r="Y387" s="6"/>
      <c r="Z387" s="6"/>
      <c r="AX387" s="6" t="str">
        <v>Quarter 2</v>
      </c>
    </row>
    <row r="388" spans="1:50" ht="31.4" customHeight="1" x14ac:dyDescent="0.35">
      <c r="A388" s="162">
        <v>387</v>
      </c>
      <c r="B388" s="4" t="s">
        <v>188</v>
      </c>
      <c r="C388" s="4" t="s">
        <v>6</v>
      </c>
      <c r="D388" s="7" t="s">
        <v>934</v>
      </c>
      <c r="E388" s="157">
        <v>45516</v>
      </c>
      <c r="F388" s="9">
        <f>IF($E388="","",WORKDAY($E388,1,$V$33:$V$41))</f>
        <v>45517</v>
      </c>
      <c r="G388" s="9">
        <f>IF($E388="","",WORKDAY($E388,10,$V$33:$V$41))</f>
        <v>45530</v>
      </c>
      <c r="H388" s="9">
        <f>IF($E388="","",WORKDAY($E388,20,$V$33:$V$41))</f>
        <v>45544</v>
      </c>
      <c r="I388" s="157" t="str">
        <f t="shared" si="7"/>
        <v>Aug</v>
      </c>
      <c r="J388" s="14" t="str">
        <f ca="1">IF(E388="","",IF(N388="",H388-TODAY(),""))</f>
        <v/>
      </c>
      <c r="K388" s="157" t="s">
        <v>124</v>
      </c>
      <c r="L388" s="157" t="s">
        <v>24</v>
      </c>
      <c r="M388" s="157" t="s">
        <v>76</v>
      </c>
      <c r="N388" s="9">
        <v>45532</v>
      </c>
      <c r="O388" s="159">
        <f>IF($N388="","",NETWORKDAYS($E388,$N388,$V$33:$V$47)-1)</f>
        <v>12</v>
      </c>
      <c r="P388" s="10" t="str">
        <f>IF(ISBLANK(N388),"",IF(N388&gt;H388,"No","Yes"))</f>
        <v>Yes</v>
      </c>
      <c r="Q388" s="9" t="s">
        <v>117</v>
      </c>
      <c r="R388" s="4" t="s">
        <v>118</v>
      </c>
      <c r="S388" s="4"/>
      <c r="T388" s="4"/>
      <c r="U388" s="6"/>
      <c r="V388" s="6"/>
      <c r="W388" s="6"/>
      <c r="X388" s="6"/>
      <c r="Y388" s="6"/>
      <c r="Z388" s="6"/>
      <c r="AX388" s="6" t="str">
        <v>Quarter 2</v>
      </c>
    </row>
    <row r="389" spans="1:50" ht="31.4" customHeight="1" x14ac:dyDescent="0.35">
      <c r="A389" s="162">
        <v>388</v>
      </c>
      <c r="B389" s="7" t="s">
        <v>8</v>
      </c>
      <c r="C389" s="7" t="s">
        <v>8</v>
      </c>
      <c r="D389" s="7" t="s">
        <v>440</v>
      </c>
      <c r="E389" s="25">
        <v>45516</v>
      </c>
      <c r="F389" s="9">
        <f>IF($E389="","",WORKDAY($E389,1,$V$33:$V$41))</f>
        <v>45517</v>
      </c>
      <c r="G389" s="9">
        <f>IF($E389="","",WORKDAY($E389,10,$V$33:$V$41))</f>
        <v>45530</v>
      </c>
      <c r="H389" s="9">
        <f>IF($E389="","",WORKDAY($E389,20,$V$33:$V$41))</f>
        <v>45544</v>
      </c>
      <c r="I389" s="157" t="str">
        <f t="shared" si="7"/>
        <v>Aug</v>
      </c>
      <c r="J389" s="14" t="str">
        <f ca="1">IF(E389="","",IF(N389="",H389-TODAY(),""))</f>
        <v/>
      </c>
      <c r="K389" s="25" t="s">
        <v>10</v>
      </c>
      <c r="L389" s="25" t="s">
        <v>9</v>
      </c>
      <c r="M389" s="25" t="s">
        <v>38</v>
      </c>
      <c r="N389" s="9">
        <v>45531</v>
      </c>
      <c r="O389" s="159">
        <f>IF($N389="","",NETWORKDAYS($E389,$N389,$V$33:$V$47)-1)</f>
        <v>11</v>
      </c>
      <c r="P389" s="10" t="str">
        <f>IF(ISBLANK(N389),"",IF(N389&gt;H389,"No","Yes"))</f>
        <v>Yes</v>
      </c>
      <c r="Q389" s="9" t="s">
        <v>117</v>
      </c>
      <c r="R389" s="4" t="s">
        <v>118</v>
      </c>
      <c r="S389" s="4"/>
      <c r="T389" s="4"/>
      <c r="U389" s="6"/>
      <c r="V389" s="6"/>
      <c r="W389" s="6"/>
      <c r="X389" s="6"/>
      <c r="Y389" s="6"/>
      <c r="Z389" s="6"/>
      <c r="AX389" s="6" t="str">
        <v>Quarter 2</v>
      </c>
    </row>
    <row r="390" spans="1:50" ht="31.4" customHeight="1" x14ac:dyDescent="0.35">
      <c r="A390" s="162">
        <v>389</v>
      </c>
      <c r="B390" s="4" t="s">
        <v>8</v>
      </c>
      <c r="C390" s="4" t="s">
        <v>8</v>
      </c>
      <c r="D390" s="4" t="s">
        <v>935</v>
      </c>
      <c r="E390" s="157">
        <v>45516</v>
      </c>
      <c r="F390" s="9">
        <f>IF($E390="","",WORKDAY($E390,1,$V$33:$V$41))</f>
        <v>45517</v>
      </c>
      <c r="G390" s="9">
        <f>IF($E390="","",WORKDAY($E390,10,$V$33:$V$41))</f>
        <v>45530</v>
      </c>
      <c r="H390" s="9">
        <f>IF($E390="","",WORKDAY($E390,20,$V$33:$V$41))</f>
        <v>45544</v>
      </c>
      <c r="I390" s="157" t="str">
        <f t="shared" si="7"/>
        <v>Aug</v>
      </c>
      <c r="J390" s="14" t="str">
        <f ca="1">IF(E390="","",IF(N390="",H390-TODAY(),""))</f>
        <v/>
      </c>
      <c r="K390" s="157" t="s">
        <v>124</v>
      </c>
      <c r="L390" s="157" t="s">
        <v>20</v>
      </c>
      <c r="M390" s="157" t="s">
        <v>79</v>
      </c>
      <c r="N390" s="9">
        <v>45517</v>
      </c>
      <c r="O390" s="159">
        <f>IF($N390="","",NETWORKDAYS($E390,$N390,$V$33:$V$47)-1)</f>
        <v>1</v>
      </c>
      <c r="P390" s="10" t="str">
        <f>IF(ISBLANK(N390),"",IF(N390&gt;H390,"No","Yes"))</f>
        <v>Yes</v>
      </c>
      <c r="Q390" s="9" t="s">
        <v>117</v>
      </c>
      <c r="R390" s="4" t="s">
        <v>118</v>
      </c>
      <c r="S390" s="4" t="s">
        <v>135</v>
      </c>
      <c r="T390" s="4"/>
      <c r="U390" s="6"/>
      <c r="V390" s="6"/>
      <c r="W390" s="6"/>
      <c r="X390" s="6"/>
      <c r="Y390" s="6"/>
      <c r="Z390" s="6"/>
      <c r="AX390" s="6" t="str">
        <v>Quarter 2</v>
      </c>
    </row>
    <row r="391" spans="1:50" ht="31.4" customHeight="1" x14ac:dyDescent="0.35">
      <c r="A391" s="162">
        <v>390</v>
      </c>
      <c r="B391" s="4" t="s">
        <v>817</v>
      </c>
      <c r="C391" s="4" t="s">
        <v>11</v>
      </c>
      <c r="D391" s="4" t="s">
        <v>936</v>
      </c>
      <c r="E391" s="157">
        <v>45516</v>
      </c>
      <c r="F391" s="9">
        <f>IF($E391="","",WORKDAY($E391,1,$V$33:$V$41))</f>
        <v>45517</v>
      </c>
      <c r="G391" s="9">
        <f>IF($E391="","",WORKDAY($E391,10,$V$33:$V$41))</f>
        <v>45530</v>
      </c>
      <c r="H391" s="9">
        <f>IF($E391="","",WORKDAY($E391,20,$V$33:$V$41))</f>
        <v>45544</v>
      </c>
      <c r="I391" s="157" t="str">
        <f t="shared" si="7"/>
        <v>Aug</v>
      </c>
      <c r="J391" s="14" t="str">
        <f ca="1">IF(E391="","",IF(N391="",H391-TODAY(),""))</f>
        <v/>
      </c>
      <c r="K391" s="157" t="s">
        <v>5</v>
      </c>
      <c r="L391" s="157" t="s">
        <v>16</v>
      </c>
      <c r="M391" s="157" t="s">
        <v>67</v>
      </c>
      <c r="N391" s="9">
        <v>45523</v>
      </c>
      <c r="O391" s="159">
        <f>IF($N391="","",NETWORKDAYS($E391,$N391,$V$33:$V$47)-1)</f>
        <v>5</v>
      </c>
      <c r="P391" s="10" t="str">
        <f>IF(ISBLANK(N391),"",IF(N391&gt;H391,"No","Yes"))</f>
        <v>Yes</v>
      </c>
      <c r="Q391" s="9" t="s">
        <v>117</v>
      </c>
      <c r="R391" s="4" t="s">
        <v>118</v>
      </c>
      <c r="S391" s="4"/>
      <c r="T391" s="4"/>
      <c r="U391" s="6"/>
      <c r="V391" s="6"/>
      <c r="W391" s="6"/>
      <c r="X391" s="6"/>
      <c r="Y391" s="6"/>
      <c r="Z391" s="6"/>
      <c r="AX391" s="6" t="str">
        <v>Quarter 2</v>
      </c>
    </row>
    <row r="392" spans="1:50" ht="31.4" customHeight="1" x14ac:dyDescent="0.35">
      <c r="A392" s="162">
        <v>391</v>
      </c>
      <c r="B392" s="4" t="s">
        <v>846</v>
      </c>
      <c r="C392" s="4" t="s">
        <v>13</v>
      </c>
      <c r="D392" s="4" t="s">
        <v>937</v>
      </c>
      <c r="E392" s="157">
        <v>45517</v>
      </c>
      <c r="F392" s="9">
        <f>IF($E392="","",WORKDAY($E392,1,$V$33:$V$41))</f>
        <v>45518</v>
      </c>
      <c r="G392" s="9">
        <f>IF($E392="","",WORKDAY($E392,10,$V$33:$V$41))</f>
        <v>45531</v>
      </c>
      <c r="H392" s="9">
        <f>IF($E392="","",WORKDAY($E392,20,$V$33:$V$41))</f>
        <v>45545</v>
      </c>
      <c r="I392" s="157" t="str">
        <f t="shared" si="7"/>
        <v>Aug</v>
      </c>
      <c r="J392" s="14" t="str">
        <f ca="1">IF(E392="","",IF(N392="",H392-TODAY(),""))</f>
        <v/>
      </c>
      <c r="K392" s="157" t="s">
        <v>124</v>
      </c>
      <c r="L392" s="157" t="s">
        <v>20</v>
      </c>
      <c r="M392" s="157" t="s">
        <v>92</v>
      </c>
      <c r="N392" s="9">
        <v>45523</v>
      </c>
      <c r="O392" s="159">
        <f>IF($N392="","",NETWORKDAYS($E392,$N392,$V$33:$V$47)-1)</f>
        <v>4</v>
      </c>
      <c r="P392" s="10" t="str">
        <f>IF(ISBLANK(N392),"",IF(N392&gt;H392,"No","Yes"))</f>
        <v>Yes</v>
      </c>
      <c r="Q392" s="9" t="s">
        <v>117</v>
      </c>
      <c r="R392" s="4" t="s">
        <v>118</v>
      </c>
      <c r="S392" s="4"/>
      <c r="T392" s="4"/>
      <c r="U392" s="6"/>
      <c r="V392" s="6"/>
      <c r="W392" s="6"/>
      <c r="X392" s="6"/>
      <c r="Y392" s="6"/>
      <c r="Z392" s="6"/>
      <c r="AX392" s="6" t="str">
        <v>Quarter 2</v>
      </c>
    </row>
    <row r="393" spans="1:50" ht="31.4" customHeight="1" x14ac:dyDescent="0.35">
      <c r="A393" s="162">
        <v>392</v>
      </c>
      <c r="B393" s="4" t="s">
        <v>8</v>
      </c>
      <c r="C393" s="4" t="s">
        <v>8</v>
      </c>
      <c r="D393" s="4" t="s">
        <v>938</v>
      </c>
      <c r="E393" s="157">
        <v>45517</v>
      </c>
      <c r="F393" s="9">
        <f>IF($E393="","",WORKDAY($E393,1,$V$33:$V$41))</f>
        <v>45518</v>
      </c>
      <c r="G393" s="9">
        <f>IF($E393="","",WORKDAY($E393,10,$V$33:$V$41))</f>
        <v>45531</v>
      </c>
      <c r="H393" s="9">
        <f>IF($E393="","",WORKDAY($E393,20,$V$33:$V$41))</f>
        <v>45545</v>
      </c>
      <c r="I393" s="157" t="str">
        <f t="shared" si="7"/>
        <v>Aug</v>
      </c>
      <c r="J393" s="14" t="str">
        <f ca="1">IF(E393="","",IF(N393="",H393-TODAY(),""))</f>
        <v/>
      </c>
      <c r="K393" s="157" t="s">
        <v>5</v>
      </c>
      <c r="L393" s="157" t="s">
        <v>18</v>
      </c>
      <c r="M393" s="157" t="s">
        <v>40</v>
      </c>
      <c r="N393" s="9">
        <v>45538</v>
      </c>
      <c r="O393" s="159">
        <f>IF($N393="","",NETWORKDAYS($E393,$N393,$V$33:$V$47)-1)</f>
        <v>15</v>
      </c>
      <c r="P393" s="10" t="str">
        <f>IF(ISBLANK(N393),"",IF(N393&gt;H393,"No","Yes"))</f>
        <v>Yes</v>
      </c>
      <c r="Q393" s="9" t="s">
        <v>117</v>
      </c>
      <c r="R393" s="4" t="s">
        <v>118</v>
      </c>
      <c r="S393" s="4"/>
      <c r="T393" s="4"/>
      <c r="U393" s="6"/>
      <c r="V393" s="6"/>
      <c r="W393" s="6"/>
      <c r="X393" s="6"/>
      <c r="Y393" s="6"/>
      <c r="Z393" s="6"/>
      <c r="AX393" s="6" t="str">
        <v>Quarter 2</v>
      </c>
    </row>
    <row r="394" spans="1:50" ht="31.4" customHeight="1" x14ac:dyDescent="0.35">
      <c r="A394" s="162">
        <v>393</v>
      </c>
      <c r="B394" s="7" t="s">
        <v>939</v>
      </c>
      <c r="C394" s="7" t="s">
        <v>6</v>
      </c>
      <c r="D394" s="4" t="s">
        <v>940</v>
      </c>
      <c r="E394" s="157">
        <v>45517</v>
      </c>
      <c r="F394" s="9">
        <f>IF($E394="","",WORKDAY($E394,1,$V$33:$V$41))</f>
        <v>45518</v>
      </c>
      <c r="G394" s="9">
        <f>IF($E394="","",WORKDAY($E394,10,$V$33:$V$41))</f>
        <v>45531</v>
      </c>
      <c r="H394" s="9">
        <f>IF($E394="","",WORKDAY($E394,20,$V$33:$V$41))</f>
        <v>45545</v>
      </c>
      <c r="I394" s="157" t="str">
        <f t="shared" si="7"/>
        <v>Aug</v>
      </c>
      <c r="J394" s="14" t="str">
        <f ca="1">IF(E394="","",IF(N394="",H394-TODAY(),""))</f>
        <v/>
      </c>
      <c r="K394" s="157" t="s">
        <v>124</v>
      </c>
      <c r="L394" s="157" t="s">
        <v>24</v>
      </c>
      <c r="M394" s="157" t="s">
        <v>76</v>
      </c>
      <c r="N394" s="9">
        <v>45517</v>
      </c>
      <c r="O394" s="159">
        <f>IF($N394="","",NETWORKDAYS($E394,$N394,$V$33:$V$47)-1)</f>
        <v>0</v>
      </c>
      <c r="P394" s="10" t="str">
        <f>IF(ISBLANK(N394),"",IF(N394&gt;H394,"No","Yes"))</f>
        <v>Yes</v>
      </c>
      <c r="Q394" s="9" t="s">
        <v>117</v>
      </c>
      <c r="R394" s="4" t="s">
        <v>118</v>
      </c>
      <c r="S394" s="4" t="s">
        <v>135</v>
      </c>
      <c r="T394" s="4"/>
      <c r="U394" s="6"/>
      <c r="V394" s="6"/>
      <c r="W394" s="6"/>
      <c r="X394" s="6"/>
      <c r="Y394" s="6"/>
      <c r="Z394" s="6"/>
      <c r="AX394" s="6" t="str">
        <v>Quarter 2</v>
      </c>
    </row>
    <row r="395" spans="1:50" ht="31.4" customHeight="1" x14ac:dyDescent="0.35">
      <c r="A395" s="162">
        <v>394</v>
      </c>
      <c r="B395" s="4" t="s">
        <v>138</v>
      </c>
      <c r="C395" s="4" t="s">
        <v>19</v>
      </c>
      <c r="D395" s="4" t="s">
        <v>941</v>
      </c>
      <c r="E395" s="157">
        <v>45517</v>
      </c>
      <c r="F395" s="9">
        <f>IF($E395="","",WORKDAY($E395,1,$V$33:$V$41))</f>
        <v>45518</v>
      </c>
      <c r="G395" s="9">
        <f>IF($E395="","",WORKDAY($E395,10,$V$33:$V$41))</f>
        <v>45531</v>
      </c>
      <c r="H395" s="9">
        <f>IF($E395="","",WORKDAY($E395,20,$V$33:$V$41))</f>
        <v>45545</v>
      </c>
      <c r="I395" s="157" t="str">
        <f t="shared" si="7"/>
        <v>Aug</v>
      </c>
      <c r="J395" s="14" t="str">
        <f ca="1">IF(E395="","",IF(N395="",H395-TODAY(),""))</f>
        <v/>
      </c>
      <c r="K395" s="157" t="s">
        <v>124</v>
      </c>
      <c r="L395" s="157" t="s">
        <v>24</v>
      </c>
      <c r="M395" s="157" t="s">
        <v>76</v>
      </c>
      <c r="N395" s="9">
        <v>45518</v>
      </c>
      <c r="O395" s="159">
        <f>IF($N395="","",NETWORKDAYS($E395,$N395,$V$33:$V$47)-1)</f>
        <v>1</v>
      </c>
      <c r="P395" s="10" t="str">
        <f>IF(ISBLANK(N395),"",IF(N395&gt;H395,"No","Yes"))</f>
        <v>Yes</v>
      </c>
      <c r="Q395" s="9" t="s">
        <v>117</v>
      </c>
      <c r="R395" s="4" t="s">
        <v>118</v>
      </c>
      <c r="S395" s="4" t="s">
        <v>135</v>
      </c>
      <c r="T395" s="4"/>
      <c r="U395" s="6"/>
      <c r="V395" s="6"/>
      <c r="W395" s="6"/>
      <c r="X395" s="6"/>
      <c r="Y395" s="6"/>
      <c r="Z395" s="6"/>
      <c r="AX395" s="6" t="str">
        <v>Quarter 2</v>
      </c>
    </row>
    <row r="396" spans="1:50" ht="31.4" customHeight="1" x14ac:dyDescent="0.35">
      <c r="A396" s="162">
        <v>395</v>
      </c>
      <c r="B396" s="4" t="s">
        <v>8</v>
      </c>
      <c r="C396" s="4" t="s">
        <v>8</v>
      </c>
      <c r="D396" s="4" t="s">
        <v>942</v>
      </c>
      <c r="E396" s="157">
        <v>45518</v>
      </c>
      <c r="F396" s="9">
        <f>IF($E396="","",WORKDAY($E396,1,$V$33:$V$41))</f>
        <v>45519</v>
      </c>
      <c r="G396" s="9">
        <f>IF($E396="","",WORKDAY($E396,10,$V$33:$V$41))</f>
        <v>45532</v>
      </c>
      <c r="H396" s="9">
        <f>IF($E396="","",WORKDAY($E396,20,$V$33:$V$41))</f>
        <v>45546</v>
      </c>
      <c r="I396" s="157" t="str">
        <f t="shared" si="7"/>
        <v>Aug</v>
      </c>
      <c r="J396" s="14" t="str">
        <f ca="1">IF(E396="","",IF(N396="",H396-TODAY(),""))</f>
        <v/>
      </c>
      <c r="K396" s="157" t="s">
        <v>5</v>
      </c>
      <c r="L396" s="157" t="s">
        <v>16</v>
      </c>
      <c r="M396" s="157" t="s">
        <v>52</v>
      </c>
      <c r="N396" s="9">
        <v>45523</v>
      </c>
      <c r="O396" s="159">
        <f>IF($N396="","",NETWORKDAYS($E396,$N396,$V$33:$V$47)-1)</f>
        <v>3</v>
      </c>
      <c r="P396" s="10" t="str">
        <f>IF(ISBLANK(N396),"",IF(N396&gt;H396,"No","Yes"))</f>
        <v>Yes</v>
      </c>
      <c r="Q396" s="9" t="s">
        <v>117</v>
      </c>
      <c r="R396" s="4" t="s">
        <v>118</v>
      </c>
      <c r="S396" s="4"/>
      <c r="T396" s="4" t="s">
        <v>141</v>
      </c>
      <c r="U396" s="6"/>
      <c r="V396" s="6"/>
      <c r="W396" s="6"/>
      <c r="X396" s="6"/>
      <c r="Y396" s="6"/>
      <c r="Z396" s="6"/>
      <c r="AX396" s="6" t="str">
        <v>Quarter 2</v>
      </c>
    </row>
    <row r="397" spans="1:50" ht="31.4" customHeight="1" x14ac:dyDescent="0.35">
      <c r="A397" s="162">
        <v>396</v>
      </c>
      <c r="B397" s="4" t="s">
        <v>138</v>
      </c>
      <c r="C397" s="4" t="s">
        <v>19</v>
      </c>
      <c r="D397" s="4" t="s">
        <v>943</v>
      </c>
      <c r="E397" s="157">
        <v>45518</v>
      </c>
      <c r="F397" s="9">
        <f>IF($E397="","",WORKDAY($E397,1,$V$33:$V$41))</f>
        <v>45519</v>
      </c>
      <c r="G397" s="9">
        <f>IF($E397="","",WORKDAY($E397,10,$V$33:$V$41))</f>
        <v>45532</v>
      </c>
      <c r="H397" s="9">
        <f>IF($E397="","",WORKDAY($E397,20,$V$33:$V$41))</f>
        <v>45546</v>
      </c>
      <c r="I397" s="157" t="str">
        <f t="shared" si="7"/>
        <v>Aug</v>
      </c>
      <c r="J397" s="14" t="str">
        <f ca="1">IF(E397="","",IF(N397="",H397-TODAY(),""))</f>
        <v/>
      </c>
      <c r="K397" s="157" t="s">
        <v>124</v>
      </c>
      <c r="L397" s="157" t="s">
        <v>24</v>
      </c>
      <c r="M397" s="157" t="s">
        <v>84</v>
      </c>
      <c r="N397" s="9">
        <v>45519</v>
      </c>
      <c r="O397" s="159">
        <f>IF($N397="","",NETWORKDAYS($E397,$N397,$V$33:$V$47)-1)</f>
        <v>1</v>
      </c>
      <c r="P397" s="10" t="str">
        <f>IF(ISBLANK(N397),"",IF(N397&gt;H397,"No","Yes"))</f>
        <v>Yes</v>
      </c>
      <c r="Q397" s="9" t="s">
        <v>117</v>
      </c>
      <c r="R397" s="4" t="s">
        <v>150</v>
      </c>
      <c r="S397" s="4"/>
      <c r="T397" s="4"/>
      <c r="U397" s="6"/>
      <c r="V397" s="6"/>
      <c r="W397" s="6"/>
      <c r="X397" s="6"/>
      <c r="Y397" s="6"/>
      <c r="Z397" s="6"/>
      <c r="AX397" s="6" t="str">
        <v>Quarter 2</v>
      </c>
    </row>
    <row r="398" spans="1:50" ht="31.4" customHeight="1" x14ac:dyDescent="0.35">
      <c r="A398" s="162">
        <v>397</v>
      </c>
      <c r="B398" s="4" t="s">
        <v>272</v>
      </c>
      <c r="C398" s="4" t="s">
        <v>6</v>
      </c>
      <c r="D398" s="4" t="s">
        <v>944</v>
      </c>
      <c r="E398" s="157">
        <v>45518</v>
      </c>
      <c r="F398" s="9">
        <f>IF($E398="","",WORKDAY($E398,1,$V$33:$V$41))</f>
        <v>45519</v>
      </c>
      <c r="G398" s="9">
        <f>IF($E398="","",WORKDAY($E398,10,$V$33:$V$41))</f>
        <v>45532</v>
      </c>
      <c r="H398" s="9">
        <f>IF($E398="","",WORKDAY($E398,20,$V$33:$V$41))</f>
        <v>45546</v>
      </c>
      <c r="I398" s="157" t="str">
        <f t="shared" si="7"/>
        <v>Aug</v>
      </c>
      <c r="J398" s="14" t="str">
        <f ca="1">IF(E398="","",IF(N398="",H398-TODAY(),""))</f>
        <v/>
      </c>
      <c r="K398" s="157" t="s">
        <v>124</v>
      </c>
      <c r="L398" s="157" t="s">
        <v>20</v>
      </c>
      <c r="M398" s="157" t="s">
        <v>62</v>
      </c>
      <c r="N398" s="9">
        <v>45519</v>
      </c>
      <c r="O398" s="159">
        <f>IF($N398="","",NETWORKDAYS($E398,$N398,$V$33:$V$47)-1)</f>
        <v>1</v>
      </c>
      <c r="P398" s="10" t="str">
        <f>IF(ISBLANK(N398),"",IF(N398&gt;H398,"No","Yes"))</f>
        <v>Yes</v>
      </c>
      <c r="Q398" s="9" t="s">
        <v>117</v>
      </c>
      <c r="R398" s="4" t="s">
        <v>118</v>
      </c>
      <c r="S398" s="4"/>
      <c r="T398" s="4"/>
      <c r="U398" s="6"/>
      <c r="V398" s="6"/>
      <c r="W398" s="6"/>
      <c r="X398" s="6"/>
      <c r="Y398" s="6"/>
      <c r="Z398" s="6"/>
      <c r="AX398" s="6" t="str">
        <v>Quarter 2</v>
      </c>
    </row>
    <row r="399" spans="1:50" ht="31.4" customHeight="1" x14ac:dyDescent="0.35">
      <c r="A399" s="162">
        <v>398</v>
      </c>
      <c r="B399" s="4" t="s">
        <v>209</v>
      </c>
      <c r="C399" s="4" t="s">
        <v>13</v>
      </c>
      <c r="D399" s="4" t="s">
        <v>210</v>
      </c>
      <c r="E399" s="157">
        <v>45519</v>
      </c>
      <c r="F399" s="9">
        <f>IF($E399="","",WORKDAY($E399,1,$V$33:$V$41))</f>
        <v>45520</v>
      </c>
      <c r="G399" s="9">
        <f>IF($E399="","",WORKDAY($E399,10,$V$33:$V$41))</f>
        <v>45533</v>
      </c>
      <c r="H399" s="9">
        <f>IF($E399="","",WORKDAY($E399,20,$V$33:$V$41))</f>
        <v>45547</v>
      </c>
      <c r="I399" s="157" t="str">
        <f t="shared" si="7"/>
        <v>Aug</v>
      </c>
      <c r="J399" s="14" t="str">
        <f ca="1">IF(E399="","",IF(N399="",H399-TODAY(),""))</f>
        <v/>
      </c>
      <c r="K399" s="157" t="s">
        <v>5</v>
      </c>
      <c r="L399" s="157" t="s">
        <v>16</v>
      </c>
      <c r="M399" s="157" t="s">
        <v>71</v>
      </c>
      <c r="N399" s="9">
        <v>45519</v>
      </c>
      <c r="O399" s="159">
        <f>IF($N399="","",NETWORKDAYS($E399,$N399,$V$33:$V$47)-1)</f>
        <v>0</v>
      </c>
      <c r="P399" s="10" t="str">
        <f>IF(ISBLANK(N399),"",IF(N399&gt;H399,"No","Yes"))</f>
        <v>Yes</v>
      </c>
      <c r="Q399" s="9" t="s">
        <v>117</v>
      </c>
      <c r="R399" s="4" t="s">
        <v>118</v>
      </c>
      <c r="S399" s="4"/>
      <c r="T399" s="4"/>
      <c r="U399" s="6"/>
      <c r="V399" s="6"/>
      <c r="W399" s="6"/>
      <c r="X399" s="6"/>
      <c r="Y399" s="6"/>
      <c r="Z399" s="6"/>
      <c r="AX399" s="6" t="str">
        <v>Quarter 2</v>
      </c>
    </row>
    <row r="400" spans="1:50" ht="31.4" customHeight="1" x14ac:dyDescent="0.35">
      <c r="A400" s="162">
        <v>399</v>
      </c>
      <c r="B400" s="4" t="s">
        <v>8</v>
      </c>
      <c r="C400" s="4" t="s">
        <v>8</v>
      </c>
      <c r="D400" s="4" t="s">
        <v>945</v>
      </c>
      <c r="E400" s="157">
        <v>45519</v>
      </c>
      <c r="F400" s="9">
        <f>IF($E400="","",WORKDAY($E400,1,$V$33:$V$41))</f>
        <v>45520</v>
      </c>
      <c r="G400" s="9">
        <f>IF($E400="","",WORKDAY($E400,10,$V$33:$V$41))</f>
        <v>45533</v>
      </c>
      <c r="H400" s="9">
        <f>IF($E400="","",WORKDAY($E400,20,$V$33:$V$41))</f>
        <v>45547</v>
      </c>
      <c r="I400" s="157" t="str">
        <f t="shared" si="7"/>
        <v>Aug</v>
      </c>
      <c r="J400" s="14" t="str">
        <f ca="1">IF(E400="","",IF(N400="",H400-TODAY(),""))</f>
        <v/>
      </c>
      <c r="K400" s="157" t="s">
        <v>5</v>
      </c>
      <c r="L400" s="157" t="s">
        <v>18</v>
      </c>
      <c r="M400" s="157" t="s">
        <v>66</v>
      </c>
      <c r="N400" s="9">
        <v>45519</v>
      </c>
      <c r="O400" s="159">
        <f>IF($N400="","",NETWORKDAYS($E400,$N400,$V$33:$V$47)-1)</f>
        <v>0</v>
      </c>
      <c r="P400" s="10" t="str">
        <f>IF(ISBLANK(N400),"",IF(N400&gt;H400,"No","Yes"))</f>
        <v>Yes</v>
      </c>
      <c r="Q400" s="9" t="s">
        <v>117</v>
      </c>
      <c r="R400" s="4" t="s">
        <v>132</v>
      </c>
      <c r="S400" s="4"/>
      <c r="T400" s="4" t="s">
        <v>946</v>
      </c>
      <c r="U400" s="6"/>
      <c r="V400" s="6"/>
      <c r="W400" s="6"/>
      <c r="X400" s="6"/>
      <c r="Y400" s="6"/>
      <c r="Z400" s="6"/>
      <c r="AX400" s="6" t="str">
        <v>Quarter 2</v>
      </c>
    </row>
    <row r="401" spans="1:50" ht="31.4" customHeight="1" x14ac:dyDescent="0.35">
      <c r="A401" s="162">
        <v>400</v>
      </c>
      <c r="B401" s="4" t="s">
        <v>947</v>
      </c>
      <c r="C401" s="4" t="s">
        <v>13</v>
      </c>
      <c r="D401" s="4" t="s">
        <v>948</v>
      </c>
      <c r="E401" s="157">
        <v>45519</v>
      </c>
      <c r="F401" s="9">
        <f>IF($E401="","",WORKDAY($E401,1,$V$33:$V$41))</f>
        <v>45520</v>
      </c>
      <c r="G401" s="9">
        <f>IF($E401="","",WORKDAY($E401,10,$V$33:$V$41))</f>
        <v>45533</v>
      </c>
      <c r="H401" s="9">
        <f>IF($E401="","",WORKDAY($E401,20,$V$33:$V$41))</f>
        <v>45547</v>
      </c>
      <c r="I401" s="157" t="str">
        <f t="shared" si="7"/>
        <v>Aug</v>
      </c>
      <c r="J401" s="14" t="str">
        <f ca="1">IF(E401="","",IF(N401="",H401-TODAY(),""))</f>
        <v/>
      </c>
      <c r="K401" s="157" t="s">
        <v>5</v>
      </c>
      <c r="L401" s="157" t="s">
        <v>22</v>
      </c>
      <c r="M401" s="157" t="s">
        <v>64</v>
      </c>
      <c r="N401" s="9">
        <v>45523</v>
      </c>
      <c r="O401" s="159">
        <f>IF($N401="","",NETWORKDAYS($E401,$N401,$V$33:$V$47)-1)</f>
        <v>2</v>
      </c>
      <c r="P401" s="10" t="str">
        <f>IF(ISBLANK(N401),"",IF(N401&gt;H401,"No","Yes"))</f>
        <v>Yes</v>
      </c>
      <c r="Q401" s="9" t="s">
        <v>117</v>
      </c>
      <c r="R401" s="4" t="s">
        <v>118</v>
      </c>
      <c r="S401" s="4" t="s">
        <v>135</v>
      </c>
      <c r="T401" s="4"/>
      <c r="U401" s="6"/>
      <c r="V401" s="6"/>
      <c r="W401" s="6"/>
      <c r="X401" s="6"/>
      <c r="Y401" s="6"/>
      <c r="Z401" s="6"/>
      <c r="AX401" s="6" t="str">
        <v>Quarter 2</v>
      </c>
    </row>
    <row r="402" spans="1:50" ht="31.4" customHeight="1" x14ac:dyDescent="0.35">
      <c r="A402" s="162">
        <v>401</v>
      </c>
      <c r="B402" s="4" t="s">
        <v>138</v>
      </c>
      <c r="C402" s="4" t="s">
        <v>19</v>
      </c>
      <c r="D402" s="4" t="s">
        <v>949</v>
      </c>
      <c r="E402" s="157">
        <v>45519</v>
      </c>
      <c r="F402" s="9">
        <f>IF($E402="","",WORKDAY($E402,1,$V$33:$V$41))</f>
        <v>45520</v>
      </c>
      <c r="G402" s="9">
        <f>IF($E402="","",WORKDAY($E402,10,$V$33:$V$41))</f>
        <v>45533</v>
      </c>
      <c r="H402" s="9">
        <f>IF($E402="","",WORKDAY($E402,20,$V$33:$V$41))</f>
        <v>45547</v>
      </c>
      <c r="I402" s="157" t="str">
        <f t="shared" si="7"/>
        <v>Aug</v>
      </c>
      <c r="J402" s="14" t="str">
        <f ca="1">IF(E402="","",IF(N402="",H402-TODAY(),""))</f>
        <v/>
      </c>
      <c r="K402" s="157" t="s">
        <v>5</v>
      </c>
      <c r="L402" s="157" t="s">
        <v>16</v>
      </c>
      <c r="M402" s="157" t="s">
        <v>52</v>
      </c>
      <c r="N402" s="9">
        <v>45523</v>
      </c>
      <c r="O402" s="159">
        <f>IF($N402="","",NETWORKDAYS($E402,$N402,$V$33:$V$47)-1)</f>
        <v>2</v>
      </c>
      <c r="P402" s="10" t="str">
        <f>IF(ISBLANK(N402),"",IF(N402&gt;H402,"No","Yes"))</f>
        <v>Yes</v>
      </c>
      <c r="Q402" s="9" t="s">
        <v>117</v>
      </c>
      <c r="R402" s="4" t="s">
        <v>118</v>
      </c>
      <c r="S402" s="4"/>
      <c r="T402" s="4"/>
      <c r="U402" s="6"/>
      <c r="V402" s="6"/>
      <c r="W402" s="6"/>
      <c r="X402" s="6"/>
      <c r="Y402" s="6"/>
      <c r="Z402" s="6"/>
      <c r="AX402" s="6" t="str">
        <v>Quarter 2</v>
      </c>
    </row>
    <row r="403" spans="1:50" ht="31.4" customHeight="1" x14ac:dyDescent="0.35">
      <c r="A403" s="162">
        <v>402</v>
      </c>
      <c r="B403" s="4" t="s">
        <v>138</v>
      </c>
      <c r="C403" s="4" t="s">
        <v>19</v>
      </c>
      <c r="D403" s="4" t="s">
        <v>950</v>
      </c>
      <c r="E403" s="157">
        <v>45519</v>
      </c>
      <c r="F403" s="9">
        <f>IF($E403="","",WORKDAY($E403,1,$V$33:$V$41))</f>
        <v>45520</v>
      </c>
      <c r="G403" s="9">
        <f>IF($E403="","",WORKDAY($E403,10,$V$33:$V$41))</f>
        <v>45533</v>
      </c>
      <c r="H403" s="9">
        <f>IF($E403="","",WORKDAY($E403,20,$V$33:$V$41))</f>
        <v>45547</v>
      </c>
      <c r="I403" s="157" t="str">
        <f t="shared" si="7"/>
        <v>Aug</v>
      </c>
      <c r="J403" s="14" t="str">
        <f ca="1">IF(E403="","",IF(N403="",H403-TODAY(),""))</f>
        <v/>
      </c>
      <c r="K403" s="157" t="s">
        <v>5</v>
      </c>
      <c r="L403" s="157" t="s">
        <v>16</v>
      </c>
      <c r="M403" s="157" t="s">
        <v>67</v>
      </c>
      <c r="N403" s="9">
        <v>45523</v>
      </c>
      <c r="O403" s="159">
        <f>IF($N403="","",NETWORKDAYS($E403,$N403,$V$33:$V$47)-1)</f>
        <v>2</v>
      </c>
      <c r="P403" s="10" t="str">
        <f>IF(ISBLANK(N403),"",IF(N403&gt;H403,"No","Yes"))</f>
        <v>Yes</v>
      </c>
      <c r="Q403" s="9" t="s">
        <v>117</v>
      </c>
      <c r="R403" s="4" t="s">
        <v>118</v>
      </c>
      <c r="S403" s="4"/>
      <c r="T403" s="4"/>
      <c r="U403" s="6"/>
      <c r="V403" s="6"/>
      <c r="W403" s="6"/>
      <c r="X403" s="6"/>
      <c r="Y403" s="6"/>
      <c r="Z403" s="6"/>
      <c r="AX403" s="6" t="str">
        <v>Quarter 2</v>
      </c>
    </row>
    <row r="404" spans="1:50" ht="31.4" customHeight="1" x14ac:dyDescent="0.35">
      <c r="A404" s="162">
        <v>403</v>
      </c>
      <c r="B404" s="4" t="s">
        <v>138</v>
      </c>
      <c r="C404" s="4" t="s">
        <v>19</v>
      </c>
      <c r="D404" s="4" t="s">
        <v>951</v>
      </c>
      <c r="E404" s="157">
        <v>45519</v>
      </c>
      <c r="F404" s="9">
        <f>IF($E404="","",WORKDAY($E404,1,$V$33:$V$41))</f>
        <v>45520</v>
      </c>
      <c r="G404" s="9">
        <f>IF($E404="","",WORKDAY($E404,10,$V$33:$V$41))</f>
        <v>45533</v>
      </c>
      <c r="H404" s="9">
        <f>IF($E404="","",WORKDAY($E404,20,$V$33:$V$41))</f>
        <v>45547</v>
      </c>
      <c r="I404" s="157" t="str">
        <f t="shared" si="7"/>
        <v>Aug</v>
      </c>
      <c r="J404" s="14" t="str">
        <f ca="1">IF(E404="","",IF(N404="",H404-TODAY(),""))</f>
        <v/>
      </c>
      <c r="K404" s="157" t="s">
        <v>10</v>
      </c>
      <c r="L404" s="157" t="s">
        <v>27</v>
      </c>
      <c r="M404" s="157" t="s">
        <v>37</v>
      </c>
      <c r="N404" s="9">
        <v>45532</v>
      </c>
      <c r="O404" s="159">
        <f>IF($N404="","",NETWORKDAYS($E404,$N404,$V$33:$V$47)-1)</f>
        <v>9</v>
      </c>
      <c r="P404" s="10" t="str">
        <f>IF(ISBLANK(N404),"",IF(N404&gt;H404,"No","Yes"))</f>
        <v>Yes</v>
      </c>
      <c r="Q404" s="9" t="s">
        <v>117</v>
      </c>
      <c r="R404" s="4" t="s">
        <v>118</v>
      </c>
      <c r="S404" s="4"/>
      <c r="T404" s="4"/>
      <c r="U404" s="6"/>
      <c r="V404" s="6"/>
      <c r="W404" s="6"/>
      <c r="X404" s="6"/>
      <c r="Y404" s="6"/>
      <c r="Z404" s="6"/>
      <c r="AX404" s="6" t="str">
        <v>Quarter 2</v>
      </c>
    </row>
    <row r="405" spans="1:50" ht="31.4" customHeight="1" x14ac:dyDescent="0.35">
      <c r="A405" s="162">
        <v>404</v>
      </c>
      <c r="B405" s="4" t="s">
        <v>8</v>
      </c>
      <c r="C405" s="4" t="s">
        <v>8</v>
      </c>
      <c r="D405" s="4" t="s">
        <v>275</v>
      </c>
      <c r="E405" s="157">
        <v>45519</v>
      </c>
      <c r="F405" s="9">
        <f>IF($E405="","",WORKDAY($E405,1,$V$33:$V$41))</f>
        <v>45520</v>
      </c>
      <c r="G405" s="9">
        <f>IF($E405="","",WORKDAY($E405,10,$V$33:$V$41))</f>
        <v>45533</v>
      </c>
      <c r="H405" s="9">
        <f>IF($E405="","",WORKDAY($E405,20,$V$33:$V$41))</f>
        <v>45547</v>
      </c>
      <c r="I405" s="157" t="str">
        <f t="shared" si="7"/>
        <v>Aug</v>
      </c>
      <c r="J405" s="14" t="str">
        <f ca="1">IF(E405="","",IF(N405="",H405-TODAY(),""))</f>
        <v/>
      </c>
      <c r="K405" s="157" t="s">
        <v>124</v>
      </c>
      <c r="L405" s="157" t="s">
        <v>20</v>
      </c>
      <c r="M405" s="157" t="s">
        <v>70</v>
      </c>
      <c r="N405" s="9">
        <v>45531</v>
      </c>
      <c r="O405" s="159">
        <f>IF($N405="","",NETWORKDAYS($E405,$N405,$V$33:$V$47)-1)</f>
        <v>8</v>
      </c>
      <c r="P405" s="10" t="str">
        <f>IF(ISBLANK(N405),"",IF(N405&gt;H405,"No","Yes"))</f>
        <v>Yes</v>
      </c>
      <c r="Q405" s="9" t="s">
        <v>117</v>
      </c>
      <c r="R405" s="4" t="s">
        <v>126</v>
      </c>
      <c r="S405" s="4" t="s">
        <v>134</v>
      </c>
      <c r="T405" s="4"/>
      <c r="U405" s="6"/>
      <c r="V405" s="6"/>
      <c r="W405" s="6"/>
      <c r="X405" s="6"/>
      <c r="Y405" s="6"/>
      <c r="Z405" s="6"/>
      <c r="AX405" s="6" t="str">
        <v>Quarter 2</v>
      </c>
    </row>
    <row r="406" spans="1:50" ht="31.4" customHeight="1" x14ac:dyDescent="0.35">
      <c r="A406" s="162">
        <v>405</v>
      </c>
      <c r="B406" s="4" t="s">
        <v>952</v>
      </c>
      <c r="C406" s="4" t="s">
        <v>13</v>
      </c>
      <c r="D406" s="4" t="s">
        <v>953</v>
      </c>
      <c r="E406" s="157">
        <v>45519</v>
      </c>
      <c r="F406" s="9">
        <f>IF($E406="","",WORKDAY($E406,1,$V$33:$V$41))</f>
        <v>45520</v>
      </c>
      <c r="G406" s="9">
        <f>IF($E406="","",WORKDAY($E406,10,$V$33:$V$41))</f>
        <v>45533</v>
      </c>
      <c r="H406" s="9">
        <f>IF($E406="","",WORKDAY($E406,20,$V$33:$V$41))</f>
        <v>45547</v>
      </c>
      <c r="I406" s="157" t="str">
        <f t="shared" si="7"/>
        <v>Aug</v>
      </c>
      <c r="J406" s="14" t="str">
        <f ca="1">IF(E406="","",IF(N406="",H406-TODAY(),""))</f>
        <v/>
      </c>
      <c r="K406" s="157" t="s">
        <v>5</v>
      </c>
      <c r="L406" s="157" t="s">
        <v>16</v>
      </c>
      <c r="M406" s="157" t="s">
        <v>67</v>
      </c>
      <c r="N406" s="9">
        <v>45523</v>
      </c>
      <c r="O406" s="159">
        <f>IF($N406="","",NETWORKDAYS($E406,$N406,$V$33:$V$47)-1)</f>
        <v>2</v>
      </c>
      <c r="P406" s="10" t="str">
        <f>IF(ISBLANK(N406),"",IF(N406&gt;H406,"No","Yes"))</f>
        <v>Yes</v>
      </c>
      <c r="Q406" s="9" t="s">
        <v>117</v>
      </c>
      <c r="R406" s="4" t="s">
        <v>118</v>
      </c>
      <c r="S406" s="4" t="s">
        <v>119</v>
      </c>
      <c r="T406" s="4"/>
      <c r="U406" s="6"/>
      <c r="V406" s="6"/>
      <c r="W406" s="6"/>
      <c r="X406" s="6"/>
      <c r="Y406" s="6"/>
      <c r="Z406" s="6"/>
      <c r="AX406" s="6" t="str">
        <v>Quarter 2</v>
      </c>
    </row>
    <row r="407" spans="1:50" ht="31.4" customHeight="1" x14ac:dyDescent="0.35">
      <c r="A407" s="162">
        <v>406</v>
      </c>
      <c r="B407" s="4" t="s">
        <v>954</v>
      </c>
      <c r="C407" s="4" t="s">
        <v>13</v>
      </c>
      <c r="D407" s="4" t="s">
        <v>955</v>
      </c>
      <c r="E407" s="157">
        <v>45520</v>
      </c>
      <c r="F407" s="9">
        <f>IF($E407="","",WORKDAY($E407,1,$V$33:$V$41))</f>
        <v>45523</v>
      </c>
      <c r="G407" s="9">
        <f>IF($E407="","",WORKDAY($E407,10,$V$33:$V$41))</f>
        <v>45534</v>
      </c>
      <c r="H407" s="9">
        <f>IF($E407="","",WORKDAY($E407,20,$V$33:$V$41))</f>
        <v>45548</v>
      </c>
      <c r="I407" s="157" t="str">
        <f t="shared" si="7"/>
        <v>Aug</v>
      </c>
      <c r="J407" s="14" t="str">
        <f ca="1">IF(E407="","",IF(N407="",H407-TODAY(),""))</f>
        <v/>
      </c>
      <c r="K407" s="157" t="s">
        <v>5</v>
      </c>
      <c r="L407" s="157" t="s">
        <v>16</v>
      </c>
      <c r="M407" s="157" t="s">
        <v>52</v>
      </c>
      <c r="N407" s="9">
        <v>45544</v>
      </c>
      <c r="O407" s="159">
        <f>IF($N407="","",NETWORKDAYS($E407,$N407,$V$33:$V$47)-1)</f>
        <v>16</v>
      </c>
      <c r="P407" s="10" t="str">
        <f>IF(ISBLANK(N407),"",IF(N407&gt;H407,"No","Yes"))</f>
        <v>Yes</v>
      </c>
      <c r="Q407" s="9" t="s">
        <v>117</v>
      </c>
      <c r="R407" s="4" t="s">
        <v>150</v>
      </c>
      <c r="S407" s="4"/>
      <c r="T407" s="4"/>
      <c r="U407" s="6"/>
      <c r="V407" s="6"/>
      <c r="W407" s="6"/>
      <c r="X407" s="6"/>
      <c r="Y407" s="6"/>
      <c r="Z407" s="6"/>
      <c r="AX407" s="6" t="str">
        <v>Quarter 2</v>
      </c>
    </row>
    <row r="408" spans="1:50" ht="31.4" customHeight="1" x14ac:dyDescent="0.35">
      <c r="A408" s="162">
        <v>407</v>
      </c>
      <c r="B408" s="4" t="s">
        <v>8</v>
      </c>
      <c r="C408" s="4" t="s">
        <v>8</v>
      </c>
      <c r="D408" s="164" t="s">
        <v>956</v>
      </c>
      <c r="E408" s="157">
        <v>45520</v>
      </c>
      <c r="F408" s="9">
        <f>IF($E408="","",WORKDAY($E408,1,$V$33:$V$41))</f>
        <v>45523</v>
      </c>
      <c r="G408" s="9">
        <f>IF($E408="","",WORKDAY($E408,10,$V$33:$V$41))</f>
        <v>45534</v>
      </c>
      <c r="H408" s="9">
        <f>IF($E408="","",WORKDAY($E408,20,$V$33:$V$41))</f>
        <v>45548</v>
      </c>
      <c r="I408" s="157" t="str">
        <f t="shared" si="7"/>
        <v>Aug</v>
      </c>
      <c r="J408" s="14" t="str">
        <f ca="1">IF(E408="","",IF(N408="",H408-TODAY(),""))</f>
        <v/>
      </c>
      <c r="K408" s="157" t="s">
        <v>5</v>
      </c>
      <c r="L408" s="157" t="s">
        <v>16</v>
      </c>
      <c r="M408" s="157" t="s">
        <v>67</v>
      </c>
      <c r="N408" s="9">
        <v>45531</v>
      </c>
      <c r="O408" s="159">
        <f>IF($N408="","",NETWORKDAYS($E408,$N408,$V$33:$V$47)-1)</f>
        <v>7</v>
      </c>
      <c r="P408" s="10" t="str">
        <f>IF(ISBLANK(N408),"",IF(N408&gt;H408,"No","Yes"))</f>
        <v>Yes</v>
      </c>
      <c r="Q408" s="9" t="s">
        <v>117</v>
      </c>
      <c r="R408" s="4" t="s">
        <v>118</v>
      </c>
      <c r="S408" s="4"/>
      <c r="T408" s="4"/>
      <c r="U408" s="6"/>
      <c r="V408" s="6"/>
      <c r="W408" s="6"/>
      <c r="X408" s="6"/>
      <c r="Y408" s="6"/>
      <c r="Z408" s="6"/>
      <c r="AX408" s="6" t="str">
        <v>Quarter 2</v>
      </c>
    </row>
    <row r="409" spans="1:50" ht="31.4" customHeight="1" x14ac:dyDescent="0.35">
      <c r="A409" s="162">
        <v>408</v>
      </c>
      <c r="B409" s="4" t="s">
        <v>8</v>
      </c>
      <c r="C409" s="4" t="s">
        <v>8</v>
      </c>
      <c r="D409" s="4" t="s">
        <v>957</v>
      </c>
      <c r="E409" s="157">
        <v>45520</v>
      </c>
      <c r="F409" s="9">
        <f>IF($E409="","",WORKDAY($E409,1,$V$33:$V$41))</f>
        <v>45523</v>
      </c>
      <c r="G409" s="9">
        <f>IF($E409="","",WORKDAY($E409,10,$V$33:$V$41))</f>
        <v>45534</v>
      </c>
      <c r="H409" s="9">
        <f>IF($E409="","",WORKDAY($E409,20,$V$33:$V$41))</f>
        <v>45548</v>
      </c>
      <c r="I409" s="157" t="str">
        <f t="shared" si="7"/>
        <v>Aug</v>
      </c>
      <c r="J409" s="14" t="str">
        <f ca="1">IF(E409="","",IF(N409="",H409-TODAY(),""))</f>
        <v/>
      </c>
      <c r="K409" s="157" t="s">
        <v>124</v>
      </c>
      <c r="L409" s="157" t="s">
        <v>20</v>
      </c>
      <c r="M409" s="157" t="s">
        <v>78</v>
      </c>
      <c r="N409" s="9">
        <v>45538</v>
      </c>
      <c r="O409" s="159">
        <f>IF($N409="","",NETWORKDAYS($E409,$N409,$V$33:$V$47)-1)</f>
        <v>12</v>
      </c>
      <c r="P409" s="10" t="str">
        <f>IF(ISBLANK(N409),"",IF(N409&gt;H409,"No","Yes"))</f>
        <v>Yes</v>
      </c>
      <c r="Q409" s="9" t="s">
        <v>117</v>
      </c>
      <c r="R409" s="4" t="s">
        <v>118</v>
      </c>
      <c r="S409" s="4"/>
      <c r="T409" s="4" t="s">
        <v>141</v>
      </c>
      <c r="U409" s="6"/>
      <c r="V409" s="6"/>
      <c r="W409" s="6"/>
      <c r="X409" s="6"/>
      <c r="Y409" s="6"/>
      <c r="Z409" s="6"/>
      <c r="AX409" s="6" t="str">
        <v>Quarter 2</v>
      </c>
    </row>
    <row r="410" spans="1:50" ht="31.4" customHeight="1" x14ac:dyDescent="0.35">
      <c r="A410" s="162">
        <v>409</v>
      </c>
      <c r="B410" s="4" t="s">
        <v>138</v>
      </c>
      <c r="C410" s="4" t="s">
        <v>19</v>
      </c>
      <c r="D410" s="4" t="s">
        <v>958</v>
      </c>
      <c r="E410" s="157">
        <v>45523</v>
      </c>
      <c r="F410" s="9">
        <f>IF($E410="","",WORKDAY($E410,1,$V$33:$V$41))</f>
        <v>45524</v>
      </c>
      <c r="G410" s="9">
        <f>IF($E410="","",WORKDAY($E410,10,$V$33:$V$41))</f>
        <v>45537</v>
      </c>
      <c r="H410" s="9">
        <f>IF($E410="","",WORKDAY($E410,20,$V$33:$V$41))</f>
        <v>45551</v>
      </c>
      <c r="I410" s="157" t="str">
        <f t="shared" si="7"/>
        <v>Aug</v>
      </c>
      <c r="J410" s="14" t="str">
        <f ca="1">IF(E410="","",IF(N410="",H410-TODAY(),""))</f>
        <v/>
      </c>
      <c r="K410" s="157" t="s">
        <v>10</v>
      </c>
      <c r="L410" s="157" t="s">
        <v>12</v>
      </c>
      <c r="M410" s="157" t="s">
        <v>91</v>
      </c>
      <c r="N410" s="9">
        <v>45538</v>
      </c>
      <c r="O410" s="159">
        <f>IF($N410="","",NETWORKDAYS($E410,$N410,$V$33:$V$47)-1)</f>
        <v>11</v>
      </c>
      <c r="P410" s="10" t="str">
        <f>IF(ISBLANK(N410),"",IF(N410&gt;H410,"No","Yes"))</f>
        <v>Yes</v>
      </c>
      <c r="Q410" s="9" t="s">
        <v>117</v>
      </c>
      <c r="R410" s="4" t="s">
        <v>150</v>
      </c>
      <c r="S410" s="4"/>
      <c r="T410" s="4"/>
      <c r="U410" s="6"/>
      <c r="V410" s="6"/>
      <c r="W410" s="6"/>
      <c r="X410" s="6"/>
      <c r="Y410" s="6"/>
      <c r="Z410" s="6"/>
      <c r="AX410" s="6" t="str">
        <v>Quarter 2</v>
      </c>
    </row>
    <row r="411" spans="1:50" ht="31.4" customHeight="1" x14ac:dyDescent="0.35">
      <c r="A411" s="162">
        <v>410</v>
      </c>
      <c r="B411" s="4" t="s">
        <v>138</v>
      </c>
      <c r="C411" s="4" t="s">
        <v>19</v>
      </c>
      <c r="D411" s="4" t="s">
        <v>959</v>
      </c>
      <c r="E411" s="157">
        <v>45523</v>
      </c>
      <c r="F411" s="9">
        <f>IF($E411="","",WORKDAY($E411,1,$V$33:$V$41))</f>
        <v>45524</v>
      </c>
      <c r="G411" s="9">
        <f>IF($E411="","",WORKDAY($E411,10,$V$33:$V$41))</f>
        <v>45537</v>
      </c>
      <c r="H411" s="9">
        <f>IF($E411="","",WORKDAY($E411,20,$V$33:$V$41))</f>
        <v>45551</v>
      </c>
      <c r="I411" s="157" t="str">
        <f t="shared" si="7"/>
        <v>Aug</v>
      </c>
      <c r="J411" s="14" t="str">
        <f ca="1">IF(E411="","",IF(N411="",H411-TODAY(),""))</f>
        <v/>
      </c>
      <c r="K411" s="157" t="s">
        <v>124</v>
      </c>
      <c r="L411" s="157" t="s">
        <v>24</v>
      </c>
      <c r="M411" s="157" t="s">
        <v>87</v>
      </c>
      <c r="N411" s="9">
        <v>45532</v>
      </c>
      <c r="O411" s="159">
        <f>IF($N411="","",NETWORKDAYS($E411,$N411,$V$33:$V$47)-1)</f>
        <v>7</v>
      </c>
      <c r="P411" s="10" t="str">
        <f>IF(ISBLANK(N411),"",IF(N411&gt;H411,"No","Yes"))</f>
        <v>Yes</v>
      </c>
      <c r="Q411" s="9" t="s">
        <v>117</v>
      </c>
      <c r="R411" s="4" t="s">
        <v>126</v>
      </c>
      <c r="S411" s="4"/>
      <c r="T411" s="4"/>
      <c r="U411" s="6"/>
      <c r="V411" s="6"/>
      <c r="W411" s="6"/>
      <c r="X411" s="6"/>
      <c r="Y411" s="6"/>
      <c r="Z411" s="6"/>
      <c r="AX411" s="6" t="str">
        <v>Quarter 2</v>
      </c>
    </row>
    <row r="412" spans="1:50" ht="31.4" customHeight="1" x14ac:dyDescent="0.35">
      <c r="A412" s="162">
        <v>411</v>
      </c>
      <c r="B412" s="7" t="s">
        <v>771</v>
      </c>
      <c r="C412" s="7" t="s">
        <v>23</v>
      </c>
      <c r="D412" s="7" t="s">
        <v>960</v>
      </c>
      <c r="E412" s="25">
        <v>45524</v>
      </c>
      <c r="F412" s="9">
        <f>IF($E412="","",WORKDAY($E412,1,$V$33:$V$41))</f>
        <v>45525</v>
      </c>
      <c r="G412" s="9">
        <f>IF($E412="","",WORKDAY($E412,10,$V$33:$V$41))</f>
        <v>45538</v>
      </c>
      <c r="H412" s="9">
        <f>IF($E412="","",WORKDAY($E412,20,$V$33:$V$41))</f>
        <v>45552</v>
      </c>
      <c r="I412" s="157" t="str">
        <f t="shared" si="7"/>
        <v>Aug</v>
      </c>
      <c r="J412" s="14" t="str">
        <f ca="1">IF(E412="","",IF(N412="",H412-TODAY(),""))</f>
        <v/>
      </c>
      <c r="K412" s="25" t="s">
        <v>5</v>
      </c>
      <c r="L412" s="25" t="s">
        <v>16</v>
      </c>
      <c r="M412" s="25" t="s">
        <v>67</v>
      </c>
      <c r="N412" s="9">
        <v>45539</v>
      </c>
      <c r="O412" s="159">
        <f>IF($N412="","",NETWORKDAYS($E412,$N412,$V$33:$V$47)-1)</f>
        <v>11</v>
      </c>
      <c r="P412" s="10" t="str">
        <f>IF(ISBLANK(N412),"",IF(N412&gt;H412,"No","Yes"))</f>
        <v>Yes</v>
      </c>
      <c r="Q412" s="9" t="s">
        <v>117</v>
      </c>
      <c r="R412" s="4" t="s">
        <v>118</v>
      </c>
      <c r="S412" s="7"/>
      <c r="T412" s="4"/>
      <c r="U412" s="6"/>
      <c r="V412" s="6"/>
      <c r="W412" s="6"/>
      <c r="X412" s="6"/>
      <c r="Y412" s="6"/>
      <c r="Z412" s="6"/>
      <c r="AX412" s="6" t="str">
        <v>Quarter 2</v>
      </c>
    </row>
    <row r="413" spans="1:50" ht="31.4" customHeight="1" x14ac:dyDescent="0.35">
      <c r="A413" s="162">
        <v>412</v>
      </c>
      <c r="B413" s="4" t="s">
        <v>961</v>
      </c>
      <c r="C413" s="4" t="s">
        <v>13</v>
      </c>
      <c r="D413" s="4" t="s">
        <v>962</v>
      </c>
      <c r="E413" s="157">
        <v>45523</v>
      </c>
      <c r="F413" s="9">
        <f>IF($E413="","",WORKDAY($E413,1,$V$33:$V$41))</f>
        <v>45524</v>
      </c>
      <c r="G413" s="9">
        <f>IF($E413="","",WORKDAY($E413,10,$V$33:$V$41))</f>
        <v>45537</v>
      </c>
      <c r="H413" s="9">
        <f>IF($E413="","",WORKDAY($E413,20,$V$33:$V$41))</f>
        <v>45551</v>
      </c>
      <c r="I413" s="157" t="str">
        <f t="shared" si="7"/>
        <v>Aug</v>
      </c>
      <c r="J413" s="14" t="str">
        <f ca="1">IF(E413="","",IF(N413="",H413-TODAY(),""))</f>
        <v/>
      </c>
      <c r="K413" s="157" t="s">
        <v>5</v>
      </c>
      <c r="L413" s="157" t="s">
        <v>18</v>
      </c>
      <c r="M413" s="157" t="s">
        <v>66</v>
      </c>
      <c r="N413" s="9">
        <v>45523</v>
      </c>
      <c r="O413" s="159">
        <f>IF($N413="","",NETWORKDAYS($E413,$N413,$V$33:$V$47)-1)</f>
        <v>0</v>
      </c>
      <c r="P413" s="10" t="str">
        <f>IF(ISBLANK(N413),"",IF(N413&gt;H413,"No","Yes"))</f>
        <v>Yes</v>
      </c>
      <c r="Q413" s="9" t="s">
        <v>117</v>
      </c>
      <c r="R413" s="4" t="s">
        <v>118</v>
      </c>
      <c r="S413" s="4" t="s">
        <v>135</v>
      </c>
      <c r="T413" s="4"/>
      <c r="U413" s="6"/>
      <c r="V413" s="6"/>
      <c r="W413" s="6"/>
      <c r="X413" s="6"/>
      <c r="Y413" s="6"/>
      <c r="Z413" s="6"/>
      <c r="AX413" s="6" t="str">
        <v>Quarter 2</v>
      </c>
    </row>
    <row r="414" spans="1:50" ht="31.4" customHeight="1" x14ac:dyDescent="0.35">
      <c r="A414" s="162">
        <v>413</v>
      </c>
      <c r="B414" s="4" t="s">
        <v>8</v>
      </c>
      <c r="C414" s="4" t="s">
        <v>8</v>
      </c>
      <c r="D414" s="4" t="s">
        <v>963</v>
      </c>
      <c r="E414" s="157">
        <v>45523</v>
      </c>
      <c r="F414" s="9">
        <f>IF($E414="","",WORKDAY($E414,1,$V$33:$V$41))</f>
        <v>45524</v>
      </c>
      <c r="G414" s="9">
        <f>IF($E414="","",WORKDAY($E414,10,$V$33:$V$41))</f>
        <v>45537</v>
      </c>
      <c r="H414" s="9">
        <f>IF($E414="","",WORKDAY($E414,20,$V$33:$V$41))</f>
        <v>45551</v>
      </c>
      <c r="I414" s="157" t="str">
        <f t="shared" si="7"/>
        <v>Aug</v>
      </c>
      <c r="J414" s="14" t="str">
        <f ca="1">IF(E414="","",IF(N414="",H414-TODAY(),""))</f>
        <v/>
      </c>
      <c r="K414" s="157" t="s">
        <v>5</v>
      </c>
      <c r="L414" s="157" t="s">
        <v>18</v>
      </c>
      <c r="M414" s="157" t="s">
        <v>80</v>
      </c>
      <c r="N414" s="9">
        <v>45544</v>
      </c>
      <c r="O414" s="159">
        <f>IF($N414="","",NETWORKDAYS($E414,$N414,$V$33:$V$47)-1)</f>
        <v>15</v>
      </c>
      <c r="P414" s="10" t="str">
        <f>IF(ISBLANK(N414),"",IF(N414&gt;H414,"No","Yes"))</f>
        <v>Yes</v>
      </c>
      <c r="Q414" s="9" t="s">
        <v>117</v>
      </c>
      <c r="R414" s="4" t="s">
        <v>118</v>
      </c>
      <c r="S414" s="4" t="s">
        <v>135</v>
      </c>
      <c r="T414" s="4" t="s">
        <v>141</v>
      </c>
      <c r="U414" s="6"/>
      <c r="V414" s="6"/>
      <c r="W414" s="6"/>
      <c r="X414" s="6"/>
      <c r="Y414" s="6"/>
      <c r="Z414" s="6"/>
      <c r="AX414" s="6" t="str">
        <v>Quarter 2</v>
      </c>
    </row>
    <row r="415" spans="1:50" ht="31.4" customHeight="1" x14ac:dyDescent="0.35">
      <c r="A415" s="162">
        <v>414</v>
      </c>
      <c r="B415" s="4" t="s">
        <v>8</v>
      </c>
      <c r="C415" s="4" t="s">
        <v>8</v>
      </c>
      <c r="D415" s="10" t="s">
        <v>964</v>
      </c>
      <c r="E415" s="157">
        <v>45524</v>
      </c>
      <c r="F415" s="9">
        <f>IF($E415="","",WORKDAY($E415,1,$V$33:$V$41))</f>
        <v>45525</v>
      </c>
      <c r="G415" s="9">
        <f>IF($E415="","",WORKDAY($E415,10,$V$33:$V$41))</f>
        <v>45538</v>
      </c>
      <c r="H415" s="9">
        <f>IF($E415="","",WORKDAY($E415,20,$V$33:$V$41))</f>
        <v>45552</v>
      </c>
      <c r="I415" s="157" t="str">
        <f t="shared" si="7"/>
        <v>Aug</v>
      </c>
      <c r="J415" s="14" t="str">
        <f ca="1">IF(E415="","",IF(N415="",H415-TODAY(),""))</f>
        <v/>
      </c>
      <c r="K415" s="157" t="s">
        <v>5</v>
      </c>
      <c r="L415" s="157" t="s">
        <v>18</v>
      </c>
      <c r="M415" s="157" t="s">
        <v>42</v>
      </c>
      <c r="N415" s="9">
        <v>45538</v>
      </c>
      <c r="O415" s="159">
        <f>IF($N415="","",NETWORKDAYS($E415,$N415,$V$33:$V$47)-1)</f>
        <v>10</v>
      </c>
      <c r="P415" s="10" t="str">
        <f>IF(ISBLANK(N415),"",IF(N415&gt;H415,"No","Yes"))</f>
        <v>Yes</v>
      </c>
      <c r="Q415" s="9" t="s">
        <v>117</v>
      </c>
      <c r="R415" s="4" t="s">
        <v>118</v>
      </c>
      <c r="S415" s="4"/>
      <c r="T415" s="4"/>
      <c r="U415" s="6"/>
      <c r="V415" s="6"/>
      <c r="W415" s="6"/>
      <c r="X415" s="6"/>
      <c r="Y415" s="6"/>
      <c r="Z415" s="6"/>
      <c r="AX415" s="6" t="str">
        <v>Quarter 2</v>
      </c>
    </row>
    <row r="416" spans="1:50" ht="31.4" customHeight="1" x14ac:dyDescent="0.35">
      <c r="A416" s="162">
        <v>415</v>
      </c>
      <c r="B416" s="4" t="s">
        <v>8</v>
      </c>
      <c r="C416" s="4" t="s">
        <v>8</v>
      </c>
      <c r="D416" s="4" t="s">
        <v>788</v>
      </c>
      <c r="E416" s="157">
        <v>45524</v>
      </c>
      <c r="F416" s="9">
        <f>IF($E416="","",WORKDAY($E416,1,$V$33:$V$41))</f>
        <v>45525</v>
      </c>
      <c r="G416" s="9">
        <f>IF($E416="","",WORKDAY($E416,10,$V$33:$V$41))</f>
        <v>45538</v>
      </c>
      <c r="H416" s="9">
        <f>IF($E416="","",WORKDAY($E416,20,$V$33:$V$41))</f>
        <v>45552</v>
      </c>
      <c r="I416" s="157" t="str">
        <f t="shared" si="7"/>
        <v>Aug</v>
      </c>
      <c r="J416" s="14" t="str">
        <f ca="1">IF(E416="","",IF(N416="",H416-TODAY(),""))</f>
        <v/>
      </c>
      <c r="K416" s="157" t="s">
        <v>124</v>
      </c>
      <c r="L416" s="157" t="s">
        <v>20</v>
      </c>
      <c r="M416" s="157" t="s">
        <v>79</v>
      </c>
      <c r="N416" s="9">
        <v>45538</v>
      </c>
      <c r="O416" s="159">
        <f>IF($N416="","",NETWORKDAYS($E416,$N416,$V$33:$V$47)-1)</f>
        <v>10</v>
      </c>
      <c r="P416" s="10" t="str">
        <f>IF(ISBLANK(N416),"",IF(N416&gt;H416,"No","Yes"))</f>
        <v>Yes</v>
      </c>
      <c r="Q416" s="9" t="s">
        <v>117</v>
      </c>
      <c r="R416" s="4" t="s">
        <v>118</v>
      </c>
      <c r="S416" s="4"/>
      <c r="T416" s="4"/>
      <c r="U416" s="6"/>
      <c r="V416" s="6"/>
      <c r="W416" s="6"/>
      <c r="X416" s="6"/>
      <c r="Y416" s="6"/>
      <c r="Z416" s="6"/>
      <c r="AX416" s="6" t="str">
        <v>Quarter 2</v>
      </c>
    </row>
    <row r="417" spans="1:50" ht="31.4" customHeight="1" x14ac:dyDescent="0.35">
      <c r="A417" s="162">
        <v>416</v>
      </c>
      <c r="B417" s="4" t="s">
        <v>8</v>
      </c>
      <c r="C417" s="4" t="s">
        <v>8</v>
      </c>
      <c r="D417" s="4" t="s">
        <v>965</v>
      </c>
      <c r="E417" s="157">
        <v>45525</v>
      </c>
      <c r="F417" s="9">
        <f>IF($E417="","",WORKDAY($E417,1,$V$33:$V$41))</f>
        <v>45526</v>
      </c>
      <c r="G417" s="9">
        <f>IF($E417="","",WORKDAY($E417,10,$V$33:$V$41))</f>
        <v>45539</v>
      </c>
      <c r="H417" s="9">
        <f>IF($E417="","",WORKDAY($E417,20,$V$33:$V$41))</f>
        <v>45553</v>
      </c>
      <c r="I417" s="157" t="str">
        <f t="shared" si="7"/>
        <v>Aug</v>
      </c>
      <c r="J417" s="14" t="str">
        <f ca="1">IF(E417="","",IF(N417="",H417-TODAY(),""))</f>
        <v/>
      </c>
      <c r="K417" s="157" t="s">
        <v>124</v>
      </c>
      <c r="L417" s="157" t="s">
        <v>24</v>
      </c>
      <c r="M417" s="157" t="s">
        <v>87</v>
      </c>
      <c r="N417" s="9">
        <v>45531</v>
      </c>
      <c r="O417" s="159">
        <f>IF($N417="","",NETWORKDAYS($E417,$N417,$V$33:$V$47)-1)</f>
        <v>4</v>
      </c>
      <c r="P417" s="10" t="str">
        <f>IF(ISBLANK(N417),"",IF(N417&gt;H417,"No","Yes"))</f>
        <v>Yes</v>
      </c>
      <c r="Q417" s="9" t="s">
        <v>117</v>
      </c>
      <c r="R417" s="4" t="s">
        <v>118</v>
      </c>
      <c r="S417" s="4"/>
      <c r="T417" s="4"/>
      <c r="U417" s="6"/>
      <c r="V417" s="6"/>
      <c r="W417" s="6"/>
      <c r="X417" s="6"/>
      <c r="Y417" s="6"/>
      <c r="Z417" s="6"/>
      <c r="AX417" s="6" t="str">
        <v>Quarter 2</v>
      </c>
    </row>
    <row r="418" spans="1:50" ht="31.4" customHeight="1" x14ac:dyDescent="0.35">
      <c r="A418" s="162">
        <v>417</v>
      </c>
      <c r="B418" s="4" t="s">
        <v>966</v>
      </c>
      <c r="C418" s="4" t="s">
        <v>15</v>
      </c>
      <c r="D418" s="4" t="s">
        <v>967</v>
      </c>
      <c r="E418" s="157">
        <v>45525</v>
      </c>
      <c r="F418" s="9">
        <f>IF($E418="","",WORKDAY($E418,1,$V$33:$V$41))</f>
        <v>45526</v>
      </c>
      <c r="G418" s="9">
        <f>IF($E418="","",WORKDAY($E418,10,$V$33:$V$41))</f>
        <v>45539</v>
      </c>
      <c r="H418" s="9">
        <f>IF($E418="","",WORKDAY($E418,20,$V$33:$V$41))</f>
        <v>45553</v>
      </c>
      <c r="I418" s="157" t="str">
        <f t="shared" si="7"/>
        <v>Aug</v>
      </c>
      <c r="J418" s="14" t="str">
        <f ca="1">IF(E418="","",IF(N418="",H418-TODAY(),""))</f>
        <v/>
      </c>
      <c r="K418" s="157" t="s">
        <v>5</v>
      </c>
      <c r="L418" s="157" t="s">
        <v>18</v>
      </c>
      <c r="M418" s="157" t="s">
        <v>66</v>
      </c>
      <c r="N418" s="9">
        <v>45525</v>
      </c>
      <c r="O418" s="159">
        <f>IF($N418="","",NETWORKDAYS($E418,$N418,$V$33:$V$47)-1)</f>
        <v>0</v>
      </c>
      <c r="P418" s="10" t="str">
        <f>IF(ISBLANK(N418),"",IF(N418&gt;H418,"No","Yes"))</f>
        <v>Yes</v>
      </c>
      <c r="Q418" s="9" t="s">
        <v>117</v>
      </c>
      <c r="R418" s="4" t="s">
        <v>150</v>
      </c>
      <c r="S418" s="4"/>
      <c r="T418" s="4"/>
      <c r="U418" s="6"/>
      <c r="V418" s="6"/>
      <c r="W418" s="6"/>
      <c r="X418" s="6"/>
      <c r="Y418" s="6"/>
      <c r="Z418" s="6"/>
      <c r="AX418" s="6" t="str">
        <v>Quarter 2</v>
      </c>
    </row>
    <row r="419" spans="1:50" ht="31.4" customHeight="1" x14ac:dyDescent="0.35">
      <c r="A419" s="162">
        <v>418</v>
      </c>
      <c r="B419" s="4" t="s">
        <v>968</v>
      </c>
      <c r="C419" s="4" t="s">
        <v>13</v>
      </c>
      <c r="D419" s="4" t="s">
        <v>229</v>
      </c>
      <c r="E419" s="157">
        <v>45525</v>
      </c>
      <c r="F419" s="9">
        <f>IF($E419="","",WORKDAY($E419,1,$V$33:$V$41))</f>
        <v>45526</v>
      </c>
      <c r="G419" s="9">
        <f>IF($E419="","",WORKDAY($E419,10,$V$33:$V$41))</f>
        <v>45539</v>
      </c>
      <c r="H419" s="9">
        <f>IF($E419="","",WORKDAY($E419,20,$V$33:$V$41))</f>
        <v>45553</v>
      </c>
      <c r="I419" s="157" t="str">
        <f t="shared" si="7"/>
        <v>Aug</v>
      </c>
      <c r="J419" s="14" t="str">
        <f ca="1">IF(E419="","",IF(N419="",H419-TODAY(),""))</f>
        <v/>
      </c>
      <c r="K419" s="157" t="s">
        <v>5</v>
      </c>
      <c r="L419" s="157" t="s">
        <v>18</v>
      </c>
      <c r="M419" s="157" t="s">
        <v>66</v>
      </c>
      <c r="N419" s="9">
        <v>45525</v>
      </c>
      <c r="O419" s="159">
        <f>IF($N419="","",NETWORKDAYS($E419,$N419,$V$33:$V$47)-1)</f>
        <v>0</v>
      </c>
      <c r="P419" s="10" t="str">
        <f>IF(ISBLANK(N419),"",IF(N419&gt;H419,"No","Yes"))</f>
        <v>Yes</v>
      </c>
      <c r="Q419" s="9" t="s">
        <v>117</v>
      </c>
      <c r="R419" s="4" t="s">
        <v>118</v>
      </c>
      <c r="S419" s="4" t="s">
        <v>119</v>
      </c>
      <c r="T419" s="4"/>
      <c r="U419" s="6"/>
      <c r="V419" s="6"/>
      <c r="W419" s="6"/>
      <c r="X419" s="6"/>
      <c r="Y419" s="6"/>
      <c r="Z419" s="6"/>
      <c r="AX419" s="6" t="str">
        <v>Quarter 2</v>
      </c>
    </row>
    <row r="420" spans="1:50" ht="31.4" customHeight="1" x14ac:dyDescent="0.35">
      <c r="A420" s="162">
        <v>419</v>
      </c>
      <c r="B420" s="4" t="s">
        <v>969</v>
      </c>
      <c r="C420" s="4" t="s">
        <v>6</v>
      </c>
      <c r="D420" s="4" t="s">
        <v>970</v>
      </c>
      <c r="E420" s="157">
        <v>45525</v>
      </c>
      <c r="F420" s="9">
        <f>IF($E420="","",WORKDAY($E420,1,$V$33:$V$41))</f>
        <v>45526</v>
      </c>
      <c r="G420" s="9">
        <f>IF($E420="","",WORKDAY($E420,10,$V$33:$V$41))</f>
        <v>45539</v>
      </c>
      <c r="H420" s="9">
        <f>IF($E420="","",WORKDAY($E420,20,$V$33:$V$41))</f>
        <v>45553</v>
      </c>
      <c r="I420" s="157" t="str">
        <f t="shared" si="7"/>
        <v>Aug</v>
      </c>
      <c r="J420" s="14" t="str">
        <f ca="1">IF(E420="","",IF(N420="",H420-TODAY(),""))</f>
        <v/>
      </c>
      <c r="K420" s="157" t="s">
        <v>124</v>
      </c>
      <c r="L420" s="157" t="s">
        <v>20</v>
      </c>
      <c r="M420" s="157" t="s">
        <v>79</v>
      </c>
      <c r="N420" s="9">
        <v>45525</v>
      </c>
      <c r="O420" s="159">
        <f>IF($N420="","",NETWORKDAYS($E420,$N420,$V$33:$V$47)-1)</f>
        <v>0</v>
      </c>
      <c r="P420" s="10" t="str">
        <f>IF(ISBLANK(N420),"",IF(N420&gt;H420,"No","Yes"))</f>
        <v>Yes</v>
      </c>
      <c r="Q420" s="9" t="s">
        <v>117</v>
      </c>
      <c r="R420" s="4" t="s">
        <v>150</v>
      </c>
      <c r="S420" s="4"/>
      <c r="T420" s="4"/>
      <c r="U420" s="6"/>
      <c r="V420" s="6"/>
      <c r="W420" s="6"/>
      <c r="X420" s="6"/>
      <c r="Y420" s="6"/>
      <c r="Z420" s="6"/>
      <c r="AX420" s="6" t="str">
        <v>Quarter 2</v>
      </c>
    </row>
    <row r="421" spans="1:50" ht="31.4" customHeight="1" x14ac:dyDescent="0.35">
      <c r="A421" s="162">
        <v>420</v>
      </c>
      <c r="B421" s="4" t="s">
        <v>138</v>
      </c>
      <c r="C421" s="4" t="s">
        <v>19</v>
      </c>
      <c r="D421" s="4" t="s">
        <v>971</v>
      </c>
      <c r="E421" s="157">
        <v>45525</v>
      </c>
      <c r="F421" s="9">
        <f>IF($E421="","",WORKDAY($E421,1,$V$33:$V$41))</f>
        <v>45526</v>
      </c>
      <c r="G421" s="9">
        <f>IF($E421="","",WORKDAY($E421,10,$V$33:$V$41))</f>
        <v>45539</v>
      </c>
      <c r="H421" s="9">
        <f>IF($E421="","",WORKDAY($E421,20,$V$33:$V$41))</f>
        <v>45553</v>
      </c>
      <c r="I421" s="157" t="str">
        <f t="shared" si="7"/>
        <v>Aug</v>
      </c>
      <c r="J421" s="14" t="str">
        <f ca="1">IF(E421="","",IF(N421="",H421-TODAY(),""))</f>
        <v/>
      </c>
      <c r="K421" s="157" t="s">
        <v>5</v>
      </c>
      <c r="L421" s="157" t="s">
        <v>18</v>
      </c>
      <c r="M421" s="157" t="s">
        <v>66</v>
      </c>
      <c r="N421" s="9">
        <v>45525</v>
      </c>
      <c r="O421" s="159">
        <f>IF($N421="","",NETWORKDAYS($E421,$N421,$V$33:$V$47)-1)</f>
        <v>0</v>
      </c>
      <c r="P421" s="10" t="str">
        <f>IF(ISBLANK(N421),"",IF(N421&gt;H421,"No","Yes"))</f>
        <v>Yes</v>
      </c>
      <c r="Q421" s="9" t="s">
        <v>117</v>
      </c>
      <c r="R421" s="4" t="s">
        <v>132</v>
      </c>
      <c r="S421" s="4" t="s">
        <v>119</v>
      </c>
      <c r="T421" s="4"/>
      <c r="U421" s="6"/>
      <c r="V421" s="6"/>
      <c r="W421" s="6"/>
      <c r="X421" s="6"/>
      <c r="Y421" s="6"/>
      <c r="Z421" s="6"/>
      <c r="AX421" s="6" t="str">
        <v>Quarter 2</v>
      </c>
    </row>
    <row r="422" spans="1:50" ht="31.4" customHeight="1" x14ac:dyDescent="0.35">
      <c r="A422" s="162">
        <v>421</v>
      </c>
      <c r="B422" s="4" t="s">
        <v>293</v>
      </c>
      <c r="C422" s="4" t="s">
        <v>6</v>
      </c>
      <c r="D422" s="4" t="s">
        <v>972</v>
      </c>
      <c r="E422" s="157">
        <v>45525</v>
      </c>
      <c r="F422" s="9">
        <f>IF($E422="","",WORKDAY($E422,1,$V$33:$V$41))</f>
        <v>45526</v>
      </c>
      <c r="G422" s="9">
        <f>IF($E422="","",WORKDAY($E422,10,$V$33:$V$41))</f>
        <v>45539</v>
      </c>
      <c r="H422" s="9">
        <f>IF($E422="","",WORKDAY($E422,20,$V$33:$V$41))</f>
        <v>45553</v>
      </c>
      <c r="I422" s="157" t="str">
        <f t="shared" si="7"/>
        <v>Aug</v>
      </c>
      <c r="J422" s="14" t="str">
        <f ca="1">IF(E422="","",IF(N422="",H422-TODAY(),""))</f>
        <v/>
      </c>
      <c r="K422" s="157" t="s">
        <v>124</v>
      </c>
      <c r="L422" s="157" t="s">
        <v>24</v>
      </c>
      <c r="M422" s="157" t="s">
        <v>87</v>
      </c>
      <c r="N422" s="9">
        <v>45531</v>
      </c>
      <c r="O422" s="159">
        <f>IF($N422="","",NETWORKDAYS($E422,$N422,$V$33:$V$47)-1)</f>
        <v>4</v>
      </c>
      <c r="P422" s="10" t="str">
        <f>IF(ISBLANK(N422),"",IF(N422&gt;H422,"No","Yes"))</f>
        <v>Yes</v>
      </c>
      <c r="Q422" s="9" t="s">
        <v>117</v>
      </c>
      <c r="R422" s="4" t="s">
        <v>118</v>
      </c>
      <c r="S422" s="4"/>
      <c r="T422" s="4"/>
      <c r="U422" s="6"/>
      <c r="V422" s="6"/>
      <c r="W422" s="6"/>
      <c r="X422" s="6"/>
      <c r="Y422" s="6"/>
      <c r="Z422" s="6"/>
      <c r="AX422" s="6" t="str">
        <v>Quarter 2</v>
      </c>
    </row>
    <row r="423" spans="1:50" ht="31.4" customHeight="1" x14ac:dyDescent="0.35">
      <c r="A423" s="162">
        <v>422</v>
      </c>
      <c r="B423" s="4" t="s">
        <v>8</v>
      </c>
      <c r="C423" s="4" t="s">
        <v>8</v>
      </c>
      <c r="D423" s="4" t="s">
        <v>973</v>
      </c>
      <c r="E423" s="157">
        <v>45526</v>
      </c>
      <c r="F423" s="9">
        <f>IF($E423="","",WORKDAY($E423,1,$V$33:$V$41))</f>
        <v>45527</v>
      </c>
      <c r="G423" s="9">
        <f>IF($E423="","",WORKDAY($E423,10,$V$33:$V$41))</f>
        <v>45540</v>
      </c>
      <c r="H423" s="9">
        <f>IF($E423="","",WORKDAY($E423,20,$V$33:$V$41))</f>
        <v>45554</v>
      </c>
      <c r="I423" s="157" t="str">
        <f t="shared" si="7"/>
        <v>Aug</v>
      </c>
      <c r="J423" s="14" t="str">
        <f ca="1">IF(E423="","",IF(N423="",H423-TODAY(),""))</f>
        <v/>
      </c>
      <c r="K423" s="157" t="s">
        <v>124</v>
      </c>
      <c r="L423" s="157" t="s">
        <v>24</v>
      </c>
      <c r="M423" s="157" t="s">
        <v>61</v>
      </c>
      <c r="N423" s="9">
        <v>45538</v>
      </c>
      <c r="O423" s="159">
        <f>IF($N423="","",NETWORKDAYS($E423,$N423,$V$33:$V$47)-1)</f>
        <v>8</v>
      </c>
      <c r="P423" s="10" t="str">
        <f>IF(ISBLANK(N423),"",IF(N423&gt;H423,"No","Yes"))</f>
        <v>Yes</v>
      </c>
      <c r="Q423" s="9" t="s">
        <v>117</v>
      </c>
      <c r="R423" s="4" t="s">
        <v>118</v>
      </c>
      <c r="S423" s="4" t="s">
        <v>119</v>
      </c>
      <c r="T423" s="4"/>
      <c r="U423" s="6"/>
      <c r="V423" s="6"/>
      <c r="W423" s="6"/>
      <c r="X423" s="6"/>
      <c r="Y423" s="6"/>
      <c r="Z423" s="6"/>
      <c r="AX423" s="6" t="str">
        <v>Quarter 2</v>
      </c>
    </row>
    <row r="424" spans="1:50" ht="31.4" customHeight="1" x14ac:dyDescent="0.35">
      <c r="A424" s="162">
        <v>423</v>
      </c>
      <c r="B424" s="7" t="s">
        <v>8</v>
      </c>
      <c r="C424" s="7" t="s">
        <v>8</v>
      </c>
      <c r="D424" s="7" t="s">
        <v>974</v>
      </c>
      <c r="E424" s="25">
        <v>45527</v>
      </c>
      <c r="F424" s="9">
        <f>IF($E424="","",WORKDAY($E424,1,$V$33:$V$41))</f>
        <v>45530</v>
      </c>
      <c r="G424" s="9">
        <f>IF($E424="","",WORKDAY($E424,10,$V$33:$V$41))</f>
        <v>45541</v>
      </c>
      <c r="H424" s="9">
        <f>IF($E424="","",WORKDAY($E424,20,$V$33:$V$41))</f>
        <v>45555</v>
      </c>
      <c r="I424" s="157" t="str">
        <f t="shared" si="7"/>
        <v>Aug</v>
      </c>
      <c r="J424" s="14" t="str">
        <f ca="1">IF(E424="","",IF(N424="",H424-TODAY(),""))</f>
        <v/>
      </c>
      <c r="K424" s="25" t="s">
        <v>124</v>
      </c>
      <c r="L424" s="25" t="s">
        <v>24</v>
      </c>
      <c r="M424" s="25" t="s">
        <v>61</v>
      </c>
      <c r="N424" s="9">
        <v>45538</v>
      </c>
      <c r="O424" s="159">
        <f>IF($N424="","",NETWORKDAYS($E424,$N424,$V$33:$V$47)-1)</f>
        <v>7</v>
      </c>
      <c r="P424" s="10" t="str">
        <f>IF(ISBLANK(N424),"",IF(N424&gt;H424,"No","Yes"))</f>
        <v>Yes</v>
      </c>
      <c r="Q424" s="9" t="s">
        <v>117</v>
      </c>
      <c r="R424" s="4" t="s">
        <v>118</v>
      </c>
      <c r="S424" s="7" t="s">
        <v>119</v>
      </c>
      <c r="T424" s="4" t="s">
        <v>141</v>
      </c>
      <c r="U424" s="6"/>
      <c r="V424" s="6"/>
      <c r="W424" s="6"/>
      <c r="X424" s="6"/>
      <c r="Y424" s="6"/>
      <c r="Z424" s="6"/>
      <c r="AX424" s="6" t="str">
        <v>Quarter 2</v>
      </c>
    </row>
    <row r="425" spans="1:50" ht="31.4" customHeight="1" x14ac:dyDescent="0.35">
      <c r="A425" s="162">
        <v>424</v>
      </c>
      <c r="B425" s="4" t="s">
        <v>975</v>
      </c>
      <c r="C425" s="4" t="s">
        <v>13</v>
      </c>
      <c r="D425" s="4" t="s">
        <v>448</v>
      </c>
      <c r="E425" s="157">
        <v>45527</v>
      </c>
      <c r="F425" s="9">
        <f>IF($E425="","",WORKDAY($E425,1,$V$33:$V$41))</f>
        <v>45530</v>
      </c>
      <c r="G425" s="9">
        <f>IF($E425="","",WORKDAY($E425,10,$V$33:$V$41))</f>
        <v>45541</v>
      </c>
      <c r="H425" s="9">
        <f>IF($E425="","",WORKDAY($E425,20,$V$33:$V$41))</f>
        <v>45555</v>
      </c>
      <c r="I425" s="157" t="str">
        <f t="shared" si="7"/>
        <v>Aug</v>
      </c>
      <c r="J425" s="14" t="str">
        <f ca="1">IF(E425="","",IF(N425="",H425-TODAY(),""))</f>
        <v/>
      </c>
      <c r="K425" s="157" t="s">
        <v>124</v>
      </c>
      <c r="L425" s="157" t="s">
        <v>20</v>
      </c>
      <c r="M425" s="157" t="s">
        <v>70</v>
      </c>
      <c r="N425" s="9">
        <v>45533</v>
      </c>
      <c r="O425" s="159">
        <f>IF($N425="","",NETWORKDAYS($E425,$N425,$V$33:$V$47)-1)</f>
        <v>4</v>
      </c>
      <c r="P425" s="10" t="str">
        <f>IF(ISBLANK(N425),"",IF(N425&gt;H425,"No","Yes"))</f>
        <v>Yes</v>
      </c>
      <c r="Q425" s="9" t="s">
        <v>117</v>
      </c>
      <c r="R425" s="4" t="s">
        <v>118</v>
      </c>
      <c r="S425" s="4"/>
      <c r="T425" s="4"/>
      <c r="U425" s="6"/>
      <c r="V425" s="6"/>
      <c r="W425" s="6"/>
      <c r="X425" s="6"/>
      <c r="Y425" s="6"/>
      <c r="Z425" s="6"/>
      <c r="AX425" s="6" t="str">
        <v>Quarter 2</v>
      </c>
    </row>
    <row r="426" spans="1:50" ht="31.4" customHeight="1" x14ac:dyDescent="0.35">
      <c r="A426" s="162">
        <v>425</v>
      </c>
      <c r="B426" s="4" t="s">
        <v>8</v>
      </c>
      <c r="C426" s="4" t="s">
        <v>8</v>
      </c>
      <c r="D426" s="4" t="s">
        <v>957</v>
      </c>
      <c r="E426" s="157">
        <v>45527</v>
      </c>
      <c r="F426" s="9">
        <f>IF($E426="","",WORKDAY($E426,1,$V$33:$V$41))</f>
        <v>45530</v>
      </c>
      <c r="G426" s="9">
        <f>IF($E426="","",WORKDAY($E426,10,$V$33:$V$41))</f>
        <v>45541</v>
      </c>
      <c r="H426" s="9">
        <f>IF($E426="","",WORKDAY($E426,20,$V$33:$V$41))</f>
        <v>45555</v>
      </c>
      <c r="I426" s="157" t="str">
        <f t="shared" si="7"/>
        <v>Aug</v>
      </c>
      <c r="J426" s="14" t="str">
        <f ca="1">IF(E426="","",IF(N426="",H426-TODAY(),""))</f>
        <v/>
      </c>
      <c r="K426" s="157" t="s">
        <v>124</v>
      </c>
      <c r="L426" s="157" t="s">
        <v>20</v>
      </c>
      <c r="M426" s="157" t="s">
        <v>78</v>
      </c>
      <c r="N426" s="9">
        <v>45538</v>
      </c>
      <c r="O426" s="159">
        <f>IF($N426="","",NETWORKDAYS($E426,$N426,$V$33:$V$47)-1)</f>
        <v>7</v>
      </c>
      <c r="P426" s="10" t="str">
        <f>IF(ISBLANK(N426),"",IF(N426&gt;H426,"No","Yes"))</f>
        <v>Yes</v>
      </c>
      <c r="Q426" s="9" t="s">
        <v>117</v>
      </c>
      <c r="R426" s="4" t="s">
        <v>126</v>
      </c>
      <c r="S426" s="4" t="s">
        <v>178</v>
      </c>
      <c r="T426" s="4"/>
      <c r="U426" s="6"/>
      <c r="V426" s="6"/>
      <c r="W426" s="6"/>
      <c r="X426" s="6"/>
      <c r="Y426" s="6"/>
      <c r="Z426" s="6"/>
      <c r="AX426" s="6" t="str">
        <v>Quarter 2</v>
      </c>
    </row>
    <row r="427" spans="1:50" ht="31.4" customHeight="1" x14ac:dyDescent="0.35">
      <c r="A427" s="162">
        <v>426</v>
      </c>
      <c r="B427" s="4" t="s">
        <v>901</v>
      </c>
      <c r="C427" s="4" t="s">
        <v>13</v>
      </c>
      <c r="D427" s="4" t="s">
        <v>229</v>
      </c>
      <c r="E427" s="25">
        <v>45527</v>
      </c>
      <c r="F427" s="9">
        <f>IF($E427="","",WORKDAY($E427,1,$V$33:$V$41))</f>
        <v>45530</v>
      </c>
      <c r="G427" s="9">
        <f>IF($E427="","",WORKDAY($E427,10,$V$33:$V$41))</f>
        <v>45541</v>
      </c>
      <c r="H427" s="9">
        <f>IF($E427="","",WORKDAY($E427,20,$V$33:$V$41))</f>
        <v>45555</v>
      </c>
      <c r="I427" s="157" t="str">
        <f t="shared" si="7"/>
        <v>Aug</v>
      </c>
      <c r="J427" s="14" t="str">
        <f ca="1">IF(E427="","",IF(N427="",H427-TODAY(),""))</f>
        <v/>
      </c>
      <c r="K427" s="157" t="s">
        <v>5</v>
      </c>
      <c r="L427" s="157" t="s">
        <v>16</v>
      </c>
      <c r="M427" s="157" t="s">
        <v>71</v>
      </c>
      <c r="N427" s="9">
        <v>45545</v>
      </c>
      <c r="O427" s="159">
        <f>IF($N427="","",NETWORKDAYS($E427,$N427,$V$33:$V$47)-1)</f>
        <v>12</v>
      </c>
      <c r="P427" s="10" t="str">
        <f>IF(ISBLANK(N427),"",IF(N427&gt;H427,"No","Yes"))</f>
        <v>Yes</v>
      </c>
      <c r="Q427" s="9" t="s">
        <v>117</v>
      </c>
      <c r="R427" s="4" t="s">
        <v>126</v>
      </c>
      <c r="S427" s="4" t="s">
        <v>134</v>
      </c>
      <c r="T427" s="4"/>
      <c r="U427" s="6"/>
      <c r="V427" s="6"/>
      <c r="W427" s="6"/>
      <c r="X427" s="6"/>
      <c r="Y427" s="6"/>
      <c r="Z427" s="6"/>
      <c r="AX427" s="6" t="str">
        <v>Quarter 2</v>
      </c>
    </row>
    <row r="428" spans="1:50" ht="31.4" customHeight="1" x14ac:dyDescent="0.35">
      <c r="A428" s="162">
        <v>427</v>
      </c>
      <c r="B428" s="4" t="s">
        <v>8</v>
      </c>
      <c r="C428" s="4" t="s">
        <v>8</v>
      </c>
      <c r="D428" s="4" t="s">
        <v>976</v>
      </c>
      <c r="E428" s="157">
        <v>45531</v>
      </c>
      <c r="F428" s="9">
        <f>IF($E428="","",WORKDAY($E428,1,$V$33:$V$41))</f>
        <v>45532</v>
      </c>
      <c r="G428" s="9">
        <f>IF($E428="","",WORKDAY($E428,10,$V$33:$V$41))</f>
        <v>45545</v>
      </c>
      <c r="H428" s="9">
        <f>IF($E428="","",WORKDAY($E428,20,$V$33:$V$41))</f>
        <v>45559</v>
      </c>
      <c r="I428" s="157" t="str">
        <f t="shared" si="7"/>
        <v>Aug</v>
      </c>
      <c r="J428" s="14" t="str">
        <f ca="1">IF(E428="","",IF(N428="",H428-TODAY(),""))</f>
        <v/>
      </c>
      <c r="K428" s="157" t="s">
        <v>5</v>
      </c>
      <c r="L428" s="157" t="s">
        <v>18</v>
      </c>
      <c r="M428" s="157" t="s">
        <v>66</v>
      </c>
      <c r="N428" s="9">
        <v>45545</v>
      </c>
      <c r="O428" s="159">
        <f>IF($N428="","",NETWORKDAYS($E428,$N428,$V$33:$V$47)-1)</f>
        <v>10</v>
      </c>
      <c r="P428" s="10" t="str">
        <f>IF(ISBLANK(N428),"",IF(N428&gt;H428,"No","Yes"))</f>
        <v>Yes</v>
      </c>
      <c r="Q428" s="9" t="s">
        <v>117</v>
      </c>
      <c r="R428" s="4" t="s">
        <v>118</v>
      </c>
      <c r="S428" s="4" t="s">
        <v>119</v>
      </c>
      <c r="T428" s="4"/>
      <c r="U428" s="6"/>
      <c r="V428" s="6"/>
      <c r="W428" s="6"/>
      <c r="X428" s="6"/>
      <c r="Y428" s="6"/>
      <c r="Z428" s="6"/>
      <c r="AX428" s="6" t="str">
        <v>Quarter 2</v>
      </c>
    </row>
    <row r="429" spans="1:50" ht="31.4" customHeight="1" x14ac:dyDescent="0.35">
      <c r="A429" s="162">
        <v>428</v>
      </c>
      <c r="B429" s="4" t="s">
        <v>138</v>
      </c>
      <c r="C429" s="4" t="s">
        <v>19</v>
      </c>
      <c r="D429" s="4" t="s">
        <v>977</v>
      </c>
      <c r="E429" s="157">
        <v>45531</v>
      </c>
      <c r="F429" s="9">
        <f>IF($E429="","",WORKDAY($E429,1,$V$33:$V$41))</f>
        <v>45532</v>
      </c>
      <c r="G429" s="9">
        <f>IF($E429="","",WORKDAY($E429,10,$V$33:$V$41))</f>
        <v>45545</v>
      </c>
      <c r="H429" s="9">
        <f>IF($E429="","",WORKDAY($E429,20,$V$33:$V$41))</f>
        <v>45559</v>
      </c>
      <c r="I429" s="157" t="str">
        <f t="shared" si="7"/>
        <v>Aug</v>
      </c>
      <c r="J429" s="14" t="str">
        <f ca="1">IF(E429="","",IF(N429="",H429-TODAY(),""))</f>
        <v/>
      </c>
      <c r="K429" s="157" t="s">
        <v>124</v>
      </c>
      <c r="L429" s="157" t="s">
        <v>14</v>
      </c>
      <c r="M429" s="157" t="s">
        <v>83</v>
      </c>
      <c r="N429" s="9">
        <v>45538</v>
      </c>
      <c r="O429" s="159">
        <f>IF($N429="","",NETWORKDAYS($E429,$N429,$V$33:$V$47)-1)</f>
        <v>5</v>
      </c>
      <c r="P429" s="10" t="str">
        <f>IF(ISBLANK(N429),"",IF(N429&gt;H429,"No","Yes"))</f>
        <v>Yes</v>
      </c>
      <c r="Q429" s="9" t="s">
        <v>117</v>
      </c>
      <c r="R429" s="4" t="s">
        <v>132</v>
      </c>
      <c r="S429" s="4" t="s">
        <v>120</v>
      </c>
      <c r="T429" s="4" t="s">
        <v>2121</v>
      </c>
      <c r="U429" s="6"/>
      <c r="V429" s="6"/>
      <c r="W429" s="6"/>
      <c r="X429" s="6"/>
      <c r="Y429" s="6"/>
      <c r="Z429" s="6"/>
      <c r="AX429" s="6" t="str">
        <v>Quarter 2</v>
      </c>
    </row>
    <row r="430" spans="1:50" ht="31.4" customHeight="1" x14ac:dyDescent="0.35">
      <c r="A430" s="162">
        <v>429</v>
      </c>
      <c r="B430" s="4" t="s">
        <v>800</v>
      </c>
      <c r="C430" s="4" t="s">
        <v>6</v>
      </c>
      <c r="D430" s="4" t="s">
        <v>978</v>
      </c>
      <c r="E430" s="157">
        <v>45531</v>
      </c>
      <c r="F430" s="9">
        <f>IF($E430="","",WORKDAY($E430,1,$V$33:$V$41))</f>
        <v>45532</v>
      </c>
      <c r="G430" s="9">
        <f>IF($E430="","",WORKDAY($E430,10,$V$33:$V$41))</f>
        <v>45545</v>
      </c>
      <c r="H430" s="9">
        <f>IF($E430="","",WORKDAY($E430,20,$V$33:$V$41))</f>
        <v>45559</v>
      </c>
      <c r="I430" s="157" t="str">
        <f t="shared" si="7"/>
        <v>Aug</v>
      </c>
      <c r="J430" s="14" t="str">
        <f ca="1">IF(E430="","",IF(N430="",H430-TODAY(),""))</f>
        <v/>
      </c>
      <c r="K430" s="157" t="s">
        <v>124</v>
      </c>
      <c r="L430" s="157" t="s">
        <v>14</v>
      </c>
      <c r="M430" s="157" t="s">
        <v>83</v>
      </c>
      <c r="N430" s="9">
        <v>45544</v>
      </c>
      <c r="O430" s="159">
        <f>IF($N430="","",NETWORKDAYS($E430,$N430,$V$33:$V$47)-1)</f>
        <v>9</v>
      </c>
      <c r="P430" s="10" t="str">
        <f>IF(ISBLANK(N430),"",IF(N430&gt;H430,"No","Yes"))</f>
        <v>Yes</v>
      </c>
      <c r="Q430" s="9" t="s">
        <v>117</v>
      </c>
      <c r="R430" s="4" t="s">
        <v>118</v>
      </c>
      <c r="S430" s="4"/>
      <c r="T430" s="4" t="s">
        <v>141</v>
      </c>
      <c r="U430" s="6"/>
      <c r="V430" s="6"/>
      <c r="W430" s="6"/>
      <c r="X430" s="6"/>
      <c r="Y430" s="6"/>
      <c r="Z430" s="6"/>
      <c r="AX430" s="6" t="str">
        <v>Quarter 2</v>
      </c>
    </row>
    <row r="431" spans="1:50" ht="31.4" customHeight="1" x14ac:dyDescent="0.35">
      <c r="A431" s="162">
        <v>430</v>
      </c>
      <c r="B431" s="4" t="s">
        <v>979</v>
      </c>
      <c r="C431" s="4" t="s">
        <v>13</v>
      </c>
      <c r="D431" s="4" t="s">
        <v>980</v>
      </c>
      <c r="E431" s="157">
        <v>45534</v>
      </c>
      <c r="F431" s="9">
        <f>IF($E431="","",WORKDAY($E431,1,$V$33:$V$41))</f>
        <v>45537</v>
      </c>
      <c r="G431" s="9">
        <f>IF($E431="","",WORKDAY($E431,10,$V$33:$V$41))</f>
        <v>45548</v>
      </c>
      <c r="H431" s="9">
        <f>IF($E431="","",WORKDAY($E431,20,$V$33:$V$41))</f>
        <v>45562</v>
      </c>
      <c r="I431" s="157" t="str">
        <f t="shared" si="7"/>
        <v>Aug</v>
      </c>
      <c r="J431" s="14" t="str">
        <f ca="1">IF(E431="","",IF(N431="",H431-TODAY(),""))</f>
        <v/>
      </c>
      <c r="K431" s="157" t="s">
        <v>10</v>
      </c>
      <c r="L431" s="157" t="s">
        <v>27</v>
      </c>
      <c r="M431" s="157" t="s">
        <v>37</v>
      </c>
      <c r="N431" s="9">
        <v>45551</v>
      </c>
      <c r="O431" s="159">
        <f>IF($N431="","",NETWORKDAYS($E431,$N431,$V$33:$V$47)-1)</f>
        <v>11</v>
      </c>
      <c r="P431" s="10" t="str">
        <f>IF(ISBLANK(N431),"",IF(N431&gt;H431,"No","Yes"))</f>
        <v>Yes</v>
      </c>
      <c r="Q431" s="9" t="s">
        <v>117</v>
      </c>
      <c r="R431" s="4" t="s">
        <v>118</v>
      </c>
      <c r="S431" s="4" t="s">
        <v>135</v>
      </c>
      <c r="T431" s="4"/>
      <c r="U431" s="6"/>
      <c r="V431" s="6"/>
      <c r="W431" s="6"/>
      <c r="X431" s="6"/>
      <c r="Y431" s="6"/>
      <c r="Z431" s="6"/>
      <c r="AX431" s="6" t="str">
        <v>Quarter 2</v>
      </c>
    </row>
    <row r="432" spans="1:50" ht="31.4" customHeight="1" x14ac:dyDescent="0.35">
      <c r="A432" s="162">
        <v>431</v>
      </c>
      <c r="B432" s="4" t="s">
        <v>138</v>
      </c>
      <c r="C432" s="4" t="s">
        <v>19</v>
      </c>
      <c r="D432" s="4" t="s">
        <v>981</v>
      </c>
      <c r="E432" s="157">
        <v>45531</v>
      </c>
      <c r="F432" s="9">
        <f>IF($E432="","",WORKDAY($E432,1,$V$33:$V$41))</f>
        <v>45532</v>
      </c>
      <c r="G432" s="9">
        <f>IF($E432="","",WORKDAY($E432,10,$V$33:$V$41))</f>
        <v>45545</v>
      </c>
      <c r="H432" s="9">
        <f>IF($E432="","",WORKDAY($E432,20,$V$33:$V$41))</f>
        <v>45559</v>
      </c>
      <c r="I432" s="157" t="str">
        <f t="shared" si="7"/>
        <v>Aug</v>
      </c>
      <c r="J432" s="14" t="str">
        <f ca="1">IF(E432="","",IF(N432="",H432-TODAY(),""))</f>
        <v/>
      </c>
      <c r="K432" s="157" t="s">
        <v>124</v>
      </c>
      <c r="L432" s="157" t="s">
        <v>24</v>
      </c>
      <c r="M432" s="157" t="s">
        <v>76</v>
      </c>
      <c r="N432" s="9">
        <v>45532</v>
      </c>
      <c r="O432" s="159">
        <f>IF($N432="","",NETWORKDAYS($E432,$N432,$V$33:$V$47)-1)</f>
        <v>1</v>
      </c>
      <c r="P432" s="10" t="str">
        <f>IF(ISBLANK(N432),"",IF(N432&gt;H432,"No","Yes"))</f>
        <v>Yes</v>
      </c>
      <c r="Q432" s="9" t="s">
        <v>117</v>
      </c>
      <c r="R432" s="4" t="s">
        <v>118</v>
      </c>
      <c r="S432" s="4"/>
      <c r="T432" s="4"/>
      <c r="U432" s="6"/>
      <c r="V432" s="6"/>
      <c r="W432" s="6"/>
      <c r="X432" s="6"/>
      <c r="Y432" s="6"/>
      <c r="Z432" s="6"/>
      <c r="AX432" s="6" t="str">
        <v>Quarter 2</v>
      </c>
    </row>
    <row r="433" spans="1:50" ht="31.4" customHeight="1" x14ac:dyDescent="0.35">
      <c r="A433" s="162">
        <v>432</v>
      </c>
      <c r="B433" s="4" t="s">
        <v>982</v>
      </c>
      <c r="C433" s="4" t="s">
        <v>13</v>
      </c>
      <c r="D433" s="4" t="s">
        <v>983</v>
      </c>
      <c r="E433" s="157">
        <v>45531</v>
      </c>
      <c r="F433" s="9">
        <f>IF($E433="","",WORKDAY($E433,1,$V$33:$V$41))</f>
        <v>45532</v>
      </c>
      <c r="G433" s="9">
        <f>IF($E433="","",WORKDAY($E433,10,$V$33:$V$41))</f>
        <v>45545</v>
      </c>
      <c r="H433" s="9">
        <f>IF($E433="","",WORKDAY($E433,20,$V$33:$V$41))</f>
        <v>45559</v>
      </c>
      <c r="I433" s="157" t="str">
        <f t="shared" si="7"/>
        <v>Aug</v>
      </c>
      <c r="J433" s="14" t="str">
        <f ca="1">IF(E433="","",IF(N433="",H433-TODAY(),""))</f>
        <v/>
      </c>
      <c r="K433" s="157" t="s">
        <v>5</v>
      </c>
      <c r="L433" s="157" t="s">
        <v>16</v>
      </c>
      <c r="M433" s="157" t="s">
        <v>52</v>
      </c>
      <c r="N433" s="9">
        <v>45545</v>
      </c>
      <c r="O433" s="159">
        <f>IF($N433="","",NETWORKDAYS($E433,$N433,$V$33:$V$47)-1)</f>
        <v>10</v>
      </c>
      <c r="P433" s="10" t="str">
        <f>IF(ISBLANK(N433),"",IF(N433&gt;H433,"No","Yes"))</f>
        <v>Yes</v>
      </c>
      <c r="Q433" s="9" t="s">
        <v>117</v>
      </c>
      <c r="R433" s="4" t="s">
        <v>132</v>
      </c>
      <c r="S433" s="4" t="s">
        <v>120</v>
      </c>
      <c r="T433" s="4"/>
      <c r="U433" s="6"/>
      <c r="V433" s="6"/>
      <c r="W433" s="6"/>
      <c r="X433" s="6"/>
      <c r="Y433" s="6"/>
      <c r="Z433" s="6"/>
      <c r="AX433" s="6" t="str">
        <v>Quarter 2</v>
      </c>
    </row>
    <row r="434" spans="1:50" ht="31.4" customHeight="1" x14ac:dyDescent="0.35">
      <c r="A434" s="162">
        <v>433</v>
      </c>
      <c r="B434" s="4" t="s">
        <v>817</v>
      </c>
      <c r="C434" s="4" t="s">
        <v>11</v>
      </c>
      <c r="D434" s="4" t="s">
        <v>984</v>
      </c>
      <c r="E434" s="157">
        <v>45531</v>
      </c>
      <c r="F434" s="9">
        <f>IF($E434="","",WORKDAY($E434,1,$V$33:$V$41))</f>
        <v>45532</v>
      </c>
      <c r="G434" s="9">
        <f>IF($E434="","",WORKDAY($E434,10,$V$33:$V$41))</f>
        <v>45545</v>
      </c>
      <c r="H434" s="9">
        <f>IF($E434="","",WORKDAY($E434,20,$V$33:$V$41))</f>
        <v>45559</v>
      </c>
      <c r="I434" s="157" t="str">
        <f t="shared" si="7"/>
        <v>Aug</v>
      </c>
      <c r="J434" s="14" t="str">
        <f ca="1">IF(E434="","",IF(N434="",H434-TODAY(),""))</f>
        <v/>
      </c>
      <c r="K434" s="157" t="s">
        <v>5</v>
      </c>
      <c r="L434" s="157" t="s">
        <v>16</v>
      </c>
      <c r="M434" s="157" t="s">
        <v>67</v>
      </c>
      <c r="N434" s="9">
        <v>45545</v>
      </c>
      <c r="O434" s="159">
        <f>IF($N434="","",NETWORKDAYS($E434,$N434,$V$33:$V$47)-1)</f>
        <v>10</v>
      </c>
      <c r="P434" s="10" t="str">
        <f>IF(ISBLANK(N434),"",IF(N434&gt;H434,"No","Yes"))</f>
        <v>Yes</v>
      </c>
      <c r="Q434" s="9" t="s">
        <v>117</v>
      </c>
      <c r="R434" s="4" t="s">
        <v>118</v>
      </c>
      <c r="S434" s="4"/>
      <c r="T434" s="4"/>
      <c r="U434" s="6"/>
      <c r="V434" s="6"/>
      <c r="W434" s="6"/>
      <c r="X434" s="6"/>
      <c r="Y434" s="6"/>
      <c r="Z434" s="6"/>
      <c r="AX434" s="6" t="str">
        <v>Quarter 2</v>
      </c>
    </row>
    <row r="435" spans="1:50" ht="31.4" customHeight="1" x14ac:dyDescent="0.35">
      <c r="A435" s="162">
        <v>434</v>
      </c>
      <c r="B435" s="7" t="s">
        <v>8</v>
      </c>
      <c r="C435" s="7" t="s">
        <v>8</v>
      </c>
      <c r="D435" s="7" t="s">
        <v>471</v>
      </c>
      <c r="E435" s="157">
        <v>45531</v>
      </c>
      <c r="F435" s="9">
        <f>IF($E435="","",WORKDAY($E435,1,$V$33:$V$41))</f>
        <v>45532</v>
      </c>
      <c r="G435" s="9">
        <f>IF($E435="","",WORKDAY($E435,10,$V$33:$V$41))</f>
        <v>45545</v>
      </c>
      <c r="H435" s="9">
        <f>IF($E435="","",WORKDAY($E435,20,$V$33:$V$41))</f>
        <v>45559</v>
      </c>
      <c r="I435" s="157" t="str">
        <f t="shared" si="7"/>
        <v>Aug</v>
      </c>
      <c r="J435" s="14" t="str">
        <f ca="1">IF(E435="","",IF(N435="",H435-TODAY(),""))</f>
        <v/>
      </c>
      <c r="K435" s="157" t="s">
        <v>10</v>
      </c>
      <c r="L435" s="25" t="s">
        <v>27</v>
      </c>
      <c r="M435" s="25" t="s">
        <v>37</v>
      </c>
      <c r="N435" s="9">
        <v>45545</v>
      </c>
      <c r="O435" s="159">
        <f>IF($N435="","",NETWORKDAYS($E435,$N435,$V$33:$V$47)-1)</f>
        <v>10</v>
      </c>
      <c r="P435" s="10" t="str">
        <f>IF(ISBLANK(N435),"",IF(N435&gt;H435,"No","Yes"))</f>
        <v>Yes</v>
      </c>
      <c r="Q435" s="9" t="s">
        <v>117</v>
      </c>
      <c r="R435" s="4" t="s">
        <v>118</v>
      </c>
      <c r="S435" s="7"/>
      <c r="T435" s="7"/>
      <c r="U435" s="6"/>
      <c r="V435" s="6"/>
      <c r="W435" s="6"/>
      <c r="X435" s="6"/>
      <c r="Y435" s="6"/>
      <c r="Z435" s="6"/>
      <c r="AX435" s="6" t="str">
        <v>Quarter 2</v>
      </c>
    </row>
    <row r="436" spans="1:50" ht="31.4" customHeight="1" x14ac:dyDescent="0.35">
      <c r="A436" s="162">
        <v>435</v>
      </c>
      <c r="B436" s="4" t="s">
        <v>8</v>
      </c>
      <c r="C436" s="4" t="s">
        <v>8</v>
      </c>
      <c r="D436" s="4" t="s">
        <v>985</v>
      </c>
      <c r="E436" s="157">
        <v>45532</v>
      </c>
      <c r="F436" s="9">
        <f>IF($E436="","",WORKDAY($E436,1,$V$33:$V$41))</f>
        <v>45533</v>
      </c>
      <c r="G436" s="9">
        <f>IF($E436="","",WORKDAY($E436,10,$V$33:$V$41))</f>
        <v>45546</v>
      </c>
      <c r="H436" s="9">
        <f>IF($E436="","",WORKDAY($E436,20,$V$33:$V$41))</f>
        <v>45560</v>
      </c>
      <c r="I436" s="157" t="str">
        <f t="shared" si="7"/>
        <v>Aug</v>
      </c>
      <c r="J436" s="14" t="str">
        <f ca="1">IF(E436="","",IF(N436="",H436-TODAY(),""))</f>
        <v/>
      </c>
      <c r="K436" s="157" t="s">
        <v>124</v>
      </c>
      <c r="L436" s="157" t="s">
        <v>24</v>
      </c>
      <c r="M436" s="157" t="s">
        <v>84</v>
      </c>
      <c r="N436" s="9">
        <v>45538</v>
      </c>
      <c r="O436" s="159">
        <f>IF($N436="","",NETWORKDAYS($E436,$N436,$V$33:$V$47)-1)</f>
        <v>4</v>
      </c>
      <c r="P436" s="10" t="str">
        <f>IF(ISBLANK(N436),"",IF(N436&gt;H436,"No","Yes"))</f>
        <v>Yes</v>
      </c>
      <c r="Q436" s="9" t="s">
        <v>117</v>
      </c>
      <c r="R436" s="4" t="s">
        <v>118</v>
      </c>
      <c r="S436" s="4"/>
      <c r="T436" s="4"/>
      <c r="U436" s="6"/>
      <c r="V436" s="6"/>
      <c r="W436" s="6"/>
      <c r="X436" s="6"/>
      <c r="Y436" s="6"/>
      <c r="Z436" s="6"/>
      <c r="AX436" s="6" t="str">
        <v>Quarter 2</v>
      </c>
    </row>
    <row r="437" spans="1:50" ht="31.4" customHeight="1" x14ac:dyDescent="0.35">
      <c r="A437" s="162">
        <v>436</v>
      </c>
      <c r="B437" s="4" t="s">
        <v>138</v>
      </c>
      <c r="C437" s="4" t="s">
        <v>19</v>
      </c>
      <c r="D437" s="4" t="s">
        <v>986</v>
      </c>
      <c r="E437" s="157">
        <v>45532</v>
      </c>
      <c r="F437" s="9">
        <f>IF($E437="","",WORKDAY($E437,1,$V$33:$V$41))</f>
        <v>45533</v>
      </c>
      <c r="G437" s="9">
        <f>IF($E437="","",WORKDAY($E437,10,$V$33:$V$41))</f>
        <v>45546</v>
      </c>
      <c r="H437" s="9">
        <f>IF($E437="","",WORKDAY($E437,20,$V$33:$V$41))</f>
        <v>45560</v>
      </c>
      <c r="I437" s="157" t="str">
        <f t="shared" si="7"/>
        <v>Aug</v>
      </c>
      <c r="J437" s="14" t="str">
        <f ca="1">IF(E437="","",IF(N437="",H437-TODAY(),""))</f>
        <v/>
      </c>
      <c r="K437" s="157" t="s">
        <v>124</v>
      </c>
      <c r="L437" s="157" t="s">
        <v>24</v>
      </c>
      <c r="M437" s="157" t="s">
        <v>61</v>
      </c>
      <c r="N437" s="9">
        <v>45560</v>
      </c>
      <c r="O437" s="159">
        <f>IF($N437="","",NETWORKDAYS($E437,$N437,$V$33:$V$47)-1)</f>
        <v>20</v>
      </c>
      <c r="P437" s="10" t="str">
        <f>IF(ISBLANK(N437),"",IF(N437&gt;H437,"No","Yes"))</f>
        <v>Yes</v>
      </c>
      <c r="Q437" s="9" t="s">
        <v>117</v>
      </c>
      <c r="R437" s="4" t="s">
        <v>118</v>
      </c>
      <c r="S437" s="4"/>
      <c r="T437" s="4" t="s">
        <v>141</v>
      </c>
      <c r="U437" s="6"/>
      <c r="V437" s="6"/>
      <c r="W437" s="6"/>
      <c r="X437" s="6"/>
      <c r="Y437" s="6"/>
      <c r="Z437" s="6"/>
      <c r="AX437" s="6" t="str">
        <v>Quarter 2</v>
      </c>
    </row>
    <row r="438" spans="1:50" ht="31.4" customHeight="1" x14ac:dyDescent="0.35">
      <c r="A438" s="162">
        <v>437</v>
      </c>
      <c r="B438" s="4" t="s">
        <v>987</v>
      </c>
      <c r="C438" s="4" t="s">
        <v>13</v>
      </c>
      <c r="D438" s="4" t="s">
        <v>988</v>
      </c>
      <c r="E438" s="157">
        <v>45532</v>
      </c>
      <c r="F438" s="9">
        <f>IF($E438="","",WORKDAY($E438,1,$V$33:$V$41))</f>
        <v>45533</v>
      </c>
      <c r="G438" s="9">
        <f>IF($E438="","",WORKDAY($E438,10,$V$33:$V$41))</f>
        <v>45546</v>
      </c>
      <c r="H438" s="9">
        <f>IF($E438="","",WORKDAY($E438,20,$V$33:$V$41))</f>
        <v>45560</v>
      </c>
      <c r="I438" s="157" t="str">
        <f t="shared" si="7"/>
        <v>Aug</v>
      </c>
      <c r="J438" s="14" t="str">
        <f ca="1">IF(E438="","",IF(N438="",H438-TODAY(),""))</f>
        <v/>
      </c>
      <c r="K438" s="157" t="s">
        <v>124</v>
      </c>
      <c r="L438" s="157" t="s">
        <v>20</v>
      </c>
      <c r="M438" s="157" t="s">
        <v>79</v>
      </c>
      <c r="N438" s="9">
        <v>45539</v>
      </c>
      <c r="O438" s="159">
        <f>IF($N438="","",NETWORKDAYS($E438,$N438,$V$33:$V$47)-1)</f>
        <v>5</v>
      </c>
      <c r="P438" s="10" t="str">
        <f>IF(ISBLANK(N438),"",IF(N438&gt;H438,"No","Yes"))</f>
        <v>Yes</v>
      </c>
      <c r="Q438" s="9" t="s">
        <v>117</v>
      </c>
      <c r="R438" s="4" t="s">
        <v>118</v>
      </c>
      <c r="S438" s="4" t="s">
        <v>135</v>
      </c>
      <c r="T438" s="4"/>
      <c r="U438" s="6"/>
      <c r="V438" s="6"/>
      <c r="W438" s="6"/>
      <c r="X438" s="6"/>
      <c r="Y438" s="6"/>
      <c r="Z438" s="6"/>
      <c r="AX438" s="6" t="str">
        <v>Quarter 2</v>
      </c>
    </row>
    <row r="439" spans="1:50" ht="31.4" customHeight="1" x14ac:dyDescent="0.35">
      <c r="A439" s="162">
        <v>438</v>
      </c>
      <c r="B439" s="4" t="s">
        <v>8</v>
      </c>
      <c r="C439" s="4" t="s">
        <v>8</v>
      </c>
      <c r="D439" s="4" t="s">
        <v>989</v>
      </c>
      <c r="E439" s="157">
        <v>45532</v>
      </c>
      <c r="F439" s="9">
        <f>IF($E439="","",WORKDAY($E439,1,$V$33:$V$41))</f>
        <v>45533</v>
      </c>
      <c r="G439" s="9">
        <f>IF($E439="","",WORKDAY($E439,10,$V$33:$V$41))</f>
        <v>45546</v>
      </c>
      <c r="H439" s="9">
        <f>IF($E439="","",WORKDAY($E439,20,$V$33:$V$41))</f>
        <v>45560</v>
      </c>
      <c r="I439" s="157" t="str">
        <f t="shared" si="7"/>
        <v>Aug</v>
      </c>
      <c r="J439" s="14" t="str">
        <f ca="1">IF(E439="","",IF(N439="",H439-TODAY(),""))</f>
        <v/>
      </c>
      <c r="K439" s="157" t="s">
        <v>124</v>
      </c>
      <c r="L439" s="157" t="s">
        <v>20</v>
      </c>
      <c r="M439" s="157" t="s">
        <v>48</v>
      </c>
      <c r="N439" s="9">
        <v>45532</v>
      </c>
      <c r="O439" s="159">
        <f>IF($N439="","",NETWORKDAYS($E439,$N439,$V$33:$V$47)-1)</f>
        <v>0</v>
      </c>
      <c r="P439" s="10" t="str">
        <f>IF(ISBLANK(N439),"",IF(N439&gt;H439,"No","Yes"))</f>
        <v>Yes</v>
      </c>
      <c r="Q439" s="9" t="s">
        <v>117</v>
      </c>
      <c r="R439" s="4" t="s">
        <v>118</v>
      </c>
      <c r="S439" s="4"/>
      <c r="T439" s="4"/>
      <c r="U439" s="6"/>
      <c r="V439" s="6"/>
      <c r="W439" s="6"/>
      <c r="X439" s="6"/>
      <c r="Y439" s="6"/>
      <c r="Z439" s="6"/>
      <c r="AX439" s="6" t="str">
        <v>Quarter 2</v>
      </c>
    </row>
    <row r="440" spans="1:50" ht="31.4" customHeight="1" x14ac:dyDescent="0.35">
      <c r="A440" s="162">
        <v>439</v>
      </c>
      <c r="B440" s="4" t="s">
        <v>8</v>
      </c>
      <c r="C440" s="4" t="s">
        <v>8</v>
      </c>
      <c r="D440" s="4" t="s">
        <v>990</v>
      </c>
      <c r="E440" s="157">
        <v>45532</v>
      </c>
      <c r="F440" s="9">
        <f>IF($E440="","",WORKDAY($E440,1,$V$33:$V$41))</f>
        <v>45533</v>
      </c>
      <c r="G440" s="9">
        <f>IF($E440="","",WORKDAY($E440,10,$V$33:$V$41))</f>
        <v>45546</v>
      </c>
      <c r="H440" s="9">
        <f>IF($E440="","",WORKDAY($E440,20,$V$33:$V$41))</f>
        <v>45560</v>
      </c>
      <c r="I440" s="157" t="str">
        <f t="shared" si="7"/>
        <v>Aug</v>
      </c>
      <c r="J440" s="14" t="str">
        <f ca="1">IF(E440="","",IF(N440="",H440-TODAY(),""))</f>
        <v/>
      </c>
      <c r="K440" s="157" t="s">
        <v>124</v>
      </c>
      <c r="L440" s="157" t="s">
        <v>14</v>
      </c>
      <c r="M440" s="157" t="s">
        <v>39</v>
      </c>
      <c r="N440" s="9">
        <v>45532</v>
      </c>
      <c r="O440" s="159">
        <f>IF($N440="","",NETWORKDAYS($E440,$N440,$V$33:$V$47)-1)</f>
        <v>0</v>
      </c>
      <c r="P440" s="10" t="str">
        <f>IF(ISBLANK(N440),"",IF(N440&gt;H440,"No","Yes"))</f>
        <v>Yes</v>
      </c>
      <c r="Q440" s="9" t="s">
        <v>117</v>
      </c>
      <c r="R440" s="4" t="s">
        <v>118</v>
      </c>
      <c r="S440" s="4"/>
      <c r="T440" s="4"/>
      <c r="U440" s="6"/>
      <c r="V440" s="6"/>
      <c r="W440" s="6"/>
      <c r="X440" s="6"/>
      <c r="Y440" s="6"/>
      <c r="Z440" s="6"/>
      <c r="AX440" s="6" t="str">
        <v>Quarter 2</v>
      </c>
    </row>
    <row r="441" spans="1:50" ht="31.4" customHeight="1" x14ac:dyDescent="0.35">
      <c r="A441" s="162">
        <v>440</v>
      </c>
      <c r="B441" s="4" t="s">
        <v>8</v>
      </c>
      <c r="C441" s="4" t="s">
        <v>8</v>
      </c>
      <c r="D441" s="7" t="s">
        <v>450</v>
      </c>
      <c r="E441" s="25">
        <v>45533</v>
      </c>
      <c r="F441" s="9">
        <f>IF($E441="","",WORKDAY($E441,1,$V$33:$V$41))</f>
        <v>45534</v>
      </c>
      <c r="G441" s="9">
        <f>IF($E441="","",WORKDAY($E441,10,$V$33:$V$41))</f>
        <v>45547</v>
      </c>
      <c r="H441" s="9">
        <f>IF($E441="","",WORKDAY($E441,20,$V$33:$V$41))</f>
        <v>45561</v>
      </c>
      <c r="I441" s="157" t="str">
        <f t="shared" si="7"/>
        <v>Aug</v>
      </c>
      <c r="J441" s="14" t="str">
        <f ca="1">IF(E441="","",IF(N441="",H441-TODAY(),""))</f>
        <v/>
      </c>
      <c r="K441" s="157" t="s">
        <v>124</v>
      </c>
      <c r="L441" s="25" t="s">
        <v>24</v>
      </c>
      <c r="M441" s="25" t="s">
        <v>76</v>
      </c>
      <c r="N441" s="9">
        <v>45545</v>
      </c>
      <c r="O441" s="159">
        <f>IF($N441="","",NETWORKDAYS($E441,$N441,$V$33:$V$47)-1)</f>
        <v>8</v>
      </c>
      <c r="P441" s="10" t="str">
        <f>IF(ISBLANK(N441),"",IF(N441&gt;H441,"No","Yes"))</f>
        <v>Yes</v>
      </c>
      <c r="Q441" s="9" t="s">
        <v>117</v>
      </c>
      <c r="R441" s="4" t="s">
        <v>118</v>
      </c>
      <c r="S441" s="4"/>
      <c r="T441" s="4"/>
      <c r="U441" s="6"/>
      <c r="V441" s="6"/>
      <c r="W441" s="6"/>
      <c r="X441" s="6"/>
      <c r="Y441" s="6"/>
      <c r="Z441" s="6"/>
      <c r="AX441" s="6" t="str">
        <v>Quarter 2</v>
      </c>
    </row>
    <row r="442" spans="1:50" ht="31.4" customHeight="1" x14ac:dyDescent="0.35">
      <c r="A442" s="162">
        <v>441</v>
      </c>
      <c r="B442" s="7" t="s">
        <v>138</v>
      </c>
      <c r="C442" s="7" t="s">
        <v>19</v>
      </c>
      <c r="D442" s="7" t="s">
        <v>991</v>
      </c>
      <c r="E442" s="25">
        <v>45537</v>
      </c>
      <c r="F442" s="9">
        <f>IF($E442="","",WORKDAY($E442,1,$V$33:$V$41))</f>
        <v>45538</v>
      </c>
      <c r="G442" s="9">
        <f>IF($E442="","",WORKDAY($E442,10,$V$33:$V$41))</f>
        <v>45551</v>
      </c>
      <c r="H442" s="9">
        <f>IF($E442="","",WORKDAY($E442,20,$V$33:$V$41))</f>
        <v>45565</v>
      </c>
      <c r="I442" s="157" t="str">
        <f t="shared" si="7"/>
        <v>Sep</v>
      </c>
      <c r="J442" s="14" t="str">
        <f ca="1">IF(E442="","",IF(N442="",H442-TODAY(),""))</f>
        <v/>
      </c>
      <c r="K442" s="157" t="s">
        <v>10</v>
      </c>
      <c r="L442" s="25" t="s">
        <v>12</v>
      </c>
      <c r="M442" s="25" t="s">
        <v>65</v>
      </c>
      <c r="N442" s="9">
        <v>45552</v>
      </c>
      <c r="O442" s="159">
        <f>IF($N442="","",NETWORKDAYS($E442,$N442,$V$33:$V$47)-1)</f>
        <v>11</v>
      </c>
      <c r="P442" s="10" t="str">
        <f>IF(ISBLANK(N442),"",IF(N442&gt;H442,"No","Yes"))</f>
        <v>Yes</v>
      </c>
      <c r="Q442" s="9" t="s">
        <v>117</v>
      </c>
      <c r="R442" s="4" t="s">
        <v>118</v>
      </c>
      <c r="S442" s="4"/>
      <c r="T442" s="4"/>
      <c r="U442" s="6"/>
      <c r="V442" s="6"/>
      <c r="W442" s="6"/>
      <c r="X442" s="6"/>
      <c r="Y442" s="6"/>
      <c r="Z442" s="6"/>
      <c r="AX442" s="6" t="str">
        <v>Quarter 2</v>
      </c>
    </row>
    <row r="443" spans="1:50" ht="31.4" customHeight="1" x14ac:dyDescent="0.35">
      <c r="A443" s="162">
        <v>442</v>
      </c>
      <c r="B443" s="4" t="s">
        <v>8</v>
      </c>
      <c r="C443" s="4" t="s">
        <v>8</v>
      </c>
      <c r="D443" s="4" t="s">
        <v>992</v>
      </c>
      <c r="E443" s="25"/>
      <c r="F443" s="9"/>
      <c r="G443" s="9"/>
      <c r="H443" s="9"/>
      <c r="I443" s="157" t="s">
        <v>993</v>
      </c>
      <c r="J443" s="14" t="str">
        <f ca="1">IF(E443="","",IF(N443="",H443-TODAY(),""))</f>
        <v/>
      </c>
      <c r="K443" s="157" t="s">
        <v>5</v>
      </c>
      <c r="L443" s="157" t="s">
        <v>22</v>
      </c>
      <c r="M443" s="157" t="s">
        <v>46</v>
      </c>
      <c r="N443" s="9"/>
      <c r="O443" s="159" t="str">
        <f>IF($N443="","",NETWORKDAYS($E443,$N443,$V$33:$V$47)-1)</f>
        <v/>
      </c>
      <c r="P443" s="10" t="str">
        <f>IF(ISBLANK(N443),"",IF(N443&gt;H443,"No","Yes"))</f>
        <v/>
      </c>
      <c r="Q443" s="9" t="s">
        <v>140</v>
      </c>
      <c r="R443" s="4" t="s">
        <v>140</v>
      </c>
      <c r="S443" s="4"/>
      <c r="T443" s="4" t="s">
        <v>994</v>
      </c>
      <c r="U443" s="6"/>
      <c r="V443" s="6"/>
      <c r="W443" s="6"/>
      <c r="X443" s="6"/>
      <c r="Y443" s="6"/>
      <c r="Z443" s="6"/>
      <c r="AX443" s="6" t="str">
        <v>Quarter 2</v>
      </c>
    </row>
    <row r="444" spans="1:50" ht="31.4" customHeight="1" x14ac:dyDescent="0.35">
      <c r="A444" s="162">
        <v>443</v>
      </c>
      <c r="B444" s="4" t="s">
        <v>129</v>
      </c>
      <c r="C444" s="4" t="s">
        <v>13</v>
      </c>
      <c r="D444" s="4" t="s">
        <v>995</v>
      </c>
      <c r="E444" s="25">
        <v>45537</v>
      </c>
      <c r="F444" s="9">
        <f>IF($E444="","",WORKDAY($E444,1,$V$33:$V$41))</f>
        <v>45538</v>
      </c>
      <c r="G444" s="9">
        <f>IF($E444="","",WORKDAY($E444,10,$V$33:$V$41))</f>
        <v>45551</v>
      </c>
      <c r="H444" s="9">
        <f>IF($E444="","",WORKDAY($E444,20,$V$33:$V$41))</f>
        <v>45565</v>
      </c>
      <c r="I444" s="157" t="str">
        <f t="shared" si="7"/>
        <v>Sep</v>
      </c>
      <c r="J444" s="14" t="str">
        <f ca="1">IF(E444="","",IF(N444="",H444-TODAY(),""))</f>
        <v/>
      </c>
      <c r="K444" s="157" t="s">
        <v>5</v>
      </c>
      <c r="L444" s="157" t="s">
        <v>16</v>
      </c>
      <c r="M444" s="157" t="s">
        <v>71</v>
      </c>
      <c r="N444" s="9">
        <v>45566</v>
      </c>
      <c r="O444" s="159">
        <f>IF($N444="","",NETWORKDAYS($E444,$N444,$V$33:$V$47)-1)</f>
        <v>21</v>
      </c>
      <c r="P444" s="10" t="str">
        <f>IF(ISBLANK(N444),"",IF(N444&gt;H444,"No","Yes"))</f>
        <v>No</v>
      </c>
      <c r="Q444" s="9" t="s">
        <v>117</v>
      </c>
      <c r="R444" s="4" t="s">
        <v>118</v>
      </c>
      <c r="S444" s="4" t="s">
        <v>135</v>
      </c>
      <c r="T444" s="4"/>
      <c r="U444" s="6"/>
      <c r="V444" s="6"/>
      <c r="W444" s="6"/>
      <c r="X444" s="6"/>
      <c r="Y444" s="6"/>
      <c r="Z444" s="6"/>
      <c r="AX444" s="6" t="str">
        <v>Quarter 2</v>
      </c>
    </row>
    <row r="445" spans="1:50" ht="31.4" customHeight="1" x14ac:dyDescent="0.35">
      <c r="A445" s="162">
        <v>444</v>
      </c>
      <c r="B445" s="4" t="s">
        <v>129</v>
      </c>
      <c r="C445" s="4" t="s">
        <v>13</v>
      </c>
      <c r="D445" s="4" t="s">
        <v>996</v>
      </c>
      <c r="E445" s="25">
        <v>45537</v>
      </c>
      <c r="F445" s="9">
        <f>IF($E445="","",WORKDAY($E445,1,$V$33:$V$41))</f>
        <v>45538</v>
      </c>
      <c r="G445" s="9">
        <f>IF($E445="","",WORKDAY($E445,10,$V$33:$V$41))</f>
        <v>45551</v>
      </c>
      <c r="H445" s="9">
        <f>IF($E445="","",WORKDAY($E445,20,$V$33:$V$41))</f>
        <v>45565</v>
      </c>
      <c r="I445" s="157" t="str">
        <f t="shared" si="7"/>
        <v>Sep</v>
      </c>
      <c r="J445" s="14" t="str">
        <f ca="1">IF(E445="","",IF(N445="",H445-TODAY(),""))</f>
        <v/>
      </c>
      <c r="K445" s="157" t="s">
        <v>5</v>
      </c>
      <c r="L445" s="157" t="s">
        <v>16</v>
      </c>
      <c r="M445" s="157" t="s">
        <v>71</v>
      </c>
      <c r="N445" s="9">
        <v>45566</v>
      </c>
      <c r="O445" s="159">
        <v>21</v>
      </c>
      <c r="P445" s="10" t="str">
        <f>IF(ISBLANK(N445),"",IF(N445&gt;H445,"No","Yes"))</f>
        <v>No</v>
      </c>
      <c r="Q445" s="9" t="s">
        <v>117</v>
      </c>
      <c r="R445" s="4" t="s">
        <v>118</v>
      </c>
      <c r="S445" s="4"/>
      <c r="T445" s="4"/>
      <c r="U445" s="6"/>
      <c r="V445" s="6"/>
      <c r="W445" s="6"/>
      <c r="X445" s="6"/>
      <c r="Y445" s="6"/>
      <c r="Z445" s="6"/>
      <c r="AX445" s="6" t="str">
        <v>Quarter 2</v>
      </c>
    </row>
    <row r="446" spans="1:50" ht="31.4" customHeight="1" x14ac:dyDescent="0.35">
      <c r="A446" s="162">
        <v>445</v>
      </c>
      <c r="B446" s="4" t="s">
        <v>8</v>
      </c>
      <c r="C446" s="4" t="s">
        <v>8</v>
      </c>
      <c r="D446" s="4" t="s">
        <v>997</v>
      </c>
      <c r="E446" s="157">
        <v>45537</v>
      </c>
      <c r="F446" s="9">
        <f>IF($E446="","",WORKDAY($E446,1,$V$33:$V$41))</f>
        <v>45538</v>
      </c>
      <c r="G446" s="9">
        <f>IF($E446="","",WORKDAY($E446,10,$V$33:$V$41))</f>
        <v>45551</v>
      </c>
      <c r="H446" s="9">
        <f>IF($E446="","",WORKDAY($E446,20,$V$33:$V$41))</f>
        <v>45565</v>
      </c>
      <c r="I446" s="157" t="str">
        <f t="shared" si="7"/>
        <v>Sep</v>
      </c>
      <c r="J446" s="14" t="str">
        <f ca="1">IF(E446="","",IF(N446="",H446-TODAY(),""))</f>
        <v/>
      </c>
      <c r="K446" s="157" t="s">
        <v>5</v>
      </c>
      <c r="L446" s="157" t="s">
        <v>16</v>
      </c>
      <c r="M446" s="157" t="s">
        <v>67</v>
      </c>
      <c r="N446" s="9">
        <v>45558</v>
      </c>
      <c r="O446" s="159">
        <f>IF($N446="","",NETWORKDAYS($E446,$N446,$V$33:$V$47)-1)</f>
        <v>15</v>
      </c>
      <c r="P446" s="10" t="str">
        <f>IF(ISBLANK(N446),"",IF(N446&gt;H446,"No","Yes"))</f>
        <v>Yes</v>
      </c>
      <c r="Q446" s="9" t="s">
        <v>117</v>
      </c>
      <c r="R446" s="4" t="s">
        <v>118</v>
      </c>
      <c r="S446" s="4" t="s">
        <v>119</v>
      </c>
      <c r="T446" s="4"/>
      <c r="U446" s="6"/>
      <c r="V446" s="6"/>
      <c r="W446" s="6"/>
      <c r="X446" s="6"/>
      <c r="Y446" s="6"/>
      <c r="Z446" s="6"/>
      <c r="AX446" s="6" t="str">
        <v>Quarter 2</v>
      </c>
    </row>
    <row r="447" spans="1:50" ht="31.4" customHeight="1" x14ac:dyDescent="0.35">
      <c r="A447" s="162">
        <v>446</v>
      </c>
      <c r="B447" s="4" t="s">
        <v>583</v>
      </c>
      <c r="C447" s="4" t="s">
        <v>13</v>
      </c>
      <c r="D447" s="4" t="s">
        <v>998</v>
      </c>
      <c r="E447" s="157">
        <v>45534</v>
      </c>
      <c r="F447" s="9">
        <f>IF($E447="","",WORKDAY($E447,1,$V$33:$V$41))</f>
        <v>45537</v>
      </c>
      <c r="G447" s="9">
        <f>IF($E447="","",WORKDAY($E447,10,$V$33:$V$41))</f>
        <v>45548</v>
      </c>
      <c r="H447" s="9">
        <f>IF($E447="","",WORKDAY($E447,20,$V$33:$V$41))</f>
        <v>45562</v>
      </c>
      <c r="I447" s="157" t="str">
        <f t="shared" si="7"/>
        <v>Aug</v>
      </c>
      <c r="J447" s="14" t="str">
        <f ca="1">IF(E447="","",IF(N447="",H447-TODAY(),""))</f>
        <v/>
      </c>
      <c r="K447" s="157" t="s">
        <v>10</v>
      </c>
      <c r="L447" s="157" t="s">
        <v>12</v>
      </c>
      <c r="M447" s="157" t="s">
        <v>91</v>
      </c>
      <c r="N447" s="9">
        <v>45562</v>
      </c>
      <c r="O447" s="159">
        <f>IF($N447="","",NETWORKDAYS($E447,$N447,$V$33:$V$47)-1)</f>
        <v>20</v>
      </c>
      <c r="P447" s="10" t="str">
        <f>IF(ISBLANK(N447),"",IF(N447&gt;H447,"No","Yes"))</f>
        <v>Yes</v>
      </c>
      <c r="Q447" s="9" t="s">
        <v>117</v>
      </c>
      <c r="R447" s="4" t="s">
        <v>118</v>
      </c>
      <c r="S447" s="4"/>
      <c r="T447" s="4" t="s">
        <v>141</v>
      </c>
      <c r="U447" s="6"/>
      <c r="V447" s="6"/>
      <c r="W447" s="6"/>
      <c r="X447" s="6"/>
      <c r="Y447" s="6"/>
      <c r="Z447" s="6"/>
      <c r="AX447" s="6" t="str">
        <v>Quarter 2</v>
      </c>
    </row>
    <row r="448" spans="1:50" ht="31.4" customHeight="1" x14ac:dyDescent="0.35">
      <c r="A448" s="162">
        <v>447</v>
      </c>
      <c r="B448" s="4" t="s">
        <v>138</v>
      </c>
      <c r="C448" s="4" t="s">
        <v>19</v>
      </c>
      <c r="D448" s="4" t="s">
        <v>999</v>
      </c>
      <c r="E448" s="157">
        <v>45538</v>
      </c>
      <c r="F448" s="9">
        <f>IF($E448="","",WORKDAY($E448,1,$V$33:$V$41))</f>
        <v>45539</v>
      </c>
      <c r="G448" s="9">
        <f>IF($E448="","",WORKDAY($E448,10,$V$33:$V$41))</f>
        <v>45552</v>
      </c>
      <c r="H448" s="9">
        <f>IF($E448="","",WORKDAY($E448,20,$V$33:$V$41))</f>
        <v>45566</v>
      </c>
      <c r="I448" s="157" t="str">
        <f t="shared" si="7"/>
        <v>Sep</v>
      </c>
      <c r="J448" s="14" t="str">
        <f ca="1">IF(E448="","",IF(N448="",H448-TODAY(),""))</f>
        <v/>
      </c>
      <c r="K448" s="157" t="s">
        <v>4</v>
      </c>
      <c r="L448" s="157" t="s">
        <v>26</v>
      </c>
      <c r="M448" s="157" t="s">
        <v>57</v>
      </c>
      <c r="N448" s="9">
        <v>45559</v>
      </c>
      <c r="O448" s="159">
        <f>IF($N448="","",NETWORKDAYS($E448,$N448,$V$33:$V$47)-1)</f>
        <v>15</v>
      </c>
      <c r="P448" s="10" t="str">
        <f>IF(ISBLANK(N448),"",IF(N448&gt;H448,"No","Yes"))</f>
        <v>Yes</v>
      </c>
      <c r="Q448" s="9" t="s">
        <v>117</v>
      </c>
      <c r="R448" s="4" t="s">
        <v>118</v>
      </c>
      <c r="S448" s="4"/>
      <c r="T448" s="4"/>
      <c r="U448" s="6"/>
      <c r="V448" s="6"/>
      <c r="W448" s="6"/>
      <c r="X448" s="6"/>
      <c r="Y448" s="6"/>
      <c r="Z448" s="6"/>
      <c r="AX448" s="6" t="str">
        <v>Quarter 2</v>
      </c>
    </row>
    <row r="449" spans="1:50" ht="31.4" customHeight="1" x14ac:dyDescent="0.35">
      <c r="A449" s="162">
        <v>448</v>
      </c>
      <c r="B449" s="4" t="s">
        <v>913</v>
      </c>
      <c r="C449" s="4" t="s">
        <v>15</v>
      </c>
      <c r="D449" s="4" t="s">
        <v>1000</v>
      </c>
      <c r="E449" s="157">
        <v>45538</v>
      </c>
      <c r="F449" s="9">
        <f>IF($E449="","",WORKDAY($E449,1,$V$33:$V$41))</f>
        <v>45539</v>
      </c>
      <c r="G449" s="9">
        <f>IF($E449="","",WORKDAY($E449,10,$V$33:$V$41))</f>
        <v>45552</v>
      </c>
      <c r="H449" s="9">
        <f>IF($E449="","",WORKDAY($E449,20,$V$33:$V$41))</f>
        <v>45566</v>
      </c>
      <c r="I449" s="157" t="str">
        <f t="shared" si="7"/>
        <v>Sep</v>
      </c>
      <c r="J449" s="14" t="str">
        <f ca="1">IF(E449="","",IF(N449="",H449-TODAY(),""))</f>
        <v/>
      </c>
      <c r="K449" s="157" t="s">
        <v>124</v>
      </c>
      <c r="L449" s="157" t="s">
        <v>20</v>
      </c>
      <c r="M449" s="157" t="s">
        <v>62</v>
      </c>
      <c r="N449" s="9">
        <v>45540</v>
      </c>
      <c r="O449" s="159">
        <f>IF($N449="","",NETWORKDAYS($E449,$N449,$V$33:$V$47)-1)</f>
        <v>2</v>
      </c>
      <c r="P449" s="10" t="str">
        <f>IF(ISBLANK(N449),"",IF(N449&gt;H449,"No","Yes"))</f>
        <v>Yes</v>
      </c>
      <c r="Q449" s="9" t="s">
        <v>117</v>
      </c>
      <c r="R449" s="4" t="s">
        <v>150</v>
      </c>
      <c r="S449" s="4"/>
      <c r="T449" s="4"/>
      <c r="U449" s="6"/>
      <c r="V449" s="6"/>
      <c r="W449" s="6"/>
      <c r="X449" s="6"/>
      <c r="Y449" s="6"/>
      <c r="Z449" s="6"/>
      <c r="AX449" s="6" t="str">
        <v>Quarter 2</v>
      </c>
    </row>
    <row r="450" spans="1:50" ht="31.4" customHeight="1" x14ac:dyDescent="0.35">
      <c r="A450" s="162">
        <v>449</v>
      </c>
      <c r="B450" s="4" t="s">
        <v>138</v>
      </c>
      <c r="C450" s="4" t="s">
        <v>19</v>
      </c>
      <c r="D450" s="4" t="s">
        <v>1001</v>
      </c>
      <c r="E450" s="157">
        <v>45538</v>
      </c>
      <c r="F450" s="9">
        <f>IF($E450="","",WORKDAY($E450,1,$V$33:$V$41))</f>
        <v>45539</v>
      </c>
      <c r="G450" s="9">
        <f>IF($E450="","",WORKDAY($E450,10,$V$33:$V$41))</f>
        <v>45552</v>
      </c>
      <c r="H450" s="9">
        <f>IF($E450="","",WORKDAY($E450,20,$V$33:$V$41))</f>
        <v>45566</v>
      </c>
      <c r="I450" s="157" t="str">
        <f>IF(ISBLANK(E450),"",TEXT(E450,"mmm"))</f>
        <v>Sep</v>
      </c>
      <c r="J450" s="14" t="str">
        <f ca="1">IF(E450="","",IF(N450="",H450-TODAY(),""))</f>
        <v/>
      </c>
      <c r="K450" s="157" t="s">
        <v>124</v>
      </c>
      <c r="L450" s="157" t="s">
        <v>20</v>
      </c>
      <c r="M450" s="157" t="s">
        <v>62</v>
      </c>
      <c r="N450" s="9">
        <v>45642</v>
      </c>
      <c r="O450" s="159">
        <f>IF($N450="","",NETWORKDAYS($E450,$N450,$V$33:$V$47)-1)</f>
        <v>74</v>
      </c>
      <c r="P450" s="10" t="str">
        <f>IF(ISBLANK(N450),"",IF(N450&gt;H450,"No","Yes"))</f>
        <v>No</v>
      </c>
      <c r="Q450" s="9" t="s">
        <v>117</v>
      </c>
      <c r="R450" s="4" t="s">
        <v>118</v>
      </c>
      <c r="S450" s="4"/>
      <c r="T450" s="4" t="s">
        <v>141</v>
      </c>
      <c r="U450" s="6"/>
      <c r="V450" s="6"/>
      <c r="W450" s="6"/>
      <c r="X450" s="6"/>
      <c r="Y450" s="6"/>
      <c r="Z450" s="6"/>
      <c r="AX450" s="6" t="str">
        <v>Quarter 2</v>
      </c>
    </row>
    <row r="451" spans="1:50" ht="31.4" customHeight="1" x14ac:dyDescent="0.35">
      <c r="A451" s="162">
        <v>450</v>
      </c>
      <c r="B451" s="4" t="s">
        <v>8</v>
      </c>
      <c r="C451" s="4" t="s">
        <v>8</v>
      </c>
      <c r="D451" s="4" t="s">
        <v>1002</v>
      </c>
      <c r="E451" s="157">
        <v>45538</v>
      </c>
      <c r="F451" s="9">
        <f>IF($E451="","",WORKDAY($E451,1,$V$33:$V$41))</f>
        <v>45539</v>
      </c>
      <c r="G451" s="9">
        <f>IF($E451="","",WORKDAY($E451,10,$V$33:$V$41))</f>
        <v>45552</v>
      </c>
      <c r="H451" s="9">
        <f>IF($E451="","",WORKDAY($E451,20,$V$33:$V$41))</f>
        <v>45566</v>
      </c>
      <c r="I451" s="157" t="str">
        <f t="shared" ref="I451:I513" si="8">IF(ISBLANK(E451),"",TEXT(E451,"mmm"))</f>
        <v>Sep</v>
      </c>
      <c r="J451" s="14" t="str">
        <f ca="1">IF(E451="","",IF(N451="",H451-TODAY(),""))</f>
        <v/>
      </c>
      <c r="K451" s="157" t="s">
        <v>5</v>
      </c>
      <c r="L451" s="157" t="s">
        <v>18</v>
      </c>
      <c r="M451" s="157" t="s">
        <v>40</v>
      </c>
      <c r="N451" s="9">
        <v>45552</v>
      </c>
      <c r="O451" s="159">
        <f>IF($N451="","",NETWORKDAYS($E451,$N451,$V$33:$V$47)-1)</f>
        <v>10</v>
      </c>
      <c r="P451" s="10" t="str">
        <f>IF(ISBLANK(N451),"",IF(N451&gt;H451,"No","Yes"))</f>
        <v>Yes</v>
      </c>
      <c r="Q451" s="9" t="s">
        <v>117</v>
      </c>
      <c r="R451" s="4" t="s">
        <v>118</v>
      </c>
      <c r="S451" s="4" t="s">
        <v>135</v>
      </c>
      <c r="T451" s="4"/>
      <c r="U451" s="6"/>
      <c r="V451" s="6"/>
      <c r="W451" s="6"/>
      <c r="X451" s="6"/>
      <c r="Y451" s="6"/>
      <c r="Z451" s="6"/>
      <c r="AX451" s="6" t="str">
        <v>Quarter 2</v>
      </c>
    </row>
    <row r="452" spans="1:50" ht="31.4" customHeight="1" x14ac:dyDescent="0.35">
      <c r="A452" s="162">
        <v>451</v>
      </c>
      <c r="B452" s="7" t="s">
        <v>8</v>
      </c>
      <c r="C452" s="7" t="s">
        <v>8</v>
      </c>
      <c r="D452" s="7" t="s">
        <v>219</v>
      </c>
      <c r="E452" s="25">
        <v>45539</v>
      </c>
      <c r="F452" s="9">
        <f>IF($E452="","",WORKDAY($E452,1,$V$33:$V$41))</f>
        <v>45540</v>
      </c>
      <c r="G452" s="9">
        <f>IF($E452="","",WORKDAY($E452,10,$V$33:$V$41))</f>
        <v>45553</v>
      </c>
      <c r="H452" s="9">
        <f>IF($E452="","",WORKDAY($E452,20,$V$33:$V$41))</f>
        <v>45567</v>
      </c>
      <c r="I452" s="157" t="str">
        <f t="shared" si="8"/>
        <v>Sep</v>
      </c>
      <c r="J452" s="14" t="str">
        <f ca="1">IF(E452="","",IF(N452="",H452-TODAY(),""))</f>
        <v/>
      </c>
      <c r="K452" s="25" t="s">
        <v>5</v>
      </c>
      <c r="L452" s="157" t="s">
        <v>16</v>
      </c>
      <c r="M452" s="157" t="s">
        <v>67</v>
      </c>
      <c r="N452" s="9">
        <v>45545</v>
      </c>
      <c r="O452" s="159">
        <f>IF($N452="","",NETWORKDAYS($E452,$N452,$V$33:$V$47)-1)</f>
        <v>4</v>
      </c>
      <c r="P452" s="10" t="str">
        <f>IF(ISBLANK(N452),"",IF(N452&gt;H452,"No","Yes"))</f>
        <v>Yes</v>
      </c>
      <c r="Q452" s="9" t="s">
        <v>117</v>
      </c>
      <c r="R452" s="4" t="s">
        <v>126</v>
      </c>
      <c r="S452" s="4" t="s">
        <v>119</v>
      </c>
      <c r="T452" s="4"/>
      <c r="U452" s="6"/>
      <c r="V452" s="6"/>
      <c r="W452" s="6"/>
      <c r="X452" s="6"/>
      <c r="Y452" s="6"/>
      <c r="Z452" s="6"/>
      <c r="AX452" s="6" t="str">
        <v>Quarter 2</v>
      </c>
    </row>
    <row r="453" spans="1:50" ht="31.4" customHeight="1" x14ac:dyDescent="0.35">
      <c r="A453" s="162">
        <v>452</v>
      </c>
      <c r="B453" s="4" t="s">
        <v>1003</v>
      </c>
      <c r="C453" s="4" t="s">
        <v>13</v>
      </c>
      <c r="D453" s="4" t="s">
        <v>219</v>
      </c>
      <c r="E453" s="157">
        <v>45539</v>
      </c>
      <c r="F453" s="9">
        <f>IF($E453="","",WORKDAY($E453,1,$V$33:$V$41))</f>
        <v>45540</v>
      </c>
      <c r="G453" s="9">
        <f>IF($E453="","",WORKDAY($E453,10,$V$33:$V$41))</f>
        <v>45553</v>
      </c>
      <c r="H453" s="9">
        <f>IF($E453="","",WORKDAY($E453,20,$V$33:$V$41))</f>
        <v>45567</v>
      </c>
      <c r="I453" s="157" t="str">
        <f t="shared" si="8"/>
        <v>Sep</v>
      </c>
      <c r="J453" s="14" t="str">
        <f ca="1">IF(E453="","",IF(N453="",H453-TODAY(),""))</f>
        <v/>
      </c>
      <c r="K453" s="157" t="s">
        <v>5</v>
      </c>
      <c r="L453" s="157" t="s">
        <v>16</v>
      </c>
      <c r="M453" s="157" t="s">
        <v>67</v>
      </c>
      <c r="N453" s="9">
        <v>45545</v>
      </c>
      <c r="O453" s="159">
        <f>IF($N453="","",NETWORKDAYS($E453,$N453,$V$33:$V$47)-1)</f>
        <v>4</v>
      </c>
      <c r="P453" s="10" t="str">
        <f>IF(ISBLANK(N453),"",IF(N453&gt;H453,"No","Yes"))</f>
        <v>Yes</v>
      </c>
      <c r="Q453" s="9" t="s">
        <v>117</v>
      </c>
      <c r="R453" s="4" t="s">
        <v>126</v>
      </c>
      <c r="S453" s="4" t="s">
        <v>119</v>
      </c>
      <c r="T453" s="4" t="s">
        <v>2120</v>
      </c>
      <c r="U453" s="6"/>
      <c r="V453" s="6"/>
      <c r="W453" s="6"/>
      <c r="X453" s="6"/>
      <c r="Y453" s="6"/>
      <c r="Z453" s="6"/>
      <c r="AX453" s="6" t="str">
        <v>Quarter 2</v>
      </c>
    </row>
    <row r="454" spans="1:50" ht="31.4" customHeight="1" x14ac:dyDescent="0.35">
      <c r="A454" s="162">
        <v>453</v>
      </c>
      <c r="B454" s="4" t="s">
        <v>647</v>
      </c>
      <c r="C454" s="4" t="s">
        <v>13</v>
      </c>
      <c r="D454" s="4" t="s">
        <v>648</v>
      </c>
      <c r="E454" s="157">
        <v>45539</v>
      </c>
      <c r="F454" s="9">
        <f>IF($E454="","",WORKDAY($E454,1,$V$33:$V$41))</f>
        <v>45540</v>
      </c>
      <c r="G454" s="9">
        <f>IF($E454="","",WORKDAY($E454,10,$V$33:$V$41))</f>
        <v>45553</v>
      </c>
      <c r="H454" s="9">
        <f>IF($E454="","",WORKDAY($E454,20,$V$33:$V$41))</f>
        <v>45567</v>
      </c>
      <c r="I454" s="157" t="str">
        <f t="shared" si="8"/>
        <v>Sep</v>
      </c>
      <c r="J454" s="14" t="str">
        <f ca="1">IF(E454="","",IF(N454="",H454-TODAY(),""))</f>
        <v/>
      </c>
      <c r="K454" s="157" t="s">
        <v>124</v>
      </c>
      <c r="L454" s="157" t="s">
        <v>14</v>
      </c>
      <c r="M454" s="157" t="s">
        <v>81</v>
      </c>
      <c r="N454" s="9">
        <v>45539</v>
      </c>
      <c r="O454" s="159">
        <f>IF($N454="","",NETWORKDAYS($E454,$N454,$V$33:$V$47)-1)</f>
        <v>0</v>
      </c>
      <c r="P454" s="10" t="str">
        <f>IF(ISBLANK(N454),"",IF(N454&gt;H454,"No","Yes"))</f>
        <v>Yes</v>
      </c>
      <c r="Q454" s="9" t="s">
        <v>117</v>
      </c>
      <c r="R454" s="4" t="s">
        <v>118</v>
      </c>
      <c r="S454" s="4"/>
      <c r="T454" s="4"/>
      <c r="U454" s="6"/>
      <c r="V454" s="6"/>
      <c r="W454" s="6"/>
      <c r="X454" s="6"/>
      <c r="Y454" s="6"/>
      <c r="Z454" s="6"/>
      <c r="AX454" s="6" t="str">
        <v>Quarter 2</v>
      </c>
    </row>
    <row r="455" spans="1:50" ht="31.4" customHeight="1" x14ac:dyDescent="0.35">
      <c r="A455" s="162">
        <v>454</v>
      </c>
      <c r="B455" s="4" t="s">
        <v>8</v>
      </c>
      <c r="C455" s="4" t="s">
        <v>8</v>
      </c>
      <c r="D455" s="4" t="s">
        <v>275</v>
      </c>
      <c r="E455" s="157"/>
      <c r="F455" s="9" t="str">
        <f>IF($E455="","",WORKDAY($E455,1,$V$33:$V$41))</f>
        <v/>
      </c>
      <c r="G455" s="9" t="str">
        <f>IF($E455="","",WORKDAY($E455,10,$V$33:$V$41))</f>
        <v/>
      </c>
      <c r="H455" s="9" t="str">
        <f>IF($E455="","",WORKDAY($E455,20,$V$33:$V$41))</f>
        <v/>
      </c>
      <c r="I455" s="157" t="s">
        <v>993</v>
      </c>
      <c r="J455" s="14" t="str">
        <f ca="1">IF(E455="","",IF(N455="",H455-TODAY(),""))</f>
        <v/>
      </c>
      <c r="K455" s="157" t="s">
        <v>124</v>
      </c>
      <c r="L455" s="157" t="s">
        <v>20</v>
      </c>
      <c r="M455" s="157" t="s">
        <v>70</v>
      </c>
      <c r="N455" s="9"/>
      <c r="O455" s="159" t="str">
        <f>IF($N455="","",NETWORKDAYS($E455,$N455,$V$33:$V$47)-1)</f>
        <v/>
      </c>
      <c r="P455" s="10" t="str">
        <f>IF(ISBLANK(N455),"",IF(N455&gt;H455,"No","Yes"))</f>
        <v/>
      </c>
      <c r="Q455" s="9" t="s">
        <v>133</v>
      </c>
      <c r="R455" s="4" t="s">
        <v>133</v>
      </c>
      <c r="S455" s="4"/>
      <c r="T455" s="4" t="s">
        <v>764</v>
      </c>
      <c r="U455" s="6"/>
      <c r="V455" s="6"/>
      <c r="W455" s="6"/>
      <c r="X455" s="6"/>
      <c r="Y455" s="6"/>
      <c r="Z455" s="6"/>
      <c r="AX455" s="6" t="str">
        <v>Quarter 2</v>
      </c>
    </row>
    <row r="456" spans="1:50" ht="31.4" customHeight="1" x14ac:dyDescent="0.35">
      <c r="A456" s="162">
        <v>455</v>
      </c>
      <c r="B456" s="4" t="s">
        <v>1004</v>
      </c>
      <c r="C456" s="4" t="s">
        <v>13</v>
      </c>
      <c r="D456" s="4" t="s">
        <v>1005</v>
      </c>
      <c r="E456" s="157">
        <v>45539</v>
      </c>
      <c r="F456" s="9">
        <f>IF($E456="","",WORKDAY($E456,1,$V$33:$V$41))</f>
        <v>45540</v>
      </c>
      <c r="G456" s="9">
        <f>IF($E456="","",WORKDAY($E456,10,$V$33:$V$41))</f>
        <v>45553</v>
      </c>
      <c r="H456" s="9">
        <f>IF($E456="","",WORKDAY($E456,20,$V$33:$V$41))</f>
        <v>45567</v>
      </c>
      <c r="I456" s="157" t="str">
        <f t="shared" si="8"/>
        <v>Sep</v>
      </c>
      <c r="J456" s="14" t="str">
        <f ca="1">IF(E456="","",IF(N456="",H456-TODAY(),""))</f>
        <v/>
      </c>
      <c r="K456" s="157" t="s">
        <v>5</v>
      </c>
      <c r="L456" s="157" t="s">
        <v>16</v>
      </c>
      <c r="M456" s="157" t="s">
        <v>71</v>
      </c>
      <c r="N456" s="9">
        <v>45566</v>
      </c>
      <c r="O456" s="159">
        <f>IF($N456="","",NETWORKDAYS($E456,$N456,$V$33:$V$47)-1)</f>
        <v>19</v>
      </c>
      <c r="P456" s="10" t="str">
        <f>IF(ISBLANK(N456),"",IF(N456&gt;H456,"No","Yes"))</f>
        <v>Yes</v>
      </c>
      <c r="Q456" s="9" t="s">
        <v>117</v>
      </c>
      <c r="R456" s="4" t="s">
        <v>118</v>
      </c>
      <c r="S456" s="4"/>
      <c r="T456" s="4"/>
      <c r="U456" s="6"/>
      <c r="V456" s="6"/>
      <c r="W456" s="6"/>
      <c r="X456" s="6"/>
      <c r="Y456" s="6"/>
      <c r="Z456" s="6"/>
      <c r="AX456" s="6" t="str">
        <v>Quarter 2</v>
      </c>
    </row>
    <row r="457" spans="1:50" ht="31.4" customHeight="1" x14ac:dyDescent="0.35">
      <c r="A457" s="162">
        <v>456</v>
      </c>
      <c r="B457" s="4" t="s">
        <v>138</v>
      </c>
      <c r="C457" s="4" t="s">
        <v>19</v>
      </c>
      <c r="D457" s="4" t="s">
        <v>1006</v>
      </c>
      <c r="E457" s="157">
        <v>45545</v>
      </c>
      <c r="F457" s="9">
        <f>IF($E457="","",WORKDAY($E457,1,$V$33:$V$41))</f>
        <v>45546</v>
      </c>
      <c r="G457" s="9">
        <f>IF($E457="","",WORKDAY($E457,10,$V$33:$V$41))</f>
        <v>45559</v>
      </c>
      <c r="H457" s="9">
        <f>IF($E457="","",WORKDAY($E457,20,$V$33:$V$41))</f>
        <v>45573</v>
      </c>
      <c r="I457" s="157" t="str">
        <f t="shared" si="8"/>
        <v>Sep</v>
      </c>
      <c r="J457" s="14" t="str">
        <f ca="1">IF(E457="","",IF(N457="",H457-TODAY(),""))</f>
        <v/>
      </c>
      <c r="K457" s="157" t="s">
        <v>10</v>
      </c>
      <c r="L457" s="157" t="s">
        <v>12</v>
      </c>
      <c r="M457" s="157" t="s">
        <v>65</v>
      </c>
      <c r="N457" s="9">
        <v>45552</v>
      </c>
      <c r="O457" s="159">
        <f>IF($N457="","",NETWORKDAYS($E457,$N457,$V$33:$V$47)-1)</f>
        <v>5</v>
      </c>
      <c r="P457" s="10" t="str">
        <f>IF(ISBLANK(N457),"",IF(N457&gt;H457,"No","Yes"))</f>
        <v>Yes</v>
      </c>
      <c r="Q457" s="9" t="s">
        <v>117</v>
      </c>
      <c r="R457" s="4" t="s">
        <v>118</v>
      </c>
      <c r="S457" s="4"/>
      <c r="T457" s="4"/>
      <c r="U457" s="6"/>
      <c r="V457" s="6"/>
      <c r="W457" s="6"/>
      <c r="X457" s="6"/>
      <c r="Y457" s="6"/>
      <c r="Z457" s="6"/>
      <c r="AX457" s="6" t="str">
        <v>Quarter 2</v>
      </c>
    </row>
    <row r="458" spans="1:50" ht="31.4" customHeight="1" x14ac:dyDescent="0.35">
      <c r="A458" s="162">
        <v>457</v>
      </c>
      <c r="B458" s="4" t="s">
        <v>8</v>
      </c>
      <c r="C458" s="4" t="s">
        <v>8</v>
      </c>
      <c r="D458" s="4" t="s">
        <v>1007</v>
      </c>
      <c r="E458" s="157">
        <v>45539</v>
      </c>
      <c r="F458" s="9">
        <f>IF($E458="","",WORKDAY($E458,1,$V$33:$V$41))</f>
        <v>45540</v>
      </c>
      <c r="G458" s="9">
        <f>IF($E458="","",WORKDAY($E458,10,$V$33:$V$41))</f>
        <v>45553</v>
      </c>
      <c r="H458" s="9">
        <f>IF($E458="","",WORKDAY($E458,20,$V$33:$V$41))</f>
        <v>45567</v>
      </c>
      <c r="I458" s="157" t="str">
        <f t="shared" si="8"/>
        <v>Sep</v>
      </c>
      <c r="J458" s="14" t="str">
        <f ca="1">IF(E458="","",IF(N458="",H458-TODAY(),""))</f>
        <v/>
      </c>
      <c r="K458" s="157" t="s">
        <v>5</v>
      </c>
      <c r="L458" s="157" t="s">
        <v>16</v>
      </c>
      <c r="M458" s="157" t="s">
        <v>67</v>
      </c>
      <c r="N458" s="9">
        <v>45552</v>
      </c>
      <c r="O458" s="159">
        <f>IF($N458="","",NETWORKDAYS($E458,$N458,$V$33:$V$47)-1)</f>
        <v>9</v>
      </c>
      <c r="P458" s="10" t="str">
        <f>IF(ISBLANK(N458),"",IF(N458&gt;H458,"No","Yes"))</f>
        <v>Yes</v>
      </c>
      <c r="Q458" s="9" t="s">
        <v>117</v>
      </c>
      <c r="R458" s="4" t="s">
        <v>132</v>
      </c>
      <c r="S458" s="4" t="s">
        <v>119</v>
      </c>
      <c r="T458" s="4"/>
      <c r="U458" s="6"/>
      <c r="V458" s="6"/>
      <c r="W458" s="6"/>
      <c r="X458" s="6"/>
      <c r="Y458" s="6"/>
      <c r="Z458" s="6"/>
      <c r="AX458" s="6" t="str">
        <v>Quarter 2</v>
      </c>
    </row>
    <row r="459" spans="1:50" ht="31.4" customHeight="1" x14ac:dyDescent="0.35">
      <c r="A459" s="162">
        <v>458</v>
      </c>
      <c r="B459" s="7" t="s">
        <v>138</v>
      </c>
      <c r="C459" s="7" t="s">
        <v>19</v>
      </c>
      <c r="D459" s="4" t="s">
        <v>1008</v>
      </c>
      <c r="E459" s="157">
        <v>45540</v>
      </c>
      <c r="F459" s="9">
        <f>IF($E459="","",WORKDAY($E459,1,$V$33:$V$41))</f>
        <v>45541</v>
      </c>
      <c r="G459" s="9">
        <f>IF($E459="","",WORKDAY($E459,10,$V$33:$V$41))</f>
        <v>45554</v>
      </c>
      <c r="H459" s="9">
        <f>IF($E459="","",WORKDAY($E459,20,$V$33:$V$41))</f>
        <v>45568</v>
      </c>
      <c r="I459" s="157" t="str">
        <f t="shared" si="8"/>
        <v>Sep</v>
      </c>
      <c r="J459" s="14" t="str">
        <f ca="1">IF(E459="","",IF(N459="",H459-TODAY(),""))</f>
        <v/>
      </c>
      <c r="K459" s="157" t="s">
        <v>5</v>
      </c>
      <c r="L459" s="157" t="s">
        <v>22</v>
      </c>
      <c r="M459" s="157" t="s">
        <v>55</v>
      </c>
      <c r="N459" s="9">
        <v>45565</v>
      </c>
      <c r="O459" s="159">
        <f>IF($N459="","",NETWORKDAYS($E459,$N459,$V$33:$V$47)-1)</f>
        <v>17</v>
      </c>
      <c r="P459" s="10" t="str">
        <f>IF(ISBLANK(N459),"",IF(N459&gt;H459,"No","Yes"))</f>
        <v>Yes</v>
      </c>
      <c r="Q459" s="9" t="s">
        <v>117</v>
      </c>
      <c r="R459" s="4" t="s">
        <v>118</v>
      </c>
      <c r="S459" s="4" t="s">
        <v>119</v>
      </c>
      <c r="T459" s="4" t="s">
        <v>141</v>
      </c>
      <c r="U459" s="6"/>
      <c r="V459" s="6"/>
      <c r="W459" s="6"/>
      <c r="X459" s="6"/>
      <c r="Y459" s="6"/>
      <c r="Z459" s="6"/>
      <c r="AX459" s="6" t="str">
        <v>Quarter 2</v>
      </c>
    </row>
    <row r="460" spans="1:50" ht="31.4" customHeight="1" x14ac:dyDescent="0.35">
      <c r="A460" s="162">
        <v>459</v>
      </c>
      <c r="B460" s="10" t="s">
        <v>8</v>
      </c>
      <c r="C460" s="10" t="s">
        <v>8</v>
      </c>
      <c r="D460" s="4" t="s">
        <v>1009</v>
      </c>
      <c r="E460" s="157">
        <v>45539</v>
      </c>
      <c r="F460" s="9">
        <f>IF($E460="","",WORKDAY($E460,1,$V$33:$V$41))</f>
        <v>45540</v>
      </c>
      <c r="G460" s="9">
        <f>IF($E460="","",WORKDAY($E460,10,$V$33:$V$41))</f>
        <v>45553</v>
      </c>
      <c r="H460" s="9">
        <f>IF($E460="","",WORKDAY($E460,20,$V$33:$V$41))</f>
        <v>45567</v>
      </c>
      <c r="I460" s="157" t="str">
        <f t="shared" si="8"/>
        <v>Sep</v>
      </c>
      <c r="J460" s="14" t="str">
        <f ca="1">IF(E460="","",IF(N460="",H460-TODAY(),""))</f>
        <v/>
      </c>
      <c r="K460" s="157" t="s">
        <v>124</v>
      </c>
      <c r="L460" s="157" t="s">
        <v>24</v>
      </c>
      <c r="M460" s="157" t="s">
        <v>61</v>
      </c>
      <c r="N460" s="9">
        <v>45567</v>
      </c>
      <c r="O460" s="159">
        <f>IF($N460="","",NETWORKDAYS($E460,$N460,$V$33:$V$47)-1)</f>
        <v>20</v>
      </c>
      <c r="P460" s="10" t="str">
        <f>IF(ISBLANK(N460),"",IF(N460&gt;H460,"No","Yes"))</f>
        <v>Yes</v>
      </c>
      <c r="Q460" s="9" t="s">
        <v>117</v>
      </c>
      <c r="R460" s="4" t="s">
        <v>118</v>
      </c>
      <c r="S460" s="4"/>
      <c r="T460" s="4"/>
      <c r="U460" s="6"/>
      <c r="V460" s="6"/>
      <c r="W460" s="6"/>
      <c r="X460" s="6"/>
      <c r="Y460" s="6"/>
      <c r="Z460" s="6"/>
      <c r="AX460" s="6" t="str">
        <v>Quarter 2</v>
      </c>
    </row>
    <row r="461" spans="1:50" ht="31.4" customHeight="1" x14ac:dyDescent="0.35">
      <c r="A461" s="162">
        <v>460</v>
      </c>
      <c r="B461" s="7" t="s">
        <v>8</v>
      </c>
      <c r="C461" s="7" t="s">
        <v>8</v>
      </c>
      <c r="D461" s="7" t="s">
        <v>1010</v>
      </c>
      <c r="E461" s="157">
        <v>45540</v>
      </c>
      <c r="F461" s="9">
        <f>IF($E461="","",WORKDAY($E461,1,$V$33:$V$41))</f>
        <v>45541</v>
      </c>
      <c r="G461" s="9">
        <f>IF($E461="","",WORKDAY($E461,10,$V$33:$V$41))</f>
        <v>45554</v>
      </c>
      <c r="H461" s="9">
        <f>IF($E461="","",WORKDAY($E461,20,$V$33:$V$41))</f>
        <v>45568</v>
      </c>
      <c r="I461" s="157" t="str">
        <f t="shared" si="8"/>
        <v>Sep</v>
      </c>
      <c r="J461" s="14" t="str">
        <f ca="1">IF(E461="","",IF(N461="",H461-TODAY(),""))</f>
        <v/>
      </c>
      <c r="K461" s="157" t="s">
        <v>5</v>
      </c>
      <c r="L461" s="157" t="s">
        <v>18</v>
      </c>
      <c r="M461" s="157" t="s">
        <v>66</v>
      </c>
      <c r="N461" s="9">
        <v>45540</v>
      </c>
      <c r="O461" s="159">
        <f>IF($N461="","",NETWORKDAYS($E461,$N461,$V$33:$V$47)-1)</f>
        <v>0</v>
      </c>
      <c r="P461" s="10" t="str">
        <f>IF(ISBLANK(N461),"",IF(N461&gt;H461,"No","Yes"))</f>
        <v>Yes</v>
      </c>
      <c r="Q461" s="9" t="s">
        <v>117</v>
      </c>
      <c r="R461" s="4" t="s">
        <v>118</v>
      </c>
      <c r="S461" s="4" t="s">
        <v>135</v>
      </c>
      <c r="T461" s="4"/>
      <c r="U461" s="6"/>
      <c r="V461" s="6"/>
      <c r="W461" s="6"/>
      <c r="X461" s="6"/>
      <c r="Y461" s="6"/>
      <c r="Z461" s="6"/>
      <c r="AX461" s="6" t="str">
        <v>Quarter 2</v>
      </c>
    </row>
    <row r="462" spans="1:50" ht="31.4" customHeight="1" x14ac:dyDescent="0.35">
      <c r="A462" s="162">
        <v>461</v>
      </c>
      <c r="B462" s="4" t="s">
        <v>8</v>
      </c>
      <c r="C462" s="4" t="s">
        <v>8</v>
      </c>
      <c r="D462" s="4" t="s">
        <v>1011</v>
      </c>
      <c r="E462" s="157">
        <v>45540</v>
      </c>
      <c r="F462" s="9">
        <f>IF($E462="","",WORKDAY($E462,1,$V$33:$V$41))</f>
        <v>45541</v>
      </c>
      <c r="G462" s="9">
        <f>IF($E462="","",WORKDAY($E462,10,$V$33:$V$41))</f>
        <v>45554</v>
      </c>
      <c r="H462" s="9">
        <f>IF($E462="","",WORKDAY($E462,20,$V$33:$V$41))</f>
        <v>45568</v>
      </c>
      <c r="I462" s="157" t="str">
        <f t="shared" si="8"/>
        <v>Sep</v>
      </c>
      <c r="J462" s="14" t="str">
        <f ca="1">IF(E462="","",IF(N462="",H462-TODAY(),""))</f>
        <v/>
      </c>
      <c r="K462" s="157" t="s">
        <v>5</v>
      </c>
      <c r="L462" s="157" t="s">
        <v>22</v>
      </c>
      <c r="M462" s="157" t="s">
        <v>64</v>
      </c>
      <c r="N462" s="9">
        <v>45560</v>
      </c>
      <c r="O462" s="159">
        <f>IF($N462="","",NETWORKDAYS($E462,$N462,$V$33:$V$47)-1)</f>
        <v>14</v>
      </c>
      <c r="P462" s="10" t="str">
        <f>IF(ISBLANK(N462),"",IF(N462&gt;H462,"No","Yes"))</f>
        <v>Yes</v>
      </c>
      <c r="Q462" s="9" t="s">
        <v>117</v>
      </c>
      <c r="R462" s="4" t="s">
        <v>118</v>
      </c>
      <c r="S462" s="4" t="s">
        <v>135</v>
      </c>
      <c r="T462" s="4"/>
      <c r="U462" s="6"/>
      <c r="V462" s="6"/>
      <c r="W462" s="6"/>
      <c r="X462" s="6"/>
      <c r="Y462" s="6"/>
      <c r="Z462" s="6"/>
      <c r="AX462" s="6" t="str">
        <v>Quarter 2</v>
      </c>
    </row>
    <row r="463" spans="1:50" ht="31.4" customHeight="1" x14ac:dyDescent="0.35">
      <c r="A463" s="162">
        <v>462</v>
      </c>
      <c r="B463" s="7" t="s">
        <v>8</v>
      </c>
      <c r="C463" s="7" t="s">
        <v>8</v>
      </c>
      <c r="D463" s="7" t="s">
        <v>1012</v>
      </c>
      <c r="E463" s="157">
        <v>45540</v>
      </c>
      <c r="F463" s="9">
        <f>IF($E463="","",WORKDAY($E463,1,$V$33:$V$41))</f>
        <v>45541</v>
      </c>
      <c r="G463" s="9">
        <f>IF($E463="","",WORKDAY($E463,10,$V$33:$V$41))</f>
        <v>45554</v>
      </c>
      <c r="H463" s="9">
        <f>IF($E463="","",WORKDAY($E463,20,$V$33:$V$41))</f>
        <v>45568</v>
      </c>
      <c r="I463" s="157" t="str">
        <f t="shared" si="8"/>
        <v>Sep</v>
      </c>
      <c r="J463" s="14" t="str">
        <f ca="1">IF(E463="","",IF(N463="",H463-TODAY(),""))</f>
        <v/>
      </c>
      <c r="K463" s="25" t="s">
        <v>5</v>
      </c>
      <c r="L463" s="157" t="s">
        <v>22</v>
      </c>
      <c r="M463" s="157" t="s">
        <v>64</v>
      </c>
      <c r="N463" s="9">
        <v>45544</v>
      </c>
      <c r="O463" s="159">
        <f>IF($N463="","",NETWORKDAYS($E463,$N463,$V$33:$V$47)-1)</f>
        <v>2</v>
      </c>
      <c r="P463" s="10" t="str">
        <f>IF(ISBLANK(N463),"",IF(N463&gt;H463,"No","Yes"))</f>
        <v>Yes</v>
      </c>
      <c r="Q463" s="9" t="s">
        <v>117</v>
      </c>
      <c r="R463" s="4" t="s">
        <v>118</v>
      </c>
      <c r="S463" s="4"/>
      <c r="T463" s="4"/>
      <c r="U463" s="6"/>
      <c r="V463" s="6"/>
      <c r="W463" s="6"/>
      <c r="X463" s="6"/>
      <c r="Y463" s="6"/>
      <c r="Z463" s="6"/>
      <c r="AX463" s="6" t="str">
        <v>Quarter 2</v>
      </c>
    </row>
    <row r="464" spans="1:50" ht="31.4" customHeight="1" x14ac:dyDescent="0.35">
      <c r="A464" s="162">
        <v>463</v>
      </c>
      <c r="B464" s="7" t="s">
        <v>1013</v>
      </c>
      <c r="C464" s="7" t="s">
        <v>17</v>
      </c>
      <c r="D464" s="7" t="s">
        <v>907</v>
      </c>
      <c r="E464" s="25">
        <v>45540</v>
      </c>
      <c r="F464" s="9">
        <f>IF($E464="","",WORKDAY($E464,1,$V$33:$V$41))</f>
        <v>45541</v>
      </c>
      <c r="G464" s="9">
        <f>IF($E464="","",WORKDAY($E464,10,$V$33:$V$41))</f>
        <v>45554</v>
      </c>
      <c r="H464" s="9">
        <f>IF($E464="","",WORKDAY($E464,20,$V$33:$V$41))</f>
        <v>45568</v>
      </c>
      <c r="I464" s="157" t="str">
        <f t="shared" si="8"/>
        <v>Sep</v>
      </c>
      <c r="J464" s="14" t="str">
        <f ca="1">IF(E464="","",IF(N464="",H464-TODAY(),""))</f>
        <v/>
      </c>
      <c r="K464" s="25" t="s">
        <v>10</v>
      </c>
      <c r="L464" s="157" t="s">
        <v>27</v>
      </c>
      <c r="M464" s="157" t="s">
        <v>59</v>
      </c>
      <c r="N464" s="9">
        <v>45544</v>
      </c>
      <c r="O464" s="159">
        <f>IF($N464="","",NETWORKDAYS($E464,$N464,$V$33:$V$47)-1)</f>
        <v>2</v>
      </c>
      <c r="P464" s="10" t="str">
        <f>IF(ISBLANK(N464),"",IF(N464&gt;H464,"No","Yes"))</f>
        <v>Yes</v>
      </c>
      <c r="Q464" s="9" t="s">
        <v>117</v>
      </c>
      <c r="R464" s="4" t="s">
        <v>118</v>
      </c>
      <c r="S464" s="4"/>
      <c r="T464" s="4"/>
      <c r="U464" s="6"/>
      <c r="V464" s="6"/>
      <c r="W464" s="6"/>
      <c r="X464" s="6"/>
      <c r="Y464" s="6"/>
      <c r="Z464" s="6"/>
      <c r="AX464" s="6" t="str">
        <v>Quarter 2</v>
      </c>
    </row>
    <row r="465" spans="1:50" ht="31.4" customHeight="1" x14ac:dyDescent="0.35">
      <c r="A465" s="162">
        <v>464</v>
      </c>
      <c r="B465" s="4" t="s">
        <v>1014</v>
      </c>
      <c r="C465" s="4" t="s">
        <v>13</v>
      </c>
      <c r="D465" s="4" t="s">
        <v>1015</v>
      </c>
      <c r="E465" s="157">
        <v>45541</v>
      </c>
      <c r="F465" s="9">
        <f>IF($E465="","",WORKDAY($E465,1,$V$33:$V$41))</f>
        <v>45544</v>
      </c>
      <c r="G465" s="9">
        <f>IF($E465="","",WORKDAY($E465,10,$V$33:$V$41))</f>
        <v>45555</v>
      </c>
      <c r="H465" s="9">
        <f>IF($E465="","",WORKDAY($E465,20,$V$33:$V$41))</f>
        <v>45569</v>
      </c>
      <c r="I465" s="157" t="str">
        <f t="shared" si="8"/>
        <v>Sep</v>
      </c>
      <c r="J465" s="14" t="str">
        <f ca="1">IF(E465="","",IF(N465="",H465-TODAY(),""))</f>
        <v/>
      </c>
      <c r="K465" s="157" t="s">
        <v>10</v>
      </c>
      <c r="L465" s="157" t="s">
        <v>9</v>
      </c>
      <c r="M465" s="157" t="s">
        <v>38</v>
      </c>
      <c r="N465" s="9">
        <v>45551</v>
      </c>
      <c r="O465" s="159">
        <f>IF($N465="","",NETWORKDAYS($E465,$N465,$V$33:$V$47)-1)</f>
        <v>6</v>
      </c>
      <c r="P465" s="10" t="str">
        <f>IF(ISBLANK(N465),"",IF(N465&gt;H465,"No","Yes"))</f>
        <v>Yes</v>
      </c>
      <c r="Q465" s="9" t="s">
        <v>117</v>
      </c>
      <c r="R465" s="4" t="s">
        <v>118</v>
      </c>
      <c r="S465" s="4"/>
      <c r="T465" s="4" t="s">
        <v>141</v>
      </c>
      <c r="U465" s="6"/>
      <c r="V465" s="6"/>
      <c r="W465" s="6"/>
      <c r="X465" s="6"/>
      <c r="Y465" s="6"/>
      <c r="Z465" s="6"/>
      <c r="AX465" s="6" t="str">
        <v>Quarter 2</v>
      </c>
    </row>
    <row r="466" spans="1:50" ht="31.4" customHeight="1" x14ac:dyDescent="0.35">
      <c r="A466" s="162">
        <v>465</v>
      </c>
      <c r="B466" s="4" t="s">
        <v>138</v>
      </c>
      <c r="C466" s="4" t="s">
        <v>19</v>
      </c>
      <c r="D466" s="4" t="s">
        <v>1016</v>
      </c>
      <c r="E466" s="157">
        <v>45544</v>
      </c>
      <c r="F466" s="9">
        <f>IF($E466="","",WORKDAY($E466,1,$V$33:$V$41))</f>
        <v>45545</v>
      </c>
      <c r="G466" s="9">
        <f>IF($E466="","",WORKDAY($E466,10,$V$33:$V$41))</f>
        <v>45558</v>
      </c>
      <c r="H466" s="9">
        <f>IF($E466="","",WORKDAY($E466,20,$V$33:$V$41))</f>
        <v>45572</v>
      </c>
      <c r="I466" s="157" t="str">
        <f t="shared" si="8"/>
        <v>Sep</v>
      </c>
      <c r="J466" s="14" t="str">
        <f ca="1">IF(E466="","",IF(N466="",H466-TODAY(),""))</f>
        <v/>
      </c>
      <c r="K466" s="157" t="s">
        <v>10</v>
      </c>
      <c r="L466" s="157" t="s">
        <v>12</v>
      </c>
      <c r="M466" s="157" t="s">
        <v>65</v>
      </c>
      <c r="N466" s="9">
        <v>45560</v>
      </c>
      <c r="O466" s="159">
        <f>IF($N466="","",NETWORKDAYS($E466,$N466,$V$33:$V$47)-1)</f>
        <v>12</v>
      </c>
      <c r="P466" s="10" t="str">
        <f>IF(ISBLANK(N466),"",IF(N466&gt;H466,"No","Yes"))</f>
        <v>Yes</v>
      </c>
      <c r="Q466" s="9" t="s">
        <v>117</v>
      </c>
      <c r="R466" s="4" t="s">
        <v>118</v>
      </c>
      <c r="S466" s="4"/>
      <c r="T466" s="4" t="s">
        <v>141</v>
      </c>
      <c r="U466" s="6"/>
      <c r="V466" s="6"/>
      <c r="W466" s="6"/>
      <c r="X466" s="6"/>
      <c r="Y466" s="6"/>
      <c r="Z466" s="6"/>
      <c r="AX466" s="6" t="str">
        <v>Quarter 2</v>
      </c>
    </row>
    <row r="467" spans="1:50" ht="31.4" customHeight="1" x14ac:dyDescent="0.35">
      <c r="A467" s="162">
        <v>466</v>
      </c>
      <c r="B467" s="4" t="s">
        <v>8</v>
      </c>
      <c r="C467" s="4" t="s">
        <v>8</v>
      </c>
      <c r="D467" s="4" t="s">
        <v>1017</v>
      </c>
      <c r="E467" s="157">
        <v>45544</v>
      </c>
      <c r="F467" s="9">
        <f>IF($E467="","",WORKDAY($E467,1,$V$33:$V$41))</f>
        <v>45545</v>
      </c>
      <c r="G467" s="9">
        <f>IF($E467="","",WORKDAY($E467,10,$V$33:$V$41))</f>
        <v>45558</v>
      </c>
      <c r="H467" s="9">
        <f>IF($E467="","",WORKDAY($E467,20,$V$33:$V$41))</f>
        <v>45572</v>
      </c>
      <c r="I467" s="157" t="str">
        <f t="shared" si="8"/>
        <v>Sep</v>
      </c>
      <c r="J467" s="14" t="str">
        <f ca="1">IF(E467="","",IF(N467="",H467-TODAY(),""))</f>
        <v/>
      </c>
      <c r="K467" s="157" t="s">
        <v>4</v>
      </c>
      <c r="L467" s="157" t="s">
        <v>7</v>
      </c>
      <c r="M467" s="157" t="s">
        <v>82</v>
      </c>
      <c r="N467" s="9">
        <v>45546</v>
      </c>
      <c r="O467" s="159">
        <f>IF($N467="","",NETWORKDAYS($E467,$N467,$V$33:$V$47)-1)</f>
        <v>2</v>
      </c>
      <c r="P467" s="10" t="str">
        <f>IF(ISBLANK(N467),"",IF(N467&gt;H467,"No","Yes"))</f>
        <v>Yes</v>
      </c>
      <c r="Q467" s="9" t="s">
        <v>117</v>
      </c>
      <c r="R467" s="4" t="s">
        <v>118</v>
      </c>
      <c r="S467" s="4"/>
      <c r="T467" s="4"/>
      <c r="U467" s="6"/>
      <c r="V467" s="6"/>
      <c r="W467" s="6"/>
      <c r="X467" s="6"/>
      <c r="Y467" s="6"/>
      <c r="Z467" s="6"/>
      <c r="AX467" s="6" t="str">
        <v>Quarter 2</v>
      </c>
    </row>
    <row r="468" spans="1:50" ht="31.4" customHeight="1" x14ac:dyDescent="0.35">
      <c r="A468" s="162">
        <v>467</v>
      </c>
      <c r="B468" s="4" t="s">
        <v>8</v>
      </c>
      <c r="C468" s="4" t="s">
        <v>8</v>
      </c>
      <c r="D468" s="4" t="s">
        <v>1018</v>
      </c>
      <c r="E468" s="157">
        <v>45544</v>
      </c>
      <c r="F468" s="9">
        <f>IF($E468="","",WORKDAY($E468,1,$V$33:$V$41))</f>
        <v>45545</v>
      </c>
      <c r="G468" s="9">
        <f>IF($E468="","",WORKDAY($E468,10,$V$33:$V$41))</f>
        <v>45558</v>
      </c>
      <c r="H468" s="9">
        <f>IF($E468="","",WORKDAY($E468,20,$V$33:$V$41))</f>
        <v>45572</v>
      </c>
      <c r="I468" s="157" t="str">
        <f t="shared" si="8"/>
        <v>Sep</v>
      </c>
      <c r="J468" s="14" t="str">
        <f ca="1">IF(E468="","",IF(N468="",H468-TODAY(),""))</f>
        <v/>
      </c>
      <c r="K468" s="157" t="s">
        <v>5</v>
      </c>
      <c r="L468" s="157" t="s">
        <v>16</v>
      </c>
      <c r="M468" s="157" t="s">
        <v>67</v>
      </c>
      <c r="N468" s="9">
        <v>45551</v>
      </c>
      <c r="O468" s="159">
        <f>IF($N468="","",NETWORKDAYS($E468,$N468,$V$33:$V$47)-1)</f>
        <v>5</v>
      </c>
      <c r="P468" s="10" t="str">
        <f>IF(ISBLANK(N468),"",IF(N468&gt;H468,"No","Yes"))</f>
        <v>Yes</v>
      </c>
      <c r="Q468" s="9" t="s">
        <v>117</v>
      </c>
      <c r="R468" s="4" t="s">
        <v>118</v>
      </c>
      <c r="S468" s="4" t="s">
        <v>135</v>
      </c>
      <c r="T468" s="4"/>
      <c r="U468" s="6"/>
      <c r="V468" s="6"/>
      <c r="W468" s="6"/>
      <c r="X468" s="6"/>
      <c r="Y468" s="6"/>
      <c r="Z468" s="6"/>
      <c r="AX468" s="6" t="str">
        <v>Quarter 2</v>
      </c>
    </row>
    <row r="469" spans="1:50" ht="31.4" customHeight="1" x14ac:dyDescent="0.35">
      <c r="A469" s="162">
        <v>468</v>
      </c>
      <c r="B469" s="4" t="s">
        <v>1019</v>
      </c>
      <c r="C469" s="4" t="s">
        <v>13</v>
      </c>
      <c r="D469" s="4" t="s">
        <v>1020</v>
      </c>
      <c r="E469" s="157">
        <v>45544</v>
      </c>
      <c r="F469" s="9">
        <f>IF($E469="","",WORKDAY($E469,1,$V$33:$V$41))</f>
        <v>45545</v>
      </c>
      <c r="G469" s="9">
        <f>IF($E469="","",WORKDAY($E469,10,$V$33:$V$41))</f>
        <v>45558</v>
      </c>
      <c r="H469" s="9">
        <f>IF($E469="","",WORKDAY($E469,20,$V$33:$V$41))</f>
        <v>45572</v>
      </c>
      <c r="I469" s="157" t="str">
        <f t="shared" si="8"/>
        <v>Sep</v>
      </c>
      <c r="J469" s="14" t="str">
        <f ca="1">IF(E469="","",IF(N469="",H469-TODAY(),""))</f>
        <v/>
      </c>
      <c r="K469" s="157" t="s">
        <v>124</v>
      </c>
      <c r="L469" s="157" t="s">
        <v>14</v>
      </c>
      <c r="M469" s="157" t="s">
        <v>83</v>
      </c>
      <c r="N469" s="9">
        <v>45559</v>
      </c>
      <c r="O469" s="159">
        <f>IF($N469="","",NETWORKDAYS($E469,$N469,$V$33:$V$47)-1)</f>
        <v>11</v>
      </c>
      <c r="P469" s="10" t="str">
        <f>IF(ISBLANK(N469),"",IF(N469&gt;H469,"No","Yes"))</f>
        <v>Yes</v>
      </c>
      <c r="Q469" s="9" t="s">
        <v>117</v>
      </c>
      <c r="R469" s="4" t="s">
        <v>126</v>
      </c>
      <c r="S469" s="4" t="s">
        <v>119</v>
      </c>
      <c r="T469" s="4" t="s">
        <v>1021</v>
      </c>
      <c r="U469" s="6"/>
      <c r="V469" s="6"/>
      <c r="W469" s="6"/>
      <c r="X469" s="6"/>
      <c r="Y469" s="6"/>
      <c r="Z469" s="6"/>
      <c r="AX469" s="6" t="str">
        <v>Quarter 2</v>
      </c>
    </row>
    <row r="470" spans="1:50" ht="31.4" customHeight="1" x14ac:dyDescent="0.35">
      <c r="A470" s="162">
        <v>469</v>
      </c>
      <c r="B470" s="4" t="s">
        <v>8</v>
      </c>
      <c r="C470" s="4" t="s">
        <v>8</v>
      </c>
      <c r="D470" s="4" t="s">
        <v>1022</v>
      </c>
      <c r="E470" s="157">
        <v>45544</v>
      </c>
      <c r="F470" s="9">
        <f>IF($E470="","",WORKDAY($E470,1,$V$33:$V$41))</f>
        <v>45545</v>
      </c>
      <c r="G470" s="9">
        <f>IF($E470="","",WORKDAY($E470,10,$V$33:$V$41))</f>
        <v>45558</v>
      </c>
      <c r="H470" s="9">
        <f>IF($E470="","",WORKDAY($E470,20,$V$33:$V$41))</f>
        <v>45572</v>
      </c>
      <c r="I470" s="157" t="str">
        <f t="shared" si="8"/>
        <v>Sep</v>
      </c>
      <c r="J470" s="14" t="str">
        <f ca="1">IF(E470="","",IF(N470="",H470-TODAY(),""))</f>
        <v/>
      </c>
      <c r="K470" s="157" t="s">
        <v>5</v>
      </c>
      <c r="L470" s="157" t="s">
        <v>18</v>
      </c>
      <c r="M470" s="157" t="s">
        <v>40</v>
      </c>
      <c r="N470" s="9">
        <v>45544</v>
      </c>
      <c r="O470" s="159">
        <f>IF($N470="","",NETWORKDAYS($E470,$N470,$V$33:$V$47)-1)</f>
        <v>0</v>
      </c>
      <c r="P470" s="10" t="str">
        <f>IF(ISBLANK(N470),"",IF(N470&gt;H470,"No","Yes"))</f>
        <v>Yes</v>
      </c>
      <c r="Q470" s="9" t="s">
        <v>117</v>
      </c>
      <c r="R470" s="4" t="s">
        <v>118</v>
      </c>
      <c r="S470" s="4"/>
      <c r="T470" s="4"/>
      <c r="U470" s="6"/>
      <c r="V470" s="6"/>
      <c r="W470" s="6"/>
      <c r="X470" s="6"/>
      <c r="Y470" s="6"/>
      <c r="Z470" s="6"/>
      <c r="AX470" s="6" t="str">
        <v>Quarter 2</v>
      </c>
    </row>
    <row r="471" spans="1:50" ht="31.4" customHeight="1" x14ac:dyDescent="0.35">
      <c r="A471" s="162">
        <v>470</v>
      </c>
      <c r="B471" s="4" t="s">
        <v>8</v>
      </c>
      <c r="C471" s="4" t="s">
        <v>8</v>
      </c>
      <c r="D471" s="4" t="s">
        <v>1023</v>
      </c>
      <c r="E471" s="157">
        <v>45544</v>
      </c>
      <c r="F471" s="9">
        <f>IF($E471="","",WORKDAY($E471,1,$V$33:$V$41))</f>
        <v>45545</v>
      </c>
      <c r="G471" s="9">
        <f>IF($E471="","",WORKDAY($E471,10,$V$33:$V$41))</f>
        <v>45558</v>
      </c>
      <c r="H471" s="9">
        <f>IF($E471="","",WORKDAY($E471,20,$V$33:$V$41))</f>
        <v>45572</v>
      </c>
      <c r="I471" s="157" t="str">
        <f t="shared" si="8"/>
        <v>Sep</v>
      </c>
      <c r="J471" s="14" t="str">
        <f ca="1">IF(E471="","",IF(N471="",H471-TODAY(),""))</f>
        <v/>
      </c>
      <c r="K471" s="157" t="s">
        <v>4</v>
      </c>
      <c r="L471" s="157" t="s">
        <v>7</v>
      </c>
      <c r="M471" s="157" t="s">
        <v>90</v>
      </c>
      <c r="N471" s="9">
        <v>45552</v>
      </c>
      <c r="O471" s="159">
        <f>IF($N471="","",NETWORKDAYS($E471,$N471,$V$33:$V$47)-1)</f>
        <v>6</v>
      </c>
      <c r="P471" s="10" t="str">
        <f>IF(ISBLANK(N471),"",IF(N471&gt;H471,"No","Yes"))</f>
        <v>Yes</v>
      </c>
      <c r="Q471" s="9" t="s">
        <v>117</v>
      </c>
      <c r="R471" s="4" t="s">
        <v>118</v>
      </c>
      <c r="S471" s="4"/>
      <c r="T471" s="4"/>
      <c r="U471" s="6"/>
      <c r="V471" s="6"/>
      <c r="W471" s="6"/>
      <c r="X471" s="6"/>
      <c r="Y471" s="6"/>
      <c r="Z471" s="6"/>
      <c r="AX471" s="6" t="str">
        <v>Quarter 2</v>
      </c>
    </row>
    <row r="472" spans="1:50" ht="31.4" customHeight="1" x14ac:dyDescent="0.35">
      <c r="A472" s="162">
        <v>471</v>
      </c>
      <c r="B472" s="4" t="s">
        <v>8</v>
      </c>
      <c r="C472" s="4" t="s">
        <v>8</v>
      </c>
      <c r="D472" s="4" t="s">
        <v>1024</v>
      </c>
      <c r="E472" s="157"/>
      <c r="F472" s="9"/>
      <c r="G472" s="9"/>
      <c r="H472" s="9"/>
      <c r="I472" s="157" t="s">
        <v>993</v>
      </c>
      <c r="J472" s="14"/>
      <c r="K472" s="157" t="s">
        <v>5</v>
      </c>
      <c r="L472" s="157" t="s">
        <v>22</v>
      </c>
      <c r="M472" s="157" t="s">
        <v>64</v>
      </c>
      <c r="N472" s="9"/>
      <c r="O472" s="159" t="str">
        <f>IF($N472="","",NETWORKDAYS($E472,$N472,$V$33:$V$47)-1)</f>
        <v/>
      </c>
      <c r="P472" s="10" t="str">
        <f>IF(ISBLANK(N472),"",IF(N472&gt;H472,"No","Yes"))</f>
        <v/>
      </c>
      <c r="Q472" s="9" t="s">
        <v>133</v>
      </c>
      <c r="R472" s="4" t="s">
        <v>133</v>
      </c>
      <c r="S472" s="4"/>
      <c r="T472" s="4" t="s">
        <v>764</v>
      </c>
      <c r="U472" s="6"/>
      <c r="V472" s="6"/>
      <c r="W472" s="6"/>
      <c r="X472" s="6"/>
      <c r="Y472" s="6"/>
      <c r="Z472" s="6"/>
      <c r="AX472" s="6" t="str">
        <v>Quarter 2</v>
      </c>
    </row>
    <row r="473" spans="1:50" ht="31.4" customHeight="1" x14ac:dyDescent="0.35">
      <c r="A473" s="162">
        <v>472</v>
      </c>
      <c r="B473" s="4" t="s">
        <v>8</v>
      </c>
      <c r="C473" s="4" t="s">
        <v>8</v>
      </c>
      <c r="D473" s="4" t="s">
        <v>1025</v>
      </c>
      <c r="E473" s="157">
        <v>45546</v>
      </c>
      <c r="F473" s="9">
        <f>IF($E473="","",WORKDAY($E473,1,$V$33:$V$41))</f>
        <v>45547</v>
      </c>
      <c r="G473" s="9">
        <f>IF($E473="","",WORKDAY($E473,10,$V$33:$V$41))</f>
        <v>45560</v>
      </c>
      <c r="H473" s="9">
        <f>IF($E473="","",WORKDAY($E473,20,$V$33:$V$41))</f>
        <v>45574</v>
      </c>
      <c r="I473" s="157" t="str">
        <f t="shared" si="8"/>
        <v>Sep</v>
      </c>
      <c r="J473" s="14" t="str">
        <f ca="1">IF(E473="","",IF(N473="",H473-TODAY(),""))</f>
        <v/>
      </c>
      <c r="K473" s="157" t="s">
        <v>5</v>
      </c>
      <c r="L473" s="157" t="s">
        <v>22</v>
      </c>
      <c r="M473" s="157" t="s">
        <v>64</v>
      </c>
      <c r="N473" s="9">
        <v>45559</v>
      </c>
      <c r="O473" s="159">
        <f>IF($N473="","",NETWORKDAYS($E473,$N473,$V$33:$V$47)-1)</f>
        <v>9</v>
      </c>
      <c r="P473" s="10" t="str">
        <f>IF(ISBLANK(N473),"",IF(N473&gt;H473,"No","Yes"))</f>
        <v>Yes</v>
      </c>
      <c r="Q473" s="9" t="s">
        <v>117</v>
      </c>
      <c r="R473" s="4" t="s">
        <v>118</v>
      </c>
      <c r="S473" s="4"/>
      <c r="T473" s="4"/>
      <c r="U473" s="6"/>
      <c r="V473" s="6"/>
      <c r="W473" s="6"/>
      <c r="X473" s="6"/>
      <c r="Y473" s="6"/>
      <c r="Z473" s="6"/>
      <c r="AX473" s="6" t="str">
        <v>Quarter 2</v>
      </c>
    </row>
    <row r="474" spans="1:50" ht="31.4" customHeight="1" x14ac:dyDescent="0.35">
      <c r="A474" s="162">
        <v>473</v>
      </c>
      <c r="B474" s="4" t="s">
        <v>1026</v>
      </c>
      <c r="C474" s="4" t="s">
        <v>13</v>
      </c>
      <c r="D474" s="4" t="s">
        <v>229</v>
      </c>
      <c r="E474" s="157">
        <v>45546</v>
      </c>
      <c r="F474" s="9">
        <f>IF($E474="","",WORKDAY($E474,1,$V$33:$V$41))</f>
        <v>45547</v>
      </c>
      <c r="G474" s="9">
        <f>IF($E474="","",WORKDAY($E474,10,$V$33:$V$41))</f>
        <v>45560</v>
      </c>
      <c r="H474" s="9">
        <f>IF($E474="","",WORKDAY($E474,20,$V$33:$V$41))</f>
        <v>45574</v>
      </c>
      <c r="I474" s="157" t="str">
        <f t="shared" si="8"/>
        <v>Sep</v>
      </c>
      <c r="J474" s="14" t="str">
        <f ca="1">IF(E474="","",IF(N474="",H474-TODAY(),""))</f>
        <v/>
      </c>
      <c r="K474" s="157" t="s">
        <v>5</v>
      </c>
      <c r="L474" s="157" t="s">
        <v>18</v>
      </c>
      <c r="M474" s="157" t="s">
        <v>66</v>
      </c>
      <c r="N474" s="9">
        <v>45546</v>
      </c>
      <c r="O474" s="159">
        <f>IF($N474="","",NETWORKDAYS($E474,$N474,$V$33:$V$47)-1)</f>
        <v>0</v>
      </c>
      <c r="P474" s="10" t="str">
        <f>IF(ISBLANK(N474),"",IF(N474&gt;H474,"No","Yes"))</f>
        <v>Yes</v>
      </c>
      <c r="Q474" s="9" t="s">
        <v>117</v>
      </c>
      <c r="R474" s="4" t="s">
        <v>118</v>
      </c>
      <c r="S474" s="4" t="s">
        <v>119</v>
      </c>
      <c r="T474" s="4"/>
      <c r="U474" s="6"/>
      <c r="V474" s="6"/>
      <c r="W474" s="6"/>
      <c r="X474" s="6"/>
      <c r="Y474" s="6"/>
      <c r="Z474" s="6"/>
      <c r="AX474" s="6" t="str">
        <v>Quarter 2</v>
      </c>
    </row>
    <row r="475" spans="1:50" ht="31.4" customHeight="1" x14ac:dyDescent="0.35">
      <c r="A475" s="162">
        <v>474</v>
      </c>
      <c r="B475" s="4" t="s">
        <v>8</v>
      </c>
      <c r="C475" s="4" t="s">
        <v>8</v>
      </c>
      <c r="D475" s="4" t="s">
        <v>1027</v>
      </c>
      <c r="E475" s="157">
        <v>45546</v>
      </c>
      <c r="F475" s="9">
        <f>IF($E475="","",WORKDAY($E475,1,$V$33:$V$41))</f>
        <v>45547</v>
      </c>
      <c r="G475" s="9">
        <f>IF($E475="","",WORKDAY($E475,10,$V$33:$V$41))</f>
        <v>45560</v>
      </c>
      <c r="H475" s="9">
        <f>IF($E475="","",WORKDAY($E475,20,$V$33:$V$41))</f>
        <v>45574</v>
      </c>
      <c r="I475" s="157" t="str">
        <f t="shared" si="8"/>
        <v>Sep</v>
      </c>
      <c r="J475" s="14" t="str">
        <f ca="1">IF(E475="","",IF(N475="",H475-TODAY(),""))</f>
        <v/>
      </c>
      <c r="K475" s="157" t="s">
        <v>5</v>
      </c>
      <c r="L475" s="157" t="s">
        <v>22</v>
      </c>
      <c r="M475" s="157" t="s">
        <v>64</v>
      </c>
      <c r="N475" s="9">
        <v>45558</v>
      </c>
      <c r="O475" s="159">
        <f>IF($N475="","",NETWORKDAYS($E475,$N475,$V$33:$V$47)-1)</f>
        <v>8</v>
      </c>
      <c r="P475" s="10" t="str">
        <f>IF(ISBLANK(N475),"",IF(N475&gt;H475,"No","Yes"))</f>
        <v>Yes</v>
      </c>
      <c r="Q475" s="9" t="s">
        <v>117</v>
      </c>
      <c r="R475" s="4" t="s">
        <v>150</v>
      </c>
      <c r="S475" s="4"/>
      <c r="T475" s="4"/>
      <c r="U475" s="6"/>
      <c r="V475" s="6"/>
      <c r="W475" s="6"/>
      <c r="X475" s="6"/>
      <c r="Y475" s="6"/>
      <c r="Z475" s="6"/>
      <c r="AX475" s="6" t="str">
        <v>Quarter 2</v>
      </c>
    </row>
    <row r="476" spans="1:50" ht="31.4" customHeight="1" x14ac:dyDescent="0.35">
      <c r="A476" s="162">
        <v>475</v>
      </c>
      <c r="B476" s="4" t="s">
        <v>8</v>
      </c>
      <c r="C476" s="4" t="s">
        <v>8</v>
      </c>
      <c r="D476" s="4" t="s">
        <v>1028</v>
      </c>
      <c r="E476" s="157">
        <v>45546</v>
      </c>
      <c r="F476" s="9">
        <f>IF($E476="","",WORKDAY($E476,1,$V$33:$V$41))</f>
        <v>45547</v>
      </c>
      <c r="G476" s="9">
        <f>IF($E476="","",WORKDAY($E476,10,$V$33:$V$41))</f>
        <v>45560</v>
      </c>
      <c r="H476" s="9">
        <f>IF($E476="","",WORKDAY($E476,20,$V$33:$V$41))</f>
        <v>45574</v>
      </c>
      <c r="I476" s="157" t="str">
        <f t="shared" si="8"/>
        <v>Sep</v>
      </c>
      <c r="J476" s="14" t="str">
        <f ca="1">IF(E476="","",IF(N476="",H476-TODAY(),""))</f>
        <v/>
      </c>
      <c r="K476" s="157" t="s">
        <v>5</v>
      </c>
      <c r="L476" s="157" t="s">
        <v>16</v>
      </c>
      <c r="M476" s="157" t="s">
        <v>52</v>
      </c>
      <c r="N476" s="9">
        <v>45565</v>
      </c>
      <c r="O476" s="159">
        <f>IF($N476="","",NETWORKDAYS($E476,$N476,$V$33:$V$47)-1)</f>
        <v>13</v>
      </c>
      <c r="P476" s="10" t="str">
        <f>IF(ISBLANK(N476),"",IF(N476&gt;H476,"No","Yes"))</f>
        <v>Yes</v>
      </c>
      <c r="Q476" s="9" t="s">
        <v>117</v>
      </c>
      <c r="R476" s="4" t="s">
        <v>118</v>
      </c>
      <c r="S476" s="4" t="s">
        <v>135</v>
      </c>
      <c r="T476" s="4" t="s">
        <v>141</v>
      </c>
      <c r="U476" s="6"/>
      <c r="V476" s="6"/>
      <c r="W476" s="6"/>
      <c r="X476" s="6"/>
      <c r="Y476" s="6"/>
      <c r="Z476" s="6"/>
      <c r="AX476" s="6" t="str">
        <v>Quarter 2</v>
      </c>
    </row>
    <row r="477" spans="1:50" ht="31.4" customHeight="1" x14ac:dyDescent="0.35">
      <c r="A477" s="162">
        <v>476</v>
      </c>
      <c r="B477" s="4" t="s">
        <v>8</v>
      </c>
      <c r="C477" s="4" t="s">
        <v>8</v>
      </c>
      <c r="D477" s="4" t="s">
        <v>1029</v>
      </c>
      <c r="E477" s="157">
        <v>45546</v>
      </c>
      <c r="F477" s="9">
        <f>IF($E477="","",WORKDAY($E477,1,$V$33:$V$41))</f>
        <v>45547</v>
      </c>
      <c r="G477" s="9">
        <f>IF($E477="","",WORKDAY($E477,10,$V$33:$V$41))</f>
        <v>45560</v>
      </c>
      <c r="H477" s="9">
        <f>IF($E477="","",WORKDAY($E477,20,$V$33:$V$41))</f>
        <v>45574</v>
      </c>
      <c r="I477" s="157" t="str">
        <f t="shared" si="8"/>
        <v>Sep</v>
      </c>
      <c r="J477" s="14" t="str">
        <f ca="1">IF(E477="","",IF(N477="",H477-TODAY(),""))</f>
        <v/>
      </c>
      <c r="K477" s="157" t="s">
        <v>5</v>
      </c>
      <c r="L477" s="157" t="s">
        <v>22</v>
      </c>
      <c r="M477" s="157" t="s">
        <v>64</v>
      </c>
      <c r="N477" s="9">
        <v>45586</v>
      </c>
      <c r="O477" s="159">
        <f>IF($N477="","",NETWORKDAYS($E477,$N477,$V$33:$V$47)-1)</f>
        <v>28</v>
      </c>
      <c r="P477" s="10" t="str">
        <f>IF(ISBLANK(N477),"",IF(N477&gt;H477,"No","Yes"))</f>
        <v>No</v>
      </c>
      <c r="Q477" s="9" t="s">
        <v>117</v>
      </c>
      <c r="R477" s="4" t="s">
        <v>150</v>
      </c>
      <c r="S477" s="4"/>
      <c r="T477" s="4"/>
      <c r="U477" s="6"/>
      <c r="V477" s="6"/>
      <c r="W477" s="6"/>
      <c r="X477" s="6"/>
      <c r="Y477" s="6"/>
      <c r="Z477" s="6"/>
      <c r="AX477" s="6" t="str">
        <v>Quarter 2</v>
      </c>
    </row>
    <row r="478" spans="1:50" ht="31.4" customHeight="1" x14ac:dyDescent="0.35">
      <c r="A478" s="162">
        <v>477</v>
      </c>
      <c r="B478" s="4" t="s">
        <v>8</v>
      </c>
      <c r="C478" s="4" t="s">
        <v>8</v>
      </c>
      <c r="D478" s="4" t="s">
        <v>1030</v>
      </c>
      <c r="E478" s="157">
        <v>45546</v>
      </c>
      <c r="F478" s="9">
        <f>IF($E478="","",WORKDAY($E478,1,$V$33:$V$41))</f>
        <v>45547</v>
      </c>
      <c r="G478" s="9">
        <f>IF($E478="","",WORKDAY($E478,10,$V$33:$V$41))</f>
        <v>45560</v>
      </c>
      <c r="H478" s="9">
        <f>IF($E478="","",WORKDAY($E478,20,$V$33:$V$41))</f>
        <v>45574</v>
      </c>
      <c r="I478" s="157" t="str">
        <f t="shared" si="8"/>
        <v>Sep</v>
      </c>
      <c r="J478" s="14" t="str">
        <f ca="1">IF(E478="","",IF(N478="",H478-TODAY(),""))</f>
        <v/>
      </c>
      <c r="K478" s="157" t="s">
        <v>5</v>
      </c>
      <c r="L478" s="157" t="s">
        <v>16</v>
      </c>
      <c r="M478" s="157" t="s">
        <v>52</v>
      </c>
      <c r="N478" s="9">
        <v>45573</v>
      </c>
      <c r="O478" s="159">
        <f>IF($N478="","",NETWORKDAYS($E478,$N478,$V$33:$V$47)-1)</f>
        <v>19</v>
      </c>
      <c r="P478" s="10" t="str">
        <f>IF(ISBLANK(N478),"",IF(N478&gt;H478,"No","Yes"))</f>
        <v>Yes</v>
      </c>
      <c r="Q478" s="9" t="s">
        <v>117</v>
      </c>
      <c r="R478" s="4" t="s">
        <v>118</v>
      </c>
      <c r="S478" s="4" t="s">
        <v>135</v>
      </c>
      <c r="T478" s="4"/>
      <c r="U478" s="6"/>
      <c r="V478" s="6"/>
      <c r="W478" s="6"/>
      <c r="X478" s="6"/>
      <c r="Y478" s="6"/>
      <c r="Z478" s="6"/>
      <c r="AX478" s="6" t="str">
        <v>Quarter 2</v>
      </c>
    </row>
    <row r="479" spans="1:50" ht="31.4" customHeight="1" x14ac:dyDescent="0.35">
      <c r="A479" s="162">
        <v>478</v>
      </c>
      <c r="B479" s="4" t="s">
        <v>8</v>
      </c>
      <c r="C479" s="4" t="s">
        <v>8</v>
      </c>
      <c r="D479" s="4" t="s">
        <v>123</v>
      </c>
      <c r="E479" s="157">
        <v>45546</v>
      </c>
      <c r="F479" s="9">
        <f>IF($E479="","",WORKDAY($E479,1,$V$33:$V$41))</f>
        <v>45547</v>
      </c>
      <c r="G479" s="9">
        <f>IF($E479="","",WORKDAY($E479,10,$V$33:$V$41))</f>
        <v>45560</v>
      </c>
      <c r="H479" s="9">
        <f>IF($E479="","",WORKDAY($E479,20,$V$33:$V$41))</f>
        <v>45574</v>
      </c>
      <c r="I479" s="157" t="str">
        <f t="shared" si="8"/>
        <v>Sep</v>
      </c>
      <c r="J479" s="14" t="str">
        <f ca="1">IF(E479="","",IF(N479="",H479-TODAY(),""))</f>
        <v/>
      </c>
      <c r="K479" s="157" t="s">
        <v>124</v>
      </c>
      <c r="L479" s="157" t="s">
        <v>20</v>
      </c>
      <c r="M479" s="157" t="s">
        <v>79</v>
      </c>
      <c r="N479" s="9">
        <v>45558</v>
      </c>
      <c r="O479" s="159">
        <f>IF($N479="","",NETWORKDAYS($E479,$N479,$V$33:$V$47)-1)</f>
        <v>8</v>
      </c>
      <c r="P479" s="10" t="str">
        <f>IF(ISBLANK(N479),"",IF(N479&gt;H479,"No","Yes"))</f>
        <v>Yes</v>
      </c>
      <c r="Q479" s="9" t="s">
        <v>117</v>
      </c>
      <c r="R479" s="4" t="s">
        <v>118</v>
      </c>
      <c r="S479" s="4"/>
      <c r="T479" s="4"/>
      <c r="U479" s="6"/>
      <c r="V479" s="6"/>
      <c r="W479" s="6"/>
      <c r="X479" s="6"/>
      <c r="Y479" s="6"/>
      <c r="Z479" s="6"/>
      <c r="AX479" s="6" t="str">
        <v>Quarter 2</v>
      </c>
    </row>
    <row r="480" spans="1:50" ht="31.4" customHeight="1" x14ac:dyDescent="0.35">
      <c r="A480" s="162">
        <v>479</v>
      </c>
      <c r="B480" s="4" t="s">
        <v>8</v>
      </c>
      <c r="C480" s="4" t="s">
        <v>8</v>
      </c>
      <c r="D480" s="4" t="s">
        <v>1031</v>
      </c>
      <c r="E480" s="157"/>
      <c r="F480" s="9" t="str">
        <f>IF($E480="","",WORKDAY($E480,1,$V$33:$V$41))</f>
        <v/>
      </c>
      <c r="G480" s="9" t="str">
        <f>IF($E480="","",WORKDAY($E480,10,$V$33:$V$41))</f>
        <v/>
      </c>
      <c r="H480" s="9" t="str">
        <f>IF($E480="","",WORKDAY($E480,20,$V$33:$V$41))</f>
        <v/>
      </c>
      <c r="I480" s="157" t="s">
        <v>993</v>
      </c>
      <c r="J480" s="14" t="str">
        <f ca="1">IF(E480="","",IF(N480="",H480-TODAY(),""))</f>
        <v/>
      </c>
      <c r="K480" s="157" t="s">
        <v>5</v>
      </c>
      <c r="L480" s="157" t="s">
        <v>16</v>
      </c>
      <c r="M480" s="157" t="s">
        <v>71</v>
      </c>
      <c r="N480" s="9"/>
      <c r="O480" s="159" t="str">
        <f>IF($N480="","",NETWORKDAYS($E480,$N480,$V$33:$V$47)-1)</f>
        <v/>
      </c>
      <c r="P480" s="10" t="str">
        <f>IF(ISBLANK(N480),"",IF(N480&gt;H480,"No","Yes"))</f>
        <v/>
      </c>
      <c r="Q480" s="9" t="s">
        <v>133</v>
      </c>
      <c r="R480" s="4" t="s">
        <v>133</v>
      </c>
      <c r="S480" s="4"/>
      <c r="T480" s="4" t="s">
        <v>764</v>
      </c>
      <c r="U480" s="6"/>
      <c r="V480" s="6"/>
      <c r="W480" s="6"/>
      <c r="X480" s="6"/>
      <c r="Y480" s="6"/>
      <c r="Z480" s="6"/>
      <c r="AX480" s="6" t="str">
        <v>Quarter 2</v>
      </c>
    </row>
    <row r="481" spans="1:50" ht="31.4" customHeight="1" x14ac:dyDescent="0.35">
      <c r="A481" s="162">
        <v>480</v>
      </c>
      <c r="B481" s="4" t="s">
        <v>138</v>
      </c>
      <c r="C481" s="4" t="s">
        <v>19</v>
      </c>
      <c r="D481" s="4" t="s">
        <v>1032</v>
      </c>
      <c r="E481" s="157">
        <v>45547</v>
      </c>
      <c r="F481" s="9">
        <f>IF($E481="","",WORKDAY($E481,1,$V$33:$V$41))</f>
        <v>45548</v>
      </c>
      <c r="G481" s="9">
        <f>IF($E481="","",WORKDAY($E481,10,$V$33:$V$41))</f>
        <v>45561</v>
      </c>
      <c r="H481" s="9">
        <f>IF($E481="","",WORKDAY($E481,20,$V$33:$V$41))</f>
        <v>45575</v>
      </c>
      <c r="I481" s="157" t="str">
        <f t="shared" si="8"/>
        <v>Sep</v>
      </c>
      <c r="J481" s="14" t="str">
        <f ca="1">IF(E481="","",IF(N481="",H481-TODAY(),""))</f>
        <v/>
      </c>
      <c r="K481" s="157" t="s">
        <v>5</v>
      </c>
      <c r="L481" s="157" t="s">
        <v>22</v>
      </c>
      <c r="M481" s="157" t="s">
        <v>46</v>
      </c>
      <c r="N481" s="9">
        <v>45561</v>
      </c>
      <c r="O481" s="159">
        <f>IF($N481="","",NETWORKDAYS($E481,$N481,$V$33:$V$47)-1)</f>
        <v>10</v>
      </c>
      <c r="P481" s="10" t="str">
        <f>IF(ISBLANK(N481),"",IF(N481&gt;H481,"No","Yes"))</f>
        <v>Yes</v>
      </c>
      <c r="Q481" s="9" t="s">
        <v>117</v>
      </c>
      <c r="R481" s="4" t="s">
        <v>118</v>
      </c>
      <c r="S481" s="4"/>
      <c r="T481" s="4"/>
      <c r="U481" s="6"/>
      <c r="V481" s="6"/>
      <c r="W481" s="6"/>
      <c r="X481" s="6"/>
      <c r="Y481" s="6"/>
      <c r="Z481" s="6"/>
      <c r="AX481" s="6" t="str">
        <v>Quarter 2</v>
      </c>
    </row>
    <row r="482" spans="1:50" ht="31.4" customHeight="1" x14ac:dyDescent="0.35">
      <c r="A482" s="162">
        <v>481</v>
      </c>
      <c r="B482" s="4" t="s">
        <v>8</v>
      </c>
      <c r="C482" s="4" t="s">
        <v>8</v>
      </c>
      <c r="D482" s="4" t="s">
        <v>1033</v>
      </c>
      <c r="E482" s="157">
        <v>45546</v>
      </c>
      <c r="F482" s="9">
        <f>IF($E482="","",WORKDAY($E482,1,$V$33:$V$41))</f>
        <v>45547</v>
      </c>
      <c r="G482" s="9">
        <f>IF($E482="","",WORKDAY($E482,10,$V$33:$V$41))</f>
        <v>45560</v>
      </c>
      <c r="H482" s="9">
        <f>IF($E482="","",WORKDAY($E482,20,$V$33:$V$41))</f>
        <v>45574</v>
      </c>
      <c r="I482" s="157" t="str">
        <f t="shared" si="8"/>
        <v>Sep</v>
      </c>
      <c r="J482" s="14" t="str">
        <f ca="1">IF(E482="","",IF(N482="",H482-TODAY(),""))</f>
        <v/>
      </c>
      <c r="K482" s="157" t="s">
        <v>10</v>
      </c>
      <c r="L482" s="157" t="s">
        <v>12</v>
      </c>
      <c r="M482" s="157" t="s">
        <v>65</v>
      </c>
      <c r="N482" s="9">
        <v>45558</v>
      </c>
      <c r="O482" s="159">
        <f>IF($N482="","",NETWORKDAYS($E482,$N482,$V$33:$V$47)-1)</f>
        <v>8</v>
      </c>
      <c r="P482" s="10" t="str">
        <f>IF(ISBLANK(N482),"",IF(N482&gt;H482,"No","Yes"))</f>
        <v>Yes</v>
      </c>
      <c r="Q482" s="9" t="s">
        <v>117</v>
      </c>
      <c r="R482" s="4" t="s">
        <v>118</v>
      </c>
      <c r="S482" s="4"/>
      <c r="T482" s="4" t="s">
        <v>141</v>
      </c>
      <c r="U482" s="6"/>
      <c r="V482" s="6"/>
      <c r="W482" s="6"/>
      <c r="X482" s="6"/>
      <c r="Y482" s="6"/>
      <c r="Z482" s="6"/>
      <c r="AX482" s="6" t="str">
        <v>Quarter 2</v>
      </c>
    </row>
    <row r="483" spans="1:50" ht="31.4" customHeight="1" x14ac:dyDescent="0.35">
      <c r="A483" s="162">
        <v>482</v>
      </c>
      <c r="B483" s="4" t="s">
        <v>138</v>
      </c>
      <c r="C483" s="4" t="s">
        <v>19</v>
      </c>
      <c r="D483" s="4" t="s">
        <v>1034</v>
      </c>
      <c r="E483" s="157">
        <v>45547</v>
      </c>
      <c r="F483" s="9">
        <f>IF($E483="","",WORKDAY($E483,1,$V$33:$V$41))</f>
        <v>45548</v>
      </c>
      <c r="G483" s="9">
        <f>IF($E483="","",WORKDAY($E483,10,$V$33:$V$41))</f>
        <v>45561</v>
      </c>
      <c r="H483" s="9">
        <f>IF($E483="","",WORKDAY($E483,20,$V$33:$V$41))</f>
        <v>45575</v>
      </c>
      <c r="I483" s="157" t="str">
        <f t="shared" si="8"/>
        <v>Sep</v>
      </c>
      <c r="J483" s="14" t="str">
        <f ca="1">IF(E483="","",IF(N483="",H483-TODAY(),""))</f>
        <v/>
      </c>
      <c r="K483" s="157" t="s">
        <v>124</v>
      </c>
      <c r="L483" s="157" t="s">
        <v>20</v>
      </c>
      <c r="M483" s="157" t="s">
        <v>62</v>
      </c>
      <c r="N483" s="9">
        <v>45553</v>
      </c>
      <c r="O483" s="159">
        <f>IF($N483="","",NETWORKDAYS($E483,$N483,$V$33:$V$47)-1)</f>
        <v>4</v>
      </c>
      <c r="P483" s="10" t="str">
        <f>IF(ISBLANK(N483),"",IF(N483&gt;H483,"No","Yes"))</f>
        <v>Yes</v>
      </c>
      <c r="Q483" s="9" t="s">
        <v>117</v>
      </c>
      <c r="R483" s="4" t="s">
        <v>118</v>
      </c>
      <c r="S483" s="4" t="s">
        <v>135</v>
      </c>
      <c r="T483" s="4"/>
      <c r="U483" s="6"/>
      <c r="V483" s="6"/>
      <c r="W483" s="6"/>
      <c r="X483" s="6"/>
      <c r="Y483" s="6"/>
      <c r="Z483" s="6"/>
      <c r="AX483" s="6" t="str">
        <v>Quarter 2</v>
      </c>
    </row>
    <row r="484" spans="1:50" ht="31.4" customHeight="1" x14ac:dyDescent="0.35">
      <c r="A484" s="162">
        <v>483</v>
      </c>
      <c r="B484" s="4" t="s">
        <v>8</v>
      </c>
      <c r="C484" s="4" t="s">
        <v>8</v>
      </c>
      <c r="D484" s="4" t="s">
        <v>1035</v>
      </c>
      <c r="E484" s="157">
        <v>45547</v>
      </c>
      <c r="F484" s="9">
        <f>IF($E484="","",WORKDAY($E484,1,$V$33:$V$41))</f>
        <v>45548</v>
      </c>
      <c r="G484" s="9">
        <f>IF($E484="","",WORKDAY($E484,10,$V$33:$V$41))</f>
        <v>45561</v>
      </c>
      <c r="H484" s="9">
        <f>IF($E484="","",WORKDAY($E484,20,$V$33:$V$41))</f>
        <v>45575</v>
      </c>
      <c r="I484" s="157" t="str">
        <f t="shared" si="8"/>
        <v>Sep</v>
      </c>
      <c r="J484" s="14" t="str">
        <f ca="1">IF(E484="","",IF(N484="",H484-TODAY(),""))</f>
        <v/>
      </c>
      <c r="K484" s="157" t="s">
        <v>4</v>
      </c>
      <c r="L484" s="157" t="s">
        <v>7</v>
      </c>
      <c r="M484" s="157" t="s">
        <v>51</v>
      </c>
      <c r="N484" s="9">
        <v>45548</v>
      </c>
      <c r="O484" s="159">
        <f>IF($N484="","",NETWORKDAYS($E484,$N484,$V$33:$V$47)-1)</f>
        <v>1</v>
      </c>
      <c r="P484" s="10" t="str">
        <f>IF(ISBLANK(N484),"",IF(N484&gt;H484,"No","Yes"))</f>
        <v>Yes</v>
      </c>
      <c r="Q484" s="9" t="s">
        <v>117</v>
      </c>
      <c r="R484" s="4" t="s">
        <v>118</v>
      </c>
      <c r="S484" s="4"/>
      <c r="T484" s="4"/>
      <c r="U484" s="6"/>
      <c r="V484" s="6"/>
      <c r="W484" s="6"/>
      <c r="X484" s="6"/>
      <c r="Y484" s="6"/>
      <c r="Z484" s="6"/>
      <c r="AX484" s="6" t="str">
        <v>Quarter 2</v>
      </c>
    </row>
    <row r="485" spans="1:50" ht="31.4" customHeight="1" x14ac:dyDescent="0.35">
      <c r="A485" s="162">
        <v>484</v>
      </c>
      <c r="B485" s="4" t="s">
        <v>1036</v>
      </c>
      <c r="C485" s="4" t="s">
        <v>13</v>
      </c>
      <c r="D485" s="4" t="s">
        <v>1037</v>
      </c>
      <c r="E485" s="157">
        <v>45548</v>
      </c>
      <c r="F485" s="9">
        <f>IF($E485="","",WORKDAY($E485,1,$V$33:$V$41))</f>
        <v>45551</v>
      </c>
      <c r="G485" s="9">
        <f>IF($E485="","",WORKDAY($E485,10,$V$33:$V$41))</f>
        <v>45562</v>
      </c>
      <c r="H485" s="9">
        <f>IF($E485="","",WORKDAY($E485,20,$V$33:$V$41))</f>
        <v>45576</v>
      </c>
      <c r="I485" s="157" t="str">
        <f t="shared" si="8"/>
        <v>Sep</v>
      </c>
      <c r="J485" s="14" t="str">
        <f ca="1">IF(E485="","",IF(N485="",H485-TODAY(),""))</f>
        <v/>
      </c>
      <c r="K485" s="157" t="s">
        <v>124</v>
      </c>
      <c r="L485" s="25" t="s">
        <v>20</v>
      </c>
      <c r="M485" s="25" t="s">
        <v>48</v>
      </c>
      <c r="N485" s="9">
        <v>45551</v>
      </c>
      <c r="O485" s="159">
        <f>IF($N485="","",NETWORKDAYS($E485,$N485,$V$33:$V$47)-1)</f>
        <v>1</v>
      </c>
      <c r="P485" s="10" t="str">
        <f>IF(ISBLANK(N485),"",IF(N485&gt;H485,"No","Yes"))</f>
        <v>Yes</v>
      </c>
      <c r="Q485" s="9" t="s">
        <v>117</v>
      </c>
      <c r="R485" s="4" t="s">
        <v>118</v>
      </c>
      <c r="S485" s="4"/>
      <c r="T485" s="4"/>
      <c r="U485" s="6"/>
      <c r="V485" s="6"/>
      <c r="W485" s="6"/>
      <c r="X485" s="6"/>
      <c r="Y485" s="6"/>
      <c r="Z485" s="6"/>
      <c r="AX485" s="6" t="str">
        <v>Quarter 2</v>
      </c>
    </row>
    <row r="486" spans="1:50" ht="31.4" customHeight="1" x14ac:dyDescent="0.35">
      <c r="A486" s="162">
        <v>485</v>
      </c>
      <c r="B486" s="4" t="s">
        <v>138</v>
      </c>
      <c r="C486" s="4" t="s">
        <v>19</v>
      </c>
      <c r="D486" s="4" t="s">
        <v>1038</v>
      </c>
      <c r="E486" s="157">
        <v>45548</v>
      </c>
      <c r="F486" s="9">
        <f>IF($E486="","",WORKDAY($E486,1,$V$33:$V$41))</f>
        <v>45551</v>
      </c>
      <c r="G486" s="9">
        <f>IF($E486="","",WORKDAY($E486,10,$V$33:$V$41))</f>
        <v>45562</v>
      </c>
      <c r="H486" s="9">
        <f>IF($E486="","",WORKDAY($E486,20,$V$33:$V$41))</f>
        <v>45576</v>
      </c>
      <c r="I486" s="157" t="str">
        <f t="shared" si="8"/>
        <v>Sep</v>
      </c>
      <c r="J486" s="14" t="str">
        <f ca="1">IF(E486="","",IF(N486="",H486-TODAY(),""))</f>
        <v/>
      </c>
      <c r="K486" s="157" t="s">
        <v>10</v>
      </c>
      <c r="L486" s="157" t="s">
        <v>12</v>
      </c>
      <c r="M486" s="157" t="s">
        <v>30</v>
      </c>
      <c r="N486" s="9">
        <v>45562</v>
      </c>
      <c r="O486" s="159">
        <f>IF($N486="","",NETWORKDAYS($E486,$N486,$V$33:$V$47)-1)</f>
        <v>10</v>
      </c>
      <c r="P486" s="10" t="str">
        <f>IF(ISBLANK(N486),"",IF(N486&gt;H486,"No","Yes"))</f>
        <v>Yes</v>
      </c>
      <c r="Q486" s="9" t="s">
        <v>117</v>
      </c>
      <c r="R486" s="4" t="s">
        <v>118</v>
      </c>
      <c r="S486" s="4" t="s">
        <v>135</v>
      </c>
      <c r="T486" s="4"/>
      <c r="U486" s="6"/>
      <c r="V486" s="6"/>
      <c r="W486" s="6"/>
      <c r="X486" s="6"/>
      <c r="Y486" s="6"/>
      <c r="Z486" s="6"/>
      <c r="AX486" s="6" t="str">
        <v>Quarter 2</v>
      </c>
    </row>
    <row r="487" spans="1:50" ht="31.4" customHeight="1" x14ac:dyDescent="0.35">
      <c r="A487" s="162">
        <v>486</v>
      </c>
      <c r="B487" s="4" t="s">
        <v>8</v>
      </c>
      <c r="C487" s="4" t="s">
        <v>8</v>
      </c>
      <c r="D487" s="4" t="s">
        <v>1039</v>
      </c>
      <c r="E487" s="157"/>
      <c r="F487" s="9" t="str">
        <f>IF($E487="","",WORKDAY($E487,1,$V$33:$V$41))</f>
        <v/>
      </c>
      <c r="G487" s="9" t="str">
        <f>IF($E487="","",WORKDAY($E487,10,$V$33:$V$41))</f>
        <v/>
      </c>
      <c r="H487" s="9" t="str">
        <f>IF($E487="","",WORKDAY($E487,20,$V$33:$V$41))</f>
        <v/>
      </c>
      <c r="I487" s="157" t="s">
        <v>993</v>
      </c>
      <c r="J487" s="14" t="str">
        <f ca="1">IF(E487="","",IF(N487="",H487-TODAY(),""))</f>
        <v/>
      </c>
      <c r="K487" s="157" t="s">
        <v>5</v>
      </c>
      <c r="L487" s="157" t="s">
        <v>16</v>
      </c>
      <c r="M487" s="157" t="s">
        <v>67</v>
      </c>
      <c r="N487" s="9"/>
      <c r="O487" s="159" t="str">
        <f>IF($N487="","",NETWORKDAYS($E487,$N487,$V$33:$V$47)-1)</f>
        <v/>
      </c>
      <c r="P487" s="10" t="str">
        <f>IF(ISBLANK(N487),"",IF(N487&gt;H487,"No","Yes"))</f>
        <v/>
      </c>
      <c r="Q487" s="9" t="s">
        <v>140</v>
      </c>
      <c r="R487" s="4" t="s">
        <v>140</v>
      </c>
      <c r="S487" s="4"/>
      <c r="T487" s="4" t="s">
        <v>1040</v>
      </c>
      <c r="U487" s="6"/>
      <c r="V487" s="6"/>
      <c r="W487" s="6"/>
      <c r="X487" s="6"/>
      <c r="Y487" s="6"/>
      <c r="Z487" s="6"/>
      <c r="AX487" s="6" t="str">
        <v>Quarter 2</v>
      </c>
    </row>
    <row r="488" spans="1:50" ht="31.4" customHeight="1" x14ac:dyDescent="0.35">
      <c r="A488" s="162">
        <v>487</v>
      </c>
      <c r="B488" s="4" t="s">
        <v>138</v>
      </c>
      <c r="C488" s="4" t="s">
        <v>19</v>
      </c>
      <c r="D488" s="4" t="s">
        <v>1041</v>
      </c>
      <c r="E488" s="157">
        <v>45551</v>
      </c>
      <c r="F488" s="9">
        <f>IF($E488="","",WORKDAY($E488,1,$V$33:$V$41))</f>
        <v>45552</v>
      </c>
      <c r="G488" s="9">
        <f>IF($E488="","",WORKDAY($E488,10,$V$33:$V$41))</f>
        <v>45565</v>
      </c>
      <c r="H488" s="9">
        <f>IF($E488="","",WORKDAY($E488,20,$V$33:$V$41))</f>
        <v>45579</v>
      </c>
      <c r="I488" s="157" t="str">
        <f t="shared" si="8"/>
        <v>Sep</v>
      </c>
      <c r="J488" s="14" t="str">
        <f ca="1">IF(E488="","",IF(N488="",H488-TODAY(),""))</f>
        <v/>
      </c>
      <c r="K488" s="157" t="s">
        <v>5</v>
      </c>
      <c r="L488" s="157" t="s">
        <v>16</v>
      </c>
      <c r="M488" s="157" t="s">
        <v>71</v>
      </c>
      <c r="N488" s="9">
        <v>45552</v>
      </c>
      <c r="O488" s="159">
        <f>IF($N488="","",NETWORKDAYS($E488,$N488,$V$33:$V$47)-1)</f>
        <v>1</v>
      </c>
      <c r="P488" s="10" t="str">
        <f>IF(ISBLANK(N488),"",IF(N488&gt;H488,"No","Yes"))</f>
        <v>Yes</v>
      </c>
      <c r="Q488" s="9" t="s">
        <v>117</v>
      </c>
      <c r="R488" s="4" t="s">
        <v>118</v>
      </c>
      <c r="S488" s="4"/>
      <c r="T488" s="4"/>
      <c r="U488" s="6"/>
      <c r="V488" s="6"/>
      <c r="W488" s="6"/>
      <c r="X488" s="6"/>
      <c r="Y488" s="6"/>
      <c r="Z488" s="6"/>
      <c r="AX488" s="6" t="str">
        <v>Quarter 2</v>
      </c>
    </row>
    <row r="489" spans="1:50" ht="31.4" customHeight="1" x14ac:dyDescent="0.35">
      <c r="A489" s="162">
        <v>488</v>
      </c>
      <c r="B489" s="4" t="s">
        <v>8</v>
      </c>
      <c r="C489" s="4" t="s">
        <v>8</v>
      </c>
      <c r="D489" s="4" t="s">
        <v>1042</v>
      </c>
      <c r="E489" s="157">
        <v>45551</v>
      </c>
      <c r="F489" s="9">
        <f>IF($E489="","",WORKDAY($E489,1,$V$33:$V$41))</f>
        <v>45552</v>
      </c>
      <c r="G489" s="9">
        <f>IF($E489="","",WORKDAY($E489,10,$V$33:$V$41))</f>
        <v>45565</v>
      </c>
      <c r="H489" s="9">
        <f>IF($E489="","",WORKDAY($E489,20,$V$33:$V$41))</f>
        <v>45579</v>
      </c>
      <c r="I489" s="157" t="str">
        <f t="shared" si="8"/>
        <v>Sep</v>
      </c>
      <c r="J489" s="14" t="str">
        <f ca="1">IF(E489="","",IF(N489="",H489-TODAY(),""))</f>
        <v/>
      </c>
      <c r="K489" s="157" t="s">
        <v>5</v>
      </c>
      <c r="L489" s="157" t="s">
        <v>16</v>
      </c>
      <c r="M489" s="157" t="s">
        <v>71</v>
      </c>
      <c r="N489" s="9">
        <v>45551</v>
      </c>
      <c r="O489" s="159">
        <f>IF($N489="","",NETWORKDAYS($E489,$N489,$V$33:$V$47)-1)</f>
        <v>0</v>
      </c>
      <c r="P489" s="10" t="str">
        <f>IF(ISBLANK(N489),"",IF(N489&gt;H489,"No","Yes"))</f>
        <v>Yes</v>
      </c>
      <c r="Q489" s="9" t="s">
        <v>117</v>
      </c>
      <c r="R489" s="4" t="s">
        <v>118</v>
      </c>
      <c r="S489" s="4"/>
      <c r="T489" s="4"/>
      <c r="U489" s="6"/>
      <c r="V489" s="6"/>
      <c r="W489" s="6"/>
      <c r="X489" s="6"/>
      <c r="Y489" s="6"/>
      <c r="Z489" s="6"/>
      <c r="AX489" s="6" t="str">
        <v>Quarter 2</v>
      </c>
    </row>
    <row r="490" spans="1:50" ht="31.4" customHeight="1" x14ac:dyDescent="0.35">
      <c r="A490" s="162">
        <v>489</v>
      </c>
      <c r="B490" s="4" t="s">
        <v>8</v>
      </c>
      <c r="C490" s="4" t="s">
        <v>8</v>
      </c>
      <c r="D490" s="4" t="s">
        <v>1043</v>
      </c>
      <c r="E490" s="157">
        <v>45551</v>
      </c>
      <c r="F490" s="9">
        <f>IF($E490="","",WORKDAY($E490,1,$V$33:$V$41))</f>
        <v>45552</v>
      </c>
      <c r="G490" s="9">
        <f>IF($E490="","",WORKDAY($E490,10,$V$33:$V$41))</f>
        <v>45565</v>
      </c>
      <c r="H490" s="9">
        <f>IF($E490="","",WORKDAY($E490,20,$V$33:$V$41))</f>
        <v>45579</v>
      </c>
      <c r="I490" s="157" t="str">
        <f t="shared" si="8"/>
        <v>Sep</v>
      </c>
      <c r="J490" s="14" t="str">
        <f ca="1">IF(E490="","",IF(N490="",H490-TODAY(),""))</f>
        <v/>
      </c>
      <c r="K490" s="157" t="s">
        <v>4</v>
      </c>
      <c r="L490" s="157" t="s">
        <v>7</v>
      </c>
      <c r="M490" s="157" t="s">
        <v>90</v>
      </c>
      <c r="N490" s="9">
        <v>45554</v>
      </c>
      <c r="O490" s="159">
        <f>IF($N490="","",NETWORKDAYS($E490,$N490,$V$33:$V$47)-1)</f>
        <v>3</v>
      </c>
      <c r="P490" s="10" t="str">
        <f>IF(ISBLANK(N490),"",IF(N490&gt;H490,"No","Yes"))</f>
        <v>Yes</v>
      </c>
      <c r="Q490" s="9" t="s">
        <v>117</v>
      </c>
      <c r="R490" s="4" t="s">
        <v>118</v>
      </c>
      <c r="S490" s="4"/>
      <c r="T490" s="4"/>
      <c r="U490" s="6"/>
      <c r="V490" s="6"/>
      <c r="W490" s="6"/>
      <c r="X490" s="6"/>
      <c r="Y490" s="6"/>
      <c r="Z490" s="6"/>
      <c r="AX490" s="6" t="str">
        <v>Quarter 2</v>
      </c>
    </row>
    <row r="491" spans="1:50" ht="31.4" customHeight="1" x14ac:dyDescent="0.35">
      <c r="A491" s="162">
        <v>490</v>
      </c>
      <c r="B491" s="4" t="s">
        <v>174</v>
      </c>
      <c r="C491" s="4" t="s">
        <v>23</v>
      </c>
      <c r="D491" s="4" t="s">
        <v>1044</v>
      </c>
      <c r="E491" s="157">
        <v>45551</v>
      </c>
      <c r="F491" s="9">
        <f>IF($E491="","",WORKDAY($E491,1,$V$33:$V$41))</f>
        <v>45552</v>
      </c>
      <c r="G491" s="9">
        <f>IF($E491="","",WORKDAY($E491,10,$V$33:$V$41))</f>
        <v>45565</v>
      </c>
      <c r="H491" s="9">
        <f>IF($E491="","",WORKDAY($E491,20,$V$33:$V$41))</f>
        <v>45579</v>
      </c>
      <c r="I491" s="157" t="str">
        <f t="shared" si="8"/>
        <v>Sep</v>
      </c>
      <c r="J491" s="14" t="str">
        <f ca="1">IF(E491="","",IF(N491="",H491-TODAY(),""))</f>
        <v/>
      </c>
      <c r="K491" s="157" t="s">
        <v>5</v>
      </c>
      <c r="L491" s="157" t="s">
        <v>22</v>
      </c>
      <c r="M491" s="157" t="s">
        <v>64</v>
      </c>
      <c r="N491" s="9">
        <v>45551</v>
      </c>
      <c r="O491" s="159">
        <f>IF($N491="","",NETWORKDAYS($E491,$N491,$V$33:$V$47)-1)</f>
        <v>0</v>
      </c>
      <c r="P491" s="10" t="str">
        <f>IF(ISBLANK(N491),"",IF(N491&gt;H491,"No","Yes"))</f>
        <v>Yes</v>
      </c>
      <c r="Q491" s="9" t="s">
        <v>117</v>
      </c>
      <c r="R491" s="4" t="s">
        <v>118</v>
      </c>
      <c r="S491" s="4"/>
      <c r="T491" s="4"/>
      <c r="U491" s="6"/>
      <c r="V491" s="6"/>
      <c r="W491" s="6"/>
      <c r="X491" s="6"/>
      <c r="Y491" s="6"/>
      <c r="Z491" s="6"/>
      <c r="AX491" s="6" t="str">
        <v>Quarter 2</v>
      </c>
    </row>
    <row r="492" spans="1:50" ht="31.4" customHeight="1" x14ac:dyDescent="0.35">
      <c r="A492" s="162">
        <v>491</v>
      </c>
      <c r="B492" s="4" t="s">
        <v>138</v>
      </c>
      <c r="C492" s="4" t="s">
        <v>19</v>
      </c>
      <c r="D492" s="4" t="s">
        <v>943</v>
      </c>
      <c r="E492" s="157">
        <v>45551</v>
      </c>
      <c r="F492" s="9">
        <f>IF($E492="","",WORKDAY($E492,1,$V$33:$V$41))</f>
        <v>45552</v>
      </c>
      <c r="G492" s="9">
        <f>IF($E492="","",WORKDAY($E492,10,$V$33:$V$41))</f>
        <v>45565</v>
      </c>
      <c r="H492" s="9">
        <f>IF($E492="","",WORKDAY($E492,20,$V$33:$V$41))</f>
        <v>45579</v>
      </c>
      <c r="I492" s="157" t="str">
        <f t="shared" si="8"/>
        <v>Sep</v>
      </c>
      <c r="J492" s="14" t="str">
        <f ca="1">IF(E492="","",IF(N492="",H492-TODAY(),""))</f>
        <v/>
      </c>
      <c r="K492" s="157" t="s">
        <v>5</v>
      </c>
      <c r="L492" s="157" t="s">
        <v>18</v>
      </c>
      <c r="M492" s="157" t="s">
        <v>66</v>
      </c>
      <c r="N492" s="9">
        <v>45551</v>
      </c>
      <c r="O492" s="159">
        <f>IF($N492="","",NETWORKDAYS($E492,$N492,$V$33:$V$47)-1)</f>
        <v>0</v>
      </c>
      <c r="P492" s="10" t="str">
        <f>IF(ISBLANK(N492),"",IF(N492&gt;H492,"No","Yes"))</f>
        <v>Yes</v>
      </c>
      <c r="Q492" s="9" t="s">
        <v>117</v>
      </c>
      <c r="R492" s="4" t="s">
        <v>150</v>
      </c>
      <c r="S492" s="4"/>
      <c r="T492" s="4"/>
      <c r="U492" s="6"/>
      <c r="V492" s="6"/>
      <c r="W492" s="6"/>
      <c r="X492" s="6"/>
      <c r="Y492" s="6"/>
      <c r="Z492" s="6"/>
      <c r="AX492" s="6" t="str">
        <v>Quarter 2</v>
      </c>
    </row>
    <row r="493" spans="1:50" ht="31.4" customHeight="1" x14ac:dyDescent="0.35">
      <c r="A493" s="162">
        <v>492</v>
      </c>
      <c r="B493" s="4" t="s">
        <v>138</v>
      </c>
      <c r="C493" s="4" t="s">
        <v>19</v>
      </c>
      <c r="D493" s="4" t="s">
        <v>1045</v>
      </c>
      <c r="E493" s="157">
        <v>45551</v>
      </c>
      <c r="F493" s="9">
        <f>IF($E493="","",WORKDAY($E493,1,$V$33:$V$41))</f>
        <v>45552</v>
      </c>
      <c r="G493" s="9">
        <f>IF($E493="","",WORKDAY($E493,10,$V$33:$V$41))</f>
        <v>45565</v>
      </c>
      <c r="H493" s="9">
        <f>IF($E493="","",WORKDAY($E493,20,$V$33:$V$41))</f>
        <v>45579</v>
      </c>
      <c r="I493" s="157" t="str">
        <f t="shared" si="8"/>
        <v>Sep</v>
      </c>
      <c r="J493" s="14" t="str">
        <f ca="1">IF(E493="","",IF(N493="",H493-TODAY(),""))</f>
        <v/>
      </c>
      <c r="K493" s="157" t="s">
        <v>10</v>
      </c>
      <c r="L493" s="157" t="s">
        <v>27</v>
      </c>
      <c r="M493" s="157" t="s">
        <v>37</v>
      </c>
      <c r="N493" s="9">
        <v>45553</v>
      </c>
      <c r="O493" s="159">
        <f>IF($N493="","",NETWORKDAYS($E493,$N493,$V$33:$V$47)-1)</f>
        <v>2</v>
      </c>
      <c r="P493" s="10" t="str">
        <f>IF(ISBLANK(N493),"",IF(N493&gt;H493,"No","Yes"))</f>
        <v>Yes</v>
      </c>
      <c r="Q493" s="9" t="s">
        <v>117</v>
      </c>
      <c r="R493" s="4" t="s">
        <v>118</v>
      </c>
      <c r="S493" s="4"/>
      <c r="T493" s="4"/>
      <c r="U493" s="6"/>
      <c r="V493" s="6"/>
      <c r="W493" s="6"/>
      <c r="X493" s="6"/>
      <c r="Y493" s="6"/>
      <c r="Z493" s="6"/>
      <c r="AX493" s="6" t="str">
        <v>Quarter 2</v>
      </c>
    </row>
    <row r="494" spans="1:50" ht="31.4" customHeight="1" x14ac:dyDescent="0.35">
      <c r="A494" s="162">
        <v>493</v>
      </c>
      <c r="B494" s="4" t="s">
        <v>8</v>
      </c>
      <c r="C494" s="4" t="s">
        <v>8</v>
      </c>
      <c r="D494" s="4" t="s">
        <v>229</v>
      </c>
      <c r="E494" s="157">
        <v>45547</v>
      </c>
      <c r="F494" s="9">
        <f>IF($E494="","",WORKDAY($E494,1,$V$33:$V$41))</f>
        <v>45548</v>
      </c>
      <c r="G494" s="9">
        <f>IF($E494="","",WORKDAY($E494,10,$V$33:$V$41))</f>
        <v>45561</v>
      </c>
      <c r="H494" s="9">
        <f>IF($E494="","",WORKDAY($E494,20,$V$33:$V$41))</f>
        <v>45575</v>
      </c>
      <c r="I494" s="157" t="str">
        <f t="shared" si="8"/>
        <v>Sep</v>
      </c>
      <c r="J494" s="14" t="str">
        <f ca="1">IF(E494="","",IF(N494="",H494-TODAY(),""))</f>
        <v/>
      </c>
      <c r="K494" s="157" t="s">
        <v>5</v>
      </c>
      <c r="L494" s="157" t="s">
        <v>18</v>
      </c>
      <c r="M494" s="157" t="s">
        <v>66</v>
      </c>
      <c r="N494" s="9">
        <v>45551</v>
      </c>
      <c r="O494" s="159">
        <f>IF($N494="","",NETWORKDAYS($E494,$N494,$V$33:$V$47)-1)</f>
        <v>2</v>
      </c>
      <c r="P494" s="10" t="str">
        <f>IF(ISBLANK(N494),"",IF(N494&gt;H494,"No","Yes"))</f>
        <v>Yes</v>
      </c>
      <c r="Q494" s="9" t="s">
        <v>117</v>
      </c>
      <c r="R494" s="4" t="s">
        <v>118</v>
      </c>
      <c r="S494" s="4" t="s">
        <v>119</v>
      </c>
      <c r="T494" s="4"/>
      <c r="U494" s="6"/>
      <c r="V494" s="6"/>
      <c r="W494" s="6"/>
      <c r="X494" s="6"/>
      <c r="Y494" s="6"/>
      <c r="Z494" s="6"/>
      <c r="AX494" s="6" t="str">
        <v>Quarter 2</v>
      </c>
    </row>
    <row r="495" spans="1:50" ht="31.4" customHeight="1" x14ac:dyDescent="0.35">
      <c r="A495" s="162">
        <v>494</v>
      </c>
      <c r="B495" s="4" t="s">
        <v>174</v>
      </c>
      <c r="C495" s="4" t="s">
        <v>23</v>
      </c>
      <c r="D495" s="4" t="s">
        <v>1046</v>
      </c>
      <c r="E495" s="157">
        <v>45551</v>
      </c>
      <c r="F495" s="9">
        <f>IF($E495="","",WORKDAY($E495,1,$V$33:$V$41))</f>
        <v>45552</v>
      </c>
      <c r="G495" s="9">
        <f>IF($E495="","",WORKDAY($E495,10,$V$33:$V$41))</f>
        <v>45565</v>
      </c>
      <c r="H495" s="9">
        <f>IF($E495="","",WORKDAY($E495,20,$V$33:$V$41))</f>
        <v>45579</v>
      </c>
      <c r="I495" s="157" t="str">
        <f t="shared" si="8"/>
        <v>Sep</v>
      </c>
      <c r="J495" s="14" t="str">
        <f ca="1">IF(E495="","",IF(N495="",H495-TODAY(),""))</f>
        <v/>
      </c>
      <c r="K495" s="157" t="s">
        <v>124</v>
      </c>
      <c r="L495" s="157" t="s">
        <v>14</v>
      </c>
      <c r="M495" s="157" t="s">
        <v>44</v>
      </c>
      <c r="N495" s="9">
        <v>45567</v>
      </c>
      <c r="O495" s="159">
        <f>IF($N495="","",NETWORKDAYS($E495,$N495,$V$33:$V$47)-1)</f>
        <v>12</v>
      </c>
      <c r="P495" s="10" t="str">
        <f>IF(ISBLANK(N495),"",IF(N495&gt;H495,"No","Yes"))</f>
        <v>Yes</v>
      </c>
      <c r="Q495" s="9" t="s">
        <v>117</v>
      </c>
      <c r="R495" s="4" t="s">
        <v>118</v>
      </c>
      <c r="S495" s="4"/>
      <c r="T495" s="4"/>
      <c r="U495" s="6"/>
      <c r="V495" s="6"/>
      <c r="W495" s="6"/>
      <c r="X495" s="6"/>
      <c r="Y495" s="6"/>
      <c r="Z495" s="6"/>
      <c r="AX495" s="6" t="str">
        <v>Quarter 2</v>
      </c>
    </row>
    <row r="496" spans="1:50" ht="31.4" customHeight="1" x14ac:dyDescent="0.35">
      <c r="A496" s="162">
        <v>495</v>
      </c>
      <c r="B496" s="4" t="s">
        <v>310</v>
      </c>
      <c r="C496" s="4" t="s">
        <v>6</v>
      </c>
      <c r="D496" s="4" t="s">
        <v>1047</v>
      </c>
      <c r="E496" s="157">
        <v>45552</v>
      </c>
      <c r="F496" s="9">
        <f>IF($E496="","",WORKDAY($E496,1,$V$33:$V$41))</f>
        <v>45553</v>
      </c>
      <c r="G496" s="9">
        <f>IF($E496="","",WORKDAY($E496,10,$V$33:$V$41))</f>
        <v>45566</v>
      </c>
      <c r="H496" s="9">
        <f>IF($E496="","",WORKDAY($E496,20,$V$33:$V$41))</f>
        <v>45580</v>
      </c>
      <c r="I496" s="157" t="str">
        <f t="shared" si="8"/>
        <v>Sep</v>
      </c>
      <c r="J496" s="14" t="str">
        <f ca="1">IF(E496="","",IF(N496="",H496-TODAY(),""))</f>
        <v/>
      </c>
      <c r="K496" s="157" t="s">
        <v>10</v>
      </c>
      <c r="L496" s="157" t="s">
        <v>12</v>
      </c>
      <c r="M496" s="157" t="s">
        <v>30</v>
      </c>
      <c r="N496" s="9">
        <v>45561</v>
      </c>
      <c r="O496" s="159">
        <f>IF($N496="","",NETWORKDAYS($E496,$N496,$V$33:$V$47)-1)</f>
        <v>7</v>
      </c>
      <c r="P496" s="10" t="str">
        <f>IF(ISBLANK(N496),"",IF(N496&gt;H496,"No","Yes"))</f>
        <v>Yes</v>
      </c>
      <c r="Q496" s="9" t="s">
        <v>117</v>
      </c>
      <c r="R496" s="4" t="s">
        <v>118</v>
      </c>
      <c r="S496" s="4"/>
      <c r="T496" s="4"/>
      <c r="U496" s="6"/>
      <c r="V496" s="6"/>
      <c r="W496" s="6"/>
      <c r="X496" s="6"/>
      <c r="Y496" s="6"/>
      <c r="Z496" s="6"/>
      <c r="AX496" s="6" t="str">
        <v>Quarter 2</v>
      </c>
    </row>
    <row r="497" spans="1:50" ht="31.4" customHeight="1" x14ac:dyDescent="0.35">
      <c r="A497" s="162">
        <v>496</v>
      </c>
      <c r="B497" s="4" t="s">
        <v>138</v>
      </c>
      <c r="C497" s="4" t="s">
        <v>19</v>
      </c>
      <c r="D497" s="4" t="s">
        <v>533</v>
      </c>
      <c r="E497" s="157">
        <v>45552</v>
      </c>
      <c r="F497" s="9">
        <f>IF($E497="","",WORKDAY($E497,1,$V$33:$V$41))</f>
        <v>45553</v>
      </c>
      <c r="G497" s="9">
        <f>IF($E497="","",WORKDAY($E497,10,$V$33:$V$41))</f>
        <v>45566</v>
      </c>
      <c r="H497" s="9">
        <f>IF($E497="","",WORKDAY($E497,20,$V$33:$V$41))</f>
        <v>45580</v>
      </c>
      <c r="I497" s="157" t="str">
        <f t="shared" si="8"/>
        <v>Sep</v>
      </c>
      <c r="J497" s="14" t="str">
        <f ca="1">IF(E497="","",IF(N497="",H497-TODAY(),""))</f>
        <v/>
      </c>
      <c r="K497" s="157" t="s">
        <v>10</v>
      </c>
      <c r="L497" s="157" t="s">
        <v>12</v>
      </c>
      <c r="M497" s="157" t="s">
        <v>30</v>
      </c>
      <c r="N497" s="9">
        <v>45553</v>
      </c>
      <c r="O497" s="159">
        <f>IF($N497="","",NETWORKDAYS($E497,$N497,$V$33:$V$47)-1)</f>
        <v>1</v>
      </c>
      <c r="P497" s="10" t="str">
        <f>IF(ISBLANK(N497),"",IF(N497&gt;H497,"No","Yes"))</f>
        <v>Yes</v>
      </c>
      <c r="Q497" s="9" t="s">
        <v>117</v>
      </c>
      <c r="R497" s="4" t="s">
        <v>118</v>
      </c>
      <c r="S497" s="4"/>
      <c r="T497" s="4" t="s">
        <v>141</v>
      </c>
      <c r="U497" s="6"/>
      <c r="V497" s="6"/>
      <c r="W497" s="6"/>
      <c r="X497" s="6"/>
      <c r="Y497" s="6"/>
      <c r="Z497" s="6"/>
      <c r="AX497" s="6" t="str">
        <v>Quarter 2</v>
      </c>
    </row>
    <row r="498" spans="1:50" ht="31.4" customHeight="1" x14ac:dyDescent="0.35">
      <c r="A498" s="162">
        <v>497</v>
      </c>
      <c r="B498" s="4" t="s">
        <v>457</v>
      </c>
      <c r="C498" s="4" t="s">
        <v>6</v>
      </c>
      <c r="D498" s="4" t="s">
        <v>1048</v>
      </c>
      <c r="E498" s="157">
        <v>45552</v>
      </c>
      <c r="F498" s="9">
        <f>IF($E498="","",WORKDAY($E498,1,$V$33:$V$41))</f>
        <v>45553</v>
      </c>
      <c r="G498" s="9">
        <f>IF($E498="","",WORKDAY($E498,10,$V$33:$V$41))</f>
        <v>45566</v>
      </c>
      <c r="H498" s="9">
        <f>IF($E498="","",WORKDAY($E498,20,$V$33:$V$41))</f>
        <v>45580</v>
      </c>
      <c r="I498" s="157" t="str">
        <f t="shared" si="8"/>
        <v>Sep</v>
      </c>
      <c r="J498" s="14" t="str">
        <f ca="1">IF(E498="","",IF(N498="",H498-TODAY(),""))</f>
        <v/>
      </c>
      <c r="K498" s="157" t="s">
        <v>124</v>
      </c>
      <c r="L498" s="157" t="s">
        <v>20</v>
      </c>
      <c r="M498" s="157" t="s">
        <v>62</v>
      </c>
      <c r="N498" s="9">
        <v>45611</v>
      </c>
      <c r="O498" s="159">
        <f>IF($N498="","",NETWORKDAYS($E498,$N498,$V$33:$V$47)-1)</f>
        <v>43</v>
      </c>
      <c r="P498" s="10" t="str">
        <f>IF(ISBLANK(N498),"",IF(N498&gt;H498,"No","Yes"))</f>
        <v>No</v>
      </c>
      <c r="Q498" s="9" t="s">
        <v>117</v>
      </c>
      <c r="R498" s="4" t="s">
        <v>118</v>
      </c>
      <c r="S498" s="4"/>
      <c r="T498" s="4"/>
      <c r="U498" s="6"/>
      <c r="V498" s="6"/>
      <c r="W498" s="6"/>
      <c r="X498" s="6"/>
      <c r="Y498" s="6"/>
      <c r="Z498" s="6"/>
      <c r="AX498" s="6" t="str">
        <v>Quarter 2</v>
      </c>
    </row>
    <row r="499" spans="1:50" ht="31.4" customHeight="1" x14ac:dyDescent="0.35">
      <c r="A499" s="162">
        <v>498</v>
      </c>
      <c r="B499" s="4" t="s">
        <v>1049</v>
      </c>
      <c r="C499" s="4" t="s">
        <v>6</v>
      </c>
      <c r="D499" s="4" t="s">
        <v>1050</v>
      </c>
      <c r="E499" s="157">
        <v>45552</v>
      </c>
      <c r="F499" s="9">
        <f>IF($E499="","",WORKDAY($E499,1,$V$33:$V$41))</f>
        <v>45553</v>
      </c>
      <c r="G499" s="9">
        <f>IF($E499="","",WORKDAY($E499,10,$V$33:$V$41))</f>
        <v>45566</v>
      </c>
      <c r="H499" s="9">
        <f>IF($E499="","",WORKDAY($E499,20,$V$33:$V$41))</f>
        <v>45580</v>
      </c>
      <c r="I499" s="157" t="str">
        <f t="shared" si="8"/>
        <v>Sep</v>
      </c>
      <c r="J499" s="14" t="str">
        <f ca="1">IF(E499="","",IF(N499="",H499-TODAY(),""))</f>
        <v/>
      </c>
      <c r="K499" s="157" t="s">
        <v>124</v>
      </c>
      <c r="L499" s="157" t="s">
        <v>14</v>
      </c>
      <c r="M499" s="157" t="s">
        <v>73</v>
      </c>
      <c r="N499" s="9">
        <v>45566</v>
      </c>
      <c r="O499" s="159">
        <f>IF($N499="","",NETWORKDAYS($E499,$N499,$V$33:$V$47)-1)</f>
        <v>10</v>
      </c>
      <c r="P499" s="10" t="str">
        <f>IF(ISBLANK(N499),"",IF(N499&gt;H499,"No","Yes"))</f>
        <v>Yes</v>
      </c>
      <c r="Q499" s="9" t="s">
        <v>117</v>
      </c>
      <c r="R499" s="4" t="s">
        <v>132</v>
      </c>
      <c r="S499" s="4" t="s">
        <v>120</v>
      </c>
      <c r="T499" s="4"/>
      <c r="U499" s="6"/>
      <c r="V499" s="6"/>
      <c r="W499" s="6"/>
      <c r="X499" s="6"/>
      <c r="Y499" s="6"/>
      <c r="Z499" s="6"/>
      <c r="AX499" s="6" t="str">
        <v>Quarter 2</v>
      </c>
    </row>
    <row r="500" spans="1:50" ht="31.4" customHeight="1" x14ac:dyDescent="0.35">
      <c r="A500" s="162">
        <v>499</v>
      </c>
      <c r="B500" s="4" t="s">
        <v>1051</v>
      </c>
      <c r="C500" s="4" t="s">
        <v>25</v>
      </c>
      <c r="D500" s="4" t="s">
        <v>1052</v>
      </c>
      <c r="E500" s="157">
        <v>45552</v>
      </c>
      <c r="F500" s="9">
        <f>IF($E500="","",WORKDAY($E500,1,$V$33:$V$41))</f>
        <v>45553</v>
      </c>
      <c r="G500" s="9">
        <f>IF($E500="","",WORKDAY($E500,10,$V$33:$V$41))</f>
        <v>45566</v>
      </c>
      <c r="H500" s="9">
        <f>IF($E500="","",WORKDAY($E500,20,$V$33:$V$41))</f>
        <v>45580</v>
      </c>
      <c r="I500" s="157" t="str">
        <f t="shared" si="8"/>
        <v>Sep</v>
      </c>
      <c r="J500" s="14" t="str">
        <f ca="1">IF(E500="","",IF(N500="",H500-TODAY(),""))</f>
        <v/>
      </c>
      <c r="K500" s="157" t="s">
        <v>5</v>
      </c>
      <c r="L500" s="157" t="s">
        <v>16</v>
      </c>
      <c r="M500" s="157" t="s">
        <v>71</v>
      </c>
      <c r="N500" s="9">
        <v>45553</v>
      </c>
      <c r="O500" s="159">
        <f>IF($N500="","",NETWORKDAYS($E500,$N500,$V$33:$V$47)-1)</f>
        <v>1</v>
      </c>
      <c r="P500" s="10" t="str">
        <f>IF(ISBLANK(N500),"",IF(N500&gt;H500,"No","Yes"))</f>
        <v>Yes</v>
      </c>
      <c r="Q500" s="9" t="s">
        <v>117</v>
      </c>
      <c r="R500" s="4" t="s">
        <v>118</v>
      </c>
      <c r="S500" s="4"/>
      <c r="T500" s="4"/>
      <c r="U500" s="6"/>
      <c r="V500" s="6"/>
      <c r="W500" s="6"/>
      <c r="X500" s="6"/>
      <c r="Y500" s="6"/>
      <c r="Z500" s="6"/>
      <c r="AX500" s="6" t="str">
        <v>Quarter 2</v>
      </c>
    </row>
    <row r="501" spans="1:50" ht="31.4" customHeight="1" x14ac:dyDescent="0.35">
      <c r="A501" s="162">
        <v>500</v>
      </c>
      <c r="B501" s="4" t="s">
        <v>1053</v>
      </c>
      <c r="C501" s="4" t="s">
        <v>13</v>
      </c>
      <c r="D501" s="4" t="s">
        <v>1054</v>
      </c>
      <c r="E501" s="157">
        <v>45552</v>
      </c>
      <c r="F501" s="9">
        <f>IF($E501="","",WORKDAY($E501,1,$V$33:$V$41))</f>
        <v>45553</v>
      </c>
      <c r="G501" s="9">
        <f>IF($E501="","",WORKDAY($E501,10,$V$33:$V$41))</f>
        <v>45566</v>
      </c>
      <c r="H501" s="9">
        <f>IF($E501="","",WORKDAY($E501,20,$V$33:$V$41))</f>
        <v>45580</v>
      </c>
      <c r="I501" s="157" t="str">
        <f t="shared" si="8"/>
        <v>Sep</v>
      </c>
      <c r="J501" s="14" t="str">
        <f ca="1">IF(E501="","",IF(N501="",H501-TODAY(),""))</f>
        <v/>
      </c>
      <c r="K501" s="157" t="s">
        <v>124</v>
      </c>
      <c r="L501" s="157" t="s">
        <v>20</v>
      </c>
      <c r="M501" s="157" t="s">
        <v>79</v>
      </c>
      <c r="N501" s="9">
        <v>45566</v>
      </c>
      <c r="O501" s="159">
        <f>IF($N501="","",NETWORKDAYS($E501,$N501,$V$33:$V$47)-1)</f>
        <v>10</v>
      </c>
      <c r="P501" s="10" t="str">
        <f>IF(ISBLANK(N501),"",IF(N501&gt;H501,"No","Yes"))</f>
        <v>Yes</v>
      </c>
      <c r="Q501" s="9" t="s">
        <v>117</v>
      </c>
      <c r="R501" s="4" t="s">
        <v>150</v>
      </c>
      <c r="S501" s="4"/>
      <c r="T501" s="4"/>
      <c r="U501" s="6"/>
      <c r="V501" s="6"/>
      <c r="W501" s="6"/>
      <c r="X501" s="6"/>
      <c r="Y501" s="6"/>
      <c r="Z501" s="6"/>
      <c r="AX501" s="6" t="str">
        <v>Quarter 2</v>
      </c>
    </row>
    <row r="502" spans="1:50" ht="31.4" customHeight="1" x14ac:dyDescent="0.35">
      <c r="A502" s="162">
        <v>501</v>
      </c>
      <c r="B502" s="4" t="s">
        <v>1055</v>
      </c>
      <c r="C502" s="4" t="s">
        <v>6</v>
      </c>
      <c r="D502" s="4" t="s">
        <v>1056</v>
      </c>
      <c r="E502" s="157">
        <v>45553</v>
      </c>
      <c r="F502" s="9">
        <f>IF($E502="","",WORKDAY($E502,1,$V$33:$V$41))</f>
        <v>45554</v>
      </c>
      <c r="G502" s="9">
        <f>IF($E502="","",WORKDAY($E502,10,$V$33:$V$41))</f>
        <v>45567</v>
      </c>
      <c r="H502" s="9">
        <f>IF($E502="","",WORKDAY($E502,20,$V$33:$V$41))</f>
        <v>45581</v>
      </c>
      <c r="I502" s="157" t="str">
        <f t="shared" si="8"/>
        <v>Sep</v>
      </c>
      <c r="J502" s="14" t="str">
        <f ca="1">IF(E502="","",IF(N502="",H502-TODAY(),""))</f>
        <v/>
      </c>
      <c r="K502" s="157" t="s">
        <v>124</v>
      </c>
      <c r="L502" s="157" t="s">
        <v>24</v>
      </c>
      <c r="M502" s="157" t="s">
        <v>61</v>
      </c>
      <c r="N502" s="9">
        <v>45573</v>
      </c>
      <c r="O502" s="159">
        <f>IF($N502="","",NETWORKDAYS($E502,$N502,$V$33:$V$47)-1)</f>
        <v>14</v>
      </c>
      <c r="P502" s="10" t="str">
        <f>IF(ISBLANK(N502),"",IF(N502&gt;H502,"No","Yes"))</f>
        <v>Yes</v>
      </c>
      <c r="Q502" s="9" t="s">
        <v>117</v>
      </c>
      <c r="R502" s="4" t="s">
        <v>118</v>
      </c>
      <c r="S502" s="4"/>
      <c r="T502" s="4" t="s">
        <v>141</v>
      </c>
      <c r="U502" s="6"/>
      <c r="V502" s="6"/>
      <c r="W502" s="6"/>
      <c r="X502" s="6"/>
      <c r="Y502" s="6"/>
      <c r="Z502" s="6"/>
      <c r="AX502" s="6" t="str">
        <v>Quarter 2</v>
      </c>
    </row>
    <row r="503" spans="1:50" ht="31.4" customHeight="1" x14ac:dyDescent="0.35">
      <c r="A503" s="162">
        <v>502</v>
      </c>
      <c r="B503" s="4" t="s">
        <v>138</v>
      </c>
      <c r="C503" s="4" t="s">
        <v>19</v>
      </c>
      <c r="D503" s="4" t="s">
        <v>1057</v>
      </c>
      <c r="E503" s="157">
        <v>45553</v>
      </c>
      <c r="F503" s="9">
        <f>IF($E503="","",WORKDAY($E503,1,$V$33:$V$41))</f>
        <v>45554</v>
      </c>
      <c r="G503" s="9">
        <f>IF($E503="","",WORKDAY($E503,10,$V$33:$V$41))</f>
        <v>45567</v>
      </c>
      <c r="H503" s="9">
        <f>IF($E503="","",WORKDAY($E503,20,$V$33:$V$41))</f>
        <v>45581</v>
      </c>
      <c r="I503" s="157" t="str">
        <f t="shared" si="8"/>
        <v>Sep</v>
      </c>
      <c r="J503" s="14" t="str">
        <f ca="1">IF(E503="","",IF(N503="",H503-TODAY(),""))</f>
        <v/>
      </c>
      <c r="K503" s="157" t="s">
        <v>5</v>
      </c>
      <c r="L503" s="157" t="s">
        <v>18</v>
      </c>
      <c r="M503" s="157" t="s">
        <v>66</v>
      </c>
      <c r="N503" s="9">
        <v>45553</v>
      </c>
      <c r="O503" s="159">
        <f>IF($N503="","",NETWORKDAYS($E503,$N503,$V$33:$V$47)-1)</f>
        <v>0</v>
      </c>
      <c r="P503" s="10" t="str">
        <f>IF(ISBLANK(N503),"",IF(N503&gt;H503,"No","Yes"))</f>
        <v>Yes</v>
      </c>
      <c r="Q503" s="9" t="s">
        <v>117</v>
      </c>
      <c r="R503" s="4" t="s">
        <v>118</v>
      </c>
      <c r="S503" s="4" t="s">
        <v>135</v>
      </c>
      <c r="T503" s="4"/>
      <c r="U503" s="6"/>
      <c r="V503" s="6"/>
      <c r="W503" s="6"/>
      <c r="X503" s="6"/>
      <c r="Y503" s="6"/>
      <c r="Z503" s="6"/>
      <c r="AX503" s="6" t="str">
        <v>Quarter 2</v>
      </c>
    </row>
    <row r="504" spans="1:50" ht="31.4" customHeight="1" x14ac:dyDescent="0.35">
      <c r="A504" s="162">
        <v>503</v>
      </c>
      <c r="B504" s="4" t="s">
        <v>8</v>
      </c>
      <c r="C504" s="4" t="s">
        <v>8</v>
      </c>
      <c r="D504" s="4" t="s">
        <v>1058</v>
      </c>
      <c r="E504" s="157">
        <v>45553</v>
      </c>
      <c r="F504" s="9">
        <f>IF($E504="","",WORKDAY($E504,1,$V$33:$V$41))</f>
        <v>45554</v>
      </c>
      <c r="G504" s="9">
        <f>IF($E504="","",WORKDAY($E504,10,$V$33:$V$41))</f>
        <v>45567</v>
      </c>
      <c r="H504" s="9">
        <f>IF($E504="","",WORKDAY($E504,20,$V$33:$V$41))</f>
        <v>45581</v>
      </c>
      <c r="I504" s="157" t="str">
        <f t="shared" si="8"/>
        <v>Sep</v>
      </c>
      <c r="J504" s="14" t="str">
        <f ca="1">IF(E504="","",IF(N504="",H504-TODAY(),""))</f>
        <v/>
      </c>
      <c r="K504" s="157" t="s">
        <v>10</v>
      </c>
      <c r="L504" s="157" t="s">
        <v>12</v>
      </c>
      <c r="M504" s="157" t="s">
        <v>30</v>
      </c>
      <c r="N504" s="9">
        <v>45554</v>
      </c>
      <c r="O504" s="159">
        <f>IF($N504="","",NETWORKDAYS($E504,$N504,$V$33:$V$47)-1)</f>
        <v>1</v>
      </c>
      <c r="P504" s="10" t="str">
        <f>IF(ISBLANK(N504),"",IF(N504&gt;H504,"No","Yes"))</f>
        <v>Yes</v>
      </c>
      <c r="Q504" s="9" t="s">
        <v>117</v>
      </c>
      <c r="R504" s="4" t="s">
        <v>150</v>
      </c>
      <c r="S504" s="4"/>
      <c r="T504" s="4"/>
      <c r="U504" s="6"/>
      <c r="V504" s="6"/>
      <c r="W504" s="6"/>
      <c r="X504" s="6"/>
      <c r="Y504" s="6"/>
      <c r="Z504" s="6"/>
      <c r="AX504" s="6" t="str">
        <v>Quarter 2</v>
      </c>
    </row>
    <row r="505" spans="1:50" ht="31.4" customHeight="1" x14ac:dyDescent="0.35">
      <c r="A505" s="162">
        <v>504</v>
      </c>
      <c r="B505" s="4" t="s">
        <v>8</v>
      </c>
      <c r="C505" s="4" t="s">
        <v>8</v>
      </c>
      <c r="D505" s="4" t="s">
        <v>1059</v>
      </c>
      <c r="E505" s="157">
        <v>45554</v>
      </c>
      <c r="F505" s="9">
        <f>IF($E505="","",WORKDAY($E505,1,$V$33:$V$41))</f>
        <v>45555</v>
      </c>
      <c r="G505" s="9">
        <f>IF($E505="","",WORKDAY($E505,10,$V$33:$V$41))</f>
        <v>45568</v>
      </c>
      <c r="H505" s="9">
        <f>IF($E505="","",WORKDAY($E505,20,$V$33:$V$41))</f>
        <v>45582</v>
      </c>
      <c r="I505" s="157" t="str">
        <f t="shared" si="8"/>
        <v>Sep</v>
      </c>
      <c r="J505" s="14" t="str">
        <f ca="1">IF(E505="","",IF(N505="",H505-TODAY(),""))</f>
        <v/>
      </c>
      <c r="K505" s="157" t="s">
        <v>5</v>
      </c>
      <c r="L505" s="157" t="s">
        <v>16</v>
      </c>
      <c r="M505" s="157" t="s">
        <v>52</v>
      </c>
      <c r="N505" s="9">
        <v>45582</v>
      </c>
      <c r="O505" s="159">
        <f>IF($N505="","",NETWORKDAYS($E505,$N505,$V$33:$V$47)-1)</f>
        <v>20</v>
      </c>
      <c r="P505" s="10" t="str">
        <f>IF(ISBLANK(N505),"",IF(N505&gt;H505,"No","Yes"))</f>
        <v>Yes</v>
      </c>
      <c r="Q505" s="9" t="s">
        <v>117</v>
      </c>
      <c r="R505" s="4" t="s">
        <v>118</v>
      </c>
      <c r="S505" s="4"/>
      <c r="T505" s="4" t="s">
        <v>141</v>
      </c>
      <c r="U505" s="6"/>
      <c r="V505" s="6"/>
      <c r="W505" s="6"/>
      <c r="X505" s="6"/>
      <c r="Y505" s="6"/>
      <c r="Z505" s="6"/>
      <c r="AX505" s="6" t="str">
        <v>Quarter 2</v>
      </c>
    </row>
    <row r="506" spans="1:50" ht="31.4" customHeight="1" x14ac:dyDescent="0.35">
      <c r="A506" s="162">
        <v>505</v>
      </c>
      <c r="B506" s="4" t="s">
        <v>293</v>
      </c>
      <c r="C506" s="4" t="s">
        <v>6</v>
      </c>
      <c r="D506" s="4" t="s">
        <v>1060</v>
      </c>
      <c r="E506" s="157">
        <v>45553</v>
      </c>
      <c r="F506" s="9">
        <f>IF($E506="","",WORKDAY($E506,1,$V$33:$V$41))</f>
        <v>45554</v>
      </c>
      <c r="G506" s="9">
        <f>IF($E506="","",WORKDAY($E506,10,$V$33:$V$41))</f>
        <v>45567</v>
      </c>
      <c r="H506" s="9">
        <f>IF($E506="","",WORKDAY($E506,20,$V$33:$V$41))</f>
        <v>45581</v>
      </c>
      <c r="I506" s="157" t="str">
        <f t="shared" si="8"/>
        <v>Sep</v>
      </c>
      <c r="J506" s="14" t="str">
        <f ca="1">IF(E506="","",IF(N506="",H506-TODAY(),""))</f>
        <v/>
      </c>
      <c r="K506" s="157" t="s">
        <v>124</v>
      </c>
      <c r="L506" s="157" t="s">
        <v>20</v>
      </c>
      <c r="M506" s="157" t="s">
        <v>70</v>
      </c>
      <c r="N506" s="9">
        <v>45554</v>
      </c>
      <c r="O506" s="159">
        <f>IF($N506="","",NETWORKDAYS($E506,$N506,$V$33:$V$47)-1)</f>
        <v>1</v>
      </c>
      <c r="P506" s="10" t="str">
        <f>IF(ISBLANK(N506),"",IF(N506&gt;H506,"No","Yes"))</f>
        <v>Yes</v>
      </c>
      <c r="Q506" s="9" t="s">
        <v>117</v>
      </c>
      <c r="R506" s="4" t="s">
        <v>118</v>
      </c>
      <c r="S506" s="4"/>
      <c r="T506" s="4" t="s">
        <v>141</v>
      </c>
      <c r="U506" s="6"/>
      <c r="V506" s="6"/>
      <c r="W506" s="6"/>
      <c r="X506" s="6"/>
      <c r="Y506" s="6"/>
      <c r="Z506" s="6"/>
      <c r="AX506" s="6" t="str">
        <v>Quarter 2</v>
      </c>
    </row>
    <row r="507" spans="1:50" ht="31.4" customHeight="1" x14ac:dyDescent="0.35">
      <c r="A507" s="162">
        <v>506</v>
      </c>
      <c r="B507" s="4" t="s">
        <v>8</v>
      </c>
      <c r="C507" s="4" t="s">
        <v>8</v>
      </c>
      <c r="D507" s="4" t="s">
        <v>1061</v>
      </c>
      <c r="E507" s="157">
        <v>45554</v>
      </c>
      <c r="F507" s="9">
        <f>IF($E507="","",WORKDAY($E507,1,$V$33:$V$41))</f>
        <v>45555</v>
      </c>
      <c r="G507" s="9">
        <f>IF($E507="","",WORKDAY($E507,10,$V$33:$V$41))</f>
        <v>45568</v>
      </c>
      <c r="H507" s="9">
        <f>IF($E507="","",WORKDAY($E507,20,$V$33:$V$41))</f>
        <v>45582</v>
      </c>
      <c r="I507" s="157" t="str">
        <f t="shared" si="8"/>
        <v>Sep</v>
      </c>
      <c r="J507" s="14" t="str">
        <f ca="1">IF(E507="","",IF(N507="",H507-TODAY(),""))</f>
        <v/>
      </c>
      <c r="K507" s="157" t="s">
        <v>10</v>
      </c>
      <c r="L507" s="157" t="s">
        <v>27</v>
      </c>
      <c r="M507" s="157" t="s">
        <v>86</v>
      </c>
      <c r="N507" s="9">
        <v>45568</v>
      </c>
      <c r="O507" s="159">
        <f>IF($N507="","",NETWORKDAYS($E507,$N507,$V$33:$V$47)-1)</f>
        <v>10</v>
      </c>
      <c r="P507" s="10" t="str">
        <f>IF(ISBLANK(N507),"",IF(N507&gt;H507,"No","Yes"))</f>
        <v>Yes</v>
      </c>
      <c r="Q507" s="9" t="s">
        <v>117</v>
      </c>
      <c r="R507" s="4" t="s">
        <v>126</v>
      </c>
      <c r="S507" s="4" t="s">
        <v>119</v>
      </c>
      <c r="T507" s="4" t="s">
        <v>141</v>
      </c>
      <c r="U507" s="6"/>
      <c r="V507" s="6"/>
      <c r="W507" s="6"/>
      <c r="X507" s="6"/>
      <c r="Y507" s="6"/>
      <c r="Z507" s="6"/>
      <c r="AX507" s="6" t="str">
        <v>Quarter 2</v>
      </c>
    </row>
    <row r="508" spans="1:50" ht="31.4" customHeight="1" x14ac:dyDescent="0.35">
      <c r="A508" s="162">
        <v>507</v>
      </c>
      <c r="B508" s="4" t="s">
        <v>8</v>
      </c>
      <c r="C508" s="4" t="s">
        <v>8</v>
      </c>
      <c r="D508" s="4" t="s">
        <v>1062</v>
      </c>
      <c r="E508" s="157">
        <v>45554</v>
      </c>
      <c r="F508" s="9">
        <f>IF($E508="","",WORKDAY($E508,1,$V$33:$V$41))</f>
        <v>45555</v>
      </c>
      <c r="G508" s="9">
        <f>IF($E508="","",WORKDAY($E508,10,$V$33:$V$41))</f>
        <v>45568</v>
      </c>
      <c r="H508" s="9">
        <f>IF($E508="","",WORKDAY($E508,20,$V$33:$V$41))</f>
        <v>45582</v>
      </c>
      <c r="I508" s="157" t="str">
        <f t="shared" si="8"/>
        <v>Sep</v>
      </c>
      <c r="J508" s="14" t="str">
        <f ca="1">IF(E508="","",IF(N508="",H508-TODAY(),""))</f>
        <v/>
      </c>
      <c r="K508" s="157" t="s">
        <v>5</v>
      </c>
      <c r="L508" s="157" t="s">
        <v>16</v>
      </c>
      <c r="M508" s="157" t="s">
        <v>67</v>
      </c>
      <c r="N508" s="9">
        <v>45560</v>
      </c>
      <c r="O508" s="159">
        <f>IF($N508="","",NETWORKDAYS($E508,$N508,$V$33:$V$47)-1)</f>
        <v>4</v>
      </c>
      <c r="P508" s="10" t="str">
        <f>IF(ISBLANK(N508),"",IF(N508&gt;H508,"No","Yes"))</f>
        <v>Yes</v>
      </c>
      <c r="Q508" s="9" t="s">
        <v>117</v>
      </c>
      <c r="R508" s="4" t="s">
        <v>118</v>
      </c>
      <c r="S508" s="4"/>
      <c r="T508" s="4"/>
      <c r="U508" s="6"/>
      <c r="V508" s="6"/>
      <c r="W508" s="6"/>
      <c r="X508" s="6"/>
      <c r="Y508" s="6"/>
      <c r="Z508" s="6"/>
      <c r="AX508" s="6" t="str">
        <v>Quarter 2</v>
      </c>
    </row>
    <row r="509" spans="1:50" ht="31.4" customHeight="1" x14ac:dyDescent="0.35">
      <c r="A509" s="162">
        <v>508</v>
      </c>
      <c r="B509" s="4" t="s">
        <v>8</v>
      </c>
      <c r="C509" s="4" t="s">
        <v>8</v>
      </c>
      <c r="D509" s="4" t="s">
        <v>1063</v>
      </c>
      <c r="E509" s="157">
        <v>45554</v>
      </c>
      <c r="F509" s="9">
        <f>IF($E509="","",WORKDAY($E509,1,$V$33:$V$41))</f>
        <v>45555</v>
      </c>
      <c r="G509" s="9">
        <f>IF($E509="","",WORKDAY($E509,10,$V$33:$V$41))</f>
        <v>45568</v>
      </c>
      <c r="H509" s="9">
        <f>IF($E509="","",WORKDAY($E509,20,$V$33:$V$41))</f>
        <v>45582</v>
      </c>
      <c r="I509" s="157" t="str">
        <f t="shared" si="8"/>
        <v>Sep</v>
      </c>
      <c r="J509" s="14" t="str">
        <f ca="1">IF(E509="","",IF(N509="",H509-TODAY(),""))</f>
        <v/>
      </c>
      <c r="K509" s="157" t="s">
        <v>5</v>
      </c>
      <c r="L509" s="157" t="s">
        <v>16</v>
      </c>
      <c r="M509" s="157" t="s">
        <v>52</v>
      </c>
      <c r="N509" s="9">
        <v>45579</v>
      </c>
      <c r="O509" s="159">
        <f>IF($N509="","",NETWORKDAYS($E509,$N509,$V$33:$V$47)-1)</f>
        <v>17</v>
      </c>
      <c r="P509" s="10" t="str">
        <f>IF(ISBLANK(N509),"",IF(N509&gt;H509,"No","Yes"))</f>
        <v>Yes</v>
      </c>
      <c r="Q509" s="9" t="s">
        <v>117</v>
      </c>
      <c r="R509" s="4" t="s">
        <v>118</v>
      </c>
      <c r="S509" s="4" t="s">
        <v>135</v>
      </c>
      <c r="T509" s="4"/>
      <c r="U509" s="6"/>
      <c r="V509" s="6"/>
      <c r="W509" s="6"/>
      <c r="X509" s="6"/>
      <c r="Y509" s="6"/>
      <c r="Z509" s="6"/>
      <c r="AX509" s="6" t="str">
        <v>Quarter 2</v>
      </c>
    </row>
    <row r="510" spans="1:50" ht="31.4" customHeight="1" x14ac:dyDescent="0.35">
      <c r="A510" s="162">
        <v>509</v>
      </c>
      <c r="B510" s="4" t="s">
        <v>1064</v>
      </c>
      <c r="C510" s="4" t="s">
        <v>6</v>
      </c>
      <c r="D510" s="4" t="s">
        <v>1065</v>
      </c>
      <c r="E510" s="157">
        <v>45555</v>
      </c>
      <c r="F510" s="9">
        <f>IF($E510="","",WORKDAY($E510,1,$V$33:$V$41))</f>
        <v>45558</v>
      </c>
      <c r="G510" s="9">
        <f>IF($E510="","",WORKDAY($E510,10,$V$33:$V$41))</f>
        <v>45569</v>
      </c>
      <c r="H510" s="9">
        <f>IF($E510="","",WORKDAY($E510,20,$V$33:$V$41))</f>
        <v>45583</v>
      </c>
      <c r="I510" s="157" t="str">
        <f t="shared" si="8"/>
        <v>Sep</v>
      </c>
      <c r="J510" s="14" t="str">
        <f ca="1">IF(E510="","",IF(N510="",H510-TODAY(),""))</f>
        <v/>
      </c>
      <c r="K510" s="157" t="s">
        <v>5</v>
      </c>
      <c r="L510" s="157" t="s">
        <v>16</v>
      </c>
      <c r="M510" s="157" t="s">
        <v>52</v>
      </c>
      <c r="N510" s="9">
        <v>45586</v>
      </c>
      <c r="O510" s="159">
        <f>IF($N510="","",NETWORKDAYS($E510,$N510,$V$33:$V$47)-1)</f>
        <v>21</v>
      </c>
      <c r="P510" s="10" t="str">
        <f>IF(ISBLANK(N510),"",IF(N510&gt;H510,"No","Yes"))</f>
        <v>No</v>
      </c>
      <c r="Q510" s="9" t="s">
        <v>117</v>
      </c>
      <c r="R510" s="4" t="s">
        <v>118</v>
      </c>
      <c r="S510" s="4" t="s">
        <v>135</v>
      </c>
      <c r="T510" s="4"/>
      <c r="U510" s="6"/>
      <c r="V510" s="6"/>
      <c r="W510" s="6"/>
      <c r="X510" s="6"/>
      <c r="Y510" s="6"/>
      <c r="Z510" s="6"/>
      <c r="AX510" s="6" t="str">
        <v>Quarter 2</v>
      </c>
    </row>
    <row r="511" spans="1:50" ht="31.4" customHeight="1" x14ac:dyDescent="0.35">
      <c r="A511" s="162">
        <v>510</v>
      </c>
      <c r="B511" s="4" t="s">
        <v>1066</v>
      </c>
      <c r="C511" s="4" t="s">
        <v>13</v>
      </c>
      <c r="D511" s="4" t="s">
        <v>1067</v>
      </c>
      <c r="E511" s="157">
        <v>45555</v>
      </c>
      <c r="F511" s="9">
        <f>IF($E511="","",WORKDAY($E511,1,$V$33:$V$41))</f>
        <v>45558</v>
      </c>
      <c r="G511" s="9">
        <f>IF($E511="","",WORKDAY($E511,10,$V$33:$V$41))</f>
        <v>45569</v>
      </c>
      <c r="H511" s="9">
        <f>IF($E511="","",WORKDAY($E511,20,$V$33:$V$41))</f>
        <v>45583</v>
      </c>
      <c r="I511" s="157" t="str">
        <f t="shared" si="8"/>
        <v>Sep</v>
      </c>
      <c r="J511" s="14" t="str">
        <f ca="1">IF(E511="","",IF(N511="",H511-TODAY(),""))</f>
        <v/>
      </c>
      <c r="K511" s="157" t="s">
        <v>124</v>
      </c>
      <c r="L511" s="157" t="s">
        <v>20</v>
      </c>
      <c r="M511" s="157" t="s">
        <v>92</v>
      </c>
      <c r="N511" s="9">
        <v>45572</v>
      </c>
      <c r="O511" s="159">
        <f>IF($N511="","",NETWORKDAYS($E511,$N511,$V$33:$V$47)-1)</f>
        <v>11</v>
      </c>
      <c r="P511" s="10" t="str">
        <f>IF(ISBLANK(N511),"",IF(N511&gt;H511,"No","Yes"))</f>
        <v>Yes</v>
      </c>
      <c r="Q511" s="9" t="s">
        <v>117</v>
      </c>
      <c r="R511" s="4" t="s">
        <v>118</v>
      </c>
      <c r="S511" s="4"/>
      <c r="T511" s="4"/>
      <c r="U511" s="6"/>
      <c r="V511" s="6"/>
      <c r="W511" s="6"/>
      <c r="X511" s="6"/>
      <c r="Y511" s="6"/>
      <c r="Z511" s="6"/>
      <c r="AX511" s="6" t="str">
        <v>Quarter 2</v>
      </c>
    </row>
    <row r="512" spans="1:50" ht="31.4" customHeight="1" x14ac:dyDescent="0.35">
      <c r="A512" s="162">
        <v>511</v>
      </c>
      <c r="B512" s="4" t="s">
        <v>1068</v>
      </c>
      <c r="C512" s="4" t="s">
        <v>6</v>
      </c>
      <c r="D512" s="4" t="s">
        <v>1069</v>
      </c>
      <c r="E512" s="157">
        <v>45555</v>
      </c>
      <c r="F512" s="9">
        <f>IF($E512="","",WORKDAY($E512,1,$V$33:$V$41))</f>
        <v>45558</v>
      </c>
      <c r="G512" s="9">
        <f>IF($E512="","",WORKDAY($E512,10,$V$33:$V$41))</f>
        <v>45569</v>
      </c>
      <c r="H512" s="9">
        <f>IF($E512="","",WORKDAY($E512,20,$V$33:$V$41))</f>
        <v>45583</v>
      </c>
      <c r="I512" s="157" t="str">
        <f t="shared" si="8"/>
        <v>Sep</v>
      </c>
      <c r="J512" s="14" t="str">
        <f ca="1">IF(E512="","",IF(N512="",H512-TODAY(),""))</f>
        <v/>
      </c>
      <c r="K512" s="157" t="s">
        <v>124</v>
      </c>
      <c r="L512" s="157" t="s">
        <v>20</v>
      </c>
      <c r="M512" s="157" t="s">
        <v>92</v>
      </c>
      <c r="N512" s="9">
        <v>45573</v>
      </c>
      <c r="O512" s="159">
        <f>IF($N512="","",NETWORKDAYS($E512,$N512,$V$33:$V$47)-1)</f>
        <v>12</v>
      </c>
      <c r="P512" s="10" t="str">
        <f>IF(ISBLANK(N512),"",IF(N512&gt;H512,"No","Yes"))</f>
        <v>Yes</v>
      </c>
      <c r="Q512" s="9" t="s">
        <v>117</v>
      </c>
      <c r="R512" s="4" t="s">
        <v>118</v>
      </c>
      <c r="S512" s="4"/>
      <c r="T512" s="4"/>
      <c r="U512" s="6"/>
      <c r="V512" s="6"/>
      <c r="W512" s="6"/>
      <c r="X512" s="6"/>
      <c r="Y512" s="6"/>
      <c r="Z512" s="6"/>
      <c r="AX512" s="6" t="str">
        <v>Quarter 2</v>
      </c>
    </row>
    <row r="513" spans="1:50" ht="31.4" customHeight="1" x14ac:dyDescent="0.35">
      <c r="A513" s="162">
        <v>512</v>
      </c>
      <c r="B513" s="4" t="s">
        <v>335</v>
      </c>
      <c r="C513" s="4" t="s">
        <v>13</v>
      </c>
      <c r="D513" s="4" t="s">
        <v>1070</v>
      </c>
      <c r="E513" s="157">
        <v>45558</v>
      </c>
      <c r="F513" s="9">
        <f>IF($E513="","",WORKDAY($E513,1,$V$33:$V$41))</f>
        <v>45559</v>
      </c>
      <c r="G513" s="9">
        <f>IF($E513="","",WORKDAY($E513,10,$V$33:$V$41))</f>
        <v>45572</v>
      </c>
      <c r="H513" s="9">
        <f>IF($E513="","",WORKDAY($E513,20,$V$33:$V$41))</f>
        <v>45586</v>
      </c>
      <c r="I513" s="157" t="str">
        <f t="shared" si="8"/>
        <v>Sep</v>
      </c>
      <c r="J513" s="14" t="str">
        <f ca="1">IF(E513="","",IF(N513="",H513-TODAY(),""))</f>
        <v/>
      </c>
      <c r="K513" s="157" t="s">
        <v>10</v>
      </c>
      <c r="L513" s="157" t="s">
        <v>12</v>
      </c>
      <c r="M513" s="157" t="s">
        <v>30</v>
      </c>
      <c r="N513" s="9">
        <v>45560</v>
      </c>
      <c r="O513" s="159">
        <f>IF($N513="","",NETWORKDAYS($E513,$N513,$V$33:$V$47)-1)</f>
        <v>2</v>
      </c>
      <c r="P513" s="10" t="str">
        <f>IF(ISBLANK(N513),"",IF(N513&gt;H513,"No","Yes"))</f>
        <v>Yes</v>
      </c>
      <c r="Q513" s="9" t="s">
        <v>117</v>
      </c>
      <c r="R513" s="4" t="s">
        <v>118</v>
      </c>
      <c r="S513" s="4"/>
      <c r="T513" s="4"/>
      <c r="U513" s="6"/>
      <c r="V513" s="6"/>
      <c r="W513" s="6"/>
      <c r="X513" s="6"/>
      <c r="Y513" s="6"/>
      <c r="Z513" s="6"/>
      <c r="AX513" s="6" t="str">
        <v>Quarter 2</v>
      </c>
    </row>
    <row r="514" spans="1:50" ht="31.4" customHeight="1" x14ac:dyDescent="0.35">
      <c r="A514" s="162">
        <v>513</v>
      </c>
      <c r="B514" s="4" t="s">
        <v>174</v>
      </c>
      <c r="C514" s="4" t="s">
        <v>23</v>
      </c>
      <c r="D514" s="4" t="s">
        <v>1071</v>
      </c>
      <c r="E514" s="157">
        <v>45558</v>
      </c>
      <c r="F514" s="9">
        <f>IF($E514="","",WORKDAY($E514,1,$V$33:$V$41))</f>
        <v>45559</v>
      </c>
      <c r="G514" s="9">
        <f>IF($E514="","",WORKDAY($E514,10,$V$33:$V$41))</f>
        <v>45572</v>
      </c>
      <c r="H514" s="9">
        <f>IF($E514="","",WORKDAY($E514,20,$V$33:$V$41))</f>
        <v>45586</v>
      </c>
      <c r="I514" s="157" t="str">
        <f t="shared" ref="I514:I577" si="9">IF(ISBLANK(E514),"",TEXT(E514,"mmm"))</f>
        <v>Sep</v>
      </c>
      <c r="J514" s="14" t="str">
        <f ca="1">IF(E514="","",IF(N514="",H514-TODAY(),""))</f>
        <v/>
      </c>
      <c r="K514" s="157" t="s">
        <v>5</v>
      </c>
      <c r="L514" s="157" t="s">
        <v>22</v>
      </c>
      <c r="M514" s="157" t="s">
        <v>64</v>
      </c>
      <c r="N514" s="9">
        <v>45582</v>
      </c>
      <c r="O514" s="159">
        <f>IF($N514="","",NETWORKDAYS($E514,$N514,$V$33:$V$47)-1)</f>
        <v>18</v>
      </c>
      <c r="P514" s="10" t="str">
        <f>IF(ISBLANK(N514),"",IF(N514&gt;H514,"No","Yes"))</f>
        <v>Yes</v>
      </c>
      <c r="Q514" s="9" t="s">
        <v>117</v>
      </c>
      <c r="R514" s="4" t="s">
        <v>118</v>
      </c>
      <c r="S514" s="4"/>
      <c r="T514" s="4"/>
      <c r="U514" s="6"/>
      <c r="V514" s="6"/>
      <c r="W514" s="6"/>
      <c r="X514" s="6"/>
      <c r="Y514" s="6"/>
      <c r="Z514" s="6"/>
      <c r="AX514" s="6" t="str">
        <v>Quarter 2</v>
      </c>
    </row>
    <row r="515" spans="1:50" ht="31.4" customHeight="1" x14ac:dyDescent="0.35">
      <c r="A515" s="162">
        <v>514</v>
      </c>
      <c r="B515" s="4" t="s">
        <v>8</v>
      </c>
      <c r="C515" s="4" t="s">
        <v>8</v>
      </c>
      <c r="D515" s="4" t="s">
        <v>1072</v>
      </c>
      <c r="E515" s="157">
        <v>45559</v>
      </c>
      <c r="F515" s="9">
        <f>IF($E515="","",WORKDAY($E515,1,$V$33:$V$41))</f>
        <v>45560</v>
      </c>
      <c r="G515" s="9">
        <f>IF($E515="","",WORKDAY($E515,10,$V$33:$V$41))</f>
        <v>45573</v>
      </c>
      <c r="H515" s="9">
        <f>IF($E515="","",WORKDAY($E515,20,$V$33:$V$41))</f>
        <v>45587</v>
      </c>
      <c r="I515" s="157" t="str">
        <f t="shared" si="9"/>
        <v>Sep</v>
      </c>
      <c r="J515" s="14" t="str">
        <f ca="1">IF(E515="","",IF(N515="",H515-TODAY(),""))</f>
        <v/>
      </c>
      <c r="K515" s="157" t="s">
        <v>10</v>
      </c>
      <c r="L515" s="157" t="s">
        <v>27</v>
      </c>
      <c r="M515" s="157" t="s">
        <v>66</v>
      </c>
      <c r="N515" s="9">
        <v>45576</v>
      </c>
      <c r="O515" s="159">
        <f>IF($N515="","",NETWORKDAYS($E515,$N515,$V$33:$V$47)-1)</f>
        <v>13</v>
      </c>
      <c r="P515" s="10" t="str">
        <f>IF(ISBLANK(N515),"",IF(N515&gt;H515,"No","Yes"))</f>
        <v>Yes</v>
      </c>
      <c r="Q515" s="9" t="s">
        <v>117</v>
      </c>
      <c r="R515" s="4" t="s">
        <v>126</v>
      </c>
      <c r="S515" s="4" t="s">
        <v>120</v>
      </c>
      <c r="T515" s="4"/>
      <c r="U515" s="6"/>
      <c r="V515" s="6"/>
      <c r="W515" s="6"/>
      <c r="X515" s="6"/>
      <c r="Y515" s="6"/>
      <c r="Z515" s="6"/>
      <c r="AX515" s="6" t="str">
        <v>Quarter 2</v>
      </c>
    </row>
    <row r="516" spans="1:50" ht="31.4" customHeight="1" x14ac:dyDescent="0.35">
      <c r="A516" s="162">
        <v>515</v>
      </c>
      <c r="B516" s="4" t="s">
        <v>1073</v>
      </c>
      <c r="C516" s="4" t="s">
        <v>17</v>
      </c>
      <c r="D516" s="4" t="s">
        <v>1074</v>
      </c>
      <c r="E516" s="157">
        <v>45559</v>
      </c>
      <c r="F516" s="9">
        <f>IF($E516="","",WORKDAY($E516,1,$V$33:$V$41))</f>
        <v>45560</v>
      </c>
      <c r="G516" s="9">
        <f>IF($E516="","",WORKDAY($E516,10,$V$33:$V$41))</f>
        <v>45573</v>
      </c>
      <c r="H516" s="9">
        <f>IF($E516="","",WORKDAY($E516,20,$V$33:$V$41))</f>
        <v>45587</v>
      </c>
      <c r="I516" s="157" t="str">
        <f t="shared" si="9"/>
        <v>Sep</v>
      </c>
      <c r="J516" s="14" t="str">
        <f ca="1">IF(E516="","",IF(N516="",H516-TODAY(),""))</f>
        <v/>
      </c>
      <c r="K516" s="157" t="s">
        <v>5</v>
      </c>
      <c r="L516" s="157" t="s">
        <v>22</v>
      </c>
      <c r="M516" s="157" t="s">
        <v>64</v>
      </c>
      <c r="N516" s="9">
        <v>45560</v>
      </c>
      <c r="O516" s="159">
        <f>IF($N516="","",NETWORKDAYS($E516,$N516,$V$33:$V$47)-1)</f>
        <v>1</v>
      </c>
      <c r="P516" s="10" t="str">
        <f>IF(ISBLANK(N516),"",IF(N516&gt;H516,"No","Yes"))</f>
        <v>Yes</v>
      </c>
      <c r="Q516" s="9" t="s">
        <v>117</v>
      </c>
      <c r="R516" s="4" t="s">
        <v>118</v>
      </c>
      <c r="S516" s="4"/>
      <c r="T516" s="4"/>
      <c r="U516" s="6"/>
      <c r="V516" s="6"/>
      <c r="W516" s="6"/>
      <c r="X516" s="6"/>
      <c r="Y516" s="6"/>
      <c r="Z516" s="6"/>
      <c r="AX516" s="6" t="str">
        <v>Quarter 2</v>
      </c>
    </row>
    <row r="517" spans="1:50" ht="31.4" customHeight="1" x14ac:dyDescent="0.35">
      <c r="A517" s="162">
        <v>516</v>
      </c>
      <c r="B517" s="4" t="s">
        <v>1075</v>
      </c>
      <c r="C517" s="4" t="s">
        <v>17</v>
      </c>
      <c r="D517" s="4" t="s">
        <v>1076</v>
      </c>
      <c r="E517" s="157">
        <v>45559</v>
      </c>
      <c r="F517" s="9">
        <f>IF($E517="","",WORKDAY($E517,1,$V$33:$V$41))</f>
        <v>45560</v>
      </c>
      <c r="G517" s="9">
        <f>IF($E517="","",WORKDAY($E517,10,$V$33:$V$41))</f>
        <v>45573</v>
      </c>
      <c r="H517" s="9">
        <f>IF($E517="","",WORKDAY($E517,20,$V$33:$V$41))</f>
        <v>45587</v>
      </c>
      <c r="I517" s="157" t="str">
        <f t="shared" si="9"/>
        <v>Sep</v>
      </c>
      <c r="J517" s="14" t="str">
        <f ca="1">IF(E517="","",IF(N517="",H517-TODAY(),""))</f>
        <v/>
      </c>
      <c r="K517" s="157" t="s">
        <v>10</v>
      </c>
      <c r="L517" s="157" t="s">
        <v>27</v>
      </c>
      <c r="M517" s="157" t="s">
        <v>37</v>
      </c>
      <c r="N517" s="9">
        <v>45562</v>
      </c>
      <c r="O517" s="159">
        <f>IF($N517="","",NETWORKDAYS($E517,$N517,$V$33:$V$47)-1)</f>
        <v>3</v>
      </c>
      <c r="P517" s="10" t="str">
        <f>IF(ISBLANK(N517),"",IF(N517&gt;H517,"No","Yes"))</f>
        <v>Yes</v>
      </c>
      <c r="Q517" s="9" t="s">
        <v>117</v>
      </c>
      <c r="R517" s="4" t="s">
        <v>118</v>
      </c>
      <c r="S517" s="4"/>
      <c r="T517" s="4" t="s">
        <v>1077</v>
      </c>
      <c r="U517" s="6"/>
      <c r="V517" s="6"/>
      <c r="W517" s="6"/>
      <c r="X517" s="6"/>
      <c r="Y517" s="6"/>
      <c r="Z517" s="6"/>
      <c r="AX517" s="6" t="str">
        <v>Quarter 2</v>
      </c>
    </row>
    <row r="518" spans="1:50" ht="31.4" customHeight="1" x14ac:dyDescent="0.35">
      <c r="A518" s="162">
        <v>517</v>
      </c>
      <c r="B518" s="7" t="s">
        <v>8</v>
      </c>
      <c r="C518" s="7" t="s">
        <v>8</v>
      </c>
      <c r="D518" s="7" t="s">
        <v>1078</v>
      </c>
      <c r="E518" s="157">
        <v>45559</v>
      </c>
      <c r="F518" s="9">
        <f>IF($E518="","",WORKDAY($E518,1,$V$33:$V$41))</f>
        <v>45560</v>
      </c>
      <c r="G518" s="9">
        <f>IF($E518="","",WORKDAY($E518,10,$V$33:$V$41))</f>
        <v>45573</v>
      </c>
      <c r="H518" s="9">
        <f>IF($E518="","",WORKDAY($E518,20,$V$33:$V$41))</f>
        <v>45587</v>
      </c>
      <c r="I518" s="157" t="str">
        <f t="shared" si="9"/>
        <v>Sep</v>
      </c>
      <c r="J518" s="14" t="str">
        <f ca="1">IF(E518="","",IF(N518="",H518-TODAY(),""))</f>
        <v/>
      </c>
      <c r="K518" s="157" t="s">
        <v>5</v>
      </c>
      <c r="L518" s="157" t="s">
        <v>16</v>
      </c>
      <c r="M518" s="157" t="s">
        <v>52</v>
      </c>
      <c r="N518" s="9">
        <v>45576</v>
      </c>
      <c r="O518" s="159">
        <f>IF($N518="","",NETWORKDAYS($E518,$N518,$V$33:$V$47)-1)</f>
        <v>13</v>
      </c>
      <c r="P518" s="10" t="str">
        <f>IF(ISBLANK(N518),"",IF(N518&gt;H518,"No","Yes"))</f>
        <v>Yes</v>
      </c>
      <c r="Q518" s="9" t="s">
        <v>117</v>
      </c>
      <c r="R518" s="4" t="s">
        <v>118</v>
      </c>
      <c r="S518" s="4"/>
      <c r="T518" s="4"/>
      <c r="U518" s="6"/>
      <c r="V518" s="6"/>
      <c r="W518" s="6"/>
      <c r="X518" s="6"/>
      <c r="Y518" s="6"/>
      <c r="Z518" s="6"/>
      <c r="AX518" s="6" t="str">
        <v>Quarter 2</v>
      </c>
    </row>
    <row r="519" spans="1:50" ht="31.4" customHeight="1" x14ac:dyDescent="0.35">
      <c r="A519" s="162">
        <v>518</v>
      </c>
      <c r="B519" s="4" t="s">
        <v>293</v>
      </c>
      <c r="C519" s="4" t="s">
        <v>6</v>
      </c>
      <c r="D519" s="4" t="s">
        <v>1079</v>
      </c>
      <c r="E519" s="157">
        <v>45559</v>
      </c>
      <c r="F519" s="9">
        <f>IF($E519="","",WORKDAY($E519,1,$V$33:$V$41))</f>
        <v>45560</v>
      </c>
      <c r="G519" s="9">
        <f>IF($E519="","",WORKDAY($E519,10,$V$33:$V$41))</f>
        <v>45573</v>
      </c>
      <c r="H519" s="9">
        <f>IF($E519="","",WORKDAY($E519,20,$V$33:$V$41))</f>
        <v>45587</v>
      </c>
      <c r="I519" s="157" t="str">
        <f t="shared" si="9"/>
        <v>Sep</v>
      </c>
      <c r="J519" s="14" t="str">
        <f ca="1">IF(E519="","",IF(N519="",H519-TODAY(),""))</f>
        <v/>
      </c>
      <c r="K519" s="157" t="s">
        <v>4</v>
      </c>
      <c r="L519" s="157" t="s">
        <v>3</v>
      </c>
      <c r="M519" s="157" t="s">
        <v>77</v>
      </c>
      <c r="N519" s="9">
        <v>45573</v>
      </c>
      <c r="O519" s="159">
        <f>IF($N519="","",NETWORKDAYS($E519,$N519,$V$33:$V$47)-1)</f>
        <v>10</v>
      </c>
      <c r="P519" s="10" t="str">
        <f>IF(ISBLANK(N519),"",IF(N519&gt;H519,"No","Yes"))</f>
        <v>Yes</v>
      </c>
      <c r="Q519" s="9" t="s">
        <v>117</v>
      </c>
      <c r="R519" s="4" t="s">
        <v>118</v>
      </c>
      <c r="S519" s="4"/>
      <c r="T519" s="4"/>
      <c r="U519" s="6"/>
      <c r="V519" s="6"/>
      <c r="W519" s="6"/>
      <c r="X519" s="6"/>
      <c r="Y519" s="6"/>
      <c r="Z519" s="6"/>
      <c r="AX519" s="6" t="str">
        <v>Quarter 2</v>
      </c>
    </row>
    <row r="520" spans="1:50" ht="31.4" customHeight="1" x14ac:dyDescent="0.35">
      <c r="A520" s="162">
        <v>519</v>
      </c>
      <c r="B520" s="4" t="s">
        <v>1080</v>
      </c>
      <c r="C520" s="4" t="s">
        <v>13</v>
      </c>
      <c r="D520" s="4" t="s">
        <v>1081</v>
      </c>
      <c r="E520" s="157">
        <v>45560</v>
      </c>
      <c r="F520" s="9">
        <f>IF($E520="","",WORKDAY($E520,1,$V$33:$V$41))</f>
        <v>45561</v>
      </c>
      <c r="G520" s="9">
        <f>IF($E520="","",WORKDAY($E520,10,$V$33:$V$41))</f>
        <v>45574</v>
      </c>
      <c r="H520" s="9">
        <f>IF($E520="","",WORKDAY($E520,20,$V$33:$V$41))</f>
        <v>45588</v>
      </c>
      <c r="I520" s="157" t="str">
        <f t="shared" si="9"/>
        <v>Sep</v>
      </c>
      <c r="J520" s="14" t="str">
        <f ca="1">IF(E520="","",IF(N520="",H520-TODAY(),""))</f>
        <v/>
      </c>
      <c r="K520" s="157" t="s">
        <v>5</v>
      </c>
      <c r="L520" s="157" t="s">
        <v>18</v>
      </c>
      <c r="M520" s="157" t="s">
        <v>80</v>
      </c>
      <c r="N520" s="9">
        <v>45580</v>
      </c>
      <c r="O520" s="159">
        <f>IF($N520="","",NETWORKDAYS($E520,$N520,$V$33:$V$47)-1)</f>
        <v>14</v>
      </c>
      <c r="P520" s="10" t="str">
        <f>IF(ISBLANK(N520),"",IF(N520&gt;H520,"No","Yes"))</f>
        <v>Yes</v>
      </c>
      <c r="Q520" s="9" t="s">
        <v>117</v>
      </c>
      <c r="R520" s="4" t="s">
        <v>126</v>
      </c>
      <c r="S520" s="4" t="s">
        <v>178</v>
      </c>
      <c r="T520" s="4"/>
      <c r="U520" s="6"/>
      <c r="V520" s="6"/>
      <c r="W520" s="6"/>
      <c r="X520" s="6"/>
      <c r="Y520" s="6"/>
      <c r="Z520" s="6"/>
      <c r="AX520" s="6" t="str">
        <v>Quarter 2</v>
      </c>
    </row>
    <row r="521" spans="1:50" ht="31.4" customHeight="1" x14ac:dyDescent="0.35">
      <c r="A521" s="162">
        <v>520</v>
      </c>
      <c r="B521" s="4" t="s">
        <v>8</v>
      </c>
      <c r="C521" s="4" t="s">
        <v>8</v>
      </c>
      <c r="D521" s="4" t="s">
        <v>1082</v>
      </c>
      <c r="E521" s="157">
        <v>45560</v>
      </c>
      <c r="F521" s="9">
        <f>IF($E521="","",WORKDAY($E521,1,$V$33:$V$41))</f>
        <v>45561</v>
      </c>
      <c r="G521" s="9">
        <f>IF($E521="","",WORKDAY($E521,10,$V$33:$V$41))</f>
        <v>45574</v>
      </c>
      <c r="H521" s="9">
        <f>IF($E521="","",WORKDAY($E521,20,$V$33:$V$41))</f>
        <v>45588</v>
      </c>
      <c r="I521" s="157" t="str">
        <f t="shared" si="9"/>
        <v>Sep</v>
      </c>
      <c r="J521" s="14" t="str">
        <f ca="1">IF(E521="","",IF(N521="",H521-TODAY(),""))</f>
        <v/>
      </c>
      <c r="K521" s="157" t="s">
        <v>5</v>
      </c>
      <c r="L521" s="157" t="s">
        <v>16</v>
      </c>
      <c r="M521" s="157" t="s">
        <v>52</v>
      </c>
      <c r="N521" s="9">
        <v>45575</v>
      </c>
      <c r="O521" s="159">
        <f>IF($N521="","",NETWORKDAYS($E521,$N521,$V$33:$V$47)-1)</f>
        <v>11</v>
      </c>
      <c r="P521" s="10" t="str">
        <f>IF(ISBLANK(N521),"",IF(N521&gt;H521,"No","Yes"))</f>
        <v>Yes</v>
      </c>
      <c r="Q521" s="9" t="s">
        <v>117</v>
      </c>
      <c r="R521" s="4" t="s">
        <v>118</v>
      </c>
      <c r="S521" s="4" t="s">
        <v>135</v>
      </c>
      <c r="T521" s="4"/>
      <c r="U521" s="6"/>
      <c r="V521" s="6"/>
      <c r="W521" s="6"/>
      <c r="X521" s="6"/>
      <c r="Y521" s="6"/>
      <c r="Z521" s="6"/>
      <c r="AX521" s="6" t="str">
        <v>Quarter 2</v>
      </c>
    </row>
    <row r="522" spans="1:50" ht="31.4" customHeight="1" x14ac:dyDescent="0.35">
      <c r="A522" s="162">
        <v>521</v>
      </c>
      <c r="B522" s="4" t="s">
        <v>138</v>
      </c>
      <c r="C522" s="4" t="s">
        <v>19</v>
      </c>
      <c r="D522" s="4" t="s">
        <v>1083</v>
      </c>
      <c r="E522" s="157"/>
      <c r="F522" s="9" t="str">
        <f>IF($E522="","",WORKDAY($E522,1,$V$33:$V$41))</f>
        <v/>
      </c>
      <c r="G522" s="9" t="str">
        <f>IF($E522="","",WORKDAY($E522,10,$V$33:$V$41))</f>
        <v/>
      </c>
      <c r="H522" s="9" t="str">
        <f>IF($E522="","",WORKDAY($E522,20,$V$33:$V$41))</f>
        <v/>
      </c>
      <c r="I522" s="157" t="s">
        <v>993</v>
      </c>
      <c r="J522" s="14" t="str">
        <f ca="1">IF(E522="","",IF(N522="",H522-TODAY(),""))</f>
        <v/>
      </c>
      <c r="K522" s="157" t="s">
        <v>4</v>
      </c>
      <c r="L522" s="157" t="s">
        <v>7</v>
      </c>
      <c r="M522" s="157" t="s">
        <v>31</v>
      </c>
      <c r="N522" s="9"/>
      <c r="O522" s="159" t="str">
        <f>IF($N522="","",NETWORKDAYS($E522,$N522,$V$33:$V$47)-1)</f>
        <v/>
      </c>
      <c r="P522" s="10" t="str">
        <f>IF(ISBLANK(N522),"",IF(N522&gt;H522,"No","Yes"))</f>
        <v/>
      </c>
      <c r="Q522" s="9" t="s">
        <v>133</v>
      </c>
      <c r="R522" s="4" t="s">
        <v>133</v>
      </c>
      <c r="S522" s="4"/>
      <c r="T522" s="4" t="s">
        <v>764</v>
      </c>
      <c r="U522" s="6"/>
      <c r="V522" s="6"/>
      <c r="W522" s="6"/>
      <c r="X522" s="6"/>
      <c r="Y522" s="6"/>
      <c r="Z522" s="6"/>
      <c r="AX522" s="6" t="str">
        <v>Quarter 2</v>
      </c>
    </row>
    <row r="523" spans="1:50" ht="31.4" customHeight="1" x14ac:dyDescent="0.35">
      <c r="A523" s="162">
        <v>522</v>
      </c>
      <c r="B523" s="4" t="s">
        <v>138</v>
      </c>
      <c r="C523" s="4" t="s">
        <v>19</v>
      </c>
      <c r="D523" s="4" t="s">
        <v>1084</v>
      </c>
      <c r="E523" s="157">
        <v>45561</v>
      </c>
      <c r="F523" s="9">
        <f>IF($E523="","",WORKDAY($E523,1,$V$33:$V$41))</f>
        <v>45562</v>
      </c>
      <c r="G523" s="9">
        <f>IF($E523="","",WORKDAY($E523,10,$V$33:$V$41))</f>
        <v>45575</v>
      </c>
      <c r="H523" s="9">
        <f>IF($E523="","",WORKDAY($E523,20,$V$33:$V$41))</f>
        <v>45589</v>
      </c>
      <c r="I523" s="157" t="str">
        <f t="shared" si="9"/>
        <v>Sep</v>
      </c>
      <c r="J523" s="14" t="str">
        <f ca="1">IF(E523="","",IF(N523="",H523-TODAY(),""))</f>
        <v/>
      </c>
      <c r="K523" s="157" t="s">
        <v>5</v>
      </c>
      <c r="L523" s="157" t="s">
        <v>16</v>
      </c>
      <c r="M523" s="157" t="s">
        <v>52</v>
      </c>
      <c r="N523" s="9">
        <v>45586</v>
      </c>
      <c r="O523" s="159">
        <f>IF($N523="","",NETWORKDAYS($E523,$N523,$V$33:$V$47)-1)</f>
        <v>17</v>
      </c>
      <c r="P523" s="10" t="str">
        <f>IF(ISBLANK(N523),"",IF(N523&gt;H523,"No","Yes"))</f>
        <v>Yes</v>
      </c>
      <c r="Q523" s="9" t="s">
        <v>117</v>
      </c>
      <c r="R523" s="4" t="s">
        <v>118</v>
      </c>
      <c r="S523" s="4"/>
      <c r="T523" s="4"/>
      <c r="U523" s="6"/>
      <c r="V523" s="6"/>
      <c r="W523" s="6"/>
      <c r="X523" s="6"/>
      <c r="Y523" s="6"/>
      <c r="Z523" s="6"/>
      <c r="AX523" s="6" t="str">
        <v>Quarter 2</v>
      </c>
    </row>
    <row r="524" spans="1:50" ht="31.4" customHeight="1" x14ac:dyDescent="0.35">
      <c r="A524" s="162">
        <v>523</v>
      </c>
      <c r="B524" s="4" t="s">
        <v>138</v>
      </c>
      <c r="C524" s="4" t="s">
        <v>19</v>
      </c>
      <c r="D524" s="4" t="s">
        <v>1085</v>
      </c>
      <c r="E524" s="157">
        <v>45572</v>
      </c>
      <c r="F524" s="9">
        <f>IF($E524="","",WORKDAY($E524,1,$V$33:$V$41))</f>
        <v>45573</v>
      </c>
      <c r="G524" s="9">
        <f>IF($E524="","",WORKDAY($E524,10,$V$33:$V$41))</f>
        <v>45586</v>
      </c>
      <c r="H524" s="9">
        <f>IF($E524="","",WORKDAY($E524,20,$V$33:$V$41))</f>
        <v>45600</v>
      </c>
      <c r="I524" s="157" t="s">
        <v>993</v>
      </c>
      <c r="J524" s="14" t="str">
        <f ca="1">IF(E524="","",IF(N524="",H524-TODAY(),""))</f>
        <v/>
      </c>
      <c r="K524" s="157" t="s">
        <v>5</v>
      </c>
      <c r="L524" s="157" t="s">
        <v>16</v>
      </c>
      <c r="M524" s="157" t="s">
        <v>52</v>
      </c>
      <c r="N524" s="9">
        <v>45586</v>
      </c>
      <c r="O524" s="159">
        <f>IF($N524="","",NETWORKDAYS($E524,$N524,$V$33:$V$47)-1)</f>
        <v>10</v>
      </c>
      <c r="P524" s="10" t="str">
        <f>IF(ISBLANK(N524),"",IF(N524&gt;H524,"No","Yes"))</f>
        <v>Yes</v>
      </c>
      <c r="Q524" s="9" t="s">
        <v>117</v>
      </c>
      <c r="R524" s="4" t="s">
        <v>118</v>
      </c>
      <c r="S524" s="4" t="s">
        <v>135</v>
      </c>
      <c r="T524" s="4"/>
      <c r="U524" s="6"/>
      <c r="V524" s="6"/>
      <c r="W524" s="6"/>
      <c r="X524" s="6"/>
      <c r="Y524" s="6"/>
      <c r="Z524" s="6"/>
      <c r="AX524" s="6" t="str">
        <v>Quarter 2</v>
      </c>
    </row>
    <row r="525" spans="1:50" ht="31.4" customHeight="1" x14ac:dyDescent="0.35">
      <c r="A525" s="162">
        <v>524</v>
      </c>
      <c r="B525" s="4" t="s">
        <v>1086</v>
      </c>
      <c r="C525" s="4" t="s">
        <v>13</v>
      </c>
      <c r="D525" s="4" t="s">
        <v>1087</v>
      </c>
      <c r="E525" s="157">
        <v>45561</v>
      </c>
      <c r="F525" s="9">
        <f>IF($E525="","",WORKDAY($E525,1,$V$33:$V$41))</f>
        <v>45562</v>
      </c>
      <c r="G525" s="9">
        <f>IF($E525="","",WORKDAY($E525,10,$V$33:$V$41))</f>
        <v>45575</v>
      </c>
      <c r="H525" s="9">
        <f>IF($E525="","",WORKDAY($E525,20,$V$33:$V$41))</f>
        <v>45589</v>
      </c>
      <c r="I525" s="157" t="str">
        <f t="shared" si="9"/>
        <v>Sep</v>
      </c>
      <c r="J525" s="14" t="str">
        <f ca="1">IF(E525="","",IF(N525="",H525-TODAY(),""))</f>
        <v/>
      </c>
      <c r="K525" s="157" t="s">
        <v>5</v>
      </c>
      <c r="L525" s="157" t="s">
        <v>16</v>
      </c>
      <c r="M525" s="157" t="s">
        <v>67</v>
      </c>
      <c r="N525" s="9">
        <v>45562</v>
      </c>
      <c r="O525" s="159">
        <f>IF($N525="","",NETWORKDAYS($E525,$N525,$V$33:$V$47)-1)</f>
        <v>1</v>
      </c>
      <c r="P525" s="10" t="str">
        <f>IF(ISBLANK(N525),"",IF(N525&gt;H525,"No","Yes"))</f>
        <v>Yes</v>
      </c>
      <c r="Q525" s="9" t="s">
        <v>117</v>
      </c>
      <c r="R525" s="4" t="s">
        <v>126</v>
      </c>
      <c r="S525" s="4" t="s">
        <v>119</v>
      </c>
      <c r="T525" s="4" t="s">
        <v>2120</v>
      </c>
      <c r="U525" s="6"/>
      <c r="V525" s="6"/>
      <c r="W525" s="6"/>
      <c r="X525" s="6"/>
      <c r="Y525" s="6"/>
      <c r="Z525" s="6"/>
      <c r="AX525" s="6" t="str">
        <v>Quarter 2</v>
      </c>
    </row>
    <row r="526" spans="1:50" ht="31.4" customHeight="1" x14ac:dyDescent="0.35">
      <c r="A526" s="162">
        <v>525</v>
      </c>
      <c r="B526" s="4" t="s">
        <v>8</v>
      </c>
      <c r="C526" s="4" t="s">
        <v>8</v>
      </c>
      <c r="D526" s="4" t="s">
        <v>1088</v>
      </c>
      <c r="E526" s="157">
        <v>45561</v>
      </c>
      <c r="F526" s="9">
        <f>IF($E526="","",WORKDAY($E526,1,$V$33:$V$41))</f>
        <v>45562</v>
      </c>
      <c r="G526" s="9">
        <f>IF($E526="","",WORKDAY($E526,10,$V$33:$V$41))</f>
        <v>45575</v>
      </c>
      <c r="H526" s="9">
        <f>IF($E526="","",WORKDAY($E526,20,$V$33:$V$41))</f>
        <v>45589</v>
      </c>
      <c r="I526" s="157" t="str">
        <f t="shared" si="9"/>
        <v>Sep</v>
      </c>
      <c r="J526" s="14" t="str">
        <f ca="1">IF(E526="","",IF(N526="",H526-TODAY(),""))</f>
        <v/>
      </c>
      <c r="K526" s="157" t="s">
        <v>10</v>
      </c>
      <c r="L526" s="157" t="s">
        <v>27</v>
      </c>
      <c r="M526" s="157" t="s">
        <v>86</v>
      </c>
      <c r="N526" s="9">
        <v>45582</v>
      </c>
      <c r="O526" s="159">
        <f>IF($N526="","",NETWORKDAYS($E526,$N526,$V$33:$V$47)-1)</f>
        <v>15</v>
      </c>
      <c r="P526" s="10" t="str">
        <f>IF(ISBLANK(N526),"",IF(N526&gt;H526,"No","Yes"))</f>
        <v>Yes</v>
      </c>
      <c r="Q526" s="9" t="s">
        <v>117</v>
      </c>
      <c r="R526" s="4" t="s">
        <v>118</v>
      </c>
      <c r="S526" s="4"/>
      <c r="T526" s="4"/>
      <c r="U526" s="6"/>
      <c r="V526" s="6"/>
      <c r="W526" s="6"/>
      <c r="X526" s="6"/>
      <c r="Y526" s="6"/>
      <c r="Z526" s="6"/>
      <c r="AX526" s="6" t="str">
        <v>Quarter 2</v>
      </c>
    </row>
    <row r="527" spans="1:50" ht="31.4" customHeight="1" x14ac:dyDescent="0.35">
      <c r="A527" s="162">
        <v>526</v>
      </c>
      <c r="B527" s="4" t="s">
        <v>1089</v>
      </c>
      <c r="C527" s="4" t="s">
        <v>13</v>
      </c>
      <c r="D527" s="4" t="s">
        <v>569</v>
      </c>
      <c r="E527" s="157">
        <v>45561</v>
      </c>
      <c r="F527" s="9">
        <f>IF($E527="","",WORKDAY($E527,1,$V$33:$V$41))</f>
        <v>45562</v>
      </c>
      <c r="G527" s="9">
        <f>IF($E527="","",WORKDAY($E527,10,$V$33:$V$41))</f>
        <v>45575</v>
      </c>
      <c r="H527" s="9">
        <f>IF($E527="","",WORKDAY($E527,20,$V$33:$V$41))</f>
        <v>45589</v>
      </c>
      <c r="I527" s="157" t="str">
        <f t="shared" si="9"/>
        <v>Sep</v>
      </c>
      <c r="J527" s="14" t="str">
        <f ca="1">IF(E527="","",IF(N527="",H527-TODAY(),""))</f>
        <v/>
      </c>
      <c r="K527" s="157" t="s">
        <v>10</v>
      </c>
      <c r="L527" s="157" t="s">
        <v>12</v>
      </c>
      <c r="M527" s="157" t="s">
        <v>91</v>
      </c>
      <c r="N527" s="9">
        <v>45589</v>
      </c>
      <c r="O527" s="159">
        <f>IF($N527="","",NETWORKDAYS($E527,$N527,$V$33:$V$47)-1)</f>
        <v>20</v>
      </c>
      <c r="P527" s="10" t="str">
        <f>IF(ISBLANK(N527),"",IF(N527&gt;H527,"No","Yes"))</f>
        <v>Yes</v>
      </c>
      <c r="Q527" s="9" t="s">
        <v>117</v>
      </c>
      <c r="R527" s="4" t="s">
        <v>118</v>
      </c>
      <c r="S527" s="4" t="s">
        <v>119</v>
      </c>
      <c r="T527" s="4"/>
      <c r="U527" s="6"/>
      <c r="V527" s="6"/>
      <c r="W527" s="6"/>
      <c r="X527" s="6"/>
      <c r="Y527" s="6"/>
      <c r="Z527" s="6"/>
      <c r="AX527" s="6" t="str">
        <v>Quarter 2</v>
      </c>
    </row>
    <row r="528" spans="1:50" ht="31.4" customHeight="1" x14ac:dyDescent="0.35">
      <c r="A528" s="162">
        <v>527</v>
      </c>
      <c r="B528" s="4" t="s">
        <v>1090</v>
      </c>
      <c r="C528" s="4" t="s">
        <v>15</v>
      </c>
      <c r="D528" s="4" t="s">
        <v>1091</v>
      </c>
      <c r="E528" s="157">
        <v>45561</v>
      </c>
      <c r="F528" s="9">
        <f>IF($E528="","",WORKDAY($E528,1,$V$33:$V$41))</f>
        <v>45562</v>
      </c>
      <c r="G528" s="9">
        <f>IF($E528="","",WORKDAY($E528,10,$V$33:$V$41))</f>
        <v>45575</v>
      </c>
      <c r="H528" s="9">
        <f>IF($E528="","",WORKDAY($E528,20,$V$33:$V$41))</f>
        <v>45589</v>
      </c>
      <c r="I528" s="157" t="str">
        <f t="shared" si="9"/>
        <v>Sep</v>
      </c>
      <c r="J528" s="14" t="str">
        <f ca="1">IF(E528="","",IF(N528="",H528-TODAY(),""))</f>
        <v/>
      </c>
      <c r="K528" s="157" t="s">
        <v>4</v>
      </c>
      <c r="L528" s="157" t="s">
        <v>7</v>
      </c>
      <c r="M528" s="157" t="s">
        <v>31</v>
      </c>
      <c r="N528" s="9">
        <v>45566</v>
      </c>
      <c r="O528" s="159">
        <f>IF($N528="","",NETWORKDAYS($E528,$N528,$V$33:$V$47)-1)</f>
        <v>3</v>
      </c>
      <c r="P528" s="10" t="str">
        <f>IF(ISBLANK(N528),"",IF(N528&gt;H528,"No","Yes"))</f>
        <v>Yes</v>
      </c>
      <c r="Q528" s="9" t="s">
        <v>117</v>
      </c>
      <c r="R528" s="4" t="s">
        <v>118</v>
      </c>
      <c r="S528" s="4"/>
      <c r="T528" s="4"/>
      <c r="U528" s="6"/>
      <c r="V528" s="6"/>
      <c r="W528" s="6"/>
      <c r="X528" s="6"/>
      <c r="Y528" s="6"/>
      <c r="Z528" s="6"/>
      <c r="AX528" s="6" t="str">
        <v>Quarter 2</v>
      </c>
    </row>
    <row r="529" spans="1:50" ht="31.4" customHeight="1" x14ac:dyDescent="0.35">
      <c r="A529" s="162">
        <v>528</v>
      </c>
      <c r="B529" s="4" t="s">
        <v>1092</v>
      </c>
      <c r="C529" s="4" t="s">
        <v>13</v>
      </c>
      <c r="D529" s="4" t="s">
        <v>1093</v>
      </c>
      <c r="E529" s="157">
        <v>45561</v>
      </c>
      <c r="F529" s="9">
        <f>IF($E529="","",WORKDAY($E529,1,$V$33:$V$41))</f>
        <v>45562</v>
      </c>
      <c r="G529" s="9">
        <f>IF($E529="","",WORKDAY($E529,10,$V$33:$V$41))</f>
        <v>45575</v>
      </c>
      <c r="H529" s="9">
        <f>IF($E529="","",WORKDAY($E529,20,$V$33:$V$41))</f>
        <v>45589</v>
      </c>
      <c r="I529" s="157" t="str">
        <f t="shared" si="9"/>
        <v>Sep</v>
      </c>
      <c r="J529" s="14" t="str">
        <f ca="1">IF(E529="","",IF(N529="",H529-TODAY(),""))</f>
        <v/>
      </c>
      <c r="K529" s="157" t="s">
        <v>10</v>
      </c>
      <c r="L529" s="157" t="s">
        <v>27</v>
      </c>
      <c r="M529" s="157" t="s">
        <v>59</v>
      </c>
      <c r="N529" s="9">
        <v>45580</v>
      </c>
      <c r="O529" s="159">
        <f>IF($N529="","",NETWORKDAYS($E529,$N529,$V$33:$V$47)-1)</f>
        <v>13</v>
      </c>
      <c r="P529" s="10" t="str">
        <f>IF(ISBLANK(N529),"",IF(N529&gt;H529,"No","Yes"))</f>
        <v>Yes</v>
      </c>
      <c r="Q529" s="9" t="s">
        <v>117</v>
      </c>
      <c r="R529" s="4" t="s">
        <v>150</v>
      </c>
      <c r="S529" s="4"/>
      <c r="T529" s="4"/>
      <c r="U529" s="6"/>
      <c r="V529" s="6"/>
      <c r="W529" s="6"/>
      <c r="X529" s="6"/>
      <c r="Y529" s="6"/>
      <c r="Z529" s="6"/>
      <c r="AX529" s="6" t="str">
        <v>Quarter 2</v>
      </c>
    </row>
    <row r="530" spans="1:50" ht="31.4" customHeight="1" x14ac:dyDescent="0.35">
      <c r="A530" s="162">
        <v>529</v>
      </c>
      <c r="B530" s="4" t="s">
        <v>1094</v>
      </c>
      <c r="C530" s="4" t="s">
        <v>15</v>
      </c>
      <c r="D530" s="4" t="s">
        <v>1095</v>
      </c>
      <c r="E530" s="157">
        <v>45562</v>
      </c>
      <c r="F530" s="9">
        <f>IF($E530="","",WORKDAY($E530,1,$V$33:$V$41))</f>
        <v>45565</v>
      </c>
      <c r="G530" s="9">
        <f>IF($E530="","",WORKDAY($E530,10,$V$33:$V$41))</f>
        <v>45576</v>
      </c>
      <c r="H530" s="9">
        <f>IF($E530="","",WORKDAY($E530,20,$V$33:$V$41))</f>
        <v>45590</v>
      </c>
      <c r="I530" s="157" t="str">
        <f t="shared" si="9"/>
        <v>Sep</v>
      </c>
      <c r="J530" s="14" t="str">
        <f ca="1">IF(E530="","",IF(N530="",H530-TODAY(),""))</f>
        <v/>
      </c>
      <c r="K530" s="157" t="s">
        <v>10</v>
      </c>
      <c r="L530" s="157" t="s">
        <v>12</v>
      </c>
      <c r="M530" s="157" t="s">
        <v>65</v>
      </c>
      <c r="N530" s="9">
        <v>45565</v>
      </c>
      <c r="O530" s="159">
        <f>IF($N530="","",NETWORKDAYS($E530,$N530,$V$33:$V$47)-1)</f>
        <v>1</v>
      </c>
      <c r="P530" s="10" t="str">
        <f>IF(ISBLANK(N530),"",IF(N530&gt;H530,"No","Yes"))</f>
        <v>Yes</v>
      </c>
      <c r="Q530" s="9" t="s">
        <v>117</v>
      </c>
      <c r="R530" s="4" t="s">
        <v>118</v>
      </c>
      <c r="S530" s="4"/>
      <c r="T530" s="4"/>
      <c r="U530" s="6"/>
      <c r="V530" s="6"/>
      <c r="W530" s="6"/>
      <c r="X530" s="6"/>
      <c r="Y530" s="6"/>
      <c r="Z530" s="6"/>
      <c r="AX530" s="6" t="str">
        <v>Quarter 2</v>
      </c>
    </row>
    <row r="531" spans="1:50" ht="31.4" customHeight="1" x14ac:dyDescent="0.35">
      <c r="A531" s="162">
        <v>530</v>
      </c>
      <c r="B531" s="4" t="s">
        <v>8</v>
      </c>
      <c r="C531" s="4" t="s">
        <v>8</v>
      </c>
      <c r="D531" s="4" t="s">
        <v>1096</v>
      </c>
      <c r="E531" s="157">
        <v>45565</v>
      </c>
      <c r="F531" s="9">
        <f>IF($E531="","",WORKDAY($E531,1,$V$33:$V$41))</f>
        <v>45566</v>
      </c>
      <c r="G531" s="9">
        <f>IF($E531="","",WORKDAY($E531,10,$V$33:$V$41))</f>
        <v>45579</v>
      </c>
      <c r="H531" s="9">
        <f>IF($E531="","",WORKDAY($E531,20,$V$33:$V$41))</f>
        <v>45593</v>
      </c>
      <c r="I531" s="157" t="str">
        <f t="shared" si="9"/>
        <v>Sep</v>
      </c>
      <c r="J531" s="14" t="str">
        <f ca="1">IF(E531="","",IF(N531="",H531-TODAY(),""))</f>
        <v/>
      </c>
      <c r="K531" s="157" t="s">
        <v>124</v>
      </c>
      <c r="L531" s="157" t="s">
        <v>14</v>
      </c>
      <c r="M531" s="157" t="s">
        <v>81</v>
      </c>
      <c r="N531" s="9">
        <v>45579</v>
      </c>
      <c r="O531" s="159">
        <f>IF($N531="","",NETWORKDAYS($E531,$N531,$V$33:$V$47)-1)</f>
        <v>10</v>
      </c>
      <c r="P531" s="10" t="str">
        <f>IF(ISBLANK(N531),"",IF(N531&gt;H531,"No","Yes"))</f>
        <v>Yes</v>
      </c>
      <c r="Q531" s="9" t="s">
        <v>117</v>
      </c>
      <c r="R531" s="4" t="s">
        <v>118</v>
      </c>
      <c r="S531" s="4" t="s">
        <v>119</v>
      </c>
      <c r="T531" s="4"/>
      <c r="U531" s="6"/>
      <c r="V531" s="6"/>
      <c r="W531" s="6"/>
      <c r="X531" s="6"/>
      <c r="Y531" s="6"/>
      <c r="Z531" s="6"/>
      <c r="AX531" s="6" t="str">
        <v>Quarter 2</v>
      </c>
    </row>
    <row r="532" spans="1:50" ht="31.4" customHeight="1" x14ac:dyDescent="0.35">
      <c r="A532" s="162">
        <v>531</v>
      </c>
      <c r="B532" s="4" t="s">
        <v>138</v>
      </c>
      <c r="C532" s="4" t="s">
        <v>19</v>
      </c>
      <c r="D532" s="4" t="s">
        <v>1097</v>
      </c>
      <c r="E532" s="157">
        <v>45565</v>
      </c>
      <c r="F532" s="9">
        <f>IF($E532="","",WORKDAY($E532,1,$V$33:$V$41))</f>
        <v>45566</v>
      </c>
      <c r="G532" s="9">
        <f>IF($E532="","",WORKDAY($E532,10,$V$33:$V$41))</f>
        <v>45579</v>
      </c>
      <c r="H532" s="9">
        <f>IF($E532="","",WORKDAY($E532,20,$V$33:$V$41))</f>
        <v>45593</v>
      </c>
      <c r="I532" s="157" t="str">
        <f t="shared" si="9"/>
        <v>Sep</v>
      </c>
      <c r="J532" s="14" t="str">
        <f ca="1">IF(E532="","",IF(N532="",H532-TODAY(),""))</f>
        <v/>
      </c>
      <c r="K532" s="157" t="s">
        <v>124</v>
      </c>
      <c r="L532" s="157" t="s">
        <v>24</v>
      </c>
      <c r="M532" s="157" t="s">
        <v>87</v>
      </c>
      <c r="N532" s="9">
        <v>45565</v>
      </c>
      <c r="O532" s="159">
        <f>IF($N532="","",NETWORKDAYS($E532,$N532,$V$33:$V$47)-1)</f>
        <v>0</v>
      </c>
      <c r="P532" s="10" t="str">
        <f>IF(ISBLANK(N532),"",IF(N532&gt;H532,"No","Yes"))</f>
        <v>Yes</v>
      </c>
      <c r="Q532" s="9" t="s">
        <v>117</v>
      </c>
      <c r="R532" s="4" t="s">
        <v>118</v>
      </c>
      <c r="S532" s="4"/>
      <c r="T532" s="4"/>
      <c r="U532" s="6"/>
      <c r="V532" s="6"/>
      <c r="W532" s="6"/>
      <c r="X532" s="6"/>
      <c r="Y532" s="6"/>
      <c r="Z532" s="6"/>
      <c r="AX532" s="6" t="str">
        <v>Quarter 2</v>
      </c>
    </row>
    <row r="533" spans="1:50" ht="31.4" customHeight="1" x14ac:dyDescent="0.35">
      <c r="A533" s="162">
        <v>532</v>
      </c>
      <c r="B533" s="4" t="s">
        <v>1098</v>
      </c>
      <c r="C533" s="4" t="s">
        <v>13</v>
      </c>
      <c r="D533" s="4" t="s">
        <v>907</v>
      </c>
      <c r="E533" s="157">
        <v>45565</v>
      </c>
      <c r="F533" s="9">
        <f>IF($E533="","",WORKDAY($E533,1,$V$33:$V$41))</f>
        <v>45566</v>
      </c>
      <c r="G533" s="9">
        <f>IF($E533="","",WORKDAY($E533,10,$V$33:$V$41))</f>
        <v>45579</v>
      </c>
      <c r="H533" s="9">
        <f>IF($E533="","",WORKDAY($E533,20,$V$33:$V$41))</f>
        <v>45593</v>
      </c>
      <c r="I533" s="157" t="str">
        <f t="shared" si="9"/>
        <v>Sep</v>
      </c>
      <c r="J533" s="14" t="str">
        <f ca="1">IF(E533="","",IF(N533="",H533-TODAY(),""))</f>
        <v/>
      </c>
      <c r="K533" s="157" t="s">
        <v>10</v>
      </c>
      <c r="L533" s="157" t="s">
        <v>27</v>
      </c>
      <c r="M533" s="157" t="s">
        <v>59</v>
      </c>
      <c r="N533" s="9">
        <v>45565</v>
      </c>
      <c r="O533" s="159">
        <f>IF($N533="","",NETWORKDAYS($E533,$N533,$V$33:$V$47)-1)</f>
        <v>0</v>
      </c>
      <c r="P533" s="10" t="str">
        <f>IF(ISBLANK(N533),"",IF(N533&gt;H533,"No","Yes"))</f>
        <v>Yes</v>
      </c>
      <c r="Q533" s="9" t="s">
        <v>117</v>
      </c>
      <c r="R533" s="4" t="s">
        <v>118</v>
      </c>
      <c r="S533" s="4"/>
      <c r="T533" s="4"/>
      <c r="U533" s="6"/>
      <c r="V533" s="6"/>
      <c r="W533" s="6"/>
      <c r="X533" s="6"/>
      <c r="Y533" s="6"/>
      <c r="Z533" s="6"/>
      <c r="AX533" s="6" t="str">
        <v>Quarter 2</v>
      </c>
    </row>
    <row r="534" spans="1:50" ht="31.4" customHeight="1" x14ac:dyDescent="0.35">
      <c r="A534" s="162">
        <v>533</v>
      </c>
      <c r="B534" s="4" t="s">
        <v>138</v>
      </c>
      <c r="C534" s="4" t="s">
        <v>19</v>
      </c>
      <c r="D534" s="4" t="s">
        <v>1099</v>
      </c>
      <c r="E534" s="157">
        <v>45565</v>
      </c>
      <c r="F534" s="9">
        <f>IF($E534="","",WORKDAY($E534,1,$V$33:$V$41))</f>
        <v>45566</v>
      </c>
      <c r="G534" s="9">
        <f>IF($E534="","",WORKDAY($E534,10,$V$33:$V$41))</f>
        <v>45579</v>
      </c>
      <c r="H534" s="9">
        <f>IF($E534="","",WORKDAY($E534,20,$V$33:$V$41))</f>
        <v>45593</v>
      </c>
      <c r="I534" s="157" t="str">
        <f t="shared" si="9"/>
        <v>Sep</v>
      </c>
      <c r="J534" s="14" t="str">
        <f ca="1">IF(E534="","",IF(N534="",H534-TODAY(),""))</f>
        <v/>
      </c>
      <c r="K534" s="157" t="s">
        <v>5</v>
      </c>
      <c r="L534" s="157" t="s">
        <v>16</v>
      </c>
      <c r="M534" s="157" t="s">
        <v>52</v>
      </c>
      <c r="N534" s="9">
        <v>45593</v>
      </c>
      <c r="O534" s="159">
        <f>IF($N534="","",NETWORKDAYS($E534,$N534,$V$33:$V$47)-1)</f>
        <v>20</v>
      </c>
      <c r="P534" s="10" t="str">
        <f>IF(ISBLANK(N534),"",IF(N534&gt;H534,"No","Yes"))</f>
        <v>Yes</v>
      </c>
      <c r="Q534" s="9" t="s">
        <v>117</v>
      </c>
      <c r="R534" s="4" t="s">
        <v>132</v>
      </c>
      <c r="S534" s="4" t="s">
        <v>135</v>
      </c>
      <c r="T534" s="4"/>
      <c r="U534" s="6"/>
      <c r="V534" s="6"/>
      <c r="W534" s="6"/>
      <c r="X534" s="6"/>
      <c r="Y534" s="6"/>
      <c r="Z534" s="6"/>
      <c r="AX534" s="6" t="str">
        <v>Quarter 2</v>
      </c>
    </row>
    <row r="535" spans="1:50" ht="31.4" customHeight="1" x14ac:dyDescent="0.35">
      <c r="A535" s="162">
        <v>534</v>
      </c>
      <c r="B535" s="4" t="s">
        <v>129</v>
      </c>
      <c r="C535" s="4" t="s">
        <v>13</v>
      </c>
      <c r="D535" s="4" t="s">
        <v>902</v>
      </c>
      <c r="E535" s="157">
        <v>45566</v>
      </c>
      <c r="F535" s="9">
        <f>IF($E535="","",WORKDAY($E535,1,$V$33:$V$41))</f>
        <v>45567</v>
      </c>
      <c r="G535" s="9">
        <f>IF($E535="","",WORKDAY($E535,10,$V$33:$V$41))</f>
        <v>45580</v>
      </c>
      <c r="H535" s="9">
        <f>IF($E535="","",WORKDAY($E535,20,$V$33:$V$41))</f>
        <v>45594</v>
      </c>
      <c r="I535" s="157" t="str">
        <f t="shared" si="9"/>
        <v>Oct</v>
      </c>
      <c r="J535" s="14" t="str">
        <f ca="1">IF(E535="","",IF(N535="",H535-TODAY(),""))</f>
        <v/>
      </c>
      <c r="K535" s="157" t="s">
        <v>5</v>
      </c>
      <c r="L535" s="157" t="s">
        <v>18</v>
      </c>
      <c r="M535" s="157" t="s">
        <v>66</v>
      </c>
      <c r="N535" s="9">
        <v>45566</v>
      </c>
      <c r="O535" s="159">
        <f>IF($N535="","",NETWORKDAYS($E535,$N535,$V$33:$V$47)-1)</f>
        <v>0</v>
      </c>
      <c r="P535" s="10" t="str">
        <f>IF(ISBLANK(N535),"",IF(N535&gt;H535,"No","Yes"))</f>
        <v>Yes</v>
      </c>
      <c r="Q535" s="9" t="s">
        <v>117</v>
      </c>
      <c r="R535" s="4" t="s">
        <v>132</v>
      </c>
      <c r="S535" s="4" t="s">
        <v>134</v>
      </c>
      <c r="T535" s="4"/>
      <c r="U535" s="6"/>
      <c r="V535" s="6"/>
      <c r="W535" s="6"/>
      <c r="X535" s="6"/>
      <c r="Y535" s="6"/>
      <c r="Z535" s="6"/>
      <c r="AX535" s="6" t="str">
        <v>Quarter 3</v>
      </c>
    </row>
    <row r="536" spans="1:50" ht="31.4" customHeight="1" x14ac:dyDescent="0.35">
      <c r="A536" s="162">
        <v>535</v>
      </c>
      <c r="B536" s="4" t="s">
        <v>8</v>
      </c>
      <c r="C536" s="4" t="s">
        <v>8</v>
      </c>
      <c r="D536" s="4" t="s">
        <v>1100</v>
      </c>
      <c r="E536" s="157">
        <v>45566</v>
      </c>
      <c r="F536" s="9">
        <f>IF($E536="","",WORKDAY($E536,1,$V$33:$V$41))</f>
        <v>45567</v>
      </c>
      <c r="G536" s="9">
        <f>IF($E536="","",WORKDAY($E536,10,$V$33:$V$41))</f>
        <v>45580</v>
      </c>
      <c r="H536" s="9">
        <f>IF($E536="","",WORKDAY($E536,20,$V$33:$V$41))</f>
        <v>45594</v>
      </c>
      <c r="I536" s="157" t="str">
        <f t="shared" si="9"/>
        <v>Oct</v>
      </c>
      <c r="J536" s="14" t="str">
        <f ca="1">IF(E536="","",IF(N536="",H536-TODAY(),""))</f>
        <v/>
      </c>
      <c r="K536" s="157" t="s">
        <v>124</v>
      </c>
      <c r="L536" s="157" t="s">
        <v>20</v>
      </c>
      <c r="M536" s="157" t="s">
        <v>62</v>
      </c>
      <c r="N536" s="9">
        <v>45607</v>
      </c>
      <c r="O536" s="159">
        <f>IF($N536="","",NETWORKDAYS($E536,$N536,$V$33:$V$47)-1)</f>
        <v>29</v>
      </c>
      <c r="P536" s="10" t="str">
        <f>IF(ISBLANK(N536),"",IF(N536&gt;H536,"No","Yes"))</f>
        <v>No</v>
      </c>
      <c r="Q536" s="9" t="s">
        <v>117</v>
      </c>
      <c r="R536" s="4" t="s">
        <v>118</v>
      </c>
      <c r="S536" s="4"/>
      <c r="T536" s="4"/>
      <c r="U536" s="6"/>
      <c r="V536" s="6"/>
      <c r="W536" s="6"/>
      <c r="X536" s="6"/>
      <c r="Y536" s="6"/>
      <c r="Z536" s="6"/>
      <c r="AX536" s="6" t="str">
        <v>Quarter 3</v>
      </c>
    </row>
    <row r="537" spans="1:50" ht="31.4" customHeight="1" x14ac:dyDescent="0.35">
      <c r="A537" s="162">
        <v>536</v>
      </c>
      <c r="B537" s="4" t="s">
        <v>138</v>
      </c>
      <c r="C537" s="4" t="s">
        <v>19</v>
      </c>
      <c r="D537" s="4" t="s">
        <v>1101</v>
      </c>
      <c r="E537" s="157">
        <v>45566</v>
      </c>
      <c r="F537" s="9">
        <f>IF($E537="","",WORKDAY($E537,1,$V$33:$V$41))</f>
        <v>45567</v>
      </c>
      <c r="G537" s="9">
        <f>IF($E537="","",WORKDAY($E537,10,$V$33:$V$41))</f>
        <v>45580</v>
      </c>
      <c r="H537" s="9">
        <f>IF($E537="","",WORKDAY($E537,20,$V$33:$V$41))</f>
        <v>45594</v>
      </c>
      <c r="I537" s="157" t="str">
        <f t="shared" si="9"/>
        <v>Oct</v>
      </c>
      <c r="J537" s="14" t="str">
        <f ca="1">IF(E537="","",IF(N537="",H537-TODAY(),""))</f>
        <v/>
      </c>
      <c r="K537" s="157" t="s">
        <v>10</v>
      </c>
      <c r="L537" s="157" t="s">
        <v>27</v>
      </c>
      <c r="M537" s="157" t="s">
        <v>86</v>
      </c>
      <c r="N537" s="9">
        <v>45581</v>
      </c>
      <c r="O537" s="159">
        <f>IF($N537="","",NETWORKDAYS($E537,$N537,$V$33:$V$47)-1)</f>
        <v>11</v>
      </c>
      <c r="P537" s="10" t="str">
        <f>IF(ISBLANK(N537),"",IF(N537&gt;H537,"No","Yes"))</f>
        <v>Yes</v>
      </c>
      <c r="Q537" s="9" t="s">
        <v>117</v>
      </c>
      <c r="R537" s="4" t="s">
        <v>126</v>
      </c>
      <c r="S537" s="4" t="s">
        <v>120</v>
      </c>
      <c r="T537" s="4" t="s">
        <v>387</v>
      </c>
      <c r="U537" s="6"/>
      <c r="V537" s="6"/>
      <c r="W537" s="6"/>
      <c r="X537" s="6"/>
      <c r="Y537" s="6"/>
      <c r="Z537" s="6"/>
      <c r="AX537" s="6" t="str">
        <v>Quarter 3</v>
      </c>
    </row>
    <row r="538" spans="1:50" ht="31.4" customHeight="1" x14ac:dyDescent="0.35">
      <c r="A538" s="162">
        <v>537</v>
      </c>
      <c r="B538" s="4" t="s">
        <v>1102</v>
      </c>
      <c r="C538" s="4" t="s">
        <v>15</v>
      </c>
      <c r="D538" s="4" t="s">
        <v>1103</v>
      </c>
      <c r="E538" s="157">
        <v>45566</v>
      </c>
      <c r="F538" s="9">
        <f>IF($E538="","",WORKDAY($E538,1,$V$33:$V$41))</f>
        <v>45567</v>
      </c>
      <c r="G538" s="9">
        <f>IF($E538="","",WORKDAY($E538,10,$V$33:$V$41))</f>
        <v>45580</v>
      </c>
      <c r="H538" s="9">
        <f>IF($E538="","",WORKDAY($E538,20,$V$33:$V$41))</f>
        <v>45594</v>
      </c>
      <c r="I538" s="157" t="str">
        <f t="shared" si="9"/>
        <v>Oct</v>
      </c>
      <c r="J538" s="14" t="str">
        <f ca="1">IF(E538="","",IF(N538="",H538-TODAY(),""))</f>
        <v/>
      </c>
      <c r="K538" s="157" t="s">
        <v>124</v>
      </c>
      <c r="L538" s="157" t="s">
        <v>20</v>
      </c>
      <c r="M538" s="157" t="s">
        <v>62</v>
      </c>
      <c r="N538" s="9">
        <v>45586</v>
      </c>
      <c r="O538" s="159">
        <f>IF($N538="","",NETWORKDAYS($E538,$N538,$V$33:$V$47)-1)</f>
        <v>14</v>
      </c>
      <c r="P538" s="10" t="str">
        <f>IF(ISBLANK(N538),"",IF(N538&gt;H538,"No","Yes"))</f>
        <v>Yes</v>
      </c>
      <c r="Q538" s="9" t="s">
        <v>117</v>
      </c>
      <c r="R538" s="4" t="s">
        <v>118</v>
      </c>
      <c r="S538" s="4"/>
      <c r="T538" s="4"/>
      <c r="U538" s="6"/>
      <c r="V538" s="6"/>
      <c r="W538" s="6"/>
      <c r="X538" s="6"/>
      <c r="Y538" s="6"/>
      <c r="Z538" s="6"/>
      <c r="AX538" s="6" t="str">
        <v>Quarter 3</v>
      </c>
    </row>
    <row r="539" spans="1:50" ht="31.4" customHeight="1" x14ac:dyDescent="0.35">
      <c r="A539" s="162">
        <v>538</v>
      </c>
      <c r="B539" s="4" t="s">
        <v>138</v>
      </c>
      <c r="C539" s="4" t="s">
        <v>19</v>
      </c>
      <c r="D539" s="4" t="s">
        <v>1104</v>
      </c>
      <c r="E539" s="157">
        <v>45566</v>
      </c>
      <c r="F539" s="9">
        <f>IF($E539="","",WORKDAY($E539,1,$V$33:$V$41))</f>
        <v>45567</v>
      </c>
      <c r="G539" s="9">
        <f>IF($E539="","",WORKDAY($E539,10,$V$33:$V$41))</f>
        <v>45580</v>
      </c>
      <c r="H539" s="9">
        <f>IF($E539="","",WORKDAY($E539,20,$V$33:$V$41))</f>
        <v>45594</v>
      </c>
      <c r="I539" s="157" t="str">
        <f t="shared" si="9"/>
        <v>Oct</v>
      </c>
      <c r="J539" s="14" t="str">
        <f ca="1">IF(E539="","",IF(N539="",H539-TODAY(),""))</f>
        <v/>
      </c>
      <c r="K539" s="157" t="s">
        <v>124</v>
      </c>
      <c r="L539" s="157" t="s">
        <v>24</v>
      </c>
      <c r="M539" s="157" t="s">
        <v>53</v>
      </c>
      <c r="N539" s="9">
        <v>45611</v>
      </c>
      <c r="O539" s="159">
        <f>IF($N539="","",NETWORKDAYS($E539,$N539,$V$33:$V$47)-1)</f>
        <v>33</v>
      </c>
      <c r="P539" s="10" t="str">
        <f>IF(ISBLANK(N539),"",IF(N539&gt;H539,"No","Yes"))</f>
        <v>No</v>
      </c>
      <c r="Q539" s="9" t="s">
        <v>117</v>
      </c>
      <c r="R539" s="4" t="s">
        <v>118</v>
      </c>
      <c r="S539" s="4"/>
      <c r="T539" s="4"/>
      <c r="U539" s="6"/>
      <c r="V539" s="6"/>
      <c r="W539" s="6"/>
      <c r="X539" s="6"/>
      <c r="Y539" s="6"/>
      <c r="Z539" s="6"/>
      <c r="AX539" s="6" t="str">
        <v>Quarter 3</v>
      </c>
    </row>
    <row r="540" spans="1:50" ht="31.4" customHeight="1" x14ac:dyDescent="0.35">
      <c r="A540" s="162">
        <v>539</v>
      </c>
      <c r="B540" s="4" t="s">
        <v>138</v>
      </c>
      <c r="C540" s="4" t="s">
        <v>19</v>
      </c>
      <c r="D540" s="4" t="s">
        <v>1105</v>
      </c>
      <c r="E540" s="157"/>
      <c r="F540" s="9" t="str">
        <f>IF($E540="","",WORKDAY($E540,1,$V$33:$V$41))</f>
        <v/>
      </c>
      <c r="G540" s="9" t="str">
        <f>IF($E540="","",WORKDAY($E540,10,$V$33:$V$41))</f>
        <v/>
      </c>
      <c r="H540" s="9" t="str">
        <f>IF($E540="","",WORKDAY($E540,20,$V$33:$V$41))</f>
        <v/>
      </c>
      <c r="I540" s="157" t="s">
        <v>1106</v>
      </c>
      <c r="J540" s="14" t="str">
        <f ca="1">IF(E540="","",IF(N540="",H540-TODAY(),""))</f>
        <v/>
      </c>
      <c r="K540" s="157" t="s">
        <v>10</v>
      </c>
      <c r="L540" s="157" t="s">
        <v>27</v>
      </c>
      <c r="M540" s="157" t="s">
        <v>37</v>
      </c>
      <c r="N540" s="9"/>
      <c r="O540" s="159" t="str">
        <f>IF($N540="","",NETWORKDAYS($E540,$N540,$V$33:$V$47)-1)</f>
        <v/>
      </c>
      <c r="P540" s="10" t="str">
        <f>IF(ISBLANK(N540),"",IF(N540&gt;H540,"No","Yes"))</f>
        <v/>
      </c>
      <c r="Q540" s="9" t="s">
        <v>133</v>
      </c>
      <c r="R540" s="4" t="s">
        <v>133</v>
      </c>
      <c r="S540" s="4"/>
      <c r="T540" s="4" t="s">
        <v>764</v>
      </c>
      <c r="U540" s="6"/>
      <c r="V540" s="6"/>
      <c r="W540" s="6"/>
      <c r="X540" s="6"/>
      <c r="Y540" s="6"/>
      <c r="Z540" s="6"/>
      <c r="AX540" s="6" t="str">
        <v>Quarter 3</v>
      </c>
    </row>
    <row r="541" spans="1:50" ht="31.4" customHeight="1" x14ac:dyDescent="0.35">
      <c r="A541" s="162">
        <v>540</v>
      </c>
      <c r="B541" s="4" t="s">
        <v>1107</v>
      </c>
      <c r="C541" s="4" t="s">
        <v>17</v>
      </c>
      <c r="D541" s="4" t="s">
        <v>1108</v>
      </c>
      <c r="E541" s="157">
        <v>45568</v>
      </c>
      <c r="F541" s="9">
        <f>IF($E541="","",WORKDAY($E541,1,$V$33:$V$41))</f>
        <v>45569</v>
      </c>
      <c r="G541" s="9">
        <f>IF($E541="","",WORKDAY($E541,10,$V$33:$V$41))</f>
        <v>45582</v>
      </c>
      <c r="H541" s="9">
        <f>IF($E541="","",WORKDAY($E541,20,$V$33:$V$41))</f>
        <v>45596</v>
      </c>
      <c r="I541" s="157" t="str">
        <f t="shared" ref="I541" si="10">IF(ISBLANK(E541),"",TEXT(E541,"mmm"))</f>
        <v>Oct</v>
      </c>
      <c r="J541" s="14" t="str">
        <f ca="1">IF(E541="","",IF(N541="",H541-TODAY(),""))</f>
        <v/>
      </c>
      <c r="K541" s="157" t="s">
        <v>5</v>
      </c>
      <c r="L541" s="157" t="s">
        <v>16</v>
      </c>
      <c r="M541" s="157" t="s">
        <v>52</v>
      </c>
      <c r="N541" s="9">
        <v>45589</v>
      </c>
      <c r="O541" s="159">
        <f>IF($N541="","",NETWORKDAYS($E541,$N541,$V$33:$V$47)-1)</f>
        <v>15</v>
      </c>
      <c r="P541" s="10" t="s">
        <v>116</v>
      </c>
      <c r="Q541" s="9" t="s">
        <v>117</v>
      </c>
      <c r="R541" s="4" t="s">
        <v>118</v>
      </c>
      <c r="S541" s="4" t="s">
        <v>135</v>
      </c>
      <c r="T541" s="4"/>
      <c r="U541" s="6"/>
      <c r="V541" s="6"/>
      <c r="W541" s="6"/>
      <c r="X541" s="6"/>
      <c r="Y541" s="6"/>
      <c r="Z541" s="6"/>
      <c r="AX541" s="6" t="str">
        <v>Quarter 3</v>
      </c>
    </row>
    <row r="542" spans="1:50" ht="31.4" customHeight="1" x14ac:dyDescent="0.35">
      <c r="A542" s="162">
        <v>541</v>
      </c>
      <c r="B542" s="4" t="s">
        <v>1109</v>
      </c>
      <c r="C542" s="4" t="s">
        <v>13</v>
      </c>
      <c r="D542" s="4" t="s">
        <v>1110</v>
      </c>
      <c r="E542" s="157">
        <v>45572</v>
      </c>
      <c r="F542" s="9">
        <f>IF($E542="","",WORKDAY($E542,1,$V$33:$V$41))</f>
        <v>45573</v>
      </c>
      <c r="G542" s="9">
        <f>IF($E542="","",WORKDAY($E542,10,$V$33:$V$41))</f>
        <v>45586</v>
      </c>
      <c r="H542" s="9">
        <f>IF($E542="","",WORKDAY($E542,20,$V$33:$V$41))</f>
        <v>45600</v>
      </c>
      <c r="I542" s="157" t="str">
        <f t="shared" si="9"/>
        <v>Oct</v>
      </c>
      <c r="J542" s="14" t="str">
        <f ca="1">IF(E542="","",IF(N542="",H542-TODAY(),""))</f>
        <v/>
      </c>
      <c r="K542" s="157" t="s">
        <v>10</v>
      </c>
      <c r="L542" s="157" t="s">
        <v>12</v>
      </c>
      <c r="M542" s="157" t="s">
        <v>30</v>
      </c>
      <c r="N542" s="9">
        <v>45575</v>
      </c>
      <c r="O542" s="159">
        <f>IF($N542="","",NETWORKDAYS($E542,$N542,$V$33:$V$47)-1)</f>
        <v>3</v>
      </c>
      <c r="P542" s="10" t="str">
        <f>IF(ISBLANK(N542),"",IF(N542&gt;H542,"No","Yes"))</f>
        <v>Yes</v>
      </c>
      <c r="Q542" s="9" t="s">
        <v>117</v>
      </c>
      <c r="R542" s="4" t="s">
        <v>118</v>
      </c>
      <c r="S542" s="4"/>
      <c r="T542" s="4"/>
      <c r="U542" s="6"/>
      <c r="V542" s="6"/>
      <c r="W542" s="6"/>
      <c r="X542" s="6"/>
      <c r="Y542" s="6"/>
      <c r="Z542" s="6"/>
      <c r="AX542" s="6" t="str">
        <v>Quarter 3</v>
      </c>
    </row>
    <row r="543" spans="1:50" ht="31.4" customHeight="1" x14ac:dyDescent="0.35">
      <c r="A543" s="162">
        <v>542</v>
      </c>
      <c r="B543" s="4" t="s">
        <v>8</v>
      </c>
      <c r="C543" s="4" t="s">
        <v>8</v>
      </c>
      <c r="D543" s="4" t="s">
        <v>1111</v>
      </c>
      <c r="E543" s="157">
        <v>45569</v>
      </c>
      <c r="F543" s="9">
        <f>IF($E543="","",WORKDAY($E543,1,$V$33:$V$41))</f>
        <v>45572</v>
      </c>
      <c r="G543" s="9">
        <f>IF($E543="","",WORKDAY($E543,10,$V$33:$V$41))</f>
        <v>45583</v>
      </c>
      <c r="H543" s="9">
        <f>IF($E543="","",WORKDAY($E543,20,$V$33:$V$41))</f>
        <v>45597</v>
      </c>
      <c r="I543" s="157" t="str">
        <f t="shared" si="9"/>
        <v>Oct</v>
      </c>
      <c r="J543" s="14" t="str">
        <f ca="1">IF(E543="","",IF(N543="",H543-TODAY(),""))</f>
        <v/>
      </c>
      <c r="K543" s="157" t="s">
        <v>5</v>
      </c>
      <c r="L543" s="157" t="s">
        <v>22</v>
      </c>
      <c r="M543" s="157" t="s">
        <v>64</v>
      </c>
      <c r="N543" s="9">
        <v>45593</v>
      </c>
      <c r="O543" s="159">
        <f>IF($N543="","",NETWORKDAYS($E543,$N543,$V$33:$V$47)-1)</f>
        <v>16</v>
      </c>
      <c r="P543" s="10" t="str">
        <f>IF(ISBLANK(N543),"",IF(N543&gt;H543,"No","Yes"))</f>
        <v>Yes</v>
      </c>
      <c r="Q543" s="9" t="s">
        <v>117</v>
      </c>
      <c r="R543" s="4" t="s">
        <v>118</v>
      </c>
      <c r="S543" s="4"/>
      <c r="T543" s="4" t="s">
        <v>141</v>
      </c>
      <c r="U543" s="6"/>
      <c r="V543" s="6"/>
      <c r="W543" s="6"/>
      <c r="X543" s="6"/>
      <c r="Y543" s="6"/>
      <c r="Z543" s="6"/>
      <c r="AX543" s="6" t="str">
        <v>Quarter 3</v>
      </c>
    </row>
    <row r="544" spans="1:50" ht="31.4" customHeight="1" x14ac:dyDescent="0.35">
      <c r="A544" s="162">
        <v>543</v>
      </c>
      <c r="B544" s="4" t="s">
        <v>8</v>
      </c>
      <c r="C544" s="4" t="s">
        <v>8</v>
      </c>
      <c r="D544" s="4" t="s">
        <v>1112</v>
      </c>
      <c r="E544" s="157">
        <v>45572</v>
      </c>
      <c r="F544" s="9">
        <f>IF($E544="","",WORKDAY($E544,1,$V$33:$V$41))</f>
        <v>45573</v>
      </c>
      <c r="G544" s="9">
        <f>IF($E544="","",WORKDAY($E544,10,$V$33:$V$41))</f>
        <v>45586</v>
      </c>
      <c r="H544" s="9">
        <f>IF($E544="","",WORKDAY($E544,20,$V$33:$V$41))</f>
        <v>45600</v>
      </c>
      <c r="I544" s="157" t="str">
        <f t="shared" si="9"/>
        <v>Oct</v>
      </c>
      <c r="J544" s="14" t="str">
        <f ca="1">IF(E544="","",IF(N544="",H544-TODAY(),""))</f>
        <v/>
      </c>
      <c r="K544" s="157" t="s">
        <v>4</v>
      </c>
      <c r="L544" s="157" t="s">
        <v>7</v>
      </c>
      <c r="M544" s="157" t="s">
        <v>31</v>
      </c>
      <c r="N544" s="9">
        <v>45586</v>
      </c>
      <c r="O544" s="159">
        <f>IF($N544="","",NETWORKDAYS($E544,$N544,$V$33:$V$47)-1)</f>
        <v>10</v>
      </c>
      <c r="P544" s="10" t="str">
        <f>IF(ISBLANK(N544),"",IF(N544&gt;H544,"No","Yes"))</f>
        <v>Yes</v>
      </c>
      <c r="Q544" s="9" t="s">
        <v>117</v>
      </c>
      <c r="R544" s="4" t="s">
        <v>118</v>
      </c>
      <c r="S544" s="4"/>
      <c r="T544" s="4"/>
      <c r="U544" s="6"/>
      <c r="V544" s="6"/>
      <c r="W544" s="6"/>
      <c r="X544" s="6"/>
      <c r="Y544" s="6"/>
      <c r="Z544" s="6"/>
      <c r="AX544" s="6" t="str">
        <v>Quarter 3</v>
      </c>
    </row>
    <row r="545" spans="1:50" ht="31.4" customHeight="1" x14ac:dyDescent="0.35">
      <c r="A545" s="162">
        <v>544</v>
      </c>
      <c r="B545" s="4" t="s">
        <v>1113</v>
      </c>
      <c r="C545" s="4" t="s">
        <v>8</v>
      </c>
      <c r="D545" s="4" t="s">
        <v>1114</v>
      </c>
      <c r="E545" s="157">
        <v>45581</v>
      </c>
      <c r="F545" s="9">
        <f>IF($E545="","",WORKDAY($E545,1,$V$33:$V$41))</f>
        <v>45582</v>
      </c>
      <c r="G545" s="9">
        <f>IF($E545="","",WORKDAY($E545,10,$V$33:$V$41))</f>
        <v>45595</v>
      </c>
      <c r="H545" s="9">
        <f>IF($E545="","",WORKDAY($E545,20,$V$33:$V$41))</f>
        <v>45609</v>
      </c>
      <c r="I545" s="157" t="str">
        <f t="shared" si="9"/>
        <v>Oct</v>
      </c>
      <c r="J545" s="14" t="str">
        <f ca="1">IF(E545="","",IF(N545="",H545-TODAY(),""))</f>
        <v/>
      </c>
      <c r="K545" s="157" t="s">
        <v>5</v>
      </c>
      <c r="L545" s="157" t="s">
        <v>16</v>
      </c>
      <c r="M545" s="157" t="s">
        <v>52</v>
      </c>
      <c r="N545" s="9">
        <v>45586</v>
      </c>
      <c r="O545" s="159">
        <f>IF($N545="","",NETWORKDAYS($E545,$N545,$V$33:$V$47)-1)</f>
        <v>3</v>
      </c>
      <c r="P545" s="10" t="str">
        <f>IF(ISBLANK(N545),"",IF(N545&gt;H545,"No","Yes"))</f>
        <v>Yes</v>
      </c>
      <c r="Q545" s="9" t="s">
        <v>117</v>
      </c>
      <c r="R545" s="4" t="s">
        <v>118</v>
      </c>
      <c r="S545" s="4" t="s">
        <v>135</v>
      </c>
      <c r="T545" s="4"/>
      <c r="U545" s="6"/>
      <c r="V545" s="6"/>
      <c r="W545" s="6"/>
      <c r="X545" s="6"/>
      <c r="Y545" s="6"/>
      <c r="Z545" s="6"/>
      <c r="AX545" s="6" t="str">
        <v>Quarter 3</v>
      </c>
    </row>
    <row r="546" spans="1:50" ht="31.4" customHeight="1" x14ac:dyDescent="0.35">
      <c r="A546" s="162">
        <v>545</v>
      </c>
      <c r="B546" s="4" t="s">
        <v>751</v>
      </c>
      <c r="C546" s="4" t="s">
        <v>6</v>
      </c>
      <c r="D546" s="4" t="s">
        <v>1115</v>
      </c>
      <c r="E546" s="157">
        <v>45572</v>
      </c>
      <c r="F546" s="9">
        <f>IF($E546="","",WORKDAY($E546,1,$V$33:$V$41))</f>
        <v>45573</v>
      </c>
      <c r="G546" s="9">
        <f>IF($E546="","",WORKDAY($E546,10,$V$33:$V$41))</f>
        <v>45586</v>
      </c>
      <c r="H546" s="9">
        <f>IF($E546="","",WORKDAY($E546,20,$V$33:$V$41))</f>
        <v>45600</v>
      </c>
      <c r="I546" s="157" t="str">
        <f t="shared" si="9"/>
        <v>Oct</v>
      </c>
      <c r="J546" s="14" t="str">
        <f ca="1">IF(E546="","",IF(N546="",H546-TODAY(),""))</f>
        <v/>
      </c>
      <c r="K546" s="157" t="s">
        <v>124</v>
      </c>
      <c r="L546" s="157" t="s">
        <v>20</v>
      </c>
      <c r="M546" s="157" t="s">
        <v>63</v>
      </c>
      <c r="N546" s="9">
        <v>45581</v>
      </c>
      <c r="O546" s="159">
        <f>IF($N546="","",NETWORKDAYS($E546,$N546,$V$33:$V$47)-1)</f>
        <v>7</v>
      </c>
      <c r="P546" s="10" t="str">
        <f>IF(ISBLANK(N546),"",IF(N546&gt;H546,"No","Yes"))</f>
        <v>Yes</v>
      </c>
      <c r="Q546" s="9" t="s">
        <v>117</v>
      </c>
      <c r="R546" s="4" t="s">
        <v>118</v>
      </c>
      <c r="S546" s="4"/>
      <c r="T546" s="4" t="s">
        <v>1116</v>
      </c>
      <c r="U546" s="6"/>
      <c r="V546" s="6"/>
      <c r="W546" s="6"/>
      <c r="X546" s="6"/>
      <c r="Y546" s="6"/>
      <c r="Z546" s="6"/>
      <c r="AX546" s="6" t="str">
        <v>Quarter 3</v>
      </c>
    </row>
    <row r="547" spans="1:50" ht="31.4" customHeight="1" x14ac:dyDescent="0.35">
      <c r="A547" s="162">
        <v>546</v>
      </c>
      <c r="B547" s="4" t="s">
        <v>8</v>
      </c>
      <c r="C547" s="4" t="s">
        <v>8</v>
      </c>
      <c r="D547" s="4" t="s">
        <v>1117</v>
      </c>
      <c r="E547" s="157">
        <v>45572</v>
      </c>
      <c r="F547" s="9">
        <f>IF($E547="","",WORKDAY($E547,1,$V$33:$V$41))</f>
        <v>45573</v>
      </c>
      <c r="G547" s="9">
        <f>IF($E547="","",WORKDAY($E547,10,$V$33:$V$41))</f>
        <v>45586</v>
      </c>
      <c r="H547" s="9">
        <f>IF($E547="","",WORKDAY($E547,20,$V$33:$V$41))</f>
        <v>45600</v>
      </c>
      <c r="I547" s="157" t="str">
        <f t="shared" si="9"/>
        <v>Oct</v>
      </c>
      <c r="J547" s="14" t="str">
        <f ca="1">IF(E547="","",IF(N547="",H547-TODAY(),""))</f>
        <v/>
      </c>
      <c r="K547" s="157" t="s">
        <v>4</v>
      </c>
      <c r="L547" s="157" t="s">
        <v>7</v>
      </c>
      <c r="M547" s="157" t="s">
        <v>31</v>
      </c>
      <c r="N547" s="9">
        <v>45588</v>
      </c>
      <c r="O547" s="159">
        <f>IF($N547="","",NETWORKDAYS($E547,$N547,$V$33:$V$47)-1)</f>
        <v>12</v>
      </c>
      <c r="P547" s="10" t="str">
        <f>IF(ISBLANK(N547),"",IF(N547&gt;H547,"No","Yes"))</f>
        <v>Yes</v>
      </c>
      <c r="Q547" s="9" t="s">
        <v>117</v>
      </c>
      <c r="R547" s="4" t="s">
        <v>118</v>
      </c>
      <c r="S547" s="4"/>
      <c r="T547" s="4"/>
      <c r="U547" s="6"/>
      <c r="V547" s="6"/>
      <c r="W547" s="6"/>
      <c r="X547" s="6"/>
      <c r="Y547" s="6"/>
      <c r="Z547" s="6"/>
      <c r="AX547" s="6" t="str">
        <v>Quarter 3</v>
      </c>
    </row>
    <row r="548" spans="1:50" ht="31.4" customHeight="1" x14ac:dyDescent="0.35">
      <c r="A548" s="162">
        <v>547</v>
      </c>
      <c r="B548" s="7" t="s">
        <v>8</v>
      </c>
      <c r="C548" s="7" t="s">
        <v>8</v>
      </c>
      <c r="D548" s="10" t="s">
        <v>1118</v>
      </c>
      <c r="E548" s="157">
        <v>45572</v>
      </c>
      <c r="F548" s="9">
        <f>IF($E548="","",WORKDAY($E548,1,$V$33:$V$41))</f>
        <v>45573</v>
      </c>
      <c r="G548" s="9">
        <f>IF($E548="","",WORKDAY($E548,10,$V$33:$V$41))</f>
        <v>45586</v>
      </c>
      <c r="H548" s="9">
        <f>IF($E548="","",WORKDAY($E548,20,$V$33:$V$41))</f>
        <v>45600</v>
      </c>
      <c r="I548" s="157" t="str">
        <f t="shared" si="9"/>
        <v>Oct</v>
      </c>
      <c r="J548" s="14" t="str">
        <f ca="1">IF(E548="","",IF(N548="",H548-TODAY(),""))</f>
        <v/>
      </c>
      <c r="K548" s="157" t="s">
        <v>4</v>
      </c>
      <c r="L548" s="157" t="s">
        <v>26</v>
      </c>
      <c r="M548" s="157" t="s">
        <v>93</v>
      </c>
      <c r="N548" s="9">
        <v>45579</v>
      </c>
      <c r="O548" s="159">
        <f>IF($N548="","",NETWORKDAYS($E548,$N548,$V$33:$V$47)-1)</f>
        <v>5</v>
      </c>
      <c r="P548" s="10" t="str">
        <f>IF(ISBLANK(N548),"",IF(N548&gt;H548,"No","Yes"))</f>
        <v>Yes</v>
      </c>
      <c r="Q548" s="9" t="s">
        <v>117</v>
      </c>
      <c r="R548" s="4" t="s">
        <v>118</v>
      </c>
      <c r="S548" s="4"/>
      <c r="T548" s="4"/>
      <c r="U548" s="6"/>
      <c r="V548" s="6"/>
      <c r="W548" s="6"/>
      <c r="X548" s="6"/>
      <c r="Y548" s="6"/>
      <c r="Z548" s="6"/>
      <c r="AX548" s="6" t="str">
        <v>Quarter 3</v>
      </c>
    </row>
    <row r="549" spans="1:50" ht="31.4" customHeight="1" x14ac:dyDescent="0.35">
      <c r="A549" s="162">
        <v>548</v>
      </c>
      <c r="B549" s="4" t="s">
        <v>8</v>
      </c>
      <c r="C549" s="4" t="s">
        <v>8</v>
      </c>
      <c r="D549" s="4" t="s">
        <v>1119</v>
      </c>
      <c r="E549" s="157">
        <v>45573</v>
      </c>
      <c r="F549" s="9">
        <f>IF($E549="","",WORKDAY($E549,1,$V$33:$V$41))</f>
        <v>45574</v>
      </c>
      <c r="G549" s="9">
        <f>IF($E549="","",WORKDAY($E549,10,$V$33:$V$41))</f>
        <v>45587</v>
      </c>
      <c r="H549" s="9">
        <f>IF($E549="","",WORKDAY($E549,20,$V$33:$V$41))</f>
        <v>45601</v>
      </c>
      <c r="I549" s="157" t="str">
        <f t="shared" si="9"/>
        <v>Oct</v>
      </c>
      <c r="J549" s="14" t="str">
        <f ca="1">IF(E549="","",IF(N549="",H549-TODAY(),""))</f>
        <v/>
      </c>
      <c r="K549" s="157" t="s">
        <v>124</v>
      </c>
      <c r="L549" s="157" t="s">
        <v>20</v>
      </c>
      <c r="M549" s="157" t="s">
        <v>92</v>
      </c>
      <c r="N549" s="9">
        <v>45573</v>
      </c>
      <c r="O549" s="159">
        <f>IF($N549="","",NETWORKDAYS($E549,$N549,$V$33:$V$47)-1)</f>
        <v>0</v>
      </c>
      <c r="P549" s="10" t="str">
        <f>IF(ISBLANK(N549),"",IF(N549&gt;H549,"No","Yes"))</f>
        <v>Yes</v>
      </c>
      <c r="Q549" s="9" t="s">
        <v>117</v>
      </c>
      <c r="R549" s="4" t="s">
        <v>118</v>
      </c>
      <c r="S549" s="4"/>
      <c r="T549" s="4"/>
      <c r="U549" s="6"/>
      <c r="V549" s="6"/>
      <c r="W549" s="6"/>
      <c r="X549" s="6"/>
      <c r="Y549" s="6"/>
      <c r="Z549" s="6"/>
      <c r="AX549" s="6" t="str">
        <v>Quarter 3</v>
      </c>
    </row>
    <row r="550" spans="1:50" ht="31.4" customHeight="1" x14ac:dyDescent="0.35">
      <c r="A550" s="162">
        <v>549</v>
      </c>
      <c r="B550" s="4" t="s">
        <v>152</v>
      </c>
      <c r="C550" s="4" t="s">
        <v>13</v>
      </c>
      <c r="D550" s="4" t="s">
        <v>1120</v>
      </c>
      <c r="E550" s="157">
        <v>45574</v>
      </c>
      <c r="F550" s="9">
        <f>IF($E550="","",WORKDAY($E550,1,$V$33:$V$41))</f>
        <v>45575</v>
      </c>
      <c r="G550" s="9">
        <f>IF($E550="","",WORKDAY($E550,10,$V$33:$V$41))</f>
        <v>45588</v>
      </c>
      <c r="H550" s="9">
        <f>IF($E550="","",WORKDAY($E550,20,$V$33:$V$41))</f>
        <v>45602</v>
      </c>
      <c r="I550" s="157" t="str">
        <f t="shared" si="9"/>
        <v>Oct</v>
      </c>
      <c r="J550" s="14" t="str">
        <f ca="1">IF(E550="","",IF(N550="",H550-TODAY(),""))</f>
        <v/>
      </c>
      <c r="K550" s="157" t="s">
        <v>10</v>
      </c>
      <c r="L550" s="157" t="s">
        <v>12</v>
      </c>
      <c r="M550" s="157" t="s">
        <v>91</v>
      </c>
      <c r="N550" s="9">
        <v>45588</v>
      </c>
      <c r="O550" s="159">
        <f>IF($N550="","",NETWORKDAYS($E550,$N550,$V$33:$V$47)-1)</f>
        <v>10</v>
      </c>
      <c r="P550" s="10" t="str">
        <f>IF(ISBLANK(N550),"",IF(N550&gt;H550,"No","Yes"))</f>
        <v>Yes</v>
      </c>
      <c r="Q550" s="9" t="s">
        <v>117</v>
      </c>
      <c r="R550" s="4" t="s">
        <v>118</v>
      </c>
      <c r="S550" s="4" t="s">
        <v>135</v>
      </c>
      <c r="T550" s="4"/>
      <c r="U550" s="6"/>
      <c r="V550" s="6"/>
      <c r="W550" s="6"/>
      <c r="X550" s="6"/>
      <c r="Y550" s="6"/>
      <c r="Z550" s="6"/>
      <c r="AX550" s="6" t="str">
        <v>Quarter 3</v>
      </c>
    </row>
    <row r="551" spans="1:50" ht="31.4" customHeight="1" x14ac:dyDescent="0.35">
      <c r="A551" s="162">
        <v>550</v>
      </c>
      <c r="B551" s="4" t="s">
        <v>1121</v>
      </c>
      <c r="C551" s="4" t="s">
        <v>13</v>
      </c>
      <c r="D551" s="4" t="s">
        <v>1122</v>
      </c>
      <c r="E551" s="157">
        <v>45574</v>
      </c>
      <c r="F551" s="9">
        <f>IF($E551="","",WORKDAY($E551,1,$V$33:$V$41))</f>
        <v>45575</v>
      </c>
      <c r="G551" s="9">
        <f>IF($E551="","",WORKDAY($E551,10,$V$33:$V$41))</f>
        <v>45588</v>
      </c>
      <c r="H551" s="9">
        <f>IF($E551="","",WORKDAY($E551,20,$V$33:$V$41))</f>
        <v>45602</v>
      </c>
      <c r="I551" s="157" t="str">
        <f t="shared" si="9"/>
        <v>Oct</v>
      </c>
      <c r="J551" s="14" t="str">
        <f ca="1">IF(E551="","",IF(N551="",H551-TODAY(),""))</f>
        <v/>
      </c>
      <c r="K551" s="157" t="s">
        <v>124</v>
      </c>
      <c r="L551" s="157" t="s">
        <v>20</v>
      </c>
      <c r="M551" s="157" t="s">
        <v>62</v>
      </c>
      <c r="N551" s="9">
        <v>45642</v>
      </c>
      <c r="O551" s="159">
        <f>IF($N551="","",NETWORKDAYS($E551,$N551,$V$33:$V$47)-1)</f>
        <v>48</v>
      </c>
      <c r="P551" s="10" t="str">
        <f>IF(ISBLANK(N551),"",IF(N551&gt;H551,"No","Yes"))</f>
        <v>No</v>
      </c>
      <c r="Q551" s="9" t="s">
        <v>117</v>
      </c>
      <c r="R551" s="4" t="s">
        <v>126</v>
      </c>
      <c r="S551" s="4" t="s">
        <v>120</v>
      </c>
      <c r="T551" s="4"/>
      <c r="U551" s="6"/>
      <c r="V551" s="6"/>
      <c r="W551" s="6"/>
      <c r="X551" s="6"/>
      <c r="Y551" s="6"/>
      <c r="Z551" s="6"/>
      <c r="AX551" s="6" t="str">
        <v>Quarter 3</v>
      </c>
    </row>
    <row r="552" spans="1:50" ht="31.4" customHeight="1" x14ac:dyDescent="0.35">
      <c r="A552" s="162">
        <v>551</v>
      </c>
      <c r="B552" s="4" t="s">
        <v>751</v>
      </c>
      <c r="C552" s="4" t="s">
        <v>6</v>
      </c>
      <c r="D552" s="4" t="s">
        <v>1123</v>
      </c>
      <c r="E552" s="157">
        <v>45574</v>
      </c>
      <c r="F552" s="9">
        <f>IF($E552="","",WORKDAY($E552,1,$V$33:$V$41))</f>
        <v>45575</v>
      </c>
      <c r="G552" s="9">
        <f>IF($E552="","",WORKDAY($E552,10,$V$33:$V$41))</f>
        <v>45588</v>
      </c>
      <c r="H552" s="9">
        <f>IF($E552="","",WORKDAY($E552,20,$V$33:$V$41))</f>
        <v>45602</v>
      </c>
      <c r="I552" s="157" t="str">
        <f t="shared" si="9"/>
        <v>Oct</v>
      </c>
      <c r="J552" s="14" t="str">
        <f ca="1">IF(E552="","",IF(N552="",H552-TODAY(),""))</f>
        <v/>
      </c>
      <c r="K552" s="157" t="s">
        <v>124</v>
      </c>
      <c r="L552" s="157" t="s">
        <v>20</v>
      </c>
      <c r="M552" s="157" t="s">
        <v>63</v>
      </c>
      <c r="N552" s="9">
        <v>45576</v>
      </c>
      <c r="O552" s="159">
        <f>IF($N552="","",NETWORKDAYS($E552,$N552,$V$33:$V$47)-1)</f>
        <v>2</v>
      </c>
      <c r="P552" s="10" t="str">
        <f>IF(ISBLANK(N552),"",IF(N552&gt;H552,"No","Yes"))</f>
        <v>Yes</v>
      </c>
      <c r="Q552" s="9" t="s">
        <v>117</v>
      </c>
      <c r="R552" s="4" t="s">
        <v>118</v>
      </c>
      <c r="S552" s="4"/>
      <c r="T552" s="4"/>
      <c r="U552" s="6"/>
      <c r="V552" s="6"/>
      <c r="W552" s="6"/>
      <c r="X552" s="6"/>
      <c r="Y552" s="6"/>
      <c r="Z552" s="6"/>
      <c r="AX552" s="6" t="str">
        <v>Quarter 3</v>
      </c>
    </row>
    <row r="553" spans="1:50" ht="31.4" customHeight="1" x14ac:dyDescent="0.35">
      <c r="A553" s="162">
        <v>552</v>
      </c>
      <c r="B553" s="7" t="s">
        <v>1124</v>
      </c>
      <c r="C553" s="7" t="s">
        <v>25</v>
      </c>
      <c r="D553" s="7" t="s">
        <v>1125</v>
      </c>
      <c r="E553" s="25">
        <v>45575</v>
      </c>
      <c r="F553" s="9">
        <f>IF($E553="","",WORKDAY($E553,1,$V$33:$V$41))</f>
        <v>45576</v>
      </c>
      <c r="G553" s="9">
        <f>IF($E553="","",WORKDAY($E553,10,$V$33:$V$41))</f>
        <v>45589</v>
      </c>
      <c r="H553" s="9">
        <f>IF($E553="","",WORKDAY($E553,20,$V$33:$V$41))</f>
        <v>45603</v>
      </c>
      <c r="I553" s="157" t="str">
        <f t="shared" si="9"/>
        <v>Oct</v>
      </c>
      <c r="J553" s="14" t="str">
        <f ca="1">IF(E553="","",IF(N553="",H553-TODAY(),""))</f>
        <v/>
      </c>
      <c r="K553" s="25" t="s">
        <v>124</v>
      </c>
      <c r="L553" s="157" t="s">
        <v>24</v>
      </c>
      <c r="M553" s="157" t="s">
        <v>87</v>
      </c>
      <c r="N553" s="9">
        <v>45586</v>
      </c>
      <c r="O553" s="159">
        <f>IF($N553="","",NETWORKDAYS($E553,$N553,$V$33:$V$47)-1)</f>
        <v>7</v>
      </c>
      <c r="P553" s="10" t="str">
        <f>IF(ISBLANK(N553),"",IF(N553&gt;H553,"No","Yes"))</f>
        <v>Yes</v>
      </c>
      <c r="Q553" s="9" t="s">
        <v>117</v>
      </c>
      <c r="R553" s="4" t="s">
        <v>118</v>
      </c>
      <c r="S553" s="4"/>
      <c r="T553" s="4" t="s">
        <v>141</v>
      </c>
      <c r="U553" s="6"/>
      <c r="V553" s="6"/>
      <c r="W553" s="6"/>
      <c r="X553" s="6"/>
      <c r="Y553" s="6"/>
      <c r="Z553" s="6"/>
      <c r="AX553" s="6" t="str">
        <v>Quarter 3</v>
      </c>
    </row>
    <row r="554" spans="1:50" ht="31.4" customHeight="1" x14ac:dyDescent="0.35">
      <c r="A554" s="162">
        <v>553</v>
      </c>
      <c r="B554" s="4" t="s">
        <v>1126</v>
      </c>
      <c r="C554" s="4" t="s">
        <v>13</v>
      </c>
      <c r="D554" s="4" t="s">
        <v>941</v>
      </c>
      <c r="E554" s="157">
        <v>45576</v>
      </c>
      <c r="F554" s="9">
        <f>IF($E554="","",WORKDAY($E554,1,$V$33:$V$41))</f>
        <v>45579</v>
      </c>
      <c r="G554" s="9">
        <f>IF($E554="","",WORKDAY($E554,10,$V$33:$V$41))</f>
        <v>45590</v>
      </c>
      <c r="H554" s="9">
        <f>IF($E554="","",WORKDAY($E554,20,$V$33:$V$41))</f>
        <v>45604</v>
      </c>
      <c r="I554" s="157" t="str">
        <f t="shared" si="9"/>
        <v>Oct</v>
      </c>
      <c r="J554" s="14" t="str">
        <f ca="1">IF(E554="","",IF(N554="",H554-TODAY(),""))</f>
        <v/>
      </c>
      <c r="K554" s="157" t="s">
        <v>124</v>
      </c>
      <c r="L554" s="157" t="s">
        <v>24</v>
      </c>
      <c r="M554" s="157" t="s">
        <v>76</v>
      </c>
      <c r="N554" s="9">
        <v>45579</v>
      </c>
      <c r="O554" s="159">
        <f>IF($N554="","",NETWORKDAYS($E554,$N554,$V$33:$V$47)-1)</f>
        <v>1</v>
      </c>
      <c r="P554" s="10" t="str">
        <f>IF(ISBLANK(N554),"",IF(N554&gt;H554,"No","Yes"))</f>
        <v>Yes</v>
      </c>
      <c r="Q554" s="9" t="s">
        <v>117</v>
      </c>
      <c r="R554" s="4" t="s">
        <v>126</v>
      </c>
      <c r="S554" s="4" t="s">
        <v>120</v>
      </c>
      <c r="T554" s="4" t="s">
        <v>2120</v>
      </c>
      <c r="U554" s="6"/>
      <c r="V554" s="6"/>
      <c r="W554" s="6"/>
      <c r="X554" s="6"/>
      <c r="Y554" s="6"/>
      <c r="Z554" s="6"/>
      <c r="AX554" s="6" t="str">
        <v>Quarter 3</v>
      </c>
    </row>
    <row r="555" spans="1:50" ht="31.4" customHeight="1" x14ac:dyDescent="0.35">
      <c r="A555" s="162">
        <v>554</v>
      </c>
      <c r="B555" s="4" t="s">
        <v>8</v>
      </c>
      <c r="C555" s="4" t="s">
        <v>8</v>
      </c>
      <c r="D555" s="4" t="s">
        <v>1018</v>
      </c>
      <c r="E555" s="157">
        <v>45576</v>
      </c>
      <c r="F555" s="9">
        <f>IF($E555="","",WORKDAY($E555,1,$V$33:$V$41))</f>
        <v>45579</v>
      </c>
      <c r="G555" s="9">
        <f>IF($E555="","",WORKDAY($E555,10,$V$33:$V$41))</f>
        <v>45590</v>
      </c>
      <c r="H555" s="9">
        <f>IF($E555="","",WORKDAY($E555,20,$V$33:$V$41))</f>
        <v>45604</v>
      </c>
      <c r="I555" s="157" t="str">
        <f t="shared" si="9"/>
        <v>Oct</v>
      </c>
      <c r="J555" s="14" t="str">
        <f ca="1">IF(E555="","",IF(N555="",H555-TODAY(),""))</f>
        <v/>
      </c>
      <c r="K555" s="157" t="s">
        <v>5</v>
      </c>
      <c r="L555" s="157" t="s">
        <v>16</v>
      </c>
      <c r="M555" s="157" t="s">
        <v>67</v>
      </c>
      <c r="N555" s="9">
        <v>45576</v>
      </c>
      <c r="O555" s="159">
        <f>IF($N555="","",NETWORKDAYS($E555,$N555,$V$33:$V$47)-1)</f>
        <v>0</v>
      </c>
      <c r="P555" s="10" t="str">
        <f>IF(ISBLANK(N555),"",IF(N555&gt;H555,"No","Yes"))</f>
        <v>Yes</v>
      </c>
      <c r="Q555" s="9" t="s">
        <v>117</v>
      </c>
      <c r="R555" s="4" t="s">
        <v>118</v>
      </c>
      <c r="S555" s="4" t="s">
        <v>135</v>
      </c>
      <c r="T555" s="4"/>
      <c r="U555" s="6"/>
      <c r="V555" s="6"/>
      <c r="W555" s="6"/>
      <c r="X555" s="6"/>
      <c r="Y555" s="6"/>
      <c r="Z555" s="6"/>
      <c r="AX555" s="6" t="str">
        <v>Quarter 3</v>
      </c>
    </row>
    <row r="556" spans="1:50" ht="31.4" customHeight="1" x14ac:dyDescent="0.35">
      <c r="A556" s="162">
        <v>555</v>
      </c>
      <c r="B556" s="4" t="s">
        <v>1127</v>
      </c>
      <c r="C556" s="4" t="s">
        <v>11</v>
      </c>
      <c r="D556" s="4" t="s">
        <v>1128</v>
      </c>
      <c r="E556" s="157">
        <v>45576</v>
      </c>
      <c r="F556" s="9">
        <f>IF($E556="","",WORKDAY($E556,1,$V$33:$V$41))</f>
        <v>45579</v>
      </c>
      <c r="G556" s="9">
        <f>IF($E556="","",WORKDAY($E556,10,$V$33:$V$41))</f>
        <v>45590</v>
      </c>
      <c r="H556" s="9">
        <f>IF($E556="","",WORKDAY($E556,20,$V$33:$V$41))</f>
        <v>45604</v>
      </c>
      <c r="I556" s="157" t="str">
        <f t="shared" si="9"/>
        <v>Oct</v>
      </c>
      <c r="J556" s="14" t="str">
        <f ca="1">IF(E556="","",IF(N556="",H556-TODAY(),""))</f>
        <v/>
      </c>
      <c r="K556" s="157" t="s">
        <v>5</v>
      </c>
      <c r="L556" s="157" t="s">
        <v>22</v>
      </c>
      <c r="M556" s="157" t="s">
        <v>64</v>
      </c>
      <c r="N556" s="9">
        <v>45593</v>
      </c>
      <c r="O556" s="159">
        <f>IF($N556="","",NETWORKDAYS($E556,$N556,$V$33:$V$47)-1)</f>
        <v>11</v>
      </c>
      <c r="P556" s="10" t="str">
        <f>IF(ISBLANK(N556),"",IF(N556&gt;H556,"No","Yes"))</f>
        <v>Yes</v>
      </c>
      <c r="Q556" s="9" t="s">
        <v>117</v>
      </c>
      <c r="R556" s="4" t="s">
        <v>118</v>
      </c>
      <c r="S556" s="4"/>
      <c r="T556" s="4"/>
      <c r="U556" s="6"/>
      <c r="V556" s="6"/>
      <c r="W556" s="6"/>
      <c r="X556" s="6"/>
      <c r="Y556" s="6"/>
      <c r="Z556" s="6"/>
      <c r="AX556" s="6" t="str">
        <v>Quarter 3</v>
      </c>
    </row>
    <row r="557" spans="1:50" ht="31.4" customHeight="1" x14ac:dyDescent="0.35">
      <c r="A557" s="162">
        <v>556</v>
      </c>
      <c r="B557" s="4" t="s">
        <v>1129</v>
      </c>
      <c r="C557" s="4" t="s">
        <v>13</v>
      </c>
      <c r="D557" s="4" t="s">
        <v>1130</v>
      </c>
      <c r="E557" s="157"/>
      <c r="F557" s="9" t="str">
        <f>IF($E557="","",WORKDAY($E557,1,$V$33:$V$41))</f>
        <v/>
      </c>
      <c r="G557" s="9" t="str">
        <f>IF($E557="","",WORKDAY($E557,10,$V$33:$V$41))</f>
        <v/>
      </c>
      <c r="H557" s="9" t="str">
        <f>IF($E557="","",WORKDAY($E557,20,$V$33:$V$41))</f>
        <v/>
      </c>
      <c r="I557" s="157" t="s">
        <v>1106</v>
      </c>
      <c r="J557" s="14" t="str">
        <f ca="1">IF(E557="","",IF(N557="",H557-TODAY(),""))</f>
        <v/>
      </c>
      <c r="K557" s="157" t="s">
        <v>124</v>
      </c>
      <c r="L557" s="157" t="s">
        <v>24</v>
      </c>
      <c r="M557" s="157" t="s">
        <v>53</v>
      </c>
      <c r="N557" s="9"/>
      <c r="O557" s="159" t="str">
        <f>IF($N557="","",NETWORKDAYS($E557,$N557,$V$33:$V$47)-1)</f>
        <v/>
      </c>
      <c r="P557" s="10" t="str">
        <f>IF(ISBLANK(N557),"",IF(N557&gt;H557,"No","Yes"))</f>
        <v/>
      </c>
      <c r="Q557" s="9" t="s">
        <v>133</v>
      </c>
      <c r="R557" s="4" t="s">
        <v>133</v>
      </c>
      <c r="S557" s="4"/>
      <c r="T557" s="4" t="s">
        <v>764</v>
      </c>
      <c r="U557" s="6"/>
      <c r="V557" s="6"/>
      <c r="W557" s="6"/>
      <c r="X557" s="6"/>
      <c r="Y557" s="6"/>
      <c r="Z557" s="6"/>
      <c r="AX557" s="6" t="str">
        <v>Quarter 3</v>
      </c>
    </row>
    <row r="558" spans="1:50" ht="31.4" customHeight="1" x14ac:dyDescent="0.35">
      <c r="A558" s="162">
        <v>557</v>
      </c>
      <c r="B558" s="4" t="s">
        <v>8</v>
      </c>
      <c r="C558" s="4" t="s">
        <v>8</v>
      </c>
      <c r="D558" s="4" t="s">
        <v>693</v>
      </c>
      <c r="E558" s="157">
        <v>45579</v>
      </c>
      <c r="F558" s="9">
        <f>IF($E558="","",WORKDAY($E558,1,$V$33:$V$41))</f>
        <v>45580</v>
      </c>
      <c r="G558" s="9">
        <f>IF($E558="","",WORKDAY($E558,10,$V$33:$V$41))</f>
        <v>45593</v>
      </c>
      <c r="H558" s="9">
        <f>IF($E558="","",WORKDAY($E558,20,$V$33:$V$41))</f>
        <v>45607</v>
      </c>
      <c r="I558" s="157" t="str">
        <f t="shared" si="9"/>
        <v>Oct</v>
      </c>
      <c r="J558" s="14" t="str">
        <f ca="1">IF(E558="","",IF(N558="",H558-TODAY(),""))</f>
        <v/>
      </c>
      <c r="K558" s="157" t="s">
        <v>124</v>
      </c>
      <c r="L558" s="157" t="s">
        <v>20</v>
      </c>
      <c r="M558" s="157" t="s">
        <v>70</v>
      </c>
      <c r="N558" s="9">
        <v>45579</v>
      </c>
      <c r="O558" s="159">
        <f>IF($N558="","",NETWORKDAYS($E558,$N558,$V$33:$V$47)-1)</f>
        <v>0</v>
      </c>
      <c r="P558" s="10" t="str">
        <f>IF(ISBLANK(N558),"",IF(N558&gt;H558,"No","Yes"))</f>
        <v>Yes</v>
      </c>
      <c r="Q558" s="9" t="s">
        <v>117</v>
      </c>
      <c r="R558" s="4" t="s">
        <v>126</v>
      </c>
      <c r="S558" s="4" t="s">
        <v>119</v>
      </c>
      <c r="T558" s="4"/>
      <c r="U558" s="6"/>
      <c r="V558" s="6"/>
      <c r="W558" s="6"/>
      <c r="X558" s="6"/>
      <c r="Y558" s="6"/>
      <c r="Z558" s="6"/>
      <c r="AX558" s="6" t="str">
        <v>Quarter 3</v>
      </c>
    </row>
    <row r="559" spans="1:50" ht="31.4" customHeight="1" x14ac:dyDescent="0.35">
      <c r="A559" s="162">
        <v>558</v>
      </c>
      <c r="B559" s="4" t="s">
        <v>1131</v>
      </c>
      <c r="C559" s="4" t="s">
        <v>13</v>
      </c>
      <c r="D559" s="4" t="s">
        <v>1132</v>
      </c>
      <c r="E559" s="157">
        <v>45582</v>
      </c>
      <c r="F559" s="9">
        <f>IF($E559="","",WORKDAY($E559,1,$V$33:$V$41))</f>
        <v>45583</v>
      </c>
      <c r="G559" s="9">
        <f>IF($E559="","",WORKDAY($E559,10,$V$33:$V$41))</f>
        <v>45596</v>
      </c>
      <c r="H559" s="9">
        <f>IF($E559="","",WORKDAY($E559,20,$V$33:$V$41))</f>
        <v>45610</v>
      </c>
      <c r="I559" s="157" t="str">
        <f t="shared" si="9"/>
        <v>Oct</v>
      </c>
      <c r="J559" s="14" t="str">
        <f ca="1">IF(E559="","",IF(N559="",H559-TODAY(),""))</f>
        <v/>
      </c>
      <c r="K559" s="157" t="s">
        <v>5</v>
      </c>
      <c r="L559" s="157" t="s">
        <v>16</v>
      </c>
      <c r="M559" s="157" t="s">
        <v>52</v>
      </c>
      <c r="N559" s="9">
        <v>45590</v>
      </c>
      <c r="O559" s="159">
        <f>IF($N559="","",NETWORKDAYS($E559,$N559,$V$33:$V$47)-1)</f>
        <v>6</v>
      </c>
      <c r="P559" s="10" t="str">
        <f>IF(ISBLANK(N559),"",IF(N559&gt;H559,"No","Yes"))</f>
        <v>Yes</v>
      </c>
      <c r="Q559" s="9" t="s">
        <v>117</v>
      </c>
      <c r="R559" s="4" t="s">
        <v>118</v>
      </c>
      <c r="S559" s="4"/>
      <c r="T559" s="4"/>
      <c r="U559" s="6"/>
      <c r="V559" s="6"/>
      <c r="W559" s="6"/>
      <c r="X559" s="6"/>
      <c r="Y559" s="6"/>
      <c r="Z559" s="6"/>
      <c r="AX559" s="6" t="str">
        <v>Quarter 3</v>
      </c>
    </row>
    <row r="560" spans="1:50" ht="31.4" customHeight="1" x14ac:dyDescent="0.35">
      <c r="A560" s="162">
        <v>559</v>
      </c>
      <c r="B560" s="4" t="s">
        <v>138</v>
      </c>
      <c r="C560" s="4" t="s">
        <v>19</v>
      </c>
      <c r="D560" s="4" t="s">
        <v>1133</v>
      </c>
      <c r="E560" s="157">
        <v>45579</v>
      </c>
      <c r="F560" s="9">
        <f>IF($E560="","",WORKDAY($E560,1,$V$33:$V$41))</f>
        <v>45580</v>
      </c>
      <c r="G560" s="9">
        <f>IF($E560="","",WORKDAY($E560,10,$V$33:$V$41))</f>
        <v>45593</v>
      </c>
      <c r="H560" s="9">
        <f>IF($E560="","",WORKDAY($E560,20,$V$33:$V$41))</f>
        <v>45607</v>
      </c>
      <c r="I560" s="157" t="str">
        <f t="shared" si="9"/>
        <v>Oct</v>
      </c>
      <c r="J560" s="14" t="str">
        <f ca="1">IF(E560="","",IF(N560="",H560-TODAY(),""))</f>
        <v/>
      </c>
      <c r="K560" s="157" t="s">
        <v>124</v>
      </c>
      <c r="L560" s="157" t="s">
        <v>24</v>
      </c>
      <c r="M560" s="157" t="s">
        <v>87</v>
      </c>
      <c r="N560" s="9">
        <v>45587</v>
      </c>
      <c r="O560" s="159">
        <f>IF($N560="","",NETWORKDAYS($E560,$N560,$V$33:$V$47)-1)</f>
        <v>6</v>
      </c>
      <c r="P560" s="10" t="str">
        <f>IF(ISBLANK(N560),"",IF(N560&gt;H560,"No","Yes"))</f>
        <v>Yes</v>
      </c>
      <c r="Q560" s="9" t="s">
        <v>117</v>
      </c>
      <c r="R560" s="4" t="s">
        <v>150</v>
      </c>
      <c r="S560" s="4"/>
      <c r="T560" s="4"/>
      <c r="U560" s="6"/>
      <c r="V560" s="6"/>
      <c r="W560" s="6"/>
      <c r="X560" s="6"/>
      <c r="Y560" s="6"/>
      <c r="Z560" s="6"/>
      <c r="AX560" s="6" t="str">
        <v>Quarter 3</v>
      </c>
    </row>
    <row r="561" spans="1:50" ht="31.4" customHeight="1" x14ac:dyDescent="0.35">
      <c r="A561" s="162">
        <v>560</v>
      </c>
      <c r="B561" s="4" t="s">
        <v>8</v>
      </c>
      <c r="C561" s="4" t="s">
        <v>8</v>
      </c>
      <c r="D561" s="4" t="s">
        <v>1134</v>
      </c>
      <c r="E561" s="157">
        <v>45580</v>
      </c>
      <c r="F561" s="9">
        <f>IF($E561="","",WORKDAY($E561,1,$V$33:$V$41))</f>
        <v>45581</v>
      </c>
      <c r="G561" s="9">
        <f>IF($E561="","",WORKDAY($E561,10,$V$33:$V$41))</f>
        <v>45594</v>
      </c>
      <c r="H561" s="9">
        <f>IF($E561="","",WORKDAY($E561,20,$V$33:$V$41))</f>
        <v>45608</v>
      </c>
      <c r="I561" s="157" t="str">
        <f t="shared" si="9"/>
        <v>Oct</v>
      </c>
      <c r="J561" s="14" t="str">
        <f ca="1">IF(E561="","",IF(N561="",H561-TODAY(),""))</f>
        <v/>
      </c>
      <c r="K561" s="25" t="s">
        <v>5</v>
      </c>
      <c r="L561" s="157" t="s">
        <v>18</v>
      </c>
      <c r="M561" s="157" t="s">
        <v>80</v>
      </c>
      <c r="N561" s="9">
        <v>45583</v>
      </c>
      <c r="O561" s="159">
        <f>IF($N561="","",NETWORKDAYS($E561,$N561,$V$33:$V$47)-1)</f>
        <v>3</v>
      </c>
      <c r="P561" s="10" t="str">
        <f>IF(ISBLANK(N561),"",IF(N561&gt;H561,"No","Yes"))</f>
        <v>Yes</v>
      </c>
      <c r="Q561" s="9" t="s">
        <v>117</v>
      </c>
      <c r="R561" s="4" t="s">
        <v>118</v>
      </c>
      <c r="S561" s="4"/>
      <c r="T561" s="4" t="s">
        <v>141</v>
      </c>
      <c r="U561" s="6"/>
      <c r="V561" s="6"/>
      <c r="W561" s="6"/>
      <c r="X561" s="6"/>
      <c r="Y561" s="6"/>
      <c r="Z561" s="6"/>
      <c r="AX561" s="6" t="str">
        <v>Quarter 3</v>
      </c>
    </row>
    <row r="562" spans="1:50" ht="31.4" customHeight="1" x14ac:dyDescent="0.35">
      <c r="A562" s="162">
        <v>561</v>
      </c>
      <c r="B562" s="7" t="s">
        <v>293</v>
      </c>
      <c r="C562" s="7" t="s">
        <v>6</v>
      </c>
      <c r="D562" s="7" t="s">
        <v>1135</v>
      </c>
      <c r="E562" s="25">
        <v>45581</v>
      </c>
      <c r="F562" s="9">
        <f>IF($E562="","",WORKDAY($E562,1,$V$33:$V$41))</f>
        <v>45582</v>
      </c>
      <c r="G562" s="9">
        <f>IF($E562="","",WORKDAY($E562,10,$V$33:$V$41))</f>
        <v>45595</v>
      </c>
      <c r="H562" s="9">
        <f>IF($E562="","",WORKDAY($E562,20,$V$33:$V$41))</f>
        <v>45609</v>
      </c>
      <c r="I562" s="157" t="str">
        <f t="shared" si="9"/>
        <v>Oct</v>
      </c>
      <c r="J562" s="14" t="str">
        <f ca="1">IF(E562="","",IF(N562="",H562-TODAY(),""))</f>
        <v/>
      </c>
      <c r="K562" s="25" t="s">
        <v>10</v>
      </c>
      <c r="L562" s="25" t="s">
        <v>27</v>
      </c>
      <c r="M562" s="25" t="s">
        <v>37</v>
      </c>
      <c r="N562" s="9">
        <v>45600</v>
      </c>
      <c r="O562" s="159">
        <f>IF($N562="","",NETWORKDAYS($E562,$N562,$V$33:$V$47)-1)</f>
        <v>13</v>
      </c>
      <c r="P562" s="10" t="str">
        <f>IF(ISBLANK(N562),"",IF(N562&gt;H562,"No","Yes"))</f>
        <v>Yes</v>
      </c>
      <c r="Q562" s="9" t="s">
        <v>117</v>
      </c>
      <c r="R562" s="4" t="s">
        <v>118</v>
      </c>
      <c r="S562" s="4"/>
      <c r="T562" s="4"/>
      <c r="U562" s="6"/>
      <c r="V562" s="6"/>
      <c r="W562" s="6"/>
      <c r="X562" s="6"/>
      <c r="Y562" s="6"/>
      <c r="Z562" s="6"/>
      <c r="AX562" s="6" t="str">
        <v>Quarter 3</v>
      </c>
    </row>
    <row r="563" spans="1:50" ht="31.4" customHeight="1" x14ac:dyDescent="0.35">
      <c r="A563" s="162">
        <v>562</v>
      </c>
      <c r="B563" s="4" t="s">
        <v>138</v>
      </c>
      <c r="C563" s="4" t="s">
        <v>19</v>
      </c>
      <c r="D563" s="4" t="s">
        <v>1136</v>
      </c>
      <c r="E563" s="157">
        <v>45581</v>
      </c>
      <c r="F563" s="9">
        <f>IF($E563="","",WORKDAY($E563,1,$V$33:$V$41))</f>
        <v>45582</v>
      </c>
      <c r="G563" s="9">
        <f>IF($E563="","",WORKDAY($E563,10,$V$33:$V$41))</f>
        <v>45595</v>
      </c>
      <c r="H563" s="9">
        <f>IF($E563="","",WORKDAY($E563,20,$V$33:$V$41))</f>
        <v>45609</v>
      </c>
      <c r="I563" s="157" t="str">
        <f t="shared" si="9"/>
        <v>Oct</v>
      </c>
      <c r="J563" s="14" t="str">
        <f ca="1">IF(E563="","",IF(N563="",H563-TODAY(),""))</f>
        <v/>
      </c>
      <c r="K563" s="157" t="s">
        <v>5</v>
      </c>
      <c r="L563" s="157" t="s">
        <v>22</v>
      </c>
      <c r="M563" s="157" t="s">
        <v>64</v>
      </c>
      <c r="N563" s="9">
        <v>45589</v>
      </c>
      <c r="O563" s="159">
        <f>IF($N563="","",NETWORKDAYS($E563,$N563,$V$33:$V$47)-1)</f>
        <v>6</v>
      </c>
      <c r="P563" s="10" t="str">
        <f>IF(ISBLANK(N563),"",IF(N563&gt;H563,"No","Yes"))</f>
        <v>Yes</v>
      </c>
      <c r="Q563" s="9" t="s">
        <v>117</v>
      </c>
      <c r="R563" s="4" t="s">
        <v>118</v>
      </c>
      <c r="S563" s="4"/>
      <c r="T563" s="4"/>
      <c r="U563" s="6"/>
      <c r="V563" s="6"/>
      <c r="W563" s="6"/>
      <c r="X563" s="6"/>
      <c r="Y563" s="6"/>
      <c r="Z563" s="6"/>
      <c r="AX563" s="6" t="str">
        <v>Quarter 3</v>
      </c>
    </row>
    <row r="564" spans="1:50" ht="31.4" customHeight="1" x14ac:dyDescent="0.35">
      <c r="A564" s="162">
        <v>563</v>
      </c>
      <c r="B564" s="4" t="s">
        <v>138</v>
      </c>
      <c r="C564" s="4" t="s">
        <v>19</v>
      </c>
      <c r="D564" s="4" t="s">
        <v>1137</v>
      </c>
      <c r="E564" s="157">
        <v>45581</v>
      </c>
      <c r="F564" s="9">
        <f>IF($E564="","",WORKDAY($E564,1,$V$33:$V$41))</f>
        <v>45582</v>
      </c>
      <c r="G564" s="9">
        <f>IF($E564="","",WORKDAY($E564,10,$V$33:$V$41))</f>
        <v>45595</v>
      </c>
      <c r="H564" s="9">
        <f>IF($E564="","",WORKDAY($E564,20,$V$33:$V$41))</f>
        <v>45609</v>
      </c>
      <c r="I564" s="157" t="str">
        <f t="shared" si="9"/>
        <v>Oct</v>
      </c>
      <c r="J564" s="14" t="str">
        <f ca="1">IF(E564="","",IF(N564="",H564-TODAY(),""))</f>
        <v/>
      </c>
      <c r="K564" s="157" t="s">
        <v>5</v>
      </c>
      <c r="L564" s="157" t="s">
        <v>18</v>
      </c>
      <c r="M564" s="157" t="s">
        <v>66</v>
      </c>
      <c r="N564" s="9">
        <v>45581</v>
      </c>
      <c r="O564" s="159">
        <f>IF($N564="","",NETWORKDAYS($E564,$N564,$V$33:$V$47)-1)</f>
        <v>0</v>
      </c>
      <c r="P564" s="10" t="str">
        <f>IF(ISBLANK(N564),"",IF(N564&gt;H564,"No","Yes"))</f>
        <v>Yes</v>
      </c>
      <c r="Q564" s="9" t="s">
        <v>117</v>
      </c>
      <c r="R564" s="4" t="s">
        <v>150</v>
      </c>
      <c r="S564" s="4"/>
      <c r="T564" s="4"/>
      <c r="U564" s="6"/>
      <c r="V564" s="6"/>
      <c r="W564" s="6"/>
      <c r="X564" s="6"/>
      <c r="Y564" s="6"/>
      <c r="Z564" s="6"/>
      <c r="AX564" s="6" t="str">
        <v>Quarter 3</v>
      </c>
    </row>
    <row r="565" spans="1:50" ht="31.4" customHeight="1" x14ac:dyDescent="0.35">
      <c r="A565" s="162">
        <v>564</v>
      </c>
      <c r="B565" s="4" t="s">
        <v>138</v>
      </c>
      <c r="C565" s="4" t="s">
        <v>19</v>
      </c>
      <c r="D565" s="4" t="s">
        <v>1138</v>
      </c>
      <c r="E565" s="157">
        <v>45581</v>
      </c>
      <c r="F565" s="9">
        <f>IF($E565="","",WORKDAY($E565,1,$V$33:$V$41))</f>
        <v>45582</v>
      </c>
      <c r="G565" s="9">
        <f>IF($E565="","",WORKDAY($E565,10,$V$33:$V$41))</f>
        <v>45595</v>
      </c>
      <c r="H565" s="9">
        <f>IF($E565="","",WORKDAY($E565,20,$V$33:$V$41))</f>
        <v>45609</v>
      </c>
      <c r="I565" s="157" t="str">
        <f t="shared" si="9"/>
        <v>Oct</v>
      </c>
      <c r="J565" s="14" t="str">
        <f ca="1">IF(E565="","",IF(N565="",H565-TODAY(),""))</f>
        <v/>
      </c>
      <c r="K565" s="157" t="s">
        <v>10</v>
      </c>
      <c r="L565" s="157" t="s">
        <v>12</v>
      </c>
      <c r="M565" s="157" t="s">
        <v>30</v>
      </c>
      <c r="N565" s="9">
        <v>45582</v>
      </c>
      <c r="O565" s="159">
        <f>IF($N565="","",NETWORKDAYS($E565,$N565,$V$33:$V$47)-1)</f>
        <v>1</v>
      </c>
      <c r="P565" s="10" t="str">
        <f>IF(ISBLANK(N565),"",IF(N565&gt;H565,"No","Yes"))</f>
        <v>Yes</v>
      </c>
      <c r="Q565" s="9" t="s">
        <v>117</v>
      </c>
      <c r="R565" s="4" t="s">
        <v>118</v>
      </c>
      <c r="S565" s="4"/>
      <c r="T565" s="4"/>
      <c r="U565" s="6"/>
      <c r="V565" s="6"/>
      <c r="W565" s="6"/>
      <c r="X565" s="6"/>
      <c r="Y565" s="6"/>
      <c r="Z565" s="6"/>
      <c r="AX565" s="6" t="str">
        <v>Quarter 3</v>
      </c>
    </row>
    <row r="566" spans="1:50" ht="31.4" customHeight="1" x14ac:dyDescent="0.35">
      <c r="A566" s="162">
        <v>565</v>
      </c>
      <c r="B566" s="4" t="s">
        <v>138</v>
      </c>
      <c r="C566" s="4" t="s">
        <v>19</v>
      </c>
      <c r="D566" s="4" t="s">
        <v>790</v>
      </c>
      <c r="E566" s="157">
        <v>45581</v>
      </c>
      <c r="F566" s="9">
        <f>IF($E566="","",WORKDAY($E566,1,$V$33:$V$41))</f>
        <v>45582</v>
      </c>
      <c r="G566" s="9">
        <f>IF($E566="","",WORKDAY($E566,10,$V$33:$V$41))</f>
        <v>45595</v>
      </c>
      <c r="H566" s="9">
        <f>IF($E566="","",WORKDAY($E566,20,$V$33:$V$41))</f>
        <v>45609</v>
      </c>
      <c r="I566" s="157" t="str">
        <f t="shared" si="9"/>
        <v>Oct</v>
      </c>
      <c r="J566" s="14" t="str">
        <f ca="1">IF(E566="","",IF(N566="",H566-TODAY(),""))</f>
        <v/>
      </c>
      <c r="K566" s="157" t="s">
        <v>5</v>
      </c>
      <c r="L566" s="157" t="s">
        <v>18</v>
      </c>
      <c r="M566" s="157" t="s">
        <v>66</v>
      </c>
      <c r="N566" s="9">
        <v>45581</v>
      </c>
      <c r="O566" s="159">
        <f>IF($N566="","",NETWORKDAYS($E566,$N566,$V$33:$V$47)-1)</f>
        <v>0</v>
      </c>
      <c r="P566" s="10" t="str">
        <f>IF(ISBLANK(N566),"",IF(N566&gt;H566,"No","Yes"))</f>
        <v>Yes</v>
      </c>
      <c r="Q566" s="9" t="s">
        <v>117</v>
      </c>
      <c r="R566" s="4" t="s">
        <v>132</v>
      </c>
      <c r="S566" s="4" t="s">
        <v>134</v>
      </c>
      <c r="T566" s="4"/>
      <c r="U566" s="6"/>
      <c r="V566" s="6"/>
      <c r="W566" s="6"/>
      <c r="X566" s="6"/>
      <c r="Y566" s="6"/>
      <c r="Z566" s="6"/>
      <c r="AX566" s="6" t="str">
        <v>Quarter 3</v>
      </c>
    </row>
    <row r="567" spans="1:50" ht="31.4" customHeight="1" x14ac:dyDescent="0.35">
      <c r="A567" s="162">
        <v>566</v>
      </c>
      <c r="B567" s="4" t="s">
        <v>138</v>
      </c>
      <c r="C567" s="4" t="s">
        <v>19</v>
      </c>
      <c r="D567" s="4" t="s">
        <v>1139</v>
      </c>
      <c r="E567" s="157">
        <v>45581</v>
      </c>
      <c r="F567" s="9">
        <f>IF($E567="","",WORKDAY($E567,1,$V$33:$V$41))</f>
        <v>45582</v>
      </c>
      <c r="G567" s="9">
        <f>IF($E567="","",WORKDAY($E567,10,$V$33:$V$41))</f>
        <v>45595</v>
      </c>
      <c r="H567" s="9">
        <f>IF($E567="","",WORKDAY($E567,20,$V$33:$V$41))</f>
        <v>45609</v>
      </c>
      <c r="I567" s="157" t="str">
        <f t="shared" si="9"/>
        <v>Oct</v>
      </c>
      <c r="J567" s="14" t="str">
        <f ca="1">IF(E567="","",IF(N567="",H567-TODAY(),""))</f>
        <v/>
      </c>
      <c r="K567" s="157" t="s">
        <v>124</v>
      </c>
      <c r="L567" s="157" t="s">
        <v>20</v>
      </c>
      <c r="M567" s="157" t="s">
        <v>92</v>
      </c>
      <c r="N567" s="9">
        <v>45583</v>
      </c>
      <c r="O567" s="159">
        <f>IF($N567="","",NETWORKDAYS($E567,$N567,$V$33:$V$47)-1)</f>
        <v>2</v>
      </c>
      <c r="P567" s="10" t="str">
        <f>IF(ISBLANK(N567),"",IF(N567&gt;H567,"No","Yes"))</f>
        <v>Yes</v>
      </c>
      <c r="Q567" s="9" t="s">
        <v>117</v>
      </c>
      <c r="R567" s="4" t="s">
        <v>118</v>
      </c>
      <c r="S567" s="4"/>
      <c r="T567" s="4"/>
      <c r="U567" s="6"/>
      <c r="V567" s="6"/>
      <c r="W567" s="6"/>
      <c r="X567" s="6"/>
      <c r="Y567" s="6"/>
      <c r="Z567" s="6"/>
      <c r="AX567" s="6" t="str">
        <v>Quarter 3</v>
      </c>
    </row>
    <row r="568" spans="1:50" ht="31.4" customHeight="1" x14ac:dyDescent="0.35">
      <c r="A568" s="162">
        <v>567</v>
      </c>
      <c r="B568" s="4" t="s">
        <v>1140</v>
      </c>
      <c r="C568" s="4" t="s">
        <v>17</v>
      </c>
      <c r="D568" s="4" t="s">
        <v>1141</v>
      </c>
      <c r="E568" s="157">
        <v>45581</v>
      </c>
      <c r="F568" s="9">
        <f>IF($E568="","",WORKDAY($E568,1,$V$33:$V$41))</f>
        <v>45582</v>
      </c>
      <c r="G568" s="9">
        <f>IF($E568="","",WORKDAY($E568,10,$V$33:$V$41))</f>
        <v>45595</v>
      </c>
      <c r="H568" s="9">
        <f>IF($E568="","",WORKDAY($E568,20,$V$33:$V$41))</f>
        <v>45609</v>
      </c>
      <c r="I568" s="157" t="s">
        <v>1106</v>
      </c>
      <c r="J568" s="14" t="str">
        <f ca="1">IF(E568="","",IF(N568="",H568-TODAY(),""))</f>
        <v/>
      </c>
      <c r="K568" s="157" t="s">
        <v>124</v>
      </c>
      <c r="L568" s="157" t="s">
        <v>20</v>
      </c>
      <c r="M568" s="157" t="s">
        <v>35</v>
      </c>
      <c r="N568" s="9">
        <v>45600</v>
      </c>
      <c r="O568" s="159">
        <f>IF($N568="","",NETWORKDAYS($E568,$N568,$V$33:$V$47)-1)</f>
        <v>13</v>
      </c>
      <c r="P568" s="10" t="str">
        <f>IF(ISBLANK(N568),"",IF(N568&gt;H568,"No","Yes"))</f>
        <v>Yes</v>
      </c>
      <c r="Q568" s="9" t="s">
        <v>117</v>
      </c>
      <c r="R568" s="4" t="s">
        <v>150</v>
      </c>
      <c r="S568" s="4"/>
      <c r="T568" s="4"/>
      <c r="U568" s="6"/>
      <c r="V568" s="6"/>
      <c r="W568" s="6"/>
      <c r="X568" s="6"/>
      <c r="Y568" s="6"/>
      <c r="Z568" s="6"/>
      <c r="AX568" s="6" t="str">
        <v>Quarter 3</v>
      </c>
    </row>
    <row r="569" spans="1:50" ht="31.4" customHeight="1" x14ac:dyDescent="0.35">
      <c r="A569" s="162">
        <v>568</v>
      </c>
      <c r="B569" s="4" t="s">
        <v>8</v>
      </c>
      <c r="C569" s="4" t="s">
        <v>8</v>
      </c>
      <c r="D569" s="4" t="s">
        <v>1142</v>
      </c>
      <c r="E569" s="157">
        <v>45582</v>
      </c>
      <c r="F569" s="9">
        <f>IF($E569="","",WORKDAY($E569,1,$V$33:$V$41))</f>
        <v>45583</v>
      </c>
      <c r="G569" s="9">
        <f>IF($E569="","",WORKDAY($E569,10,$V$33:$V$41))</f>
        <v>45596</v>
      </c>
      <c r="H569" s="9">
        <f>IF($E569="","",WORKDAY($E569,20,$V$33:$V$41))</f>
        <v>45610</v>
      </c>
      <c r="I569" s="157" t="str">
        <f t="shared" si="9"/>
        <v>Oct</v>
      </c>
      <c r="J569" s="14" t="str">
        <f ca="1">IF(E569="","",IF(N569="",H569-TODAY(),""))</f>
        <v/>
      </c>
      <c r="K569" s="157" t="s">
        <v>124</v>
      </c>
      <c r="L569" s="157" t="s">
        <v>14</v>
      </c>
      <c r="M569" s="157" t="s">
        <v>81</v>
      </c>
      <c r="N569" s="9">
        <v>45604</v>
      </c>
      <c r="O569" s="159">
        <f>IF($N569="","",NETWORKDAYS($E569,$N569,$V$33:$V$47)-1)</f>
        <v>16</v>
      </c>
      <c r="P569" s="10" t="str">
        <f>IF(ISBLANK(N569),"",IF(N569&gt;H569,"No","Yes"))</f>
        <v>Yes</v>
      </c>
      <c r="Q569" s="9" t="s">
        <v>117</v>
      </c>
      <c r="R569" s="4" t="s">
        <v>118</v>
      </c>
      <c r="S569" s="4"/>
      <c r="T569" s="4"/>
      <c r="U569" s="6"/>
      <c r="V569" s="6"/>
      <c r="W569" s="6"/>
      <c r="X569" s="6"/>
      <c r="Y569" s="6"/>
      <c r="Z569" s="6"/>
      <c r="AX569" s="6" t="str">
        <v>Quarter 3</v>
      </c>
    </row>
    <row r="570" spans="1:50" ht="31.4" customHeight="1" x14ac:dyDescent="0.35">
      <c r="A570" s="162">
        <v>569</v>
      </c>
      <c r="B570" s="4" t="s">
        <v>272</v>
      </c>
      <c r="C570" s="4" t="s">
        <v>6</v>
      </c>
      <c r="D570" s="4" t="s">
        <v>1143</v>
      </c>
      <c r="E570" s="157">
        <v>45582</v>
      </c>
      <c r="F570" s="9">
        <f>IF($E570="","",WORKDAY($E570,1,$V$33:$V$41))</f>
        <v>45583</v>
      </c>
      <c r="G570" s="9">
        <f>IF($E570="","",WORKDAY($E570,10,$V$33:$V$41))</f>
        <v>45596</v>
      </c>
      <c r="H570" s="9">
        <f>IF($E570="","",WORKDAY($E570,20,$V$33:$V$41))</f>
        <v>45610</v>
      </c>
      <c r="I570" s="157" t="str">
        <f t="shared" si="9"/>
        <v>Oct</v>
      </c>
      <c r="J570" s="14" t="str">
        <f ca="1">IF(E570="","",IF(N570="",H570-TODAY(),""))</f>
        <v/>
      </c>
      <c r="K570" s="157" t="s">
        <v>124</v>
      </c>
      <c r="L570" s="157" t="s">
        <v>20</v>
      </c>
      <c r="M570" s="157" t="s">
        <v>62</v>
      </c>
      <c r="N570" s="9">
        <v>45582</v>
      </c>
      <c r="O570" s="159">
        <f>IF($N570="","",NETWORKDAYS($E570,$N570,$V$33:$V$47)-1)</f>
        <v>0</v>
      </c>
      <c r="P570" s="10" t="str">
        <f>IF(ISBLANK(N570),"",IF(N570&gt;H570,"No","Yes"))</f>
        <v>Yes</v>
      </c>
      <c r="Q570" s="9" t="s">
        <v>117</v>
      </c>
      <c r="R570" s="4" t="s">
        <v>118</v>
      </c>
      <c r="S570" s="4"/>
      <c r="T570" s="4"/>
      <c r="U570" s="6"/>
      <c r="V570" s="6"/>
      <c r="W570" s="6"/>
      <c r="X570" s="6"/>
      <c r="Y570" s="6"/>
      <c r="Z570" s="6"/>
      <c r="AX570" s="6" t="str">
        <v>Quarter 3</v>
      </c>
    </row>
    <row r="571" spans="1:50" ht="31.4" customHeight="1" x14ac:dyDescent="0.35">
      <c r="A571" s="162">
        <v>570</v>
      </c>
      <c r="B571" s="4" t="s">
        <v>1144</v>
      </c>
      <c r="C571" s="4" t="s">
        <v>6</v>
      </c>
      <c r="D571" s="4" t="s">
        <v>1145</v>
      </c>
      <c r="E571" s="157">
        <v>45582</v>
      </c>
      <c r="F571" s="9">
        <f>IF($E571="","",WORKDAY($E571,1,$V$33:$V$41))</f>
        <v>45583</v>
      </c>
      <c r="G571" s="9">
        <f>IF($E571="","",WORKDAY($E571,10,$V$33:$V$41))</f>
        <v>45596</v>
      </c>
      <c r="H571" s="9">
        <f>IF($E571="","",WORKDAY($E571,20,$V$33:$V$41))</f>
        <v>45610</v>
      </c>
      <c r="I571" s="157" t="str">
        <f t="shared" si="9"/>
        <v>Oct</v>
      </c>
      <c r="J571" s="14" t="str">
        <f ca="1">IF(E571="","",IF(N571="",H571-TODAY(),""))</f>
        <v/>
      </c>
      <c r="K571" s="157" t="s">
        <v>5</v>
      </c>
      <c r="L571" s="157" t="s">
        <v>16</v>
      </c>
      <c r="M571" s="157" t="s">
        <v>71</v>
      </c>
      <c r="N571" s="9">
        <v>45600</v>
      </c>
      <c r="O571" s="159">
        <f>IF($N571="","",NETWORKDAYS($E571,$N571,$V$33:$V$47)-1)</f>
        <v>12</v>
      </c>
      <c r="P571" s="10" t="str">
        <f>IF(ISBLANK(N571),"",IF(N571&gt;H571,"No","Yes"))</f>
        <v>Yes</v>
      </c>
      <c r="Q571" s="9" t="s">
        <v>117</v>
      </c>
      <c r="R571" s="4" t="s">
        <v>118</v>
      </c>
      <c r="S571" s="4"/>
      <c r="T571" s="4"/>
      <c r="U571" s="6"/>
      <c r="V571" s="6"/>
      <c r="W571" s="6"/>
      <c r="X571" s="6"/>
      <c r="Y571" s="6"/>
      <c r="Z571" s="6"/>
      <c r="AX571" s="6" t="str">
        <v>Quarter 3</v>
      </c>
    </row>
    <row r="572" spans="1:50" ht="31.4" customHeight="1" x14ac:dyDescent="0.35">
      <c r="A572" s="162">
        <v>571</v>
      </c>
      <c r="B572" s="4" t="s">
        <v>771</v>
      </c>
      <c r="C572" s="4" t="s">
        <v>23</v>
      </c>
      <c r="D572" s="4" t="s">
        <v>1146</v>
      </c>
      <c r="E572" s="157">
        <v>45583</v>
      </c>
      <c r="F572" s="9">
        <f>IF($E572="","",WORKDAY($E572,1,$V$33:$V$41))</f>
        <v>45586</v>
      </c>
      <c r="G572" s="9">
        <f>IF($E572="","",WORKDAY($E572,10,$V$33:$V$41))</f>
        <v>45597</v>
      </c>
      <c r="H572" s="9">
        <f>IF($E572="","",WORKDAY($E572,20,$V$33:$V$41))</f>
        <v>45611</v>
      </c>
      <c r="I572" s="157" t="str">
        <f t="shared" si="9"/>
        <v>Oct</v>
      </c>
      <c r="J572" s="14" t="str">
        <f ca="1">IF(E572="","",IF(N572="",H572-TODAY(),""))</f>
        <v/>
      </c>
      <c r="K572" s="157" t="s">
        <v>5</v>
      </c>
      <c r="L572" s="157" t="s">
        <v>16</v>
      </c>
      <c r="M572" s="157" t="s">
        <v>67</v>
      </c>
      <c r="N572" s="9">
        <v>45593</v>
      </c>
      <c r="O572" s="159">
        <f>IF($N572="","",NETWORKDAYS($E572,$N572,$V$33:$V$47)-1)</f>
        <v>6</v>
      </c>
      <c r="P572" s="10" t="str">
        <f>IF(ISBLANK(N572),"",IF(N572&gt;H572,"No","Yes"))</f>
        <v>Yes</v>
      </c>
      <c r="Q572" s="9" t="s">
        <v>117</v>
      </c>
      <c r="R572" s="4" t="s">
        <v>118</v>
      </c>
      <c r="S572" s="4" t="s">
        <v>119</v>
      </c>
      <c r="T572" s="4"/>
      <c r="U572" s="6"/>
      <c r="V572" s="6"/>
      <c r="W572" s="6"/>
      <c r="X572" s="6"/>
      <c r="Y572" s="6"/>
      <c r="Z572" s="6"/>
      <c r="AX572" s="6" t="str">
        <v>Quarter 3</v>
      </c>
    </row>
    <row r="573" spans="1:50" ht="31.4" customHeight="1" x14ac:dyDescent="0.35">
      <c r="A573" s="162">
        <v>572</v>
      </c>
      <c r="B573" s="4" t="s">
        <v>8</v>
      </c>
      <c r="C573" s="4" t="s">
        <v>8</v>
      </c>
      <c r="D573" s="4" t="s">
        <v>1147</v>
      </c>
      <c r="E573" s="157">
        <v>45583</v>
      </c>
      <c r="F573" s="9">
        <f>IF($E573="","",WORKDAY($E573,1,$V$33:$V$41))</f>
        <v>45586</v>
      </c>
      <c r="G573" s="9">
        <f>IF($E573="","",WORKDAY($E573,10,$V$33:$V$41))</f>
        <v>45597</v>
      </c>
      <c r="H573" s="9">
        <f>IF($E573="","",WORKDAY($E573,20,$V$33:$V$41))</f>
        <v>45611</v>
      </c>
      <c r="I573" s="157" t="str">
        <f t="shared" si="9"/>
        <v>Oct</v>
      </c>
      <c r="J573" s="14" t="str">
        <f ca="1">IF(E573="","",IF(N573="",H573-TODAY(),""))</f>
        <v/>
      </c>
      <c r="K573" s="157" t="s">
        <v>124</v>
      </c>
      <c r="L573" s="157" t="s">
        <v>20</v>
      </c>
      <c r="M573" s="157" t="s">
        <v>70</v>
      </c>
      <c r="N573" s="9">
        <v>45587</v>
      </c>
      <c r="O573" s="159">
        <f>IF($N573="","",NETWORKDAYS($E573,$N573,$V$33:$V$47)-1)</f>
        <v>2</v>
      </c>
      <c r="P573" s="10" t="str">
        <f>IF(ISBLANK(N573),"",IF(N573&gt;H573,"No","Yes"))</f>
        <v>Yes</v>
      </c>
      <c r="Q573" s="9" t="s">
        <v>117</v>
      </c>
      <c r="R573" s="4" t="s">
        <v>150</v>
      </c>
      <c r="S573" s="4"/>
      <c r="T573" s="4"/>
      <c r="U573" s="6"/>
      <c r="V573" s="6"/>
      <c r="W573" s="6"/>
      <c r="X573" s="6"/>
      <c r="Y573" s="6"/>
      <c r="Z573" s="6"/>
      <c r="AX573" s="6" t="str">
        <v>Quarter 3</v>
      </c>
    </row>
    <row r="574" spans="1:50" ht="31.4" customHeight="1" x14ac:dyDescent="0.35">
      <c r="A574" s="162">
        <v>573</v>
      </c>
      <c r="B574" s="4" t="s">
        <v>174</v>
      </c>
      <c r="C574" s="4" t="s">
        <v>23</v>
      </c>
      <c r="D574" s="4" t="s">
        <v>1148</v>
      </c>
      <c r="E574" s="157">
        <v>45583</v>
      </c>
      <c r="F574" s="9">
        <f>IF($E574="","",WORKDAY($E574,1,$V$33:$V$41))</f>
        <v>45586</v>
      </c>
      <c r="G574" s="9">
        <f>IF($E574="","",WORKDAY($E574,10,$V$33:$V$41))</f>
        <v>45597</v>
      </c>
      <c r="H574" s="9">
        <f>IF($E574="","",WORKDAY($E574,20,$V$33:$V$41))</f>
        <v>45611</v>
      </c>
      <c r="I574" s="157" t="str">
        <f t="shared" si="9"/>
        <v>Oct</v>
      </c>
      <c r="J574" s="14" t="str">
        <f ca="1">IF(E574="","",IF(N574="",H574-TODAY(),""))</f>
        <v/>
      </c>
      <c r="K574" s="157" t="s">
        <v>5</v>
      </c>
      <c r="L574" s="157" t="s">
        <v>22</v>
      </c>
      <c r="M574" s="157" t="s">
        <v>64</v>
      </c>
      <c r="N574" s="9">
        <v>45595</v>
      </c>
      <c r="O574" s="159">
        <f>IF($N574="","",NETWORKDAYS($E574,$N574,$V$33:$V$47)-1)</f>
        <v>8</v>
      </c>
      <c r="P574" s="10" t="str">
        <f>IF(ISBLANK(N574),"",IF(N574&gt;H574,"No","Yes"))</f>
        <v>Yes</v>
      </c>
      <c r="Q574" s="9" t="s">
        <v>117</v>
      </c>
      <c r="R574" s="4" t="s">
        <v>118</v>
      </c>
      <c r="S574" s="4"/>
      <c r="T574" s="4"/>
      <c r="U574" s="6"/>
      <c r="V574" s="6"/>
      <c r="W574" s="6"/>
      <c r="X574" s="6"/>
      <c r="Y574" s="6"/>
      <c r="Z574" s="6"/>
      <c r="AX574" s="6" t="str">
        <v>Quarter 3</v>
      </c>
    </row>
    <row r="575" spans="1:50" ht="31.4" customHeight="1" x14ac:dyDescent="0.35">
      <c r="A575" s="162">
        <v>574</v>
      </c>
      <c r="B575" s="4" t="s">
        <v>1149</v>
      </c>
      <c r="C575" s="4" t="s">
        <v>13</v>
      </c>
      <c r="D575" s="4" t="s">
        <v>1150</v>
      </c>
      <c r="E575" s="157"/>
      <c r="F575" s="9"/>
      <c r="G575" s="9"/>
      <c r="H575" s="9"/>
      <c r="I575" s="157" t="s">
        <v>1106</v>
      </c>
      <c r="J575" s="14" t="str">
        <f ca="1">IF(E575="","",IF(N575="",H575-TODAY(),""))</f>
        <v/>
      </c>
      <c r="K575" s="157" t="s">
        <v>4</v>
      </c>
      <c r="L575" s="157" t="s">
        <v>7</v>
      </c>
      <c r="M575" s="157" t="s">
        <v>31</v>
      </c>
      <c r="N575" s="9"/>
      <c r="O575" s="159" t="str">
        <f>IF($N575="","",NETWORKDAYS($E575,$N575,$V$33:$V$47)-1)</f>
        <v/>
      </c>
      <c r="P575" s="10" t="str">
        <f>IF(ISBLANK(N575),"",IF(N575&gt;H575,"No","Yes"))</f>
        <v/>
      </c>
      <c r="Q575" s="9" t="s">
        <v>140</v>
      </c>
      <c r="R575" s="4" t="s">
        <v>140</v>
      </c>
      <c r="S575" s="4"/>
      <c r="T575" s="4" t="s">
        <v>1151</v>
      </c>
      <c r="U575" s="6"/>
      <c r="V575" s="6"/>
      <c r="W575" s="6"/>
      <c r="X575" s="6"/>
      <c r="Y575" s="6"/>
      <c r="Z575" s="6"/>
      <c r="AX575" s="6" t="str">
        <v>Quarter 3</v>
      </c>
    </row>
    <row r="576" spans="1:50" ht="31.4" customHeight="1" x14ac:dyDescent="0.35">
      <c r="A576" s="162">
        <v>575</v>
      </c>
      <c r="B576" s="4" t="s">
        <v>8</v>
      </c>
      <c r="C576" s="4" t="s">
        <v>8</v>
      </c>
      <c r="D576" s="4" t="s">
        <v>1152</v>
      </c>
      <c r="E576" s="157">
        <v>45583</v>
      </c>
      <c r="F576" s="9">
        <f>IF($E576="","",WORKDAY($E576,1,$V$33:$V$41))</f>
        <v>45586</v>
      </c>
      <c r="G576" s="9">
        <f>IF($E576="","",WORKDAY($E576,10,$V$33:$V$41))</f>
        <v>45597</v>
      </c>
      <c r="H576" s="9">
        <f>IF($E576="","",WORKDAY($E576,20,$V$33:$V$41))</f>
        <v>45611</v>
      </c>
      <c r="I576" s="157" t="str">
        <f t="shared" si="9"/>
        <v>Oct</v>
      </c>
      <c r="J576" s="14" t="str">
        <f ca="1">IF(E576="","",IF(N576="",H576-TODAY(),""))</f>
        <v/>
      </c>
      <c r="K576" s="157" t="s">
        <v>10</v>
      </c>
      <c r="L576" s="157" t="s">
        <v>27</v>
      </c>
      <c r="M576" s="157" t="s">
        <v>38</v>
      </c>
      <c r="N576" s="9">
        <v>45600</v>
      </c>
      <c r="O576" s="159">
        <f>IF($N576="","",NETWORKDAYS($E576,$N576,$V$33:$V$47)-1)</f>
        <v>11</v>
      </c>
      <c r="P576" s="10" t="str">
        <f>IF(ISBLANK(N576),"",IF(N576&gt;H576,"No","Yes"))</f>
        <v>Yes</v>
      </c>
      <c r="Q576" s="9" t="s">
        <v>117</v>
      </c>
      <c r="R576" s="4" t="s">
        <v>118</v>
      </c>
      <c r="S576" s="4"/>
      <c r="T576" s="4"/>
      <c r="U576" s="6"/>
      <c r="V576" s="6"/>
      <c r="W576" s="6"/>
      <c r="X576" s="6"/>
      <c r="Y576" s="6"/>
      <c r="Z576" s="6"/>
      <c r="AX576" s="6" t="str">
        <v>Quarter 3</v>
      </c>
    </row>
    <row r="577" spans="1:50" ht="31.4" customHeight="1" x14ac:dyDescent="0.35">
      <c r="A577" s="162">
        <v>576</v>
      </c>
      <c r="B577" s="4" t="s">
        <v>293</v>
      </c>
      <c r="C577" s="4" t="s">
        <v>6</v>
      </c>
      <c r="D577" s="4" t="s">
        <v>1153</v>
      </c>
      <c r="E577" s="157">
        <v>45586</v>
      </c>
      <c r="F577" s="9">
        <f>IF($E577="","",WORKDAY($E577,1,$V$33:$V$41))</f>
        <v>45587</v>
      </c>
      <c r="G577" s="9">
        <f>IF($E577="","",WORKDAY($E577,10,$V$33:$V$41))</f>
        <v>45600</v>
      </c>
      <c r="H577" s="9">
        <f>IF($E577="","",WORKDAY($E577,20,$V$33:$V$41))</f>
        <v>45614</v>
      </c>
      <c r="I577" s="157" t="str">
        <f t="shared" si="9"/>
        <v>Oct</v>
      </c>
      <c r="J577" s="14" t="str">
        <f ca="1">IF(E577="","",IF(N577="",H577-TODAY(),""))</f>
        <v/>
      </c>
      <c r="K577" s="157" t="s">
        <v>10</v>
      </c>
      <c r="L577" s="157" t="s">
        <v>12</v>
      </c>
      <c r="M577" s="157" t="s">
        <v>30</v>
      </c>
      <c r="N577" s="9">
        <v>45593</v>
      </c>
      <c r="O577" s="159">
        <f>IF($N577="","",NETWORKDAYS($E577,$N577,$V$33:$V$47)-1)</f>
        <v>5</v>
      </c>
      <c r="P577" s="10" t="str">
        <f>IF(ISBLANK(N577),"",IF(N577&gt;H577,"No","Yes"))</f>
        <v>Yes</v>
      </c>
      <c r="Q577" s="9" t="s">
        <v>117</v>
      </c>
      <c r="R577" s="4" t="s">
        <v>118</v>
      </c>
      <c r="S577" s="4"/>
      <c r="T577" s="4"/>
      <c r="U577" s="6"/>
      <c r="V577" s="6"/>
      <c r="W577" s="6"/>
      <c r="X577" s="6"/>
      <c r="Y577" s="6"/>
      <c r="Z577" s="6"/>
      <c r="AX577" s="6" t="str">
        <v>Quarter 3</v>
      </c>
    </row>
    <row r="578" spans="1:50" ht="31.4" customHeight="1" x14ac:dyDescent="0.35">
      <c r="A578" s="162">
        <v>577</v>
      </c>
      <c r="B578" s="4" t="s">
        <v>8</v>
      </c>
      <c r="C578" s="4" t="s">
        <v>8</v>
      </c>
      <c r="D578" s="4" t="s">
        <v>1154</v>
      </c>
      <c r="E578" s="157">
        <v>45587</v>
      </c>
      <c r="F578" s="9">
        <f>IF($E578="","",WORKDAY($E578,1,$V$33:$V$41))</f>
        <v>45588</v>
      </c>
      <c r="G578" s="9">
        <f>IF($E578="","",WORKDAY($E578,10,$V$33:$V$41))</f>
        <v>45601</v>
      </c>
      <c r="H578" s="9">
        <f>IF($E578="","",WORKDAY($E578,20,$V$33:$V$41))</f>
        <v>45615</v>
      </c>
      <c r="I578" s="157" t="str">
        <f t="shared" ref="I578:I641" si="11">IF(ISBLANK(E578),"",TEXT(E578,"mmm"))</f>
        <v>Oct</v>
      </c>
      <c r="J578" s="14" t="str">
        <f ca="1">IF(E578="","",IF(N578="",H578-TODAY(),""))</f>
        <v/>
      </c>
      <c r="K578" s="157" t="s">
        <v>5</v>
      </c>
      <c r="L578" s="157" t="s">
        <v>22</v>
      </c>
      <c r="M578" s="157" t="s">
        <v>46</v>
      </c>
      <c r="N578" s="9">
        <v>45590</v>
      </c>
      <c r="O578" s="159">
        <f>IF($N578="","",NETWORKDAYS($E578,$N578,$V$33:$V$47)-1)</f>
        <v>3</v>
      </c>
      <c r="P578" s="10" t="str">
        <f>IF(ISBLANK(N578),"",IF(N578&gt;H578,"No","Yes"))</f>
        <v>Yes</v>
      </c>
      <c r="Q578" s="9" t="s">
        <v>117</v>
      </c>
      <c r="R578" s="4" t="s">
        <v>132</v>
      </c>
      <c r="S578" s="4" t="s">
        <v>119</v>
      </c>
      <c r="T578" s="4"/>
      <c r="U578" s="6"/>
      <c r="V578" s="6"/>
      <c r="W578" s="6"/>
      <c r="X578" s="6"/>
      <c r="Y578" s="6"/>
      <c r="Z578" s="6"/>
      <c r="AX578" s="6" t="str">
        <v>Quarter 3</v>
      </c>
    </row>
    <row r="579" spans="1:50" ht="31.4" customHeight="1" x14ac:dyDescent="0.35">
      <c r="A579" s="162">
        <v>578</v>
      </c>
      <c r="B579" s="4" t="s">
        <v>8</v>
      </c>
      <c r="C579" s="4" t="s">
        <v>8</v>
      </c>
      <c r="D579" s="4" t="s">
        <v>1154</v>
      </c>
      <c r="E579" s="157">
        <v>45587</v>
      </c>
      <c r="F579" s="9">
        <f>IF($E579="","",WORKDAY($E579,1,$V$33:$V$41))</f>
        <v>45588</v>
      </c>
      <c r="G579" s="9">
        <f>IF($E579="","",WORKDAY($E579,10,$V$33:$V$41))</f>
        <v>45601</v>
      </c>
      <c r="H579" s="9">
        <f>IF($E579="","",WORKDAY($E579,20,$V$33:$V$41))</f>
        <v>45615</v>
      </c>
      <c r="I579" s="157" t="str">
        <f t="shared" si="11"/>
        <v>Oct</v>
      </c>
      <c r="J579" s="14" t="str">
        <f ca="1">IF(E579="","",IF(N579="",H579-TODAY(),""))</f>
        <v/>
      </c>
      <c r="K579" s="157" t="s">
        <v>5</v>
      </c>
      <c r="L579" s="157" t="s">
        <v>22</v>
      </c>
      <c r="M579" s="157" t="s">
        <v>46</v>
      </c>
      <c r="N579" s="9">
        <v>45590</v>
      </c>
      <c r="O579" s="159">
        <f>IF($N579="","",NETWORKDAYS($E579,$N579,$V$33:$V$47)-1)</f>
        <v>3</v>
      </c>
      <c r="P579" s="10" t="str">
        <f>IF(ISBLANK(N579),"",IF(N579&gt;H579,"No","Yes"))</f>
        <v>Yes</v>
      </c>
      <c r="Q579" s="9" t="s">
        <v>117</v>
      </c>
      <c r="R579" s="4" t="s">
        <v>132</v>
      </c>
      <c r="S579" s="4" t="s">
        <v>119</v>
      </c>
      <c r="T579" s="4"/>
      <c r="U579" s="6"/>
      <c r="V579" s="6"/>
      <c r="W579" s="6"/>
      <c r="X579" s="6"/>
      <c r="Y579" s="6"/>
      <c r="Z579" s="6"/>
      <c r="AX579" s="6" t="str">
        <v>Quarter 3</v>
      </c>
    </row>
    <row r="580" spans="1:50" ht="31.4" customHeight="1" x14ac:dyDescent="0.35">
      <c r="A580" s="162">
        <v>579</v>
      </c>
      <c r="B580" s="4" t="s">
        <v>8</v>
      </c>
      <c r="C580" s="4" t="s">
        <v>8</v>
      </c>
      <c r="D580" s="4" t="s">
        <v>1155</v>
      </c>
      <c r="E580" s="157">
        <v>45587</v>
      </c>
      <c r="F580" s="9">
        <f>IF($E580="","",WORKDAY($E580,1,$V$33:$V$41))</f>
        <v>45588</v>
      </c>
      <c r="G580" s="9">
        <f>IF($E580="","",WORKDAY($E580,10,$V$33:$V$41))</f>
        <v>45601</v>
      </c>
      <c r="H580" s="9">
        <f>IF($E580="","",WORKDAY($E580,20,$V$33:$V$41))</f>
        <v>45615</v>
      </c>
      <c r="I580" s="157" t="str">
        <f t="shared" si="11"/>
        <v>Oct</v>
      </c>
      <c r="J580" s="14" t="str">
        <f ca="1">IF(E580="","",IF(N580="",H580-TODAY(),""))</f>
        <v/>
      </c>
      <c r="K580" s="157" t="s">
        <v>124</v>
      </c>
      <c r="L580" s="157" t="s">
        <v>20</v>
      </c>
      <c r="M580" s="157" t="s">
        <v>68</v>
      </c>
      <c r="N580" s="9">
        <v>45600</v>
      </c>
      <c r="O580" s="159">
        <f>IF($N580="","",NETWORKDAYS($E580,$N580,$V$33:$V$47)-1)</f>
        <v>9</v>
      </c>
      <c r="P580" s="10" t="str">
        <f>IF(ISBLANK(N580),"",IF(N580&gt;H580,"No","Yes"))</f>
        <v>Yes</v>
      </c>
      <c r="Q580" s="9" t="s">
        <v>117</v>
      </c>
      <c r="R580" s="4" t="s">
        <v>150</v>
      </c>
      <c r="S580" s="4"/>
      <c r="T580" s="4"/>
      <c r="U580" s="6"/>
      <c r="V580" s="6"/>
      <c r="W580" s="6"/>
      <c r="X580" s="6"/>
      <c r="Y580" s="6"/>
      <c r="Z580" s="6"/>
      <c r="AX580" s="6" t="str">
        <v>Quarter 3</v>
      </c>
    </row>
    <row r="581" spans="1:50" ht="31.4" customHeight="1" x14ac:dyDescent="0.35">
      <c r="A581" s="162">
        <v>580</v>
      </c>
      <c r="B581" s="4" t="s">
        <v>1156</v>
      </c>
      <c r="C581" s="4" t="s">
        <v>13</v>
      </c>
      <c r="D581" s="4" t="s">
        <v>1157</v>
      </c>
      <c r="E581" s="157">
        <v>45588</v>
      </c>
      <c r="F581" s="9">
        <f>IF($E581="","",WORKDAY($E581,1,$V$33:$V$41))</f>
        <v>45589</v>
      </c>
      <c r="G581" s="9">
        <f>IF($E581="","",WORKDAY($E581,10,$V$33:$V$41))</f>
        <v>45602</v>
      </c>
      <c r="H581" s="9">
        <f>IF($E581="","",WORKDAY($E581,20,$V$33:$V$41))</f>
        <v>45616</v>
      </c>
      <c r="I581" s="157" t="str">
        <f t="shared" si="11"/>
        <v>Oct</v>
      </c>
      <c r="J581" s="14" t="str">
        <f ca="1">IF(E581="","",IF(N581="",H581-TODAY(),""))</f>
        <v/>
      </c>
      <c r="K581" s="157" t="s">
        <v>5</v>
      </c>
      <c r="L581" s="157" t="s">
        <v>16</v>
      </c>
      <c r="M581" s="157" t="s">
        <v>52</v>
      </c>
      <c r="N581" s="9">
        <v>45609</v>
      </c>
      <c r="O581" s="159">
        <f>IF($N581="","",NETWORKDAYS($E581,$N581,$V$33:$V$47)-1)</f>
        <v>15</v>
      </c>
      <c r="P581" s="10" t="str">
        <f>IF(ISBLANK(N581),"",IF(N581&gt;H581,"No","Yes"))</f>
        <v>Yes</v>
      </c>
      <c r="Q581" s="9" t="s">
        <v>117</v>
      </c>
      <c r="R581" s="4" t="s">
        <v>118</v>
      </c>
      <c r="S581" s="4" t="s">
        <v>135</v>
      </c>
      <c r="T581" s="4"/>
      <c r="U581" s="6"/>
      <c r="V581" s="6"/>
      <c r="W581" s="6"/>
      <c r="X581" s="6"/>
      <c r="Y581" s="6"/>
      <c r="Z581" s="6"/>
      <c r="AX581" s="6" t="str">
        <v>Quarter 3</v>
      </c>
    </row>
    <row r="582" spans="1:50" ht="31.4" customHeight="1" x14ac:dyDescent="0.35">
      <c r="A582" s="162">
        <v>581</v>
      </c>
      <c r="B582" s="4" t="s">
        <v>1158</v>
      </c>
      <c r="C582" s="4" t="s">
        <v>13</v>
      </c>
      <c r="D582" s="4" t="s">
        <v>1159</v>
      </c>
      <c r="E582" s="157">
        <v>45588</v>
      </c>
      <c r="F582" s="9">
        <f>IF($E582="","",WORKDAY($E582,1,$V$33:$V$41))</f>
        <v>45589</v>
      </c>
      <c r="G582" s="9">
        <f>IF($E582="","",WORKDAY($E582,10,$V$33:$V$41))</f>
        <v>45602</v>
      </c>
      <c r="H582" s="9">
        <f>IF($E582="","",WORKDAY($E582,20,$V$33:$V$41))</f>
        <v>45616</v>
      </c>
      <c r="I582" s="157" t="str">
        <f t="shared" si="11"/>
        <v>Oct</v>
      </c>
      <c r="J582" s="14" t="str">
        <f ca="1">IF(E582="","",IF(N582="",H582-TODAY(),""))</f>
        <v/>
      </c>
      <c r="K582" s="157" t="s">
        <v>5</v>
      </c>
      <c r="L582" s="157" t="s">
        <v>18</v>
      </c>
      <c r="M582" s="157" t="s">
        <v>43</v>
      </c>
      <c r="N582" s="9">
        <v>45589</v>
      </c>
      <c r="O582" s="159">
        <f>IF($N582="","",NETWORKDAYS($E582,$N582,$V$33:$V$47)-1)</f>
        <v>1</v>
      </c>
      <c r="P582" s="10" t="str">
        <f>IF(ISBLANK(N582),"",IF(N582&gt;H582,"No","Yes"))</f>
        <v>Yes</v>
      </c>
      <c r="Q582" s="9" t="s">
        <v>117</v>
      </c>
      <c r="R582" s="4" t="s">
        <v>118</v>
      </c>
      <c r="S582" s="4"/>
      <c r="T582" s="4"/>
      <c r="U582" s="6"/>
      <c r="V582" s="6"/>
      <c r="W582" s="6"/>
      <c r="X582" s="6"/>
      <c r="Y582" s="6"/>
      <c r="Z582" s="6"/>
      <c r="AX582" s="6" t="str">
        <v>Quarter 3</v>
      </c>
    </row>
    <row r="583" spans="1:50" ht="31.4" customHeight="1" x14ac:dyDescent="0.35">
      <c r="A583" s="162">
        <v>582</v>
      </c>
      <c r="B583" s="4" t="s">
        <v>1013</v>
      </c>
      <c r="C583" s="4" t="s">
        <v>17</v>
      </c>
      <c r="D583" s="4" t="s">
        <v>1160</v>
      </c>
      <c r="E583" s="157">
        <v>45588</v>
      </c>
      <c r="F583" s="9">
        <f>IF($E583="","",WORKDAY($E583,1,$V$33:$V$41))</f>
        <v>45589</v>
      </c>
      <c r="G583" s="9">
        <f>IF($E583="","",WORKDAY($E583,10,$V$33:$V$41))</f>
        <v>45602</v>
      </c>
      <c r="H583" s="9">
        <f>IF($E583="","",WORKDAY($E583,20,$V$33:$V$41))</f>
        <v>45616</v>
      </c>
      <c r="I583" s="157" t="str">
        <f t="shared" si="11"/>
        <v>Oct</v>
      </c>
      <c r="J583" s="14" t="str">
        <f ca="1">IF(E583="","",IF(N583="",H583-TODAY(),""))</f>
        <v/>
      </c>
      <c r="K583" s="157" t="s">
        <v>10</v>
      </c>
      <c r="L583" s="157" t="s">
        <v>27</v>
      </c>
      <c r="M583" s="157" t="s">
        <v>59</v>
      </c>
      <c r="N583" s="9">
        <v>45593</v>
      </c>
      <c r="O583" s="159">
        <f>IF($N583="","",NETWORKDAYS($E583,$N583,$V$33:$V$47)-1)</f>
        <v>3</v>
      </c>
      <c r="P583" s="10" t="str">
        <f>IF(ISBLANK(N583),"",IF(N583&gt;H583,"No","Yes"))</f>
        <v>Yes</v>
      </c>
      <c r="Q583" s="9" t="s">
        <v>117</v>
      </c>
      <c r="R583" s="4" t="s">
        <v>118</v>
      </c>
      <c r="S583" s="4"/>
      <c r="T583" s="4"/>
      <c r="U583" s="6"/>
      <c r="V583" s="6"/>
      <c r="W583" s="6"/>
      <c r="X583" s="6"/>
      <c r="Y583" s="6"/>
      <c r="Z583" s="6"/>
      <c r="AX583" s="6" t="str">
        <v>Quarter 3</v>
      </c>
    </row>
    <row r="584" spans="1:50" ht="31.4" customHeight="1" x14ac:dyDescent="0.35">
      <c r="A584" s="162">
        <v>583</v>
      </c>
      <c r="B584" s="4" t="s">
        <v>209</v>
      </c>
      <c r="C584" s="4" t="s">
        <v>13</v>
      </c>
      <c r="D584" s="4" t="s">
        <v>210</v>
      </c>
      <c r="E584" s="157">
        <v>45589</v>
      </c>
      <c r="F584" s="9">
        <f>IF($E584="","",WORKDAY($E584,1,$V$33:$V$41))</f>
        <v>45590</v>
      </c>
      <c r="G584" s="9">
        <f>IF($E584="","",WORKDAY($E584,10,$V$33:$V$41))</f>
        <v>45603</v>
      </c>
      <c r="H584" s="9">
        <f>IF($E584="","",WORKDAY($E584,20,$V$33:$V$41))</f>
        <v>45617</v>
      </c>
      <c r="I584" s="157" t="str">
        <f t="shared" si="11"/>
        <v>Oct</v>
      </c>
      <c r="J584" s="14" t="str">
        <f ca="1">IF(E584="","",IF(N584="",H584-TODAY(),""))</f>
        <v/>
      </c>
      <c r="K584" s="157" t="s">
        <v>5</v>
      </c>
      <c r="L584" s="157" t="s">
        <v>16</v>
      </c>
      <c r="M584" s="157" t="s">
        <v>71</v>
      </c>
      <c r="N584" s="9">
        <v>45589</v>
      </c>
      <c r="O584" s="159">
        <f>IF($N584="","",NETWORKDAYS($E584,$N584,$V$33:$V$47)-1)</f>
        <v>0</v>
      </c>
      <c r="P584" s="10" t="str">
        <f>IF(ISBLANK(N584),"",IF(N584&gt;H584,"No","Yes"))</f>
        <v>Yes</v>
      </c>
      <c r="Q584" s="9" t="s">
        <v>117</v>
      </c>
      <c r="R584" s="4" t="s">
        <v>118</v>
      </c>
      <c r="S584" s="4"/>
      <c r="T584" s="4"/>
      <c r="U584" s="6"/>
      <c r="V584" s="6"/>
      <c r="W584" s="6"/>
      <c r="X584" s="6"/>
      <c r="Y584" s="6"/>
      <c r="Z584" s="6"/>
      <c r="AX584" s="6" t="str">
        <v>Quarter 3</v>
      </c>
    </row>
    <row r="585" spans="1:50" ht="31.4" customHeight="1" x14ac:dyDescent="0.35">
      <c r="A585" s="162">
        <v>584</v>
      </c>
      <c r="B585" s="4" t="s">
        <v>8</v>
      </c>
      <c r="C585" s="4" t="s">
        <v>8</v>
      </c>
      <c r="D585" s="4" t="s">
        <v>1161</v>
      </c>
      <c r="E585" s="157">
        <v>45589</v>
      </c>
      <c r="F585" s="9">
        <f>IF($E585="","",WORKDAY($E585,1,$V$33:$V$41))</f>
        <v>45590</v>
      </c>
      <c r="G585" s="9">
        <f>IF($E585="","",WORKDAY($E585,10,$V$33:$V$41))</f>
        <v>45603</v>
      </c>
      <c r="H585" s="9">
        <f>IF($E585="","",WORKDAY($E585,20,$V$33:$V$41))</f>
        <v>45617</v>
      </c>
      <c r="I585" s="157" t="str">
        <f t="shared" si="11"/>
        <v>Oct</v>
      </c>
      <c r="J585" s="14" t="str">
        <f ca="1">IF(E585="","",IF(N585="",H585-TODAY(),""))</f>
        <v/>
      </c>
      <c r="K585" s="157" t="s">
        <v>10</v>
      </c>
      <c r="L585" s="157" t="s">
        <v>27</v>
      </c>
      <c r="M585" s="157" t="s">
        <v>86</v>
      </c>
      <c r="N585" s="9">
        <v>45603</v>
      </c>
      <c r="O585" s="159">
        <f>IF($N585="","",NETWORKDAYS($E585,$N585,$V$33:$V$47)-1)</f>
        <v>10</v>
      </c>
      <c r="P585" s="10" t="str">
        <f>IF(ISBLANK(N585),"",IF(N585&gt;H585,"No","Yes"))</f>
        <v>Yes</v>
      </c>
      <c r="Q585" s="9" t="s">
        <v>117</v>
      </c>
      <c r="R585" s="4" t="s">
        <v>118</v>
      </c>
      <c r="S585" s="4" t="s">
        <v>135</v>
      </c>
      <c r="T585" s="4"/>
      <c r="U585" s="6"/>
      <c r="V585" s="6"/>
      <c r="W585" s="6"/>
      <c r="X585" s="6"/>
      <c r="Y585" s="6"/>
      <c r="Z585" s="6"/>
      <c r="AX585" s="6" t="str">
        <v>Quarter 3</v>
      </c>
    </row>
    <row r="586" spans="1:50" ht="31.4" customHeight="1" x14ac:dyDescent="0.35">
      <c r="A586" s="162">
        <v>585</v>
      </c>
      <c r="B586" s="4" t="s">
        <v>8</v>
      </c>
      <c r="C586" s="4" t="s">
        <v>8</v>
      </c>
      <c r="D586" s="4" t="s">
        <v>1162</v>
      </c>
      <c r="E586" s="157">
        <v>45589</v>
      </c>
      <c r="F586" s="9">
        <f>IF($E586="","",WORKDAY($E586,1,$V$33:$V$41))</f>
        <v>45590</v>
      </c>
      <c r="G586" s="9">
        <f>IF($E586="","",WORKDAY($E586,10,$V$33:$V$41))</f>
        <v>45603</v>
      </c>
      <c r="H586" s="9">
        <f>IF($E586="","",WORKDAY($E586,20,$V$33:$V$41))</f>
        <v>45617</v>
      </c>
      <c r="I586" s="157" t="str">
        <f t="shared" si="11"/>
        <v>Oct</v>
      </c>
      <c r="J586" s="14" t="str">
        <f ca="1">IF(E586="","",IF(N586="",H586-TODAY(),""))</f>
        <v/>
      </c>
      <c r="K586" s="157" t="s">
        <v>124</v>
      </c>
      <c r="L586" s="157" t="s">
        <v>24</v>
      </c>
      <c r="M586" s="157" t="s">
        <v>61</v>
      </c>
      <c r="N586" s="9">
        <v>45593</v>
      </c>
      <c r="O586" s="159">
        <f>IF($N586="","",NETWORKDAYS($E586,$N586,$V$33:$V$47)-1)</f>
        <v>2</v>
      </c>
      <c r="P586" s="10" t="str">
        <f>IF(ISBLANK(N586),"",IF(N586&gt;H586,"No","Yes"))</f>
        <v>Yes</v>
      </c>
      <c r="Q586" s="9" t="s">
        <v>117</v>
      </c>
      <c r="R586" s="4" t="s">
        <v>118</v>
      </c>
      <c r="S586" s="4"/>
      <c r="T586" s="4"/>
      <c r="U586" s="6"/>
      <c r="V586" s="6"/>
      <c r="W586" s="6"/>
      <c r="X586" s="6"/>
      <c r="Y586" s="6"/>
      <c r="Z586" s="6"/>
      <c r="AX586" s="6" t="str">
        <v>Quarter 3</v>
      </c>
    </row>
    <row r="587" spans="1:50" ht="31.4" customHeight="1" x14ac:dyDescent="0.35">
      <c r="A587" s="162">
        <v>586</v>
      </c>
      <c r="B587" s="4" t="s">
        <v>8</v>
      </c>
      <c r="C587" s="68" t="s">
        <v>8</v>
      </c>
      <c r="D587" s="4" t="s">
        <v>1163</v>
      </c>
      <c r="E587" s="157">
        <v>45589</v>
      </c>
      <c r="F587" s="9">
        <f>IF($E587="","",WORKDAY($E587,1,$V$33:$V$41))</f>
        <v>45590</v>
      </c>
      <c r="G587" s="9">
        <f>IF($E587="","",WORKDAY($E587,10,$V$33:$V$41))</f>
        <v>45603</v>
      </c>
      <c r="H587" s="9">
        <f>IF($E587="","",WORKDAY($E587,20,$V$33:$V$41))</f>
        <v>45617</v>
      </c>
      <c r="I587" s="157" t="str">
        <f t="shared" si="11"/>
        <v>Oct</v>
      </c>
      <c r="J587" s="14" t="str">
        <f ca="1">IF(E587="","",IF(N587="",H587-TODAY(),""))</f>
        <v/>
      </c>
      <c r="K587" s="157" t="s">
        <v>5</v>
      </c>
      <c r="L587" s="157" t="s">
        <v>18</v>
      </c>
      <c r="M587" s="157" t="s">
        <v>66</v>
      </c>
      <c r="N587" s="9">
        <v>45590</v>
      </c>
      <c r="O587" s="159">
        <f>IF($N587="","",NETWORKDAYS($E587,$N587,$V$33:$V$47)-1)</f>
        <v>1</v>
      </c>
      <c r="P587" s="10" t="str">
        <f>IF(ISBLANK(N587),"",IF(N587&gt;H587,"No","Yes"))</f>
        <v>Yes</v>
      </c>
      <c r="Q587" s="9" t="s">
        <v>117</v>
      </c>
      <c r="R587" s="4" t="s">
        <v>150</v>
      </c>
      <c r="S587" s="4"/>
      <c r="T587" s="4"/>
      <c r="U587" s="6"/>
      <c r="V587" s="6"/>
      <c r="W587" s="6"/>
      <c r="X587" s="6"/>
      <c r="Y587" s="6"/>
      <c r="Z587" s="6"/>
      <c r="AX587" s="6" t="str">
        <v>Quarter 3</v>
      </c>
    </row>
    <row r="588" spans="1:50" ht="31.4" customHeight="1" x14ac:dyDescent="0.35">
      <c r="A588" s="162">
        <v>587</v>
      </c>
      <c r="B588" s="4" t="s">
        <v>138</v>
      </c>
      <c r="C588" s="4" t="s">
        <v>19</v>
      </c>
      <c r="D588" s="4" t="s">
        <v>1164</v>
      </c>
      <c r="E588" s="157">
        <v>45600</v>
      </c>
      <c r="F588" s="9">
        <f>IF($E588="","",WORKDAY($E588,1,$V$33:$V$41))</f>
        <v>45601</v>
      </c>
      <c r="G588" s="9">
        <f>IF($E588="","",WORKDAY($E588,10,$V$33:$V$41))</f>
        <v>45614</v>
      </c>
      <c r="H588" s="9">
        <f>IF($E588="","",WORKDAY($E588,20,$V$33:$V$41))</f>
        <v>45628</v>
      </c>
      <c r="I588" s="157" t="str">
        <f t="shared" si="11"/>
        <v>Nov</v>
      </c>
      <c r="J588" s="14" t="str">
        <f ca="1">IF(E588="","",IF(N588="",H588-TODAY(),""))</f>
        <v/>
      </c>
      <c r="K588" s="157" t="s">
        <v>124</v>
      </c>
      <c r="L588" s="157" t="s">
        <v>20</v>
      </c>
      <c r="M588" s="157" t="s">
        <v>92</v>
      </c>
      <c r="N588" s="9">
        <v>45621</v>
      </c>
      <c r="O588" s="159">
        <f>IF($N588="","",NETWORKDAYS($E588,$N588,$V$33:$V$47)-1)</f>
        <v>15</v>
      </c>
      <c r="P588" s="10" t="str">
        <f>IF(ISBLANK(N588),"",IF(N588&gt;H588,"No","Yes"))</f>
        <v>Yes</v>
      </c>
      <c r="Q588" s="9" t="s">
        <v>117</v>
      </c>
      <c r="R588" s="4" t="s">
        <v>118</v>
      </c>
      <c r="S588" s="4"/>
      <c r="T588" s="4"/>
      <c r="U588" s="6"/>
      <c r="V588" s="6"/>
      <c r="W588" s="6"/>
      <c r="X588" s="6"/>
      <c r="Y588" s="6"/>
      <c r="Z588" s="6"/>
      <c r="AX588" s="6" t="str">
        <v>Quarter 3</v>
      </c>
    </row>
    <row r="589" spans="1:50" ht="31.4" customHeight="1" x14ac:dyDescent="0.35">
      <c r="A589" s="162">
        <v>588</v>
      </c>
      <c r="B589" s="4" t="s">
        <v>174</v>
      </c>
      <c r="C589" s="4" t="s">
        <v>23</v>
      </c>
      <c r="D589" s="4" t="s">
        <v>1165</v>
      </c>
      <c r="E589" s="157">
        <v>45590</v>
      </c>
      <c r="F589" s="9">
        <f>IF($E589="","",WORKDAY($E589,1,$V$33:$V$41))</f>
        <v>45593</v>
      </c>
      <c r="G589" s="9">
        <f>IF($E589="","",WORKDAY($E589,10,$V$33:$V$41))</f>
        <v>45604</v>
      </c>
      <c r="H589" s="9">
        <f>IF($E589="","",WORKDAY($E589,20,$V$33:$V$41))</f>
        <v>45618</v>
      </c>
      <c r="I589" s="157" t="str">
        <f t="shared" si="11"/>
        <v>Oct</v>
      </c>
      <c r="J589" s="14" t="str">
        <f ca="1">IF(E589="","",IF(N589="",H589-TODAY(),""))</f>
        <v/>
      </c>
      <c r="K589" s="157" t="s">
        <v>5</v>
      </c>
      <c r="L589" s="157" t="s">
        <v>22</v>
      </c>
      <c r="M589" s="157" t="s">
        <v>64</v>
      </c>
      <c r="N589" s="9">
        <v>45593</v>
      </c>
      <c r="O589" s="159">
        <f>IF($N589="","",NETWORKDAYS($E589,$N589,$V$33:$V$47)-1)</f>
        <v>1</v>
      </c>
      <c r="P589" s="10" t="str">
        <f>IF(ISBLANK(N589),"",IF(N589&gt;H589,"No","Yes"))</f>
        <v>Yes</v>
      </c>
      <c r="Q589" s="9" t="s">
        <v>117</v>
      </c>
      <c r="R589" s="4" t="s">
        <v>150</v>
      </c>
      <c r="S589" s="4"/>
      <c r="T589" s="4"/>
      <c r="U589" s="6"/>
      <c r="V589" s="6"/>
      <c r="W589" s="6"/>
      <c r="X589" s="6"/>
      <c r="Y589" s="6"/>
      <c r="Z589" s="6"/>
      <c r="AX589" s="6" t="str">
        <v>Quarter 3</v>
      </c>
    </row>
    <row r="590" spans="1:50" ht="31.4" customHeight="1" x14ac:dyDescent="0.35">
      <c r="A590" s="162">
        <v>589</v>
      </c>
      <c r="B590" s="4" t="s">
        <v>1166</v>
      </c>
      <c r="C590" s="4" t="s">
        <v>6</v>
      </c>
      <c r="D590" s="4" t="s">
        <v>861</v>
      </c>
      <c r="E590" s="157">
        <v>45593</v>
      </c>
      <c r="F590" s="9">
        <f>IF($E590="","",WORKDAY($E590,1,$V$33:$V$41))</f>
        <v>45594</v>
      </c>
      <c r="G590" s="9">
        <f>IF($E590="","",WORKDAY($E590,10,$V$33:$V$41))</f>
        <v>45607</v>
      </c>
      <c r="H590" s="9">
        <f>IF($E590="","",WORKDAY($E590,20,$V$33:$V$41))</f>
        <v>45621</v>
      </c>
      <c r="I590" s="157" t="str">
        <f t="shared" si="11"/>
        <v>Oct</v>
      </c>
      <c r="J590" s="14" t="str">
        <f ca="1">IF(E590="","",IF(N590="",H590-TODAY(),""))</f>
        <v/>
      </c>
      <c r="K590" s="157" t="s">
        <v>124</v>
      </c>
      <c r="L590" s="157" t="s">
        <v>20</v>
      </c>
      <c r="M590" s="157" t="s">
        <v>62</v>
      </c>
      <c r="N590" s="9">
        <v>45618</v>
      </c>
      <c r="O590" s="159">
        <f>IF($N590="","",NETWORKDAYS($E590,$N590,$V$33:$V$47)-1)</f>
        <v>19</v>
      </c>
      <c r="P590" s="10" t="str">
        <f>IF(ISBLANK(N590),"",IF(N590&gt;H590,"No","Yes"))</f>
        <v>Yes</v>
      </c>
      <c r="Q590" s="9" t="s">
        <v>117</v>
      </c>
      <c r="R590" s="4" t="s">
        <v>118</v>
      </c>
      <c r="S590" s="4"/>
      <c r="T590" s="4"/>
      <c r="U590" s="6"/>
      <c r="V590" s="6"/>
      <c r="W590" s="6"/>
      <c r="X590" s="6"/>
      <c r="Y590" s="6"/>
      <c r="Z590" s="6"/>
      <c r="AX590" s="6" t="str">
        <v>Quarter 3</v>
      </c>
    </row>
    <row r="591" spans="1:50" ht="31.4" customHeight="1" x14ac:dyDescent="0.35">
      <c r="A591" s="162">
        <v>590</v>
      </c>
      <c r="B591" s="4" t="s">
        <v>478</v>
      </c>
      <c r="C591" s="4" t="s">
        <v>13</v>
      </c>
      <c r="D591" s="4" t="s">
        <v>1167</v>
      </c>
      <c r="E591" s="157">
        <v>45593</v>
      </c>
      <c r="F591" s="9">
        <f>IF($E591="","",WORKDAY($E591,1,$V$33:$V$41))</f>
        <v>45594</v>
      </c>
      <c r="G591" s="9">
        <f>IF($E591="","",WORKDAY($E591,10,$V$33:$V$41))</f>
        <v>45607</v>
      </c>
      <c r="H591" s="9">
        <f>IF($E591="","",WORKDAY($E591,20,$V$33:$V$41))</f>
        <v>45621</v>
      </c>
      <c r="I591" s="157" t="str">
        <f t="shared" si="11"/>
        <v>Oct</v>
      </c>
      <c r="J591" s="14" t="str">
        <f ca="1">IF(E591="","",IF(N591="",H591-TODAY(),""))</f>
        <v/>
      </c>
      <c r="K591" s="157" t="s">
        <v>5</v>
      </c>
      <c r="L591" s="157" t="s">
        <v>22</v>
      </c>
      <c r="M591" s="157" t="s">
        <v>64</v>
      </c>
      <c r="N591" s="9">
        <v>45621</v>
      </c>
      <c r="O591" s="159">
        <f>IF($N591="","",NETWORKDAYS($E591,$N591,$V$33:$V$47)-1)</f>
        <v>20</v>
      </c>
      <c r="P591" s="10" t="str">
        <f>IF(ISBLANK(N591),"",IF(N591&gt;H591,"No","Yes"))</f>
        <v>Yes</v>
      </c>
      <c r="Q591" s="9" t="s">
        <v>117</v>
      </c>
      <c r="R591" s="4" t="s">
        <v>118</v>
      </c>
      <c r="S591" s="4"/>
      <c r="T591" s="4"/>
      <c r="U591" s="6"/>
      <c r="V591" s="6"/>
      <c r="W591" s="6"/>
      <c r="X591" s="6"/>
      <c r="Y591" s="6"/>
      <c r="Z591" s="6"/>
      <c r="AX591" s="6" t="str">
        <v>Quarter 3</v>
      </c>
    </row>
    <row r="592" spans="1:50" ht="31.4" customHeight="1" x14ac:dyDescent="0.35">
      <c r="A592" s="162">
        <v>591</v>
      </c>
      <c r="B592" s="4" t="s">
        <v>138</v>
      </c>
      <c r="C592" s="4" t="s">
        <v>19</v>
      </c>
      <c r="D592" s="4" t="s">
        <v>1168</v>
      </c>
      <c r="E592" s="157">
        <v>45593</v>
      </c>
      <c r="F592" s="9">
        <f>IF($E592="","",WORKDAY($E592,1,$V$33:$V$41))</f>
        <v>45594</v>
      </c>
      <c r="G592" s="9">
        <f>IF($E592="","",WORKDAY($E592,10,$V$33:$V$41))</f>
        <v>45607</v>
      </c>
      <c r="H592" s="9">
        <f>IF($E592="","",WORKDAY($E592,20,$V$33:$V$41))</f>
        <v>45621</v>
      </c>
      <c r="I592" s="157" t="str">
        <f t="shared" si="11"/>
        <v>Oct</v>
      </c>
      <c r="J592" s="14" t="str">
        <f ca="1">IF(E592="","",IF(N592="",H592-TODAY(),""))</f>
        <v/>
      </c>
      <c r="K592" s="157" t="s">
        <v>5</v>
      </c>
      <c r="L592" s="157" t="s">
        <v>22</v>
      </c>
      <c r="M592" s="157" t="s">
        <v>64</v>
      </c>
      <c r="N592" s="9">
        <v>45595</v>
      </c>
      <c r="O592" s="159">
        <f>IF($N592="","",NETWORKDAYS($E592,$N592,$V$33:$V$47)-1)</f>
        <v>2</v>
      </c>
      <c r="P592" s="10" t="str">
        <f>IF(ISBLANK(N592),"",IF(N592&gt;H592,"No","Yes"))</f>
        <v>Yes</v>
      </c>
      <c r="Q592" s="9" t="s">
        <v>117</v>
      </c>
      <c r="R592" s="4" t="s">
        <v>118</v>
      </c>
      <c r="S592" s="4"/>
      <c r="T592" s="4"/>
      <c r="U592" s="6"/>
      <c r="V592" s="6"/>
      <c r="W592" s="6"/>
      <c r="X592" s="6"/>
      <c r="Y592" s="6"/>
      <c r="Z592" s="6"/>
      <c r="AX592" s="6" t="str">
        <v>Quarter 3</v>
      </c>
    </row>
    <row r="593" spans="1:50" ht="31.4" customHeight="1" x14ac:dyDescent="0.35">
      <c r="A593" s="162">
        <v>592</v>
      </c>
      <c r="B593" s="4" t="s">
        <v>1169</v>
      </c>
      <c r="C593" s="4" t="s">
        <v>6</v>
      </c>
      <c r="D593" s="4" t="s">
        <v>1170</v>
      </c>
      <c r="E593" s="157">
        <v>45593</v>
      </c>
      <c r="F593" s="9">
        <f>IF($E593="","",WORKDAY($E593,1,$V$33:$V$41))</f>
        <v>45594</v>
      </c>
      <c r="G593" s="9">
        <f>IF($E593="","",WORKDAY($E593,10,$V$33:$V$41))</f>
        <v>45607</v>
      </c>
      <c r="H593" s="9">
        <f>IF($E593="","",WORKDAY($E593,20,$V$33:$V$41))</f>
        <v>45621</v>
      </c>
      <c r="I593" s="157" t="str">
        <f t="shared" si="11"/>
        <v>Oct</v>
      </c>
      <c r="J593" s="14" t="str">
        <f ca="1">IF(E593="","",IF(N593="",H593-TODAY(),""))</f>
        <v/>
      </c>
      <c r="K593" s="157" t="s">
        <v>124</v>
      </c>
      <c r="L593" s="157" t="s">
        <v>20</v>
      </c>
      <c r="M593" s="157" t="s">
        <v>62</v>
      </c>
      <c r="N593" s="9">
        <v>45608</v>
      </c>
      <c r="O593" s="159">
        <f>IF($N593="","",NETWORKDAYS($E593,$N593,$V$33:$V$47)-1)</f>
        <v>11</v>
      </c>
      <c r="P593" s="10" t="str">
        <f>IF(ISBLANK(N593),"",IF(N593&gt;H593,"No","Yes"))</f>
        <v>Yes</v>
      </c>
      <c r="Q593" s="9" t="s">
        <v>117</v>
      </c>
      <c r="R593" s="4" t="s">
        <v>118</v>
      </c>
      <c r="S593" s="4"/>
      <c r="T593" s="4"/>
      <c r="U593" s="6"/>
      <c r="V593" s="6"/>
      <c r="W593" s="6"/>
      <c r="X593" s="6"/>
      <c r="Y593" s="6"/>
      <c r="Z593" s="6"/>
      <c r="AX593" s="6" t="str">
        <v>Quarter 3</v>
      </c>
    </row>
    <row r="594" spans="1:50" ht="31.4" customHeight="1" x14ac:dyDescent="0.35">
      <c r="A594" s="162">
        <v>593</v>
      </c>
      <c r="B594" s="4" t="s">
        <v>8</v>
      </c>
      <c r="C594" s="4" t="s">
        <v>8</v>
      </c>
      <c r="D594" s="4" t="s">
        <v>1171</v>
      </c>
      <c r="E594" s="157">
        <v>45593</v>
      </c>
      <c r="F594" s="9">
        <f>IF($E594="","",WORKDAY($E594,1,$V$33:$V$41))</f>
        <v>45594</v>
      </c>
      <c r="G594" s="9">
        <f>IF($E594="","",WORKDAY($E594,10,$V$33:$V$41))</f>
        <v>45607</v>
      </c>
      <c r="H594" s="9">
        <f>IF($E594="","",WORKDAY($E594,20,$V$33:$V$41))</f>
        <v>45621</v>
      </c>
      <c r="I594" s="157" t="str">
        <f t="shared" si="11"/>
        <v>Oct</v>
      </c>
      <c r="J594" s="14" t="str">
        <f ca="1">IF(E594="","",IF(N594="",H594-TODAY(),""))</f>
        <v/>
      </c>
      <c r="K594" s="157" t="s">
        <v>10</v>
      </c>
      <c r="L594" s="157" t="s">
        <v>27</v>
      </c>
      <c r="M594" s="157" t="s">
        <v>37</v>
      </c>
      <c r="N594" s="9">
        <v>45600</v>
      </c>
      <c r="O594" s="159">
        <f>IF($N594="","",NETWORKDAYS($E594,$N594,$V$33:$V$47)-1)</f>
        <v>5</v>
      </c>
      <c r="P594" s="10" t="str">
        <f>IF(ISBLANK(N594),"",IF(N594&gt;H594,"No","Yes"))</f>
        <v>Yes</v>
      </c>
      <c r="Q594" s="9" t="s">
        <v>117</v>
      </c>
      <c r="R594" s="4" t="s">
        <v>118</v>
      </c>
      <c r="S594" s="4"/>
      <c r="T594" s="4"/>
      <c r="U594" s="6"/>
      <c r="V594" s="6"/>
      <c r="W594" s="6"/>
      <c r="X594" s="6"/>
      <c r="Y594" s="6"/>
      <c r="Z594" s="6"/>
      <c r="AX594" s="6" t="str">
        <v>Quarter 3</v>
      </c>
    </row>
    <row r="595" spans="1:50" ht="31.4" customHeight="1" x14ac:dyDescent="0.35">
      <c r="A595" s="162">
        <v>594</v>
      </c>
      <c r="B595" s="4" t="s">
        <v>8</v>
      </c>
      <c r="C595" s="4" t="s">
        <v>8</v>
      </c>
      <c r="D595" s="4" t="s">
        <v>1172</v>
      </c>
      <c r="E595" s="157">
        <v>45593</v>
      </c>
      <c r="F595" s="9">
        <f>IF($E595="","",WORKDAY($E595,1,$V$33:$V$41))</f>
        <v>45594</v>
      </c>
      <c r="G595" s="9">
        <f>IF($E595="","",WORKDAY($E595,10,$V$33:$V$41))</f>
        <v>45607</v>
      </c>
      <c r="H595" s="9">
        <f>IF($E595="","",WORKDAY($E595,20,$V$33:$V$41))</f>
        <v>45621</v>
      </c>
      <c r="I595" s="157" t="str">
        <f t="shared" si="11"/>
        <v>Oct</v>
      </c>
      <c r="J595" s="14" t="str">
        <f ca="1">IF(E595="","",IF(N595="",H595-TODAY(),""))</f>
        <v/>
      </c>
      <c r="K595" s="157" t="s">
        <v>5</v>
      </c>
      <c r="L595" s="157" t="s">
        <v>16</v>
      </c>
      <c r="M595" s="157" t="s">
        <v>71</v>
      </c>
      <c r="N595" s="9">
        <v>45593</v>
      </c>
      <c r="O595" s="159">
        <f>IF($N595="","",NETWORKDAYS($E595,$N595,$V$33:$V$47)-1)</f>
        <v>0</v>
      </c>
      <c r="P595" s="10" t="str">
        <f>IF(ISBLANK(N595),"",IF(N595&gt;H595,"No","Yes"))</f>
        <v>Yes</v>
      </c>
      <c r="Q595" s="9" t="s">
        <v>117</v>
      </c>
      <c r="R595" s="4" t="s">
        <v>118</v>
      </c>
      <c r="S595" s="4"/>
      <c r="T595" s="4"/>
      <c r="U595" s="6"/>
      <c r="V595" s="6"/>
      <c r="W595" s="6"/>
      <c r="X595" s="6"/>
      <c r="Y595" s="6"/>
      <c r="Z595" s="6"/>
      <c r="AX595" s="6" t="str">
        <v>Quarter 3</v>
      </c>
    </row>
    <row r="596" spans="1:50" ht="31.4" customHeight="1" x14ac:dyDescent="0.35">
      <c r="A596" s="162">
        <v>595</v>
      </c>
      <c r="B596" s="4" t="s">
        <v>8</v>
      </c>
      <c r="C596" s="4" t="s">
        <v>8</v>
      </c>
      <c r="D596" s="4" t="s">
        <v>1173</v>
      </c>
      <c r="E596" s="157">
        <v>45593</v>
      </c>
      <c r="F596" s="9">
        <f>IF($E596="","",WORKDAY($E596,1,$V$33:$V$41))</f>
        <v>45594</v>
      </c>
      <c r="G596" s="9">
        <f>IF($E596="","",WORKDAY($E596,10,$V$33:$V$41))</f>
        <v>45607</v>
      </c>
      <c r="H596" s="9">
        <f>IF($E596="","",WORKDAY($E596,20,$V$33:$V$41))</f>
        <v>45621</v>
      </c>
      <c r="I596" s="157" t="str">
        <f t="shared" si="11"/>
        <v>Oct</v>
      </c>
      <c r="J596" s="14" t="str">
        <f ca="1">IF(E596="","",IF(N596="",H596-TODAY(),""))</f>
        <v/>
      </c>
      <c r="K596" s="157" t="s">
        <v>124</v>
      </c>
      <c r="L596" s="157" t="s">
        <v>24</v>
      </c>
      <c r="M596" s="157" t="s">
        <v>53</v>
      </c>
      <c r="N596" s="9">
        <v>45600</v>
      </c>
      <c r="O596" s="159">
        <f>IF($N596="","",NETWORKDAYS($E596,$N596,$V$33:$V$47)-1)</f>
        <v>5</v>
      </c>
      <c r="P596" s="10" t="str">
        <f>IF(ISBLANK(N596),"",IF(N596&gt;H596,"No","Yes"))</f>
        <v>Yes</v>
      </c>
      <c r="Q596" s="9" t="s">
        <v>117</v>
      </c>
      <c r="R596" s="4" t="s">
        <v>118</v>
      </c>
      <c r="S596" s="4"/>
      <c r="T596" s="4"/>
      <c r="U596" s="6"/>
      <c r="V596" s="6"/>
      <c r="W596" s="6"/>
      <c r="X596" s="6"/>
      <c r="Y596" s="6"/>
      <c r="Z596" s="6"/>
      <c r="AX596" s="6" t="str">
        <v>Quarter 3</v>
      </c>
    </row>
    <row r="597" spans="1:50" ht="31.4" customHeight="1" x14ac:dyDescent="0.35">
      <c r="A597" s="162">
        <v>596</v>
      </c>
      <c r="B597" s="4" t="s">
        <v>138</v>
      </c>
      <c r="C597" s="4" t="s">
        <v>19</v>
      </c>
      <c r="D597" s="4" t="s">
        <v>1174</v>
      </c>
      <c r="E597" s="157">
        <v>45593</v>
      </c>
      <c r="F597" s="9">
        <f>IF($E597="","",WORKDAY($E597,1,$V$33:$V$41))</f>
        <v>45594</v>
      </c>
      <c r="G597" s="9">
        <f>IF($E597="","",WORKDAY($E597,10,$V$33:$V$41))</f>
        <v>45607</v>
      </c>
      <c r="H597" s="9">
        <f>IF($E597="","",WORKDAY($E597,20,$V$33:$V$41))</f>
        <v>45621</v>
      </c>
      <c r="I597" s="157" t="str">
        <f t="shared" si="11"/>
        <v>Oct</v>
      </c>
      <c r="J597" s="14" t="str">
        <f ca="1">IF(E597="","",IF(N597="",H597-TODAY(),""))</f>
        <v/>
      </c>
      <c r="K597" s="157" t="s">
        <v>10</v>
      </c>
      <c r="L597" s="157" t="s">
        <v>27</v>
      </c>
      <c r="M597" s="157" t="s">
        <v>95</v>
      </c>
      <c r="N597" s="9">
        <v>45603</v>
      </c>
      <c r="O597" s="159">
        <f>IF($N597="","",NETWORKDAYS($E597,$N597,$V$33:$V$47)-1)</f>
        <v>8</v>
      </c>
      <c r="P597" s="10" t="str">
        <f>IF(ISBLANK(N597),"",IF(N597&gt;H597,"No","Yes"))</f>
        <v>Yes</v>
      </c>
      <c r="Q597" s="9" t="s">
        <v>117</v>
      </c>
      <c r="R597" s="4" t="s">
        <v>126</v>
      </c>
      <c r="S597" s="4" t="s">
        <v>120</v>
      </c>
      <c r="T597" s="4"/>
      <c r="U597" s="6"/>
      <c r="V597" s="6"/>
      <c r="W597" s="6"/>
      <c r="X597" s="6"/>
      <c r="Y597" s="6"/>
      <c r="Z597" s="6"/>
      <c r="AX597" s="6" t="str">
        <v>Quarter 3</v>
      </c>
    </row>
    <row r="598" spans="1:50" ht="31.4" customHeight="1" x14ac:dyDescent="0.35">
      <c r="A598" s="162">
        <v>597</v>
      </c>
      <c r="B598" s="4" t="s">
        <v>8</v>
      </c>
      <c r="C598" s="4" t="s">
        <v>8</v>
      </c>
      <c r="D598" s="4" t="s">
        <v>1175</v>
      </c>
      <c r="E598" s="157">
        <v>45593</v>
      </c>
      <c r="F598" s="9">
        <f>IF($E598="","",WORKDAY($E598,1,$V$33:$V$41))</f>
        <v>45594</v>
      </c>
      <c r="G598" s="9">
        <f>IF($E598="","",WORKDAY($E598,10,$V$33:$V$41))</f>
        <v>45607</v>
      </c>
      <c r="H598" s="9">
        <f>IF($E598="","",WORKDAY($E598,20,$V$33:$V$41))</f>
        <v>45621</v>
      </c>
      <c r="I598" s="157" t="str">
        <f t="shared" si="11"/>
        <v>Oct</v>
      </c>
      <c r="J598" s="14" t="str">
        <f ca="1">IF(E598="","",IF(N598="",H598-TODAY(),""))</f>
        <v/>
      </c>
      <c r="K598" s="157" t="s">
        <v>124</v>
      </c>
      <c r="L598" s="157" t="s">
        <v>24</v>
      </c>
      <c r="M598" s="157" t="s">
        <v>76</v>
      </c>
      <c r="N598" s="9">
        <v>45602</v>
      </c>
      <c r="O598" s="159">
        <f>IF($N598="","",NETWORKDAYS($E598,$N598,$V$33:$V$47)-1)</f>
        <v>7</v>
      </c>
      <c r="P598" s="10" t="str">
        <f>IF(ISBLANK(N598),"",IF(N598&gt;H598,"No","Yes"))</f>
        <v>Yes</v>
      </c>
      <c r="Q598" s="9" t="s">
        <v>117</v>
      </c>
      <c r="R598" s="4" t="s">
        <v>118</v>
      </c>
      <c r="S598" s="4"/>
      <c r="T598" s="4"/>
      <c r="U598" s="6"/>
      <c r="V598" s="6"/>
      <c r="W598" s="6"/>
      <c r="X598" s="6"/>
      <c r="Y598" s="6"/>
      <c r="Z598" s="6"/>
      <c r="AX598" s="6" t="str">
        <v>Quarter 3</v>
      </c>
    </row>
    <row r="599" spans="1:50" ht="31.4" customHeight="1" x14ac:dyDescent="0.35">
      <c r="A599" s="162">
        <v>598</v>
      </c>
      <c r="B599" s="4" t="s">
        <v>138</v>
      </c>
      <c r="C599" s="4" t="s">
        <v>19</v>
      </c>
      <c r="D599" s="4" t="s">
        <v>978</v>
      </c>
      <c r="E599" s="157">
        <v>45594</v>
      </c>
      <c r="F599" s="9">
        <f>IF($E599="","",WORKDAY($E599,1,$V$33:$V$41))</f>
        <v>45595</v>
      </c>
      <c r="G599" s="9">
        <f>IF($E599="","",WORKDAY($E599,10,$V$33:$V$41))</f>
        <v>45608</v>
      </c>
      <c r="H599" s="9">
        <f>IF($E599="","",WORKDAY($E599,20,$V$33:$V$41))</f>
        <v>45622</v>
      </c>
      <c r="I599" s="157" t="str">
        <f t="shared" si="11"/>
        <v>Oct</v>
      </c>
      <c r="J599" s="14" t="str">
        <f ca="1">IF(E599="","",IF(N599="",H599-TODAY(),""))</f>
        <v/>
      </c>
      <c r="K599" s="157" t="s">
        <v>124</v>
      </c>
      <c r="L599" s="157" t="s">
        <v>14</v>
      </c>
      <c r="M599" s="157" t="s">
        <v>81</v>
      </c>
      <c r="N599" s="9">
        <v>45608</v>
      </c>
      <c r="O599" s="159">
        <f>IF($N599="","",NETWORKDAYS($E599,$N599,$V$33:$V$47)-1)</f>
        <v>10</v>
      </c>
      <c r="P599" s="10" t="str">
        <f>IF(ISBLANK(N599),"",IF(N599&gt;H599,"No","Yes"))</f>
        <v>Yes</v>
      </c>
      <c r="Q599" s="9" t="s">
        <v>117</v>
      </c>
      <c r="R599" s="4" t="s">
        <v>118</v>
      </c>
      <c r="S599" s="4"/>
      <c r="T599" s="4" t="s">
        <v>141</v>
      </c>
      <c r="U599" s="6"/>
      <c r="V599" s="6"/>
      <c r="W599" s="6"/>
      <c r="X599" s="6"/>
      <c r="Y599" s="6"/>
      <c r="Z599" s="6"/>
      <c r="AX599" s="6" t="str">
        <v>Quarter 3</v>
      </c>
    </row>
    <row r="600" spans="1:50" ht="31.4" customHeight="1" x14ac:dyDescent="0.35">
      <c r="A600" s="162">
        <v>599</v>
      </c>
      <c r="B600" s="4" t="s">
        <v>1176</v>
      </c>
      <c r="C600" s="4" t="s">
        <v>13</v>
      </c>
      <c r="D600" s="4" t="s">
        <v>1177</v>
      </c>
      <c r="E600" s="157">
        <v>45594</v>
      </c>
      <c r="F600" s="9">
        <f>IF($E600="","",WORKDAY($E600,1,$V$33:$V$41))</f>
        <v>45595</v>
      </c>
      <c r="G600" s="9">
        <f>IF($E600="","",WORKDAY($E600,10,$V$33:$V$41))</f>
        <v>45608</v>
      </c>
      <c r="H600" s="9">
        <f>IF($E600="","",WORKDAY($E600,20,$V$33:$V$41))</f>
        <v>45622</v>
      </c>
      <c r="I600" s="157" t="str">
        <f t="shared" si="11"/>
        <v>Oct</v>
      </c>
      <c r="J600" s="14" t="str">
        <f ca="1">IF(E600="","",IF(N600="",H600-TODAY(),""))</f>
        <v/>
      </c>
      <c r="K600" s="157" t="s">
        <v>124</v>
      </c>
      <c r="L600" s="157" t="s">
        <v>20</v>
      </c>
      <c r="M600" s="157" t="s">
        <v>70</v>
      </c>
      <c r="N600" s="9">
        <v>45594</v>
      </c>
      <c r="O600" s="159">
        <f>IF($N600="","",NETWORKDAYS($E600,$N600,$V$33:$V$47)-1)</f>
        <v>0</v>
      </c>
      <c r="P600" s="10" t="str">
        <f>IF(ISBLANK(N600),"",IF(N600&gt;H600,"No","Yes"))</f>
        <v>Yes</v>
      </c>
      <c r="Q600" s="9" t="s">
        <v>117</v>
      </c>
      <c r="R600" s="4" t="s">
        <v>118</v>
      </c>
      <c r="S600" s="4"/>
      <c r="T600" s="4"/>
      <c r="U600" s="6"/>
      <c r="V600" s="6"/>
      <c r="W600" s="6"/>
      <c r="X600" s="6"/>
      <c r="Y600" s="6"/>
      <c r="Z600" s="6"/>
      <c r="AX600" s="6" t="str">
        <v>Quarter 3</v>
      </c>
    </row>
    <row r="601" spans="1:50" ht="31.4" customHeight="1" x14ac:dyDescent="0.35">
      <c r="A601" s="162">
        <v>600</v>
      </c>
      <c r="B601" s="4" t="s">
        <v>785</v>
      </c>
      <c r="C601" s="4" t="s">
        <v>13</v>
      </c>
      <c r="D601" s="4" t="s">
        <v>1178</v>
      </c>
      <c r="E601" s="157">
        <v>45594</v>
      </c>
      <c r="F601" s="9">
        <f>IF($E601="","",WORKDAY($E601,1,$V$33:$V$41))</f>
        <v>45595</v>
      </c>
      <c r="G601" s="9">
        <f>IF($E601="","",WORKDAY($E601,10,$V$33:$V$41))</f>
        <v>45608</v>
      </c>
      <c r="H601" s="9">
        <f>IF($E601="","",WORKDAY($E601,20,$V$33:$V$41))</f>
        <v>45622</v>
      </c>
      <c r="I601" s="157" t="str">
        <f t="shared" si="11"/>
        <v>Oct</v>
      </c>
      <c r="J601" s="14" t="str">
        <f ca="1">IF(E601="","",IF(N601="",H601-TODAY(),""))</f>
        <v/>
      </c>
      <c r="K601" s="157" t="s">
        <v>10</v>
      </c>
      <c r="L601" s="157" t="s">
        <v>12</v>
      </c>
      <c r="M601" s="157" t="s">
        <v>30</v>
      </c>
      <c r="N601" s="9">
        <v>45603</v>
      </c>
      <c r="O601" s="159">
        <f>IF($N601="","",NETWORKDAYS($E601,$N601,$V$33:$V$47)-1)</f>
        <v>7</v>
      </c>
      <c r="P601" s="10" t="str">
        <f>IF(ISBLANK(N601),"",IF(N601&gt;H601,"No","Yes"))</f>
        <v>Yes</v>
      </c>
      <c r="Q601" s="9" t="s">
        <v>117</v>
      </c>
      <c r="R601" s="4" t="s">
        <v>118</v>
      </c>
      <c r="S601" s="4"/>
      <c r="T601" s="4"/>
      <c r="U601" s="6"/>
      <c r="V601" s="6"/>
      <c r="W601" s="6"/>
      <c r="X601" s="6"/>
      <c r="Y601" s="6"/>
      <c r="Z601" s="6"/>
      <c r="AX601" s="6" t="str">
        <v>Quarter 3</v>
      </c>
    </row>
    <row r="602" spans="1:50" ht="31.4" customHeight="1" x14ac:dyDescent="0.35">
      <c r="A602" s="162">
        <v>601</v>
      </c>
      <c r="B602" s="4" t="s">
        <v>1179</v>
      </c>
      <c r="C602" s="4" t="s">
        <v>13</v>
      </c>
      <c r="D602" s="4" t="s">
        <v>1180</v>
      </c>
      <c r="E602" s="157">
        <v>45594</v>
      </c>
      <c r="F602" s="9">
        <f>IF($E602="","",WORKDAY($E602,1,$V$33:$V$41))</f>
        <v>45595</v>
      </c>
      <c r="G602" s="9">
        <f>IF($E602="","",WORKDAY($E602,10,$V$33:$V$41))</f>
        <v>45608</v>
      </c>
      <c r="H602" s="9">
        <f>IF($E602="","",WORKDAY($E602,20,$V$33:$V$41))</f>
        <v>45622</v>
      </c>
      <c r="I602" s="157" t="str">
        <f t="shared" si="11"/>
        <v>Oct</v>
      </c>
      <c r="J602" s="14" t="str">
        <f ca="1">IF(E602="","",IF(N602="",H602-TODAY(),""))</f>
        <v/>
      </c>
      <c r="K602" s="157" t="s">
        <v>124</v>
      </c>
      <c r="L602" s="157" t="s">
        <v>24</v>
      </c>
      <c r="M602" s="157" t="s">
        <v>76</v>
      </c>
      <c r="N602" s="9">
        <v>45609</v>
      </c>
      <c r="O602" s="159">
        <f>IF($N602="","",NETWORKDAYS($E602,$N602,$V$33:$V$47)-1)</f>
        <v>11</v>
      </c>
      <c r="P602" s="10" t="str">
        <f>IF(ISBLANK(N602),"",IF(N602&gt;H602,"No","Yes"))</f>
        <v>Yes</v>
      </c>
      <c r="Q602" s="9" t="s">
        <v>117</v>
      </c>
      <c r="R602" s="4" t="s">
        <v>118</v>
      </c>
      <c r="S602" s="4"/>
      <c r="T602" s="4"/>
      <c r="U602" s="6"/>
      <c r="V602" s="6"/>
      <c r="W602" s="6"/>
      <c r="X602" s="6"/>
      <c r="Y602" s="6"/>
      <c r="Z602" s="6"/>
      <c r="AX602" s="6" t="str">
        <v>Quarter 3</v>
      </c>
    </row>
    <row r="603" spans="1:50" ht="31.4" customHeight="1" x14ac:dyDescent="0.35">
      <c r="A603" s="162">
        <v>602</v>
      </c>
      <c r="B603" s="4" t="s">
        <v>138</v>
      </c>
      <c r="C603" s="4" t="s">
        <v>19</v>
      </c>
      <c r="D603" s="4" t="s">
        <v>1181</v>
      </c>
      <c r="E603" s="157">
        <v>45594</v>
      </c>
      <c r="F603" s="9">
        <f>IF($E603="","",WORKDAY($E603,1,$V$33:$V$41))</f>
        <v>45595</v>
      </c>
      <c r="G603" s="9">
        <f>IF($E603="","",WORKDAY($E603,10,$V$33:$V$41))</f>
        <v>45608</v>
      </c>
      <c r="H603" s="9">
        <f>IF($E603="","",WORKDAY($E603,20,$V$33:$V$41))</f>
        <v>45622</v>
      </c>
      <c r="I603" s="157" t="str">
        <f t="shared" si="11"/>
        <v>Oct</v>
      </c>
      <c r="J603" s="14" t="str">
        <f ca="1">IF(E603="","",IF(N603="",H603-TODAY(),""))</f>
        <v/>
      </c>
      <c r="K603" s="157" t="s">
        <v>5</v>
      </c>
      <c r="L603" s="157" t="s">
        <v>16</v>
      </c>
      <c r="M603" s="157" t="s">
        <v>67</v>
      </c>
      <c r="N603" s="9">
        <v>45608</v>
      </c>
      <c r="O603" s="159">
        <f>IF($N603="","",NETWORKDAYS($E603,$N603,$V$33:$V$47)-1)</f>
        <v>10</v>
      </c>
      <c r="P603" s="10" t="str">
        <f>IF(ISBLANK(N603),"",IF(N603&gt;H603,"No","Yes"))</f>
        <v>Yes</v>
      </c>
      <c r="Q603" s="9" t="s">
        <v>117</v>
      </c>
      <c r="R603" s="4" t="s">
        <v>118</v>
      </c>
      <c r="S603" s="4"/>
      <c r="T603" s="4"/>
      <c r="U603" s="6"/>
      <c r="V603" s="6"/>
      <c r="W603" s="6"/>
      <c r="X603" s="6"/>
      <c r="Y603" s="6"/>
      <c r="Z603" s="6"/>
      <c r="AX603" s="6" t="str">
        <v>Quarter 3</v>
      </c>
    </row>
    <row r="604" spans="1:50" ht="31.4" customHeight="1" x14ac:dyDescent="0.35">
      <c r="A604" s="162">
        <v>603</v>
      </c>
      <c r="B604" s="4" t="s">
        <v>1182</v>
      </c>
      <c r="C604" s="4" t="s">
        <v>13</v>
      </c>
      <c r="D604" s="4" t="s">
        <v>1183</v>
      </c>
      <c r="E604" s="157">
        <v>45594</v>
      </c>
      <c r="F604" s="9">
        <f>IF($E604="","",WORKDAY($E604,1,$V$33:$V$41))</f>
        <v>45595</v>
      </c>
      <c r="G604" s="9">
        <f>IF($E604="","",WORKDAY($E604,10,$V$33:$V$41))</f>
        <v>45608</v>
      </c>
      <c r="H604" s="9">
        <f>IF($E604="","",WORKDAY($E604,20,$V$33:$V$41))</f>
        <v>45622</v>
      </c>
      <c r="I604" s="157" t="str">
        <f t="shared" si="11"/>
        <v>Oct</v>
      </c>
      <c r="J604" s="14" t="str">
        <f ca="1">IF(E604="","",IF(N604="",H604-TODAY(),""))</f>
        <v/>
      </c>
      <c r="K604" s="157" t="s">
        <v>5</v>
      </c>
      <c r="L604" s="157" t="s">
        <v>22</v>
      </c>
      <c r="M604" s="157" t="s">
        <v>64</v>
      </c>
      <c r="N604" s="9">
        <v>45607</v>
      </c>
      <c r="O604" s="159">
        <f>IF($N604="","",NETWORKDAYS($E604,$N604,$V$33:$V$47)-1)</f>
        <v>9</v>
      </c>
      <c r="P604" s="10" t="str">
        <f>IF(ISBLANK(N604),"",IF(N604&gt;H604,"No","Yes"))</f>
        <v>Yes</v>
      </c>
      <c r="Q604" s="9" t="s">
        <v>117</v>
      </c>
      <c r="R604" s="4" t="s">
        <v>118</v>
      </c>
      <c r="S604" s="4"/>
      <c r="T604" s="4"/>
      <c r="U604" s="6"/>
      <c r="V604" s="6"/>
      <c r="W604" s="6"/>
      <c r="X604" s="6"/>
      <c r="Y604" s="6"/>
      <c r="Z604" s="6"/>
      <c r="AX604" s="6" t="str">
        <v>Quarter 3</v>
      </c>
    </row>
    <row r="605" spans="1:50" ht="31.4" customHeight="1" x14ac:dyDescent="0.35">
      <c r="A605" s="162">
        <v>604</v>
      </c>
      <c r="B605" s="4" t="s">
        <v>1184</v>
      </c>
      <c r="C605" s="4" t="s">
        <v>13</v>
      </c>
      <c r="D605" s="4" t="s">
        <v>1185</v>
      </c>
      <c r="E605" s="157">
        <v>45595</v>
      </c>
      <c r="F605" s="9">
        <f>IF($E605="","",WORKDAY($E605,1,$V$33:$V$41))</f>
        <v>45596</v>
      </c>
      <c r="G605" s="9">
        <f>IF($E605="","",WORKDAY($E605,10,$V$33:$V$41))</f>
        <v>45609</v>
      </c>
      <c r="H605" s="9">
        <f>IF($E605="","",WORKDAY($E605,20,$V$33:$V$41))</f>
        <v>45623</v>
      </c>
      <c r="I605" s="157" t="str">
        <f t="shared" si="11"/>
        <v>Oct</v>
      </c>
      <c r="J605" s="14" t="str">
        <f ca="1">IF(E605="","",IF(N605="",H605-TODAY(),""))</f>
        <v/>
      </c>
      <c r="K605" s="157" t="s">
        <v>10</v>
      </c>
      <c r="L605" s="157" t="s">
        <v>12</v>
      </c>
      <c r="M605" s="157" t="s">
        <v>30</v>
      </c>
      <c r="N605" s="9">
        <v>45609</v>
      </c>
      <c r="O605" s="159">
        <f>IF($N605="","",NETWORKDAYS($E605,$N605,$V$33:$V$47)-1)</f>
        <v>10</v>
      </c>
      <c r="P605" s="10" t="str">
        <f>IF(ISBLANK(N605),"",IF(N605&gt;H605,"No","Yes"))</f>
        <v>Yes</v>
      </c>
      <c r="Q605" s="9" t="s">
        <v>117</v>
      </c>
      <c r="R605" s="4" t="s">
        <v>118</v>
      </c>
      <c r="S605" s="4"/>
      <c r="T605" s="4"/>
      <c r="U605" s="6"/>
      <c r="V605" s="6"/>
      <c r="W605" s="6"/>
      <c r="X605" s="6"/>
      <c r="Y605" s="6"/>
      <c r="Z605" s="6"/>
      <c r="AX605" s="6" t="str">
        <v>Quarter 3</v>
      </c>
    </row>
    <row r="606" spans="1:50" ht="31.4" customHeight="1" x14ac:dyDescent="0.35">
      <c r="A606" s="162">
        <v>605</v>
      </c>
      <c r="B606" s="4" t="s">
        <v>1186</v>
      </c>
      <c r="C606" s="4" t="s">
        <v>11</v>
      </c>
      <c r="D606" s="4" t="s">
        <v>1105</v>
      </c>
      <c r="E606" s="157">
        <v>45595</v>
      </c>
      <c r="F606" s="9">
        <f>IF($E606="","",WORKDAY($E606,1,$V$33:$V$41))</f>
        <v>45596</v>
      </c>
      <c r="G606" s="9">
        <f>IF($E606="","",WORKDAY($E606,10,$V$33:$V$41))</f>
        <v>45609</v>
      </c>
      <c r="H606" s="9">
        <f>IF($E606="","",WORKDAY($E606,20,$V$33:$V$41))</f>
        <v>45623</v>
      </c>
      <c r="I606" s="157" t="str">
        <f t="shared" si="11"/>
        <v>Oct</v>
      </c>
      <c r="J606" s="14" t="str">
        <f ca="1">IF(E606="","",IF(N606="",H606-TODAY(),""))</f>
        <v/>
      </c>
      <c r="K606" s="157" t="s">
        <v>10</v>
      </c>
      <c r="L606" s="157" t="s">
        <v>27</v>
      </c>
      <c r="M606" s="157" t="s">
        <v>37</v>
      </c>
      <c r="N606" s="9">
        <v>45630</v>
      </c>
      <c r="O606" s="159">
        <f>IF($N606="","",NETWORKDAYS($E606,$N606,$V$33:$V$47)-1)</f>
        <v>25</v>
      </c>
      <c r="P606" s="10" t="str">
        <f>IF(ISBLANK(N606),"",IF(N606&gt;H606,"No","Yes"))</f>
        <v>No</v>
      </c>
      <c r="Q606" s="9" t="s">
        <v>117</v>
      </c>
      <c r="R606" s="4" t="s">
        <v>126</v>
      </c>
      <c r="S606" s="4" t="s">
        <v>119</v>
      </c>
      <c r="T606" s="4"/>
      <c r="U606" s="6"/>
      <c r="V606" s="6"/>
      <c r="W606" s="6"/>
      <c r="X606" s="6"/>
      <c r="Y606" s="6"/>
      <c r="Z606" s="6"/>
      <c r="AX606" s="6" t="str">
        <v>Quarter 3</v>
      </c>
    </row>
    <row r="607" spans="1:50" ht="31.4" customHeight="1" x14ac:dyDescent="0.35">
      <c r="A607" s="162">
        <v>606</v>
      </c>
      <c r="B607" s="4" t="s">
        <v>1187</v>
      </c>
      <c r="C607" s="4" t="s">
        <v>13</v>
      </c>
      <c r="D607" s="4" t="s">
        <v>1188</v>
      </c>
      <c r="E607" s="157">
        <v>45595</v>
      </c>
      <c r="F607" s="9">
        <f>IF($E607="","",WORKDAY($E607,1,$V$33:$V$41))</f>
        <v>45596</v>
      </c>
      <c r="G607" s="9">
        <f>IF($E607="","",WORKDAY($E607,10,$V$33:$V$41))</f>
        <v>45609</v>
      </c>
      <c r="H607" s="9">
        <f>IF($E607="","",WORKDAY($E607,20,$V$33:$V$41))</f>
        <v>45623</v>
      </c>
      <c r="I607" s="157" t="str">
        <f t="shared" si="11"/>
        <v>Oct</v>
      </c>
      <c r="J607" s="14" t="str">
        <f ca="1">IF(E607="","",IF(N607="",H607-TODAY(),""))</f>
        <v/>
      </c>
      <c r="K607" s="157" t="s">
        <v>5</v>
      </c>
      <c r="L607" s="157" t="s">
        <v>16</v>
      </c>
      <c r="M607" s="157" t="s">
        <v>67</v>
      </c>
      <c r="N607" s="9">
        <v>45597</v>
      </c>
      <c r="O607" s="159">
        <f>IF($N607="","",NETWORKDAYS($E607,$N607,$V$33:$V$47)-1)</f>
        <v>2</v>
      </c>
      <c r="P607" s="10" t="str">
        <f>IF(ISBLANK(N607),"",IF(N607&gt;H607,"No","Yes"))</f>
        <v>Yes</v>
      </c>
      <c r="Q607" s="9" t="s">
        <v>117</v>
      </c>
      <c r="R607" s="4" t="s">
        <v>126</v>
      </c>
      <c r="S607" s="4" t="s">
        <v>119</v>
      </c>
      <c r="T607" s="4"/>
      <c r="U607" s="6"/>
      <c r="V607" s="6"/>
      <c r="W607" s="6"/>
      <c r="X607" s="6"/>
      <c r="Y607" s="6"/>
      <c r="Z607" s="6"/>
      <c r="AX607" s="6" t="str">
        <v>Quarter 3</v>
      </c>
    </row>
    <row r="608" spans="1:50" ht="31.4" customHeight="1" x14ac:dyDescent="0.35">
      <c r="A608" s="162">
        <v>607</v>
      </c>
      <c r="B608" s="4" t="s">
        <v>1189</v>
      </c>
      <c r="C608" s="4" t="s">
        <v>13</v>
      </c>
      <c r="D608" s="4" t="s">
        <v>962</v>
      </c>
      <c r="E608" s="157"/>
      <c r="F608" s="9" t="str">
        <f>IF($E608="","",WORKDAY($E608,1,$V$33:$V$41))</f>
        <v/>
      </c>
      <c r="G608" s="9" t="str">
        <f>IF($E608="","",WORKDAY($E608,10,$V$33:$V$41))</f>
        <v/>
      </c>
      <c r="H608" s="9" t="str">
        <f>IF($E608="","",WORKDAY($E608,20,$V$33:$V$41))</f>
        <v/>
      </c>
      <c r="I608" s="157" t="s">
        <v>1106</v>
      </c>
      <c r="J608" s="14" t="str">
        <f ca="1">IF(E608="","",IF(N608="",H608-TODAY(),""))</f>
        <v/>
      </c>
      <c r="K608" s="157" t="s">
        <v>124</v>
      </c>
      <c r="L608" s="157" t="s">
        <v>24</v>
      </c>
      <c r="M608" s="157" t="s">
        <v>87</v>
      </c>
      <c r="N608" s="9"/>
      <c r="O608" s="159" t="str">
        <f>IF($N608="","",NETWORKDAYS($E608,$N608,$V$33:$V$47)-1)</f>
        <v/>
      </c>
      <c r="P608" s="10" t="str">
        <f>IF(ISBLANK(N608),"",IF(N608&gt;H608,"No","Yes"))</f>
        <v/>
      </c>
      <c r="Q608" s="9" t="s">
        <v>133</v>
      </c>
      <c r="R608" s="4" t="s">
        <v>133</v>
      </c>
      <c r="S608" s="4"/>
      <c r="T608" s="4" t="s">
        <v>764</v>
      </c>
      <c r="U608" s="6"/>
      <c r="V608" s="6"/>
      <c r="W608" s="6"/>
      <c r="X608" s="6"/>
      <c r="Y608" s="6"/>
      <c r="Z608" s="6"/>
      <c r="AX608" s="6" t="str">
        <v>Quarter 3</v>
      </c>
    </row>
    <row r="609" spans="1:50" ht="31.4" customHeight="1" x14ac:dyDescent="0.35">
      <c r="A609" s="162">
        <v>608</v>
      </c>
      <c r="B609" s="4" t="s">
        <v>8</v>
      </c>
      <c r="C609" s="4" t="s">
        <v>8</v>
      </c>
      <c r="D609" s="4" t="s">
        <v>1190</v>
      </c>
      <c r="E609" s="157">
        <v>45596</v>
      </c>
      <c r="F609" s="9">
        <f>IF($E609="","",WORKDAY($E609,1,$V$33:$V$41))</f>
        <v>45597</v>
      </c>
      <c r="G609" s="9">
        <f>IF($E609="","",WORKDAY($E609,10,$V$33:$V$41))</f>
        <v>45610</v>
      </c>
      <c r="H609" s="9">
        <f>IF($E609="","",WORKDAY($E609,20,$V$33:$V$41))</f>
        <v>45624</v>
      </c>
      <c r="I609" s="157" t="str">
        <f t="shared" si="11"/>
        <v>Oct</v>
      </c>
      <c r="J609" s="14" t="str">
        <f ca="1">IF(E609="","",IF(N609="",H609-TODAY(),""))</f>
        <v/>
      </c>
      <c r="K609" s="157" t="s">
        <v>5</v>
      </c>
      <c r="L609" s="157" t="s">
        <v>18</v>
      </c>
      <c r="M609" s="157" t="s">
        <v>66</v>
      </c>
      <c r="N609" s="9">
        <v>45597</v>
      </c>
      <c r="O609" s="159">
        <f>IF($N609="","",NETWORKDAYS($E609,$N609,$V$33:$V$47)-1)</f>
        <v>1</v>
      </c>
      <c r="P609" s="10" t="str">
        <f>IF(ISBLANK(N609),"",IF(N609&gt;H609,"No","Yes"))</f>
        <v>Yes</v>
      </c>
      <c r="Q609" s="9" t="s">
        <v>117</v>
      </c>
      <c r="R609" s="4" t="s">
        <v>150</v>
      </c>
      <c r="S609" s="4"/>
      <c r="T609" s="4"/>
      <c r="U609" s="6"/>
      <c r="V609" s="6"/>
      <c r="W609" s="6"/>
      <c r="X609" s="6"/>
      <c r="Y609" s="6"/>
      <c r="Z609" s="6"/>
      <c r="AX609" s="6" t="str">
        <v>Quarter 3</v>
      </c>
    </row>
    <row r="610" spans="1:50" ht="31.4" customHeight="1" x14ac:dyDescent="0.35">
      <c r="A610" s="162">
        <v>609</v>
      </c>
      <c r="B610" s="4" t="s">
        <v>138</v>
      </c>
      <c r="C610" s="4" t="s">
        <v>19</v>
      </c>
      <c r="D610" s="4" t="s">
        <v>1191</v>
      </c>
      <c r="E610" s="157">
        <v>45596</v>
      </c>
      <c r="F610" s="9">
        <f>IF($E610="","",WORKDAY($E610,1,$V$33:$V$41))</f>
        <v>45597</v>
      </c>
      <c r="G610" s="9">
        <f>IF($E610="","",WORKDAY($E610,10,$V$33:$V$41))</f>
        <v>45610</v>
      </c>
      <c r="H610" s="9">
        <f>IF($E610="","",WORKDAY($E610,20,$V$33:$V$41))</f>
        <v>45624</v>
      </c>
      <c r="I610" s="157" t="str">
        <f t="shared" si="11"/>
        <v>Oct</v>
      </c>
      <c r="J610" s="14" t="str">
        <f ca="1">IF(E610="","",IF(N610="",H610-TODAY(),""))</f>
        <v/>
      </c>
      <c r="K610" s="157" t="s">
        <v>124</v>
      </c>
      <c r="L610" s="157" t="s">
        <v>24</v>
      </c>
      <c r="M610" s="157" t="s">
        <v>87</v>
      </c>
      <c r="N610" s="9">
        <v>45618</v>
      </c>
      <c r="O610" s="159">
        <f>IF($N610="","",NETWORKDAYS($E610,$N610,$V$33:$V$47)-1)</f>
        <v>16</v>
      </c>
      <c r="P610" s="10" t="str">
        <f>IF(ISBLANK(N610),"",IF(N610&gt;H610,"No","Yes"))</f>
        <v>Yes</v>
      </c>
      <c r="Q610" s="9" t="s">
        <v>117</v>
      </c>
      <c r="R610" s="4" t="s">
        <v>118</v>
      </c>
      <c r="S610" s="4"/>
      <c r="T610" s="4"/>
      <c r="U610" s="6"/>
      <c r="V610" s="6"/>
      <c r="W610" s="6"/>
      <c r="X610" s="6"/>
      <c r="Y610" s="6"/>
      <c r="Z610" s="6"/>
      <c r="AX610" s="6" t="str">
        <v>Quarter 3</v>
      </c>
    </row>
    <row r="611" spans="1:50" ht="31.4" customHeight="1" x14ac:dyDescent="0.35">
      <c r="A611" s="162">
        <v>610</v>
      </c>
      <c r="B611" s="4" t="s">
        <v>138</v>
      </c>
      <c r="C611" s="4" t="s">
        <v>19</v>
      </c>
      <c r="D611" s="4" t="s">
        <v>229</v>
      </c>
      <c r="E611" s="157">
        <v>45597</v>
      </c>
      <c r="F611" s="9">
        <f>IF($E611="","",WORKDAY($E611,1,$V$33:$V$41))</f>
        <v>45600</v>
      </c>
      <c r="G611" s="9">
        <f>IF($E611="","",WORKDAY($E611,10,$V$33:$V$41))</f>
        <v>45611</v>
      </c>
      <c r="H611" s="9">
        <f>IF($E611="","",WORKDAY($E611,20,$V$33:$V$41))</f>
        <v>45625</v>
      </c>
      <c r="I611" s="157" t="str">
        <f t="shared" si="11"/>
        <v>Nov</v>
      </c>
      <c r="J611" s="14" t="str">
        <f ca="1">IF(E611="","",IF(N611="",H611-TODAY(),""))</f>
        <v/>
      </c>
      <c r="K611" s="157" t="s">
        <v>5</v>
      </c>
      <c r="L611" s="157" t="s">
        <v>16</v>
      </c>
      <c r="M611" s="157" t="s">
        <v>71</v>
      </c>
      <c r="N611" s="9">
        <v>45600</v>
      </c>
      <c r="O611" s="159">
        <f>IF($N611="","",NETWORKDAYS($E611,$N611,$V$33:$V$47)-1)</f>
        <v>1</v>
      </c>
      <c r="P611" s="10" t="str">
        <f>IF(ISBLANK(N611),"",IF(N611&gt;H611,"No","Yes"))</f>
        <v>Yes</v>
      </c>
      <c r="Q611" s="9" t="s">
        <v>117</v>
      </c>
      <c r="R611" s="4" t="s">
        <v>118</v>
      </c>
      <c r="S611" s="4" t="s">
        <v>119</v>
      </c>
      <c r="T611" s="4"/>
      <c r="U611" s="6"/>
      <c r="V611" s="6"/>
      <c r="W611" s="6"/>
      <c r="X611" s="6"/>
      <c r="Y611" s="6"/>
      <c r="Z611" s="6"/>
      <c r="AX611" s="6" t="str">
        <v>Quarter 3</v>
      </c>
    </row>
    <row r="612" spans="1:50" ht="31.4" customHeight="1" x14ac:dyDescent="0.35">
      <c r="A612" s="162">
        <v>611</v>
      </c>
      <c r="B612" s="4" t="s">
        <v>138</v>
      </c>
      <c r="C612" s="4" t="s">
        <v>19</v>
      </c>
      <c r="D612" s="4" t="s">
        <v>1192</v>
      </c>
      <c r="E612" s="157">
        <v>45597</v>
      </c>
      <c r="F612" s="9">
        <f>IF($E612="","",WORKDAY($E612,1,$V$33:$V$41))</f>
        <v>45600</v>
      </c>
      <c r="G612" s="9">
        <f>IF($E612="","",WORKDAY($E612,10,$V$33:$V$41))</f>
        <v>45611</v>
      </c>
      <c r="H612" s="9">
        <f>IF($E612="","",WORKDAY($E612,20,$V$33:$V$41))</f>
        <v>45625</v>
      </c>
      <c r="I612" s="157" t="str">
        <f t="shared" si="11"/>
        <v>Nov</v>
      </c>
      <c r="J612" s="14" t="str">
        <f ca="1">IF(E612="","",IF(N612="",H612-TODAY(),""))</f>
        <v/>
      </c>
      <c r="K612" s="157" t="s">
        <v>124</v>
      </c>
      <c r="L612" s="157" t="s">
        <v>20</v>
      </c>
      <c r="M612" s="157" t="s">
        <v>62</v>
      </c>
      <c r="N612" s="9">
        <v>45622</v>
      </c>
      <c r="O612" s="159">
        <f>IF($N612="","",NETWORKDAYS($E612,$N612,$V$33:$V$47)-1)</f>
        <v>17</v>
      </c>
      <c r="P612" s="10" t="str">
        <f>IF(ISBLANK(N612),"",IF(N612&gt;H612,"No","Yes"))</f>
        <v>Yes</v>
      </c>
      <c r="Q612" s="9" t="s">
        <v>117</v>
      </c>
      <c r="R612" s="4" t="s">
        <v>118</v>
      </c>
      <c r="S612" s="4"/>
      <c r="T612" s="4"/>
      <c r="U612" s="6"/>
      <c r="V612" s="6"/>
      <c r="W612" s="6"/>
      <c r="X612" s="6"/>
      <c r="Y612" s="6"/>
      <c r="Z612" s="6"/>
      <c r="AX612" s="6" t="str">
        <v>Quarter 3</v>
      </c>
    </row>
    <row r="613" spans="1:50" ht="31.4" customHeight="1" x14ac:dyDescent="0.35">
      <c r="A613" s="162">
        <v>612</v>
      </c>
      <c r="B613" s="4" t="s">
        <v>138</v>
      </c>
      <c r="C613" s="4" t="s">
        <v>19</v>
      </c>
      <c r="D613" s="4" t="s">
        <v>1193</v>
      </c>
      <c r="E613" s="157">
        <v>45597</v>
      </c>
      <c r="F613" s="9">
        <f>IF($E613="","",WORKDAY($E613,1,$V$33:$V$41))</f>
        <v>45600</v>
      </c>
      <c r="G613" s="9">
        <f>IF($E613="","",WORKDAY($E613,10,$V$33:$V$41))</f>
        <v>45611</v>
      </c>
      <c r="H613" s="9">
        <f>IF($E613="","",WORKDAY($E613,20,$V$33:$V$41))</f>
        <v>45625</v>
      </c>
      <c r="I613" s="157" t="str">
        <f t="shared" si="11"/>
        <v>Nov</v>
      </c>
      <c r="J613" s="14" t="str">
        <f ca="1">IF(E613="","",IF(N613="",H613-TODAY(),""))</f>
        <v/>
      </c>
      <c r="K613" s="157" t="s">
        <v>124</v>
      </c>
      <c r="L613" s="157" t="s">
        <v>20</v>
      </c>
      <c r="M613" s="157" t="s">
        <v>62</v>
      </c>
      <c r="N613" s="9">
        <v>45622</v>
      </c>
      <c r="O613" s="159">
        <f>IF($N613="","",NETWORKDAYS($E613,$N613,$V$33:$V$47)-1)</f>
        <v>17</v>
      </c>
      <c r="P613" s="10" t="str">
        <f>IF(ISBLANK(N613),"",IF(N613&gt;H613,"No","Yes"))</f>
        <v>Yes</v>
      </c>
      <c r="Q613" s="9" t="s">
        <v>117</v>
      </c>
      <c r="R613" s="4" t="s">
        <v>118</v>
      </c>
      <c r="S613" s="4"/>
      <c r="T613" s="4"/>
      <c r="U613" s="6"/>
      <c r="V613" s="6"/>
      <c r="W613" s="6"/>
      <c r="X613" s="6"/>
      <c r="Y613" s="6"/>
      <c r="Z613" s="6"/>
      <c r="AX613" s="6" t="str">
        <v>Quarter 3</v>
      </c>
    </row>
    <row r="614" spans="1:50" ht="31.4" customHeight="1" x14ac:dyDescent="0.35">
      <c r="A614" s="162">
        <v>613</v>
      </c>
      <c r="B614" s="4" t="s">
        <v>138</v>
      </c>
      <c r="C614" s="4" t="s">
        <v>19</v>
      </c>
      <c r="D614" s="4" t="s">
        <v>1194</v>
      </c>
      <c r="E614" s="157">
        <v>45597</v>
      </c>
      <c r="F614" s="9">
        <f>IF($E614="","",WORKDAY($E614,1,$V$33:$V$41))</f>
        <v>45600</v>
      </c>
      <c r="G614" s="9">
        <f>IF($E614="","",WORKDAY($E614,10,$V$33:$V$41))</f>
        <v>45611</v>
      </c>
      <c r="H614" s="9">
        <f>IF($E614="","",WORKDAY($E614,20,$V$33:$V$41))</f>
        <v>45625</v>
      </c>
      <c r="I614" s="157" t="str">
        <f t="shared" si="11"/>
        <v>Nov</v>
      </c>
      <c r="J614" s="14" t="str">
        <f ca="1">IF(E614="","",IF(N614="",H614-TODAY(),""))</f>
        <v/>
      </c>
      <c r="K614" s="157" t="s">
        <v>10</v>
      </c>
      <c r="L614" s="157" t="s">
        <v>12</v>
      </c>
      <c r="M614" s="157" t="s">
        <v>91</v>
      </c>
      <c r="N614" s="9">
        <v>45610</v>
      </c>
      <c r="O614" s="159">
        <f>IF($N614="","",NETWORKDAYS($E614,$N614,$V$33:$V$47)-1)</f>
        <v>9</v>
      </c>
      <c r="P614" s="10" t="str">
        <f>IF(ISBLANK(N614),"",IF(N614&gt;H614,"No","Yes"))</f>
        <v>Yes</v>
      </c>
      <c r="Q614" s="9" t="s">
        <v>117</v>
      </c>
      <c r="R614" s="4" t="s">
        <v>118</v>
      </c>
      <c r="S614" s="4"/>
      <c r="T614" s="4"/>
      <c r="U614" s="6"/>
      <c r="V614" s="6"/>
      <c r="W614" s="6"/>
      <c r="X614" s="6"/>
      <c r="Y614" s="6"/>
      <c r="Z614" s="6"/>
      <c r="AX614" s="6" t="str">
        <v>Quarter 3</v>
      </c>
    </row>
    <row r="615" spans="1:50" ht="31.4" customHeight="1" x14ac:dyDescent="0.35">
      <c r="A615" s="162">
        <v>614</v>
      </c>
      <c r="B615" s="4" t="s">
        <v>310</v>
      </c>
      <c r="C615" s="4" t="s">
        <v>6</v>
      </c>
      <c r="D615" s="4" t="s">
        <v>1195</v>
      </c>
      <c r="E615" s="157">
        <v>45600</v>
      </c>
      <c r="F615" s="9">
        <f>IF($E615="","",WORKDAY($E615,1,$V$33:$V$41))</f>
        <v>45601</v>
      </c>
      <c r="G615" s="9">
        <f>IF($E615="","",WORKDAY($E615,10,$V$33:$V$41))</f>
        <v>45614</v>
      </c>
      <c r="H615" s="9">
        <f>IF($E615="","",WORKDAY($E615,20,$V$33:$V$41))</f>
        <v>45628</v>
      </c>
      <c r="I615" s="157" t="str">
        <f t="shared" si="11"/>
        <v>Nov</v>
      </c>
      <c r="J615" s="14" t="str">
        <f ca="1">IF(E615="","",IF(N615="",H615-TODAY(),""))</f>
        <v/>
      </c>
      <c r="K615" s="157" t="s">
        <v>124</v>
      </c>
      <c r="L615" s="157" t="s">
        <v>14</v>
      </c>
      <c r="M615" s="157" t="s">
        <v>44</v>
      </c>
      <c r="N615" s="9">
        <v>45628</v>
      </c>
      <c r="O615" s="159">
        <f>IF($N615="","",NETWORKDAYS($E615,$N615,$V$33:$V$47)-1)</f>
        <v>20</v>
      </c>
      <c r="P615" s="10" t="str">
        <f>IF(ISBLANK(N615),"",IF(N615&gt;H615,"No","Yes"))</f>
        <v>Yes</v>
      </c>
      <c r="Q615" s="9" t="s">
        <v>117</v>
      </c>
      <c r="R615" s="4" t="s">
        <v>126</v>
      </c>
      <c r="S615" s="4"/>
      <c r="T615" s="4"/>
      <c r="U615" s="6"/>
      <c r="V615" s="6"/>
      <c r="W615" s="6"/>
      <c r="X615" s="6"/>
      <c r="Y615" s="6"/>
      <c r="Z615" s="6"/>
      <c r="AX615" s="6" t="str">
        <v>Quarter 3</v>
      </c>
    </row>
    <row r="616" spans="1:50" ht="31.4" customHeight="1" x14ac:dyDescent="0.35">
      <c r="A616" s="162">
        <v>615</v>
      </c>
      <c r="B616" s="4" t="s">
        <v>8</v>
      </c>
      <c r="C616" s="4" t="s">
        <v>8</v>
      </c>
      <c r="D616" s="4" t="s">
        <v>1196</v>
      </c>
      <c r="E616" s="157">
        <v>45600</v>
      </c>
      <c r="F616" s="9">
        <f>IF($E616="","",WORKDAY($E616,1,$V$33:$V$41))</f>
        <v>45601</v>
      </c>
      <c r="G616" s="9">
        <f>IF($E616="","",WORKDAY($E616,10,$V$33:$V$41))</f>
        <v>45614</v>
      </c>
      <c r="H616" s="9">
        <f>IF($E616="","",WORKDAY($E616,20,$V$33:$V$41))</f>
        <v>45628</v>
      </c>
      <c r="I616" s="157" t="str">
        <f t="shared" si="11"/>
        <v>Nov</v>
      </c>
      <c r="J616" s="14" t="str">
        <f ca="1">IF(E616="","",IF(N616="",H616-TODAY(),""))</f>
        <v/>
      </c>
      <c r="K616" s="157" t="s">
        <v>4</v>
      </c>
      <c r="L616" s="157" t="s">
        <v>7</v>
      </c>
      <c r="M616" s="157" t="s">
        <v>90</v>
      </c>
      <c r="N616" s="9">
        <v>45604</v>
      </c>
      <c r="O616" s="159">
        <f>IF($N616="","",NETWORKDAYS($E616,$N616,$V$33:$V$47)-1)</f>
        <v>4</v>
      </c>
      <c r="P616" s="10" t="str">
        <f>IF(ISBLANK(N616),"",IF(N616&gt;H616,"No","Yes"))</f>
        <v>Yes</v>
      </c>
      <c r="Q616" s="9" t="s">
        <v>117</v>
      </c>
      <c r="R616" s="4" t="s">
        <v>150</v>
      </c>
      <c r="S616" s="4"/>
      <c r="T616" s="4"/>
      <c r="U616" s="6"/>
      <c r="V616" s="6"/>
      <c r="W616" s="6"/>
      <c r="X616" s="6"/>
      <c r="Y616" s="6"/>
      <c r="Z616" s="6"/>
      <c r="AX616" s="6" t="str">
        <v>Quarter 3</v>
      </c>
    </row>
    <row r="617" spans="1:50" ht="31.4" customHeight="1" x14ac:dyDescent="0.35">
      <c r="A617" s="162">
        <v>616</v>
      </c>
      <c r="B617" s="7" t="s">
        <v>138</v>
      </c>
      <c r="C617" s="7" t="s">
        <v>19</v>
      </c>
      <c r="D617" s="7" t="s">
        <v>1197</v>
      </c>
      <c r="E617" s="157">
        <v>45600</v>
      </c>
      <c r="F617" s="9">
        <f>IF($E617="","",WORKDAY($E617,1,$V$33:$V$41))</f>
        <v>45601</v>
      </c>
      <c r="G617" s="9">
        <f>IF($E617="","",WORKDAY($E617,10,$V$33:$V$41))</f>
        <v>45614</v>
      </c>
      <c r="H617" s="9">
        <f>IF($E617="","",WORKDAY($E617,20,$V$33:$V$41))</f>
        <v>45628</v>
      </c>
      <c r="I617" s="157" t="str">
        <f t="shared" si="11"/>
        <v>Nov</v>
      </c>
      <c r="J617" s="14" t="str">
        <f ca="1">IF(E617="","",IF(N617="",H617-TODAY(),""))</f>
        <v/>
      </c>
      <c r="K617" s="157" t="s">
        <v>124</v>
      </c>
      <c r="L617" s="25" t="s">
        <v>20</v>
      </c>
      <c r="M617" s="25" t="s">
        <v>62</v>
      </c>
      <c r="N617" s="9">
        <v>45622</v>
      </c>
      <c r="O617" s="159">
        <f>IF($N617="","",NETWORKDAYS($E617,$N617,$V$33:$V$47)-1)</f>
        <v>16</v>
      </c>
      <c r="P617" s="10" t="str">
        <f>IF(ISBLANK(N617),"",IF(N617&gt;H617,"No","Yes"))</f>
        <v>Yes</v>
      </c>
      <c r="Q617" s="9" t="s">
        <v>117</v>
      </c>
      <c r="R617" s="4" t="s">
        <v>118</v>
      </c>
      <c r="S617" s="4"/>
      <c r="T617" s="4"/>
      <c r="U617" s="6"/>
      <c r="V617" s="6"/>
      <c r="W617" s="6"/>
      <c r="X617" s="6"/>
      <c r="Y617" s="6"/>
      <c r="Z617" s="6"/>
      <c r="AX617" s="6" t="str">
        <v>Quarter 3</v>
      </c>
    </row>
    <row r="618" spans="1:50" ht="31.4" customHeight="1" x14ac:dyDescent="0.35">
      <c r="A618" s="162">
        <v>617</v>
      </c>
      <c r="B618" s="7" t="s">
        <v>138</v>
      </c>
      <c r="C618" s="7" t="s">
        <v>19</v>
      </c>
      <c r="D618" s="7" t="s">
        <v>1198</v>
      </c>
      <c r="E618" s="157">
        <v>45600</v>
      </c>
      <c r="F618" s="9">
        <f>IF($E618="","",WORKDAY($E618,1,$V$33:$V$41))</f>
        <v>45601</v>
      </c>
      <c r="G618" s="9">
        <f>IF($E618="","",WORKDAY($E618,10,$V$33:$V$41))</f>
        <v>45614</v>
      </c>
      <c r="H618" s="9">
        <f>IF($E618="","",WORKDAY($E618,20,$V$33:$V$41))</f>
        <v>45628</v>
      </c>
      <c r="I618" s="157" t="str">
        <f t="shared" si="11"/>
        <v>Nov</v>
      </c>
      <c r="J618" s="14" t="str">
        <f ca="1">IF(E618="","",IF(N618="",H618-TODAY(),""))</f>
        <v/>
      </c>
      <c r="K618" s="157" t="s">
        <v>5</v>
      </c>
      <c r="L618" s="157" t="s">
        <v>18</v>
      </c>
      <c r="M618" s="157" t="s">
        <v>66</v>
      </c>
      <c r="N618" s="9">
        <v>45600</v>
      </c>
      <c r="O618" s="159">
        <f>IF($N618="","",NETWORKDAYS($E618,$N618,$V$33:$V$47)-1)</f>
        <v>0</v>
      </c>
      <c r="P618" s="10" t="str">
        <f>IF(ISBLANK(N618),"",IF(N618&gt;H618,"No","Yes"))</f>
        <v>Yes</v>
      </c>
      <c r="Q618" s="9" t="s">
        <v>117</v>
      </c>
      <c r="R618" s="4" t="s">
        <v>150</v>
      </c>
      <c r="S618" s="4"/>
      <c r="T618" s="4"/>
      <c r="U618" s="6"/>
      <c r="V618" s="6"/>
      <c r="W618" s="6"/>
      <c r="X618" s="6"/>
      <c r="Y618" s="6"/>
      <c r="Z618" s="6"/>
      <c r="AX618" s="6" t="str">
        <v>Quarter 3</v>
      </c>
    </row>
    <row r="619" spans="1:50" ht="31.4" customHeight="1" x14ac:dyDescent="0.35">
      <c r="A619" s="162">
        <v>618</v>
      </c>
      <c r="B619" s="4" t="s">
        <v>1199</v>
      </c>
      <c r="C619" s="4" t="s">
        <v>13</v>
      </c>
      <c r="D619" s="4" t="s">
        <v>1200</v>
      </c>
      <c r="E619" s="157">
        <v>45600</v>
      </c>
      <c r="F619" s="9">
        <f>IF($E619="","",WORKDAY($E619,1,$V$33:$V$41))</f>
        <v>45601</v>
      </c>
      <c r="G619" s="9">
        <f>IF($E619="","",WORKDAY($E619,10,$V$33:$V$41))</f>
        <v>45614</v>
      </c>
      <c r="H619" s="9">
        <f>IF($E619="","",WORKDAY($E619,20,$V$33:$V$41))</f>
        <v>45628</v>
      </c>
      <c r="I619" s="157" t="str">
        <f t="shared" si="11"/>
        <v>Nov</v>
      </c>
      <c r="J619" s="14" t="str">
        <f ca="1">IF(E619="","",IF(N619="",H619-TODAY(),""))</f>
        <v/>
      </c>
      <c r="K619" s="157" t="s">
        <v>5</v>
      </c>
      <c r="L619" s="157" t="s">
        <v>18</v>
      </c>
      <c r="M619" s="157" t="s">
        <v>66</v>
      </c>
      <c r="N619" s="9">
        <v>45600</v>
      </c>
      <c r="O619" s="159">
        <f>IF($N619="","",NETWORKDAYS($E619,$N619,$V$33:$V$47)-1)</f>
        <v>0</v>
      </c>
      <c r="P619" s="10" t="str">
        <f>IF(ISBLANK(N619),"",IF(N619&gt;H619,"No","Yes"))</f>
        <v>Yes</v>
      </c>
      <c r="Q619" s="9" t="s">
        <v>117</v>
      </c>
      <c r="R619" s="4" t="s">
        <v>150</v>
      </c>
      <c r="S619" s="4"/>
      <c r="T619" s="4"/>
      <c r="U619" s="6"/>
      <c r="V619" s="6"/>
      <c r="W619" s="6"/>
      <c r="X619" s="6"/>
      <c r="Y619" s="6"/>
      <c r="Z619" s="6"/>
      <c r="AX619" s="6" t="str">
        <v>Quarter 3</v>
      </c>
    </row>
    <row r="620" spans="1:50" ht="31.4" customHeight="1" x14ac:dyDescent="0.35">
      <c r="A620" s="162">
        <v>619</v>
      </c>
      <c r="B620" s="4" t="s">
        <v>138</v>
      </c>
      <c r="C620" s="4" t="s">
        <v>19</v>
      </c>
      <c r="D620" s="4" t="s">
        <v>1201</v>
      </c>
      <c r="E620" s="157">
        <v>45600</v>
      </c>
      <c r="F620" s="9">
        <f>IF($E620="","",WORKDAY($E620,1,$V$33:$V$41))</f>
        <v>45601</v>
      </c>
      <c r="G620" s="9">
        <f>IF($E620="","",WORKDAY($E620,10,$V$33:$V$41))</f>
        <v>45614</v>
      </c>
      <c r="H620" s="9">
        <f>IF($E620="","",WORKDAY($E620,20,$V$33:$V$41))</f>
        <v>45628</v>
      </c>
      <c r="I620" s="157" t="str">
        <f t="shared" si="11"/>
        <v>Nov</v>
      </c>
      <c r="J620" s="14" t="str">
        <f ca="1">IF(E620="","",IF(N620="",H620-TODAY(),""))</f>
        <v/>
      </c>
      <c r="K620" s="157" t="s">
        <v>10</v>
      </c>
      <c r="L620" s="157" t="s">
        <v>12</v>
      </c>
      <c r="M620" s="157" t="s">
        <v>65</v>
      </c>
      <c r="N620" s="9">
        <v>45617</v>
      </c>
      <c r="O620" s="159">
        <f>IF($N620="","",NETWORKDAYS($E620,$N620,$V$33:$V$47)-1)</f>
        <v>13</v>
      </c>
      <c r="P620" s="10" t="str">
        <f>IF(ISBLANK(N620),"",IF(N620&gt;H620,"No","Yes"))</f>
        <v>Yes</v>
      </c>
      <c r="Q620" s="9" t="s">
        <v>117</v>
      </c>
      <c r="R620" s="4" t="s">
        <v>118</v>
      </c>
      <c r="S620" s="4"/>
      <c r="T620" s="4" t="s">
        <v>141</v>
      </c>
      <c r="U620" s="6"/>
      <c r="V620" s="6"/>
      <c r="W620" s="6"/>
      <c r="X620" s="6"/>
      <c r="Y620" s="6"/>
      <c r="Z620" s="6"/>
      <c r="AX620" s="6" t="str">
        <v>Quarter 3</v>
      </c>
    </row>
    <row r="621" spans="1:50" ht="31.4" customHeight="1" x14ac:dyDescent="0.35">
      <c r="A621" s="162">
        <v>620</v>
      </c>
      <c r="B621" s="4" t="s">
        <v>8</v>
      </c>
      <c r="C621" s="4" t="s">
        <v>8</v>
      </c>
      <c r="D621" s="4" t="s">
        <v>1202</v>
      </c>
      <c r="E621" s="157">
        <v>45600</v>
      </c>
      <c r="F621" s="9">
        <f>IF($E621="","",WORKDAY($E621,1,$V$33:$V$41))</f>
        <v>45601</v>
      </c>
      <c r="G621" s="9">
        <f>IF($E621="","",WORKDAY($E621,10,$V$33:$V$41))</f>
        <v>45614</v>
      </c>
      <c r="H621" s="9">
        <f>IF($E621="","",WORKDAY($E621,20,$V$33:$V$41))</f>
        <v>45628</v>
      </c>
      <c r="I621" s="157" t="str">
        <f t="shared" si="11"/>
        <v>Nov</v>
      </c>
      <c r="J621" s="14" t="str">
        <f ca="1">IF(E621="","",IF(N621="",H621-TODAY(),""))</f>
        <v/>
      </c>
      <c r="K621" s="157" t="s">
        <v>5</v>
      </c>
      <c r="L621" s="157" t="s">
        <v>16</v>
      </c>
      <c r="M621" s="157" t="s">
        <v>71</v>
      </c>
      <c r="N621" s="9">
        <v>45622</v>
      </c>
      <c r="O621" s="159">
        <f>IF($N621="","",NETWORKDAYS($E621,$N621,$V$33:$V$47)-1)</f>
        <v>16</v>
      </c>
      <c r="P621" s="10" t="str">
        <f>IF(ISBLANK(N621),"",IF(N621&gt;H621,"No","Yes"))</f>
        <v>Yes</v>
      </c>
      <c r="Q621" s="9" t="s">
        <v>117</v>
      </c>
      <c r="R621" s="4" t="s">
        <v>126</v>
      </c>
      <c r="S621" s="4" t="s">
        <v>194</v>
      </c>
      <c r="T621" s="4"/>
      <c r="U621" s="6"/>
      <c r="V621" s="6"/>
      <c r="W621" s="6"/>
      <c r="X621" s="6"/>
      <c r="Y621" s="6"/>
      <c r="Z621" s="6"/>
      <c r="AX621" s="6" t="str">
        <v>Quarter 3</v>
      </c>
    </row>
    <row r="622" spans="1:50" ht="31.4" customHeight="1" x14ac:dyDescent="0.35">
      <c r="A622" s="162">
        <v>621</v>
      </c>
      <c r="B622" s="4" t="s">
        <v>138</v>
      </c>
      <c r="C622" s="4" t="s">
        <v>19</v>
      </c>
      <c r="D622" s="4" t="s">
        <v>1203</v>
      </c>
      <c r="E622" s="157">
        <v>45601</v>
      </c>
      <c r="F622" s="9">
        <f>IF($E622="","",WORKDAY($E622,1,$V$33:$V$41))</f>
        <v>45602</v>
      </c>
      <c r="G622" s="9">
        <f>IF($E622="","",WORKDAY($E622,10,$V$33:$V$41))</f>
        <v>45615</v>
      </c>
      <c r="H622" s="9">
        <f>IF($E622="","",WORKDAY($E622,20,$V$33:$V$41))</f>
        <v>45629</v>
      </c>
      <c r="I622" s="157" t="str">
        <f t="shared" si="11"/>
        <v>Nov</v>
      </c>
      <c r="J622" s="14" t="str">
        <f ca="1">IF(E622="","",IF(N622="",H622-TODAY(),""))</f>
        <v/>
      </c>
      <c r="K622" s="157" t="s">
        <v>5</v>
      </c>
      <c r="L622" s="157" t="s">
        <v>16</v>
      </c>
      <c r="M622" s="157" t="s">
        <v>67</v>
      </c>
      <c r="N622" s="9">
        <v>45616</v>
      </c>
      <c r="O622" s="159">
        <f>IF($N622="","",NETWORKDAYS($E622,$N622,$V$33:$V$47)-1)</f>
        <v>11</v>
      </c>
      <c r="P622" s="10" t="str">
        <f>IF(ISBLANK(N622),"",IF(N622&gt;H622,"No","Yes"))</f>
        <v>Yes</v>
      </c>
      <c r="Q622" s="9" t="s">
        <v>117</v>
      </c>
      <c r="R622" s="4" t="s">
        <v>126</v>
      </c>
      <c r="S622" s="4" t="s">
        <v>134</v>
      </c>
      <c r="T622" s="4" t="s">
        <v>1204</v>
      </c>
      <c r="U622" s="6"/>
      <c r="V622" s="6"/>
      <c r="W622" s="6"/>
      <c r="X622" s="6"/>
      <c r="Y622" s="6"/>
      <c r="Z622" s="6"/>
      <c r="AX622" s="6" t="str">
        <v>Quarter 3</v>
      </c>
    </row>
    <row r="623" spans="1:50" ht="31.4" customHeight="1" x14ac:dyDescent="0.35">
      <c r="A623" s="162">
        <v>622</v>
      </c>
      <c r="B623" s="4" t="s">
        <v>1205</v>
      </c>
      <c r="C623" s="4" t="s">
        <v>13</v>
      </c>
      <c r="D623" s="4" t="s">
        <v>1085</v>
      </c>
      <c r="E623" s="157">
        <v>45602</v>
      </c>
      <c r="F623" s="9">
        <f>IF($E623="","",WORKDAY($E623,1,$V$33:$V$41))</f>
        <v>45603</v>
      </c>
      <c r="G623" s="9">
        <f>IF($E623="","",WORKDAY($E623,10,$V$33:$V$41))</f>
        <v>45616</v>
      </c>
      <c r="H623" s="9">
        <f>IF($E623="","",WORKDAY($E623,20,$V$33:$V$41))</f>
        <v>45630</v>
      </c>
      <c r="I623" s="157" t="str">
        <f t="shared" si="11"/>
        <v>Nov</v>
      </c>
      <c r="J623" s="14" t="str">
        <f ca="1">IF(E623="","",IF(N623="",H623-TODAY(),""))</f>
        <v/>
      </c>
      <c r="K623" s="157" t="s">
        <v>124</v>
      </c>
      <c r="L623" s="157" t="s">
        <v>24</v>
      </c>
      <c r="M623" s="157" t="s">
        <v>61</v>
      </c>
      <c r="N623" s="9">
        <v>45602</v>
      </c>
      <c r="O623" s="159">
        <f>IF($N623="","",NETWORKDAYS($E623,$N623,$V$33:$V$47)-1)</f>
        <v>0</v>
      </c>
      <c r="P623" s="10" t="str">
        <f>IF(ISBLANK(N623),"",IF(N623&gt;H623,"No","Yes"))</f>
        <v>Yes</v>
      </c>
      <c r="Q623" s="9" t="s">
        <v>117</v>
      </c>
      <c r="R623" s="4" t="s">
        <v>150</v>
      </c>
      <c r="S623" s="4"/>
      <c r="T623" s="4"/>
      <c r="U623" s="6"/>
      <c r="V623" s="6"/>
      <c r="W623" s="6"/>
      <c r="X623" s="6"/>
      <c r="Y623" s="6"/>
      <c r="Z623" s="6"/>
      <c r="AX623" s="6" t="str">
        <v>Quarter 3</v>
      </c>
    </row>
    <row r="624" spans="1:50" ht="31.4" customHeight="1" x14ac:dyDescent="0.35">
      <c r="A624" s="162">
        <v>623</v>
      </c>
      <c r="B624" s="7" t="s">
        <v>751</v>
      </c>
      <c r="C624" s="7" t="s">
        <v>6</v>
      </c>
      <c r="D624" s="4" t="s">
        <v>1206</v>
      </c>
      <c r="E624" s="157">
        <v>45602</v>
      </c>
      <c r="F624" s="9">
        <f>IF($E624="","",WORKDAY($E624,1,$V$33:$V$41))</f>
        <v>45603</v>
      </c>
      <c r="G624" s="9">
        <f>IF($E624="","",WORKDAY($E624,10,$V$33:$V$41))</f>
        <v>45616</v>
      </c>
      <c r="H624" s="9">
        <f>IF($E624="","",WORKDAY($E624,20,$V$33:$V$41))</f>
        <v>45630</v>
      </c>
      <c r="I624" s="157" t="str">
        <f t="shared" si="11"/>
        <v>Nov</v>
      </c>
      <c r="J624" s="14" t="str">
        <f ca="1">IF(E624="","",IF(N624="",H624-TODAY(),""))</f>
        <v/>
      </c>
      <c r="K624" s="157" t="s">
        <v>124</v>
      </c>
      <c r="L624" s="157" t="s">
        <v>14</v>
      </c>
      <c r="M624" s="157" t="s">
        <v>44</v>
      </c>
      <c r="N624" s="9">
        <v>45629</v>
      </c>
      <c r="O624" s="159">
        <f>IF($N624="","",NETWORKDAYS($E624,$N624,$V$33:$V$47)-1)</f>
        <v>19</v>
      </c>
      <c r="P624" s="10" t="str">
        <f>IF(ISBLANK(N624),"",IF(N624&gt;H624,"No","Yes"))</f>
        <v>Yes</v>
      </c>
      <c r="Q624" s="9" t="s">
        <v>117</v>
      </c>
      <c r="R624" s="4" t="s">
        <v>118</v>
      </c>
      <c r="S624" s="4"/>
      <c r="T624" s="4" t="s">
        <v>141</v>
      </c>
      <c r="U624" s="6"/>
      <c r="V624" s="6"/>
      <c r="W624" s="6"/>
      <c r="X624" s="6"/>
      <c r="Y624" s="6"/>
      <c r="Z624" s="6"/>
      <c r="AX624" s="6" t="str">
        <v>Quarter 3</v>
      </c>
    </row>
    <row r="625" spans="1:50" ht="31.4" customHeight="1" x14ac:dyDescent="0.35">
      <c r="A625" s="162">
        <v>624</v>
      </c>
      <c r="B625" s="7" t="s">
        <v>138</v>
      </c>
      <c r="C625" s="7" t="s">
        <v>19</v>
      </c>
      <c r="D625" s="7" t="s">
        <v>1207</v>
      </c>
      <c r="E625" s="25">
        <v>45602</v>
      </c>
      <c r="F625" s="9">
        <f>IF($E625="","",WORKDAY($E625,1,$V$33:$V$41))</f>
        <v>45603</v>
      </c>
      <c r="G625" s="9">
        <f>IF($E625="","",WORKDAY($E625,10,$V$33:$V$41))</f>
        <v>45616</v>
      </c>
      <c r="H625" s="9">
        <f>IF($E625="","",WORKDAY($E625,20,$V$33:$V$41))</f>
        <v>45630</v>
      </c>
      <c r="I625" s="157" t="str">
        <f t="shared" si="11"/>
        <v>Nov</v>
      </c>
      <c r="J625" s="14" t="str">
        <f ca="1">IF(E625="","",IF(N625="",H625-TODAY(),""))</f>
        <v/>
      </c>
      <c r="K625" s="25" t="s">
        <v>10</v>
      </c>
      <c r="L625" s="157" t="s">
        <v>27</v>
      </c>
      <c r="M625" s="157" t="s">
        <v>95</v>
      </c>
      <c r="N625" s="9">
        <v>45616</v>
      </c>
      <c r="O625" s="159">
        <f>IF($N625="","",NETWORKDAYS($E625,$N625,$V$33:$V$47)-1)</f>
        <v>10</v>
      </c>
      <c r="P625" s="10" t="str">
        <f>IF(ISBLANK(N625),"",IF(N625&gt;H625,"No","Yes"))</f>
        <v>Yes</v>
      </c>
      <c r="Q625" s="9" t="s">
        <v>117</v>
      </c>
      <c r="R625" s="4" t="s">
        <v>118</v>
      </c>
      <c r="S625" s="4"/>
      <c r="T625" s="4"/>
      <c r="U625" s="6"/>
      <c r="V625" s="6"/>
      <c r="W625" s="6"/>
      <c r="X625" s="6"/>
      <c r="Y625" s="6"/>
      <c r="Z625" s="6"/>
      <c r="AX625" s="6" t="str">
        <v>Quarter 3</v>
      </c>
    </row>
    <row r="626" spans="1:50" ht="31.4" customHeight="1" x14ac:dyDescent="0.35">
      <c r="A626" s="162">
        <v>625</v>
      </c>
      <c r="B626" s="4" t="s">
        <v>8</v>
      </c>
      <c r="C626" s="4" t="s">
        <v>8</v>
      </c>
      <c r="D626" s="4" t="s">
        <v>275</v>
      </c>
      <c r="E626" s="157">
        <v>45602</v>
      </c>
      <c r="F626" s="9">
        <f>IF($E626="","",WORKDAY($E626,1,$V$33:$V$41))</f>
        <v>45603</v>
      </c>
      <c r="G626" s="9">
        <f>IF($E626="","",WORKDAY($E626,10,$V$33:$V$41))</f>
        <v>45616</v>
      </c>
      <c r="H626" s="9">
        <f>IF($E626="","",WORKDAY($E626,20,$V$33:$V$41))</f>
        <v>45630</v>
      </c>
      <c r="I626" s="157" t="str">
        <f t="shared" si="11"/>
        <v>Nov</v>
      </c>
      <c r="J626" s="14" t="str">
        <f ca="1">IF(E626="","",IF(N626="",H626-TODAY(),""))</f>
        <v/>
      </c>
      <c r="K626" s="157" t="s">
        <v>124</v>
      </c>
      <c r="L626" s="157" t="s">
        <v>20</v>
      </c>
      <c r="M626" s="157" t="s">
        <v>70</v>
      </c>
      <c r="N626" s="9">
        <v>45603</v>
      </c>
      <c r="O626" s="159">
        <f>IF($N626="","",NETWORKDAYS($E626,$N626,$V$33:$V$47)-1)</f>
        <v>1</v>
      </c>
      <c r="P626" s="10" t="str">
        <f>IF(ISBLANK(N626),"",IF(N626&gt;H626,"No","Yes"))</f>
        <v>Yes</v>
      </c>
      <c r="Q626" s="9" t="s">
        <v>117</v>
      </c>
      <c r="R626" s="4" t="s">
        <v>118</v>
      </c>
      <c r="S626" s="4"/>
      <c r="T626" s="4"/>
      <c r="U626" s="6"/>
      <c r="V626" s="6"/>
      <c r="W626" s="6"/>
      <c r="X626" s="6"/>
      <c r="Y626" s="6"/>
      <c r="Z626" s="6"/>
      <c r="AX626" s="6" t="str">
        <v>Quarter 3</v>
      </c>
    </row>
    <row r="627" spans="1:50" ht="31.4" customHeight="1" x14ac:dyDescent="0.35">
      <c r="A627" s="162">
        <v>626</v>
      </c>
      <c r="B627" s="4" t="s">
        <v>1144</v>
      </c>
      <c r="C627" s="4" t="s">
        <v>6</v>
      </c>
      <c r="D627" s="4" t="s">
        <v>1208</v>
      </c>
      <c r="E627" s="157">
        <v>45602</v>
      </c>
      <c r="F627" s="9">
        <f>IF($E627="","",WORKDAY($E627,1,$V$33:$V$41))</f>
        <v>45603</v>
      </c>
      <c r="G627" s="9">
        <f>IF($E627="","",WORKDAY($E627,10,$V$33:$V$41))</f>
        <v>45616</v>
      </c>
      <c r="H627" s="9">
        <f>IF($E627="","",WORKDAY($E627,20,$V$33:$V$41))</f>
        <v>45630</v>
      </c>
      <c r="I627" s="157" t="str">
        <f t="shared" si="11"/>
        <v>Nov</v>
      </c>
      <c r="J627" s="14" t="str">
        <f ca="1">IF(E627="","",IF(N627="",H627-TODAY(),""))</f>
        <v/>
      </c>
      <c r="K627" s="157" t="s">
        <v>5</v>
      </c>
      <c r="L627" s="157" t="s">
        <v>22</v>
      </c>
      <c r="M627" s="157" t="s">
        <v>46</v>
      </c>
      <c r="N627" s="9">
        <v>45604</v>
      </c>
      <c r="O627" s="159">
        <f>IF($N627="","",NETWORKDAYS($E627,$N627,$V$33:$V$47)-1)</f>
        <v>2</v>
      </c>
      <c r="P627" s="10" t="str">
        <f>IF(ISBLANK(N627),"",IF(N627&gt;H627,"No","Yes"))</f>
        <v>Yes</v>
      </c>
      <c r="Q627" s="9" t="s">
        <v>117</v>
      </c>
      <c r="R627" s="4" t="s">
        <v>118</v>
      </c>
      <c r="S627" s="4"/>
      <c r="T627" s="4"/>
      <c r="U627" s="6"/>
      <c r="V627" s="6"/>
      <c r="W627" s="6"/>
      <c r="X627" s="6"/>
      <c r="Y627" s="6"/>
      <c r="Z627" s="6"/>
      <c r="AX627" s="6" t="str">
        <v>Quarter 3</v>
      </c>
    </row>
    <row r="628" spans="1:50" ht="31.4" customHeight="1" x14ac:dyDescent="0.35">
      <c r="A628" s="162">
        <v>627</v>
      </c>
      <c r="B628" s="4" t="s">
        <v>138</v>
      </c>
      <c r="C628" s="4" t="s">
        <v>19</v>
      </c>
      <c r="D628" s="4" t="s">
        <v>1209</v>
      </c>
      <c r="E628" s="157">
        <v>45603</v>
      </c>
      <c r="F628" s="9">
        <f>IF($E628="","",WORKDAY($E628,1,$V$33:$V$41))</f>
        <v>45604</v>
      </c>
      <c r="G628" s="9">
        <f>IF($E628="","",WORKDAY($E628,10,$V$33:$V$41))</f>
        <v>45617</v>
      </c>
      <c r="H628" s="9">
        <f>IF($E628="","",WORKDAY($E628,20,$V$33:$V$41))</f>
        <v>45631</v>
      </c>
      <c r="I628" s="157" t="str">
        <f t="shared" si="11"/>
        <v>Nov</v>
      </c>
      <c r="J628" s="14" t="str">
        <f ca="1">IF(E628="","",IF(N628="",H628-TODAY(),""))</f>
        <v/>
      </c>
      <c r="K628" s="157" t="s">
        <v>10</v>
      </c>
      <c r="L628" s="157" t="s">
        <v>12</v>
      </c>
      <c r="M628" s="157" t="s">
        <v>30</v>
      </c>
      <c r="N628" s="9">
        <v>45604</v>
      </c>
      <c r="O628" s="159">
        <f>IF($N628="","",NETWORKDAYS($E628,$N628,$V$33:$V$47)-1)</f>
        <v>1</v>
      </c>
      <c r="P628" s="10" t="str">
        <f>IF(ISBLANK(N628),"",IF(N628&gt;H628,"No","Yes"))</f>
        <v>Yes</v>
      </c>
      <c r="Q628" s="9" t="s">
        <v>117</v>
      </c>
      <c r="R628" s="4" t="s">
        <v>118</v>
      </c>
      <c r="S628" s="4"/>
      <c r="T628" s="4" t="s">
        <v>141</v>
      </c>
      <c r="U628" s="6"/>
      <c r="V628" s="6"/>
      <c r="W628" s="6"/>
      <c r="X628" s="6"/>
      <c r="Y628" s="6"/>
      <c r="Z628" s="6"/>
      <c r="AX628" s="6" t="str">
        <v>Quarter 3</v>
      </c>
    </row>
    <row r="629" spans="1:50" ht="31.4" customHeight="1" x14ac:dyDescent="0.35">
      <c r="A629" s="162">
        <v>628</v>
      </c>
      <c r="B629" s="4" t="s">
        <v>244</v>
      </c>
      <c r="C629" s="4" t="s">
        <v>13</v>
      </c>
      <c r="D629" s="4" t="s">
        <v>1210</v>
      </c>
      <c r="E629" s="157">
        <v>45603</v>
      </c>
      <c r="F629" s="9">
        <f>IF($E629="","",WORKDAY($E629,1,$V$33:$V$41))</f>
        <v>45604</v>
      </c>
      <c r="G629" s="9">
        <f>IF($E629="","",WORKDAY($E629,10,$V$33:$V$41))</f>
        <v>45617</v>
      </c>
      <c r="H629" s="9">
        <f>IF($E629="","",WORKDAY($E629,20,$V$33:$V$41))</f>
        <v>45631</v>
      </c>
      <c r="I629" s="157" t="str">
        <f t="shared" si="11"/>
        <v>Nov</v>
      </c>
      <c r="J629" s="14" t="str">
        <f ca="1">IF(E629="","",IF(N629="",H629-TODAY(),""))</f>
        <v/>
      </c>
      <c r="K629" s="157" t="s">
        <v>4</v>
      </c>
      <c r="L629" s="157" t="s">
        <v>7</v>
      </c>
      <c r="M629" s="157" t="s">
        <v>31</v>
      </c>
      <c r="N629" s="9">
        <v>45608</v>
      </c>
      <c r="O629" s="159">
        <f>IF($N629="","",NETWORKDAYS($E629,$N629,$V$33:$V$47)-1)</f>
        <v>3</v>
      </c>
      <c r="P629" s="10" t="str">
        <f>IF(ISBLANK(N629),"",IF(N629&gt;H629,"No","Yes"))</f>
        <v>Yes</v>
      </c>
      <c r="Q629" s="9" t="s">
        <v>117</v>
      </c>
      <c r="R629" s="4" t="s">
        <v>118</v>
      </c>
      <c r="S629" s="4"/>
      <c r="T629" s="4"/>
      <c r="U629" s="6"/>
      <c r="V629" s="6"/>
      <c r="W629" s="6"/>
      <c r="X629" s="6"/>
      <c r="Y629" s="6"/>
      <c r="Z629" s="6"/>
      <c r="AX629" s="6" t="str">
        <v>Quarter 3</v>
      </c>
    </row>
    <row r="630" spans="1:50" ht="31.4" customHeight="1" x14ac:dyDescent="0.35">
      <c r="A630" s="162">
        <v>629</v>
      </c>
      <c r="B630" s="4" t="s">
        <v>1211</v>
      </c>
      <c r="C630" s="4" t="s">
        <v>13</v>
      </c>
      <c r="D630" s="4" t="s">
        <v>1212</v>
      </c>
      <c r="E630" s="157">
        <v>45603</v>
      </c>
      <c r="F630" s="9">
        <f>IF($E630="","",WORKDAY($E630,1,$V$33:$V$41))</f>
        <v>45604</v>
      </c>
      <c r="G630" s="9">
        <f>IF($E630="","",WORKDAY($E630,10,$V$33:$V$41))</f>
        <v>45617</v>
      </c>
      <c r="H630" s="9">
        <f>IF($E630="","",WORKDAY($E630,20,$V$33:$V$41))</f>
        <v>45631</v>
      </c>
      <c r="I630" s="157" t="str">
        <f t="shared" si="11"/>
        <v>Nov</v>
      </c>
      <c r="J630" s="14" t="str">
        <f ca="1">IF(E630="","",IF(N630="",H630-TODAY(),""))</f>
        <v/>
      </c>
      <c r="K630" s="157" t="s">
        <v>5</v>
      </c>
      <c r="L630" s="157" t="s">
        <v>18</v>
      </c>
      <c r="M630" s="157" t="s">
        <v>80</v>
      </c>
      <c r="N630" s="9">
        <v>45616</v>
      </c>
      <c r="O630" s="159">
        <f>IF($N630="","",NETWORKDAYS($E630,$N630,$V$33:$V$47)-1)</f>
        <v>9</v>
      </c>
      <c r="P630" s="10" t="str">
        <f>IF(ISBLANK(N630),"",IF(N630&gt;H630,"No","Yes"))</f>
        <v>Yes</v>
      </c>
      <c r="Q630" s="9" t="s">
        <v>117</v>
      </c>
      <c r="R630" s="4" t="s">
        <v>118</v>
      </c>
      <c r="S630" s="4"/>
      <c r="T630" s="4"/>
      <c r="U630" s="6"/>
      <c r="V630" s="6"/>
      <c r="W630" s="6"/>
      <c r="X630" s="6"/>
      <c r="Y630" s="6"/>
      <c r="Z630" s="6"/>
      <c r="AX630" s="6" t="str">
        <v>Quarter 3</v>
      </c>
    </row>
    <row r="631" spans="1:50" ht="31.4" customHeight="1" x14ac:dyDescent="0.35">
      <c r="A631" s="162">
        <v>630</v>
      </c>
      <c r="B631" s="4" t="s">
        <v>8</v>
      </c>
      <c r="C631" s="4" t="s">
        <v>8</v>
      </c>
      <c r="D631" s="4" t="s">
        <v>962</v>
      </c>
      <c r="E631" s="157"/>
      <c r="F631" s="9" t="str">
        <f>IF($E631="","",WORKDAY($E631,1,$V$33:$V$41))</f>
        <v/>
      </c>
      <c r="G631" s="9" t="str">
        <f>IF($E631="","",WORKDAY($E631,10,$V$33:$V$41))</f>
        <v/>
      </c>
      <c r="H631" s="9" t="str">
        <f>IF($E631="","",WORKDAY($E631,20,$V$33:$V$41))</f>
        <v/>
      </c>
      <c r="I631" s="157" t="s">
        <v>1213</v>
      </c>
      <c r="J631" s="14" t="str">
        <f ca="1">IF(E631="","",IF(N631="",H631-TODAY(),""))</f>
        <v/>
      </c>
      <c r="K631" s="157" t="s">
        <v>124</v>
      </c>
      <c r="L631" s="157" t="s">
        <v>24</v>
      </c>
      <c r="M631" s="157" t="s">
        <v>87</v>
      </c>
      <c r="N631" s="9"/>
      <c r="O631" s="159" t="str">
        <f>IF($N631="","",NETWORKDAYS($E631,$N631,$V$33:$V$47)-1)</f>
        <v/>
      </c>
      <c r="P631" s="10" t="str">
        <f>IF(ISBLANK(N631),"",IF(N631&gt;H631,"No","Yes"))</f>
        <v/>
      </c>
      <c r="Q631" s="9" t="s">
        <v>133</v>
      </c>
      <c r="R631" s="4" t="s">
        <v>133</v>
      </c>
      <c r="S631" s="4"/>
      <c r="T631" s="4" t="s">
        <v>764</v>
      </c>
      <c r="U631" s="6"/>
      <c r="V631" s="6"/>
      <c r="W631" s="6"/>
      <c r="X631" s="6"/>
      <c r="Y631" s="6"/>
      <c r="Z631" s="6"/>
      <c r="AX631" s="6" t="str">
        <v>Quarter 3</v>
      </c>
    </row>
    <row r="632" spans="1:50" ht="31.4" customHeight="1" x14ac:dyDescent="0.35">
      <c r="A632" s="162">
        <v>631</v>
      </c>
      <c r="B632" s="4" t="s">
        <v>1214</v>
      </c>
      <c r="C632" s="4" t="s">
        <v>13</v>
      </c>
      <c r="D632" s="4" t="s">
        <v>1215</v>
      </c>
      <c r="E632" s="157">
        <v>45604</v>
      </c>
      <c r="F632" s="9">
        <f>IF($E632="","",WORKDAY($E632,1,$V$33:$V$41))</f>
        <v>45607</v>
      </c>
      <c r="G632" s="9">
        <f>IF($E632="","",WORKDAY($E632,10,$V$33:$V$41))</f>
        <v>45618</v>
      </c>
      <c r="H632" s="9">
        <f>IF($E632="","",WORKDAY($E632,20,$V$33:$V$41))</f>
        <v>45632</v>
      </c>
      <c r="I632" s="157" t="str">
        <f t="shared" si="11"/>
        <v>Nov</v>
      </c>
      <c r="J632" s="14" t="str">
        <f ca="1">IF(E632="","",IF(N632="",H632-TODAY(),""))</f>
        <v/>
      </c>
      <c r="K632" s="157" t="s">
        <v>5</v>
      </c>
      <c r="L632" s="157" t="s">
        <v>22</v>
      </c>
      <c r="M632" s="157" t="s">
        <v>75</v>
      </c>
      <c r="N632" s="9">
        <v>45628</v>
      </c>
      <c r="O632" s="159">
        <f>IF($N632="","",NETWORKDAYS($E632,$N632,$V$33:$V$47)-1)</f>
        <v>16</v>
      </c>
      <c r="P632" s="10" t="str">
        <f>IF(ISBLANK(N632),"",IF(N632&gt;H632,"No","Yes"))</f>
        <v>Yes</v>
      </c>
      <c r="Q632" s="9" t="s">
        <v>117</v>
      </c>
      <c r="R632" s="4" t="s">
        <v>118</v>
      </c>
      <c r="S632" s="4"/>
      <c r="T632" s="4"/>
      <c r="U632" s="6"/>
      <c r="V632" s="6"/>
      <c r="W632" s="6"/>
      <c r="X632" s="6"/>
      <c r="Y632" s="6"/>
      <c r="Z632" s="6"/>
      <c r="AX632" s="6" t="str">
        <v>Quarter 3</v>
      </c>
    </row>
    <row r="633" spans="1:50" ht="31.4" customHeight="1" x14ac:dyDescent="0.35">
      <c r="A633" s="162">
        <v>632</v>
      </c>
      <c r="B633" s="4" t="s">
        <v>1216</v>
      </c>
      <c r="C633" s="4" t="s">
        <v>25</v>
      </c>
      <c r="D633" s="4" t="s">
        <v>1217</v>
      </c>
      <c r="E633" s="157"/>
      <c r="F633" s="9" t="str">
        <f>IF($E633="","",WORKDAY($E633,1,$V$33:$V$41))</f>
        <v/>
      </c>
      <c r="G633" s="9" t="str">
        <f>IF($E633="","",WORKDAY($E633,10,$V$33:$V$41))</f>
        <v/>
      </c>
      <c r="H633" s="9" t="str">
        <f>IF($E633="","",WORKDAY($E633,20,$V$33:$V$41))</f>
        <v/>
      </c>
      <c r="I633" s="157" t="s">
        <v>1213</v>
      </c>
      <c r="J633" s="14" t="str">
        <f ca="1">IF(E633="","",IF(N633="",H633-TODAY(),""))</f>
        <v/>
      </c>
      <c r="K633" s="157" t="s">
        <v>10</v>
      </c>
      <c r="L633" s="157" t="s">
        <v>12</v>
      </c>
      <c r="M633" s="157" t="s">
        <v>91</v>
      </c>
      <c r="N633" s="9"/>
      <c r="O633" s="159" t="str">
        <f>IF($N633="","",NETWORKDAYS($E633,$N633,$V$33:$V$47)-1)</f>
        <v/>
      </c>
      <c r="P633" s="10" t="str">
        <f>IF(ISBLANK(N633),"",IF(N633&gt;H633,"No","Yes"))</f>
        <v/>
      </c>
      <c r="Q633" s="9" t="s">
        <v>140</v>
      </c>
      <c r="R633" s="4" t="s">
        <v>140</v>
      </c>
      <c r="S633" s="4"/>
      <c r="T633" s="4" t="s">
        <v>1218</v>
      </c>
      <c r="U633" s="6"/>
      <c r="V633" s="6"/>
      <c r="W633" s="6"/>
      <c r="X633" s="6"/>
      <c r="Y633" s="6"/>
      <c r="Z633" s="6"/>
      <c r="AX633" s="6" t="str">
        <v>Quarter 3</v>
      </c>
    </row>
    <row r="634" spans="1:50" ht="31.4" customHeight="1" x14ac:dyDescent="0.35">
      <c r="A634" s="162">
        <v>633</v>
      </c>
      <c r="B634" s="4" t="s">
        <v>8</v>
      </c>
      <c r="C634" s="4" t="s">
        <v>8</v>
      </c>
      <c r="D634" s="4" t="s">
        <v>1219</v>
      </c>
      <c r="E634" s="157">
        <v>45590</v>
      </c>
      <c r="F634" s="9">
        <f>IF($E634="","",WORKDAY($E634,1,$V$33:$V$41))</f>
        <v>45593</v>
      </c>
      <c r="G634" s="9">
        <f>IF($E634="","",WORKDAY($E634,10,$V$33:$V$41))</f>
        <v>45604</v>
      </c>
      <c r="H634" s="9">
        <f>IF($E634="","",WORKDAY($E634,20,$V$33:$V$41))</f>
        <v>45618</v>
      </c>
      <c r="I634" s="157" t="str">
        <f t="shared" si="11"/>
        <v>Oct</v>
      </c>
      <c r="J634" s="14" t="str">
        <f ca="1">IF(E634="","",IF(N634="",H634-TODAY(),""))</f>
        <v/>
      </c>
      <c r="K634" s="157" t="s">
        <v>124</v>
      </c>
      <c r="L634" s="157" t="s">
        <v>14</v>
      </c>
      <c r="M634" s="157" t="s">
        <v>69</v>
      </c>
      <c r="N634" s="9">
        <v>45607</v>
      </c>
      <c r="O634" s="159">
        <f>IF($N634="","",NETWORKDAYS($E634,$N634,$V$33:$V$47)-1)</f>
        <v>11</v>
      </c>
      <c r="P634" s="10" t="str">
        <f>IF(ISBLANK(N634),"",IF(N634&gt;H634,"No","Yes"))</f>
        <v>Yes</v>
      </c>
      <c r="Q634" s="9" t="s">
        <v>117</v>
      </c>
      <c r="R634" s="4" t="s">
        <v>126</v>
      </c>
      <c r="S634" s="4" t="s">
        <v>178</v>
      </c>
      <c r="T634" s="4"/>
      <c r="U634" s="6"/>
      <c r="V634" s="6"/>
      <c r="W634" s="6"/>
      <c r="X634" s="6"/>
      <c r="Y634" s="6"/>
      <c r="Z634" s="6"/>
      <c r="AX634" s="6" t="str">
        <v>Quarter 3</v>
      </c>
    </row>
    <row r="635" spans="1:50" ht="31.4" customHeight="1" x14ac:dyDescent="0.35">
      <c r="A635" s="162">
        <v>634</v>
      </c>
      <c r="B635" s="4" t="s">
        <v>174</v>
      </c>
      <c r="C635" s="4" t="s">
        <v>23</v>
      </c>
      <c r="D635" s="4" t="s">
        <v>1220</v>
      </c>
      <c r="E635" s="157">
        <v>45607</v>
      </c>
      <c r="F635" s="9">
        <f>IF($E635="","",WORKDAY($E635,1,$V$33:$V$41))</f>
        <v>45608</v>
      </c>
      <c r="G635" s="9">
        <f>IF($E635="","",WORKDAY($E635,10,$V$33:$V$41))</f>
        <v>45621</v>
      </c>
      <c r="H635" s="9">
        <f>IF($E635="","",WORKDAY($E635,20,$V$33:$V$41))</f>
        <v>45635</v>
      </c>
      <c r="I635" s="157" t="str">
        <f t="shared" si="11"/>
        <v>Nov</v>
      </c>
      <c r="J635" s="14" t="str">
        <f ca="1">IF(E635="","",IF(N635="",H635-TODAY(),""))</f>
        <v/>
      </c>
      <c r="K635" s="157" t="s">
        <v>5</v>
      </c>
      <c r="L635" s="157" t="s">
        <v>22</v>
      </c>
      <c r="M635" s="157" t="s">
        <v>64</v>
      </c>
      <c r="N635" s="9">
        <v>45610</v>
      </c>
      <c r="O635" s="159">
        <f>IF($N635="","",NETWORKDAYS($E635,$N635,$V$33:$V$47)-1)</f>
        <v>3</v>
      </c>
      <c r="P635" s="10" t="str">
        <f>IF(ISBLANK(N635),"",IF(N635&gt;H635,"No","Yes"))</f>
        <v>Yes</v>
      </c>
      <c r="Q635" s="9" t="s">
        <v>117</v>
      </c>
      <c r="R635" s="4" t="s">
        <v>118</v>
      </c>
      <c r="S635" s="4"/>
      <c r="T635" s="4"/>
      <c r="U635" s="6"/>
      <c r="V635" s="6"/>
      <c r="W635" s="6"/>
      <c r="X635" s="6"/>
      <c r="Y635" s="6"/>
      <c r="Z635" s="6"/>
      <c r="AX635" s="6" t="str">
        <v>Quarter 3</v>
      </c>
    </row>
    <row r="636" spans="1:50" ht="31.4" customHeight="1" x14ac:dyDescent="0.35">
      <c r="A636" s="162">
        <v>635</v>
      </c>
      <c r="B636" s="4" t="s">
        <v>138</v>
      </c>
      <c r="C636" s="4" t="s">
        <v>19</v>
      </c>
      <c r="D636" s="4" t="s">
        <v>523</v>
      </c>
      <c r="E636" s="157">
        <v>45607</v>
      </c>
      <c r="F636" s="9">
        <f>IF($E636="","",WORKDAY($E636,1,$V$33:$V$41))</f>
        <v>45608</v>
      </c>
      <c r="G636" s="9">
        <f>IF($E636="","",WORKDAY($E636,10,$V$33:$V$41))</f>
        <v>45621</v>
      </c>
      <c r="H636" s="9">
        <f>IF($E636="","",WORKDAY($E636,20,$V$33:$V$41))</f>
        <v>45635</v>
      </c>
      <c r="I636" s="157" t="str">
        <f t="shared" si="11"/>
        <v>Nov</v>
      </c>
      <c r="J636" s="14" t="str">
        <f ca="1">IF(E636="","",IF(N636="",H636-TODAY(),""))</f>
        <v/>
      </c>
      <c r="K636" s="157" t="s">
        <v>10</v>
      </c>
      <c r="L636" s="157" t="s">
        <v>27</v>
      </c>
      <c r="M636" s="157" t="s">
        <v>37</v>
      </c>
      <c r="N636" s="9">
        <v>45610</v>
      </c>
      <c r="O636" s="159">
        <f>IF($N636="","",NETWORKDAYS($E636,$N636,$V$33:$V$47)-1)</f>
        <v>3</v>
      </c>
      <c r="P636" s="10" t="str">
        <f>IF(ISBLANK(N636),"",IF(N636&gt;H636,"No","Yes"))</f>
        <v>Yes</v>
      </c>
      <c r="Q636" s="9" t="s">
        <v>117</v>
      </c>
      <c r="R636" s="4" t="s">
        <v>118</v>
      </c>
      <c r="S636" s="4"/>
      <c r="T636" s="4"/>
      <c r="U636" s="6"/>
      <c r="V636" s="6"/>
      <c r="W636" s="6"/>
      <c r="X636" s="6"/>
      <c r="Y636" s="6"/>
      <c r="Z636" s="6"/>
      <c r="AX636" s="6" t="str">
        <v>Quarter 3</v>
      </c>
    </row>
    <row r="637" spans="1:50" ht="31.4" customHeight="1" x14ac:dyDescent="0.35">
      <c r="A637" s="162">
        <v>636</v>
      </c>
      <c r="B637" s="4" t="s">
        <v>8</v>
      </c>
      <c r="C637" s="4" t="s">
        <v>8</v>
      </c>
      <c r="D637" s="4" t="s">
        <v>1221</v>
      </c>
      <c r="E637" s="157">
        <v>45607</v>
      </c>
      <c r="F637" s="9">
        <f>IF($E637="","",WORKDAY($E637,1,$V$33:$V$41))</f>
        <v>45608</v>
      </c>
      <c r="G637" s="9">
        <f>IF($E637="","",WORKDAY($E637,10,$V$33:$V$41))</f>
        <v>45621</v>
      </c>
      <c r="H637" s="9">
        <f>IF($E637="","",WORKDAY($E637,20,$V$33:$V$41))</f>
        <v>45635</v>
      </c>
      <c r="I637" s="157" t="str">
        <f t="shared" si="11"/>
        <v>Nov</v>
      </c>
      <c r="J637" s="14" t="str">
        <f ca="1">IF(E637="","",IF(N637="",H637-TODAY(),""))</f>
        <v/>
      </c>
      <c r="K637" s="157" t="s">
        <v>124</v>
      </c>
      <c r="L637" s="157" t="s">
        <v>24</v>
      </c>
      <c r="M637" s="157" t="s">
        <v>84</v>
      </c>
      <c r="N637" s="9">
        <v>45608</v>
      </c>
      <c r="O637" s="159">
        <f>IF($N637="","",NETWORKDAYS($E637,$N637,$V$33:$V$47)-1)</f>
        <v>1</v>
      </c>
      <c r="P637" s="10" t="str">
        <f>IF(ISBLANK(N637),"",IF(N637&gt;H637,"No","Yes"))</f>
        <v>Yes</v>
      </c>
      <c r="Q637" s="9" t="s">
        <v>117</v>
      </c>
      <c r="R637" s="4" t="s">
        <v>118</v>
      </c>
      <c r="S637" s="4"/>
      <c r="T637" s="4" t="s">
        <v>1222</v>
      </c>
      <c r="U637" s="6"/>
      <c r="V637" s="6"/>
      <c r="W637" s="6"/>
      <c r="X637" s="6"/>
      <c r="Y637" s="6"/>
      <c r="Z637" s="6"/>
      <c r="AX637" s="6" t="str">
        <v>Quarter 3</v>
      </c>
    </row>
    <row r="638" spans="1:50" ht="31.4" customHeight="1" x14ac:dyDescent="0.35">
      <c r="A638" s="162">
        <v>637</v>
      </c>
      <c r="B638" s="4" t="s">
        <v>8</v>
      </c>
      <c r="C638" s="4" t="s">
        <v>8</v>
      </c>
      <c r="D638" s="4" t="s">
        <v>1221</v>
      </c>
      <c r="E638" s="157">
        <v>45607</v>
      </c>
      <c r="F638" s="9">
        <f>IF($E638="","",WORKDAY($E638,1,$V$33:$V$41))</f>
        <v>45608</v>
      </c>
      <c r="G638" s="9">
        <f>IF($E638="","",WORKDAY($E638,10,$V$33:$V$41))</f>
        <v>45621</v>
      </c>
      <c r="H638" s="9">
        <f>IF($E638="","",WORKDAY($E638,20,$V$33:$V$41))</f>
        <v>45635</v>
      </c>
      <c r="I638" s="157" t="str">
        <f t="shared" si="11"/>
        <v>Nov</v>
      </c>
      <c r="J638" s="14" t="str">
        <f ca="1">IF(E638="","",IF(N638="",H638-TODAY(),""))</f>
        <v/>
      </c>
      <c r="K638" s="157" t="s">
        <v>124</v>
      </c>
      <c r="L638" s="157" t="s">
        <v>24</v>
      </c>
      <c r="M638" s="157" t="s">
        <v>84</v>
      </c>
      <c r="N638" s="9">
        <v>45608</v>
      </c>
      <c r="O638" s="159">
        <f>IF($N638="","",NETWORKDAYS($E638,$N638,$V$33:$V$47)-1)</f>
        <v>1</v>
      </c>
      <c r="P638" s="10" t="str">
        <f>IF(ISBLANK(N638),"",IF(N638&gt;H638,"No","Yes"))</f>
        <v>Yes</v>
      </c>
      <c r="Q638" s="9" t="s">
        <v>117</v>
      </c>
      <c r="R638" s="4" t="s">
        <v>150</v>
      </c>
      <c r="S638" s="4"/>
      <c r="T638" s="4"/>
      <c r="U638" s="6"/>
      <c r="V638" s="6"/>
      <c r="W638" s="6"/>
      <c r="X638" s="6"/>
      <c r="Y638" s="6"/>
      <c r="Z638" s="6"/>
      <c r="AX638" s="6" t="str">
        <v>Quarter 3</v>
      </c>
    </row>
    <row r="639" spans="1:50" ht="31.4" customHeight="1" x14ac:dyDescent="0.35">
      <c r="A639" s="162">
        <v>638</v>
      </c>
      <c r="B639" s="4" t="s">
        <v>8</v>
      </c>
      <c r="C639" s="4" t="s">
        <v>8</v>
      </c>
      <c r="D639" s="7" t="s">
        <v>902</v>
      </c>
      <c r="E639" s="157">
        <v>45608</v>
      </c>
      <c r="F639" s="9">
        <f>IF($E639="","",WORKDAY($E639,1,$V$33:$V$41))</f>
        <v>45609</v>
      </c>
      <c r="G639" s="9">
        <f>IF($E639="","",WORKDAY($E639,10,$V$33:$V$41))</f>
        <v>45622</v>
      </c>
      <c r="H639" s="9">
        <f>IF($E639="","",WORKDAY($E639,20,$V$33:$V$41))</f>
        <v>45636</v>
      </c>
      <c r="I639" s="157" t="str">
        <f t="shared" si="11"/>
        <v>Nov</v>
      </c>
      <c r="J639" s="14" t="str">
        <f ca="1">IF(E639="","",IF(N639="",H639-TODAY(),""))</f>
        <v/>
      </c>
      <c r="K639" s="157" t="s">
        <v>5</v>
      </c>
      <c r="L639" s="157" t="s">
        <v>18</v>
      </c>
      <c r="M639" s="157" t="s">
        <v>66</v>
      </c>
      <c r="N639" s="9">
        <v>45608</v>
      </c>
      <c r="O639" s="159">
        <f>IF($N639="","",NETWORKDAYS($E639,$N639,$V$33:$V$47)-1)</f>
        <v>0</v>
      </c>
      <c r="P639" s="10" t="str">
        <f>IF(ISBLANK(N639),"",IF(N639&gt;H639,"No","Yes"))</f>
        <v>Yes</v>
      </c>
      <c r="Q639" s="9" t="s">
        <v>117</v>
      </c>
      <c r="R639" s="4" t="s">
        <v>132</v>
      </c>
      <c r="S639" s="4" t="s">
        <v>134</v>
      </c>
      <c r="T639" s="4"/>
      <c r="U639" s="6"/>
      <c r="V639" s="6"/>
      <c r="W639" s="6"/>
      <c r="X639" s="6"/>
      <c r="Y639" s="6"/>
      <c r="Z639" s="6"/>
      <c r="AX639" s="6" t="str">
        <v>Quarter 3</v>
      </c>
    </row>
    <row r="640" spans="1:50" ht="31.4" customHeight="1" x14ac:dyDescent="0.35">
      <c r="A640" s="162">
        <v>639</v>
      </c>
      <c r="B640" s="7" t="s">
        <v>979</v>
      </c>
      <c r="C640" s="7" t="s">
        <v>13</v>
      </c>
      <c r="D640" s="7" t="s">
        <v>1223</v>
      </c>
      <c r="E640" s="157">
        <v>45608</v>
      </c>
      <c r="F640" s="9">
        <f>IF($E640="","",WORKDAY($E640,1,$V$33:$V$41))</f>
        <v>45609</v>
      </c>
      <c r="G640" s="9">
        <f>IF($E640="","",WORKDAY($E640,10,$V$33:$V$41))</f>
        <v>45622</v>
      </c>
      <c r="H640" s="9">
        <f>IF($E640="","",WORKDAY($E640,20,$V$33:$V$41))</f>
        <v>45636</v>
      </c>
      <c r="I640" s="157" t="str">
        <f t="shared" si="11"/>
        <v>Nov</v>
      </c>
      <c r="J640" s="14" t="str">
        <f ca="1">IF(E640="","",IF(N640="",H640-TODAY(),""))</f>
        <v/>
      </c>
      <c r="K640" s="157" t="s">
        <v>5</v>
      </c>
      <c r="L640" s="157" t="s">
        <v>18</v>
      </c>
      <c r="M640" s="157" t="s">
        <v>80</v>
      </c>
      <c r="N640" s="9">
        <v>45631</v>
      </c>
      <c r="O640" s="159">
        <f>IF($N640="","",NETWORKDAYS($E640,$N640,$V$33:$V$47)-1)</f>
        <v>17</v>
      </c>
      <c r="P640" s="10" t="str">
        <f>IF(ISBLANK(N640),"",IF(N640&gt;H640,"No","Yes"))</f>
        <v>Yes</v>
      </c>
      <c r="Q640" s="9" t="s">
        <v>117</v>
      </c>
      <c r="R640" s="4" t="s">
        <v>118</v>
      </c>
      <c r="S640" s="4" t="s">
        <v>135</v>
      </c>
      <c r="T640" s="4"/>
      <c r="U640" s="6"/>
      <c r="V640" s="6"/>
      <c r="W640" s="6"/>
      <c r="X640" s="6"/>
      <c r="Y640" s="6"/>
      <c r="Z640" s="6"/>
      <c r="AX640" s="6" t="str">
        <v>Quarter 3</v>
      </c>
    </row>
    <row r="641" spans="1:50" ht="31.4" customHeight="1" x14ac:dyDescent="0.35">
      <c r="A641" s="162">
        <v>640</v>
      </c>
      <c r="B641" s="4" t="s">
        <v>8</v>
      </c>
      <c r="C641" s="4" t="s">
        <v>8</v>
      </c>
      <c r="D641" s="4" t="s">
        <v>1224</v>
      </c>
      <c r="E641" s="157">
        <v>45608</v>
      </c>
      <c r="F641" s="9">
        <f>IF($E641="","",WORKDAY($E641,1,$V$33:$V$41))</f>
        <v>45609</v>
      </c>
      <c r="G641" s="9">
        <f>IF($E641="","",WORKDAY($E641,10,$V$33:$V$41))</f>
        <v>45622</v>
      </c>
      <c r="H641" s="9">
        <f>IF($E641="","",WORKDAY($E641,20,$V$33:$V$41))</f>
        <v>45636</v>
      </c>
      <c r="I641" s="157" t="str">
        <f t="shared" si="11"/>
        <v>Nov</v>
      </c>
      <c r="J641" s="14" t="str">
        <f ca="1">IF(E641="","",IF(N641="",H641-TODAY(),""))</f>
        <v/>
      </c>
      <c r="K641" s="157" t="s">
        <v>10</v>
      </c>
      <c r="L641" s="157" t="s">
        <v>27</v>
      </c>
      <c r="M641" s="157" t="s">
        <v>86</v>
      </c>
      <c r="N641" s="9">
        <v>45631</v>
      </c>
      <c r="O641" s="159">
        <f>IF($N641="","",NETWORKDAYS($E641,$N641,$V$33:$V$47)-1)</f>
        <v>17</v>
      </c>
      <c r="P641" s="10" t="str">
        <f>IF(ISBLANK(N641),"",IF(N641&gt;H641,"No","Yes"))</f>
        <v>Yes</v>
      </c>
      <c r="Q641" s="9" t="s">
        <v>117</v>
      </c>
      <c r="R641" s="4" t="s">
        <v>126</v>
      </c>
      <c r="S641" s="4" t="s">
        <v>120</v>
      </c>
      <c r="T641" s="4" t="s">
        <v>1225</v>
      </c>
      <c r="U641" s="6"/>
      <c r="V641" s="6"/>
      <c r="W641" s="6"/>
      <c r="X641" s="6"/>
      <c r="Y641" s="6"/>
      <c r="Z641" s="6"/>
      <c r="AX641" s="6" t="str">
        <v>Quarter 3</v>
      </c>
    </row>
    <row r="642" spans="1:50" ht="31.4" customHeight="1" x14ac:dyDescent="0.35">
      <c r="A642" s="162">
        <v>641</v>
      </c>
      <c r="B642" s="4" t="s">
        <v>8</v>
      </c>
      <c r="C642" s="4" t="s">
        <v>8</v>
      </c>
      <c r="D642" s="4" t="s">
        <v>1226</v>
      </c>
      <c r="E642" s="157">
        <v>45608</v>
      </c>
      <c r="F642" s="9">
        <f>IF($E642="","",WORKDAY($E642,1,$V$33:$V$41))</f>
        <v>45609</v>
      </c>
      <c r="G642" s="9">
        <f>IF($E642="","",WORKDAY($E642,10,$V$33:$V$41))</f>
        <v>45622</v>
      </c>
      <c r="H642" s="9">
        <f>IF($E642="","",WORKDAY($E642,20,$V$33:$V$41))</f>
        <v>45636</v>
      </c>
      <c r="I642" s="157" t="str">
        <f t="shared" ref="I642:I705" si="12">IF(ISBLANK(E642),"",TEXT(E642,"mmm"))</f>
        <v>Nov</v>
      </c>
      <c r="J642" s="14" t="str">
        <f ca="1">IF(E642="","",IF(N642="",H642-TODAY(),""))</f>
        <v/>
      </c>
      <c r="K642" s="157" t="s">
        <v>5</v>
      </c>
      <c r="L642" s="157" t="s">
        <v>22</v>
      </c>
      <c r="M642" s="157" t="s">
        <v>64</v>
      </c>
      <c r="N642" s="9">
        <v>45628</v>
      </c>
      <c r="O642" s="159">
        <f>IF($N642="","",NETWORKDAYS($E642,$N642,$V$33:$V$47)-1)</f>
        <v>14</v>
      </c>
      <c r="P642" s="10" t="str">
        <f>IF(ISBLANK(N642),"",IF(N642&gt;H642,"No","Yes"))</f>
        <v>Yes</v>
      </c>
      <c r="Q642" s="9" t="s">
        <v>117</v>
      </c>
      <c r="R642" s="4" t="s">
        <v>150</v>
      </c>
      <c r="S642" s="4"/>
      <c r="T642" s="4"/>
      <c r="U642" s="6"/>
      <c r="V642" s="6"/>
      <c r="W642" s="6"/>
      <c r="X642" s="6"/>
      <c r="Y642" s="6"/>
      <c r="Z642" s="6"/>
      <c r="AX642" s="6" t="str">
        <v>Quarter 3</v>
      </c>
    </row>
    <row r="643" spans="1:50" ht="31.4" customHeight="1" x14ac:dyDescent="0.35">
      <c r="A643" s="162">
        <v>642</v>
      </c>
      <c r="B643" s="4" t="s">
        <v>1227</v>
      </c>
      <c r="C643" s="4" t="s">
        <v>13</v>
      </c>
      <c r="D643" s="4" t="s">
        <v>1228</v>
      </c>
      <c r="E643" s="157">
        <v>45609</v>
      </c>
      <c r="F643" s="9">
        <f>IF($E643="","",WORKDAY($E643,1,$V$33:$V$41))</f>
        <v>45610</v>
      </c>
      <c r="G643" s="9">
        <f>IF($E643="","",WORKDAY($E643,10,$V$33:$V$41))</f>
        <v>45623</v>
      </c>
      <c r="H643" s="9">
        <f>IF($E643="","",WORKDAY($E643,20,$V$33:$V$41))</f>
        <v>45637</v>
      </c>
      <c r="I643" s="157" t="str">
        <f t="shared" si="12"/>
        <v>Nov</v>
      </c>
      <c r="J643" s="14" t="str">
        <f ca="1">IF(E643="","",IF(N643="",H643-TODAY(),""))</f>
        <v/>
      </c>
      <c r="K643" s="157" t="s">
        <v>124</v>
      </c>
      <c r="L643" s="157" t="s">
        <v>14</v>
      </c>
      <c r="M643" s="157" t="s">
        <v>44</v>
      </c>
      <c r="N643" s="9">
        <v>45609</v>
      </c>
      <c r="O643" s="159">
        <f>IF($N643="","",NETWORKDAYS($E643,$N643,$V$33:$V$47)-1)</f>
        <v>0</v>
      </c>
      <c r="P643" s="10" t="str">
        <f>IF(ISBLANK(N643),"",IF(N643&gt;H643,"No","Yes"))</f>
        <v>Yes</v>
      </c>
      <c r="Q643" s="9" t="s">
        <v>117</v>
      </c>
      <c r="R643" s="4" t="s">
        <v>118</v>
      </c>
      <c r="S643" s="4" t="s">
        <v>119</v>
      </c>
      <c r="T643" s="4"/>
      <c r="U643" s="6"/>
      <c r="V643" s="6"/>
      <c r="W643" s="6"/>
      <c r="X643" s="6"/>
      <c r="Y643" s="6"/>
      <c r="Z643" s="6"/>
      <c r="AX643" s="6" t="str">
        <v>Quarter 3</v>
      </c>
    </row>
    <row r="644" spans="1:50" ht="31.4" customHeight="1" x14ac:dyDescent="0.35">
      <c r="A644" s="162">
        <v>643</v>
      </c>
      <c r="B644" s="4" t="s">
        <v>1229</v>
      </c>
      <c r="C644" s="4" t="s">
        <v>13</v>
      </c>
      <c r="D644" s="4" t="s">
        <v>1230</v>
      </c>
      <c r="E644" s="157">
        <v>45609</v>
      </c>
      <c r="F644" s="9">
        <f>IF($E644="","",WORKDAY($E644,1,$V$33:$V$41))</f>
        <v>45610</v>
      </c>
      <c r="G644" s="9">
        <f>IF($E644="","",WORKDAY($E644,10,$V$33:$V$41))</f>
        <v>45623</v>
      </c>
      <c r="H644" s="9">
        <f>IF($E644="","",WORKDAY($E644,20,$V$33:$V$41))</f>
        <v>45637</v>
      </c>
      <c r="I644" s="157" t="str">
        <f t="shared" si="12"/>
        <v>Nov</v>
      </c>
      <c r="J644" s="14" t="str">
        <f ca="1">IF(E644="","",IF(N644="",H644-TODAY(),""))</f>
        <v/>
      </c>
      <c r="K644" s="157" t="s">
        <v>5</v>
      </c>
      <c r="L644" s="157" t="s">
        <v>16</v>
      </c>
      <c r="M644" s="157" t="s">
        <v>71</v>
      </c>
      <c r="N644" s="9">
        <v>45631</v>
      </c>
      <c r="O644" s="159">
        <f>IF($N644="","",NETWORKDAYS($E644,$N644,$V$33:$V$47)-1)</f>
        <v>16</v>
      </c>
      <c r="P644" s="10" t="str">
        <f>IF(ISBLANK(N644),"",IF(N644&gt;H644,"No","Yes"))</f>
        <v>Yes</v>
      </c>
      <c r="Q644" s="9" t="s">
        <v>117</v>
      </c>
      <c r="R644" s="4" t="s">
        <v>118</v>
      </c>
      <c r="S644" s="4"/>
      <c r="T644" s="4"/>
      <c r="U644" s="6"/>
      <c r="V644" s="6"/>
      <c r="W644" s="6"/>
      <c r="X644" s="6"/>
      <c r="Y644" s="6"/>
      <c r="Z644" s="6"/>
      <c r="AX644" s="6" t="str">
        <v>Quarter 3</v>
      </c>
    </row>
    <row r="645" spans="1:50" ht="31.4" customHeight="1" x14ac:dyDescent="0.35">
      <c r="A645" s="162">
        <v>644</v>
      </c>
      <c r="B645" s="4" t="s">
        <v>138</v>
      </c>
      <c r="C645" s="4" t="s">
        <v>19</v>
      </c>
      <c r="D645" s="4" t="s">
        <v>1231</v>
      </c>
      <c r="E645" s="157">
        <v>45609</v>
      </c>
      <c r="F645" s="9">
        <f>IF($E645="","",WORKDAY($E645,1,$V$33:$V$41))</f>
        <v>45610</v>
      </c>
      <c r="G645" s="9">
        <f>IF($E645="","",WORKDAY($E645,10,$V$33:$V$41))</f>
        <v>45623</v>
      </c>
      <c r="H645" s="9">
        <f>IF($E645="","",WORKDAY($E645,20,$V$33:$V$41))</f>
        <v>45637</v>
      </c>
      <c r="I645" s="157" t="str">
        <f t="shared" si="12"/>
        <v>Nov</v>
      </c>
      <c r="J645" s="14" t="str">
        <f ca="1">IF(E645="","",IF(N645="",H645-TODAY(),""))</f>
        <v/>
      </c>
      <c r="K645" s="157" t="s">
        <v>5</v>
      </c>
      <c r="L645" s="157" t="s">
        <v>16</v>
      </c>
      <c r="M645" s="157" t="s">
        <v>67</v>
      </c>
      <c r="N645" s="9">
        <v>45632</v>
      </c>
      <c r="O645" s="159">
        <f>IF($N645="","",NETWORKDAYS($E645,$N645,$V$33:$V$47)-1)</f>
        <v>17</v>
      </c>
      <c r="P645" s="10" t="str">
        <f>IF(ISBLANK(N645),"",IF(N645&gt;H645,"No","Yes"))</f>
        <v>Yes</v>
      </c>
      <c r="Q645" s="9" t="s">
        <v>117</v>
      </c>
      <c r="R645" s="4" t="s">
        <v>126</v>
      </c>
      <c r="S645" s="4" t="s">
        <v>119</v>
      </c>
      <c r="T645" s="4" t="s">
        <v>1021</v>
      </c>
      <c r="U645" s="6"/>
      <c r="V645" s="6"/>
      <c r="W645" s="6"/>
      <c r="X645" s="6"/>
      <c r="Y645" s="6"/>
      <c r="Z645" s="6"/>
      <c r="AX645" s="6" t="str">
        <v>Quarter 3</v>
      </c>
    </row>
    <row r="646" spans="1:50" ht="31.4" customHeight="1" x14ac:dyDescent="0.35">
      <c r="A646" s="162">
        <v>645</v>
      </c>
      <c r="B646" s="4" t="s">
        <v>293</v>
      </c>
      <c r="C646" s="4" t="s">
        <v>6</v>
      </c>
      <c r="D646" s="4" t="s">
        <v>1232</v>
      </c>
      <c r="E646" s="157">
        <v>45609</v>
      </c>
      <c r="F646" s="9">
        <f>IF($E646="","",WORKDAY($E646,1,$V$33:$V$41))</f>
        <v>45610</v>
      </c>
      <c r="G646" s="9">
        <f>IF($E646="","",WORKDAY($E646,10,$V$33:$V$41))</f>
        <v>45623</v>
      </c>
      <c r="H646" s="9">
        <f>IF($E646="","",WORKDAY($E646,20,$V$33:$V$41))</f>
        <v>45637</v>
      </c>
      <c r="I646" s="157" t="str">
        <f t="shared" si="12"/>
        <v>Nov</v>
      </c>
      <c r="J646" s="14" t="str">
        <f ca="1">IF(E646="","",IF(N646="",H646-TODAY(),""))</f>
        <v/>
      </c>
      <c r="K646" s="157" t="s">
        <v>124</v>
      </c>
      <c r="L646" s="157" t="s">
        <v>20</v>
      </c>
      <c r="M646" s="157" t="s">
        <v>63</v>
      </c>
      <c r="N646" s="9">
        <v>45631</v>
      </c>
      <c r="O646" s="159">
        <f>IF($N646="","",NETWORKDAYS($E646,$N646,$V$33:$V$47)-1)</f>
        <v>16</v>
      </c>
      <c r="P646" s="10" t="str">
        <f>IF(ISBLANK(N646),"",IF(N646&gt;H646,"No","Yes"))</f>
        <v>Yes</v>
      </c>
      <c r="Q646" s="9" t="s">
        <v>117</v>
      </c>
      <c r="R646" s="4" t="s">
        <v>118</v>
      </c>
      <c r="S646" s="4"/>
      <c r="T646" s="4"/>
      <c r="U646" s="6"/>
      <c r="V646" s="6"/>
      <c r="W646" s="6"/>
      <c r="X646" s="6"/>
      <c r="Y646" s="6"/>
      <c r="Z646" s="6"/>
      <c r="AX646" s="6" t="str">
        <v>Quarter 3</v>
      </c>
    </row>
    <row r="647" spans="1:50" ht="31.4" customHeight="1" x14ac:dyDescent="0.35">
      <c r="A647" s="162">
        <v>646</v>
      </c>
      <c r="B647" s="4" t="s">
        <v>1233</v>
      </c>
      <c r="C647" s="4" t="s">
        <v>15</v>
      </c>
      <c r="D647" s="4" t="s">
        <v>1234</v>
      </c>
      <c r="E647" s="157">
        <v>45610</v>
      </c>
      <c r="F647" s="9">
        <f>IF($E647="","",WORKDAY($E647,1,$V$33:$V$41))</f>
        <v>45611</v>
      </c>
      <c r="G647" s="9">
        <f>IF($E647="","",WORKDAY($E647,10,$V$33:$V$41))</f>
        <v>45624</v>
      </c>
      <c r="H647" s="9">
        <f>IF($E647="","",WORKDAY($E647,20,$V$33:$V$41))</f>
        <v>45638</v>
      </c>
      <c r="I647" s="157" t="str">
        <f t="shared" si="12"/>
        <v>Nov</v>
      </c>
      <c r="J647" s="14" t="str">
        <f ca="1">IF(E647="","",IF(N647="",H647-TODAY(),""))</f>
        <v/>
      </c>
      <c r="K647" s="157" t="s">
        <v>5</v>
      </c>
      <c r="L647" s="157" t="s">
        <v>22</v>
      </c>
      <c r="M647" s="157" t="s">
        <v>46</v>
      </c>
      <c r="N647" s="9">
        <v>45616</v>
      </c>
      <c r="O647" s="159">
        <f>IF($N647="","",NETWORKDAYS($E647,$N647,$V$33:$V$47)-1)</f>
        <v>4</v>
      </c>
      <c r="P647" s="10" t="str">
        <f>IF(ISBLANK(N647),"",IF(N647&gt;H647,"No","Yes"))</f>
        <v>Yes</v>
      </c>
      <c r="Q647" s="9" t="s">
        <v>117</v>
      </c>
      <c r="R647" s="4" t="s">
        <v>150</v>
      </c>
      <c r="S647" s="4"/>
      <c r="T647" s="4"/>
      <c r="U647" s="6"/>
      <c r="V647" s="6"/>
      <c r="W647" s="6"/>
      <c r="X647" s="6"/>
      <c r="Y647" s="6"/>
      <c r="Z647" s="6"/>
      <c r="AX647" s="6" t="str">
        <v>Quarter 3</v>
      </c>
    </row>
    <row r="648" spans="1:50" ht="31.4" customHeight="1" x14ac:dyDescent="0.35">
      <c r="A648" s="162">
        <v>647</v>
      </c>
      <c r="B648" s="4" t="s">
        <v>8</v>
      </c>
      <c r="C648" s="4" t="s">
        <v>8</v>
      </c>
      <c r="D648" s="4" t="s">
        <v>1235</v>
      </c>
      <c r="E648" s="157">
        <v>45610</v>
      </c>
      <c r="F648" s="9">
        <f>IF($E648="","",WORKDAY($E648,1,$V$33:$V$41))</f>
        <v>45611</v>
      </c>
      <c r="G648" s="9">
        <f>IF($E648="","",WORKDAY($E648,10,$V$33:$V$41))</f>
        <v>45624</v>
      </c>
      <c r="H648" s="9">
        <f>IF($E648="","",WORKDAY($E648,20,$V$33:$V$41))</f>
        <v>45638</v>
      </c>
      <c r="I648" s="157" t="str">
        <f t="shared" si="12"/>
        <v>Nov</v>
      </c>
      <c r="J648" s="14" t="str">
        <f ca="1">IF(E648="","",IF(N648="",H648-TODAY(),""))</f>
        <v/>
      </c>
      <c r="K648" s="157" t="s">
        <v>5</v>
      </c>
      <c r="L648" s="157" t="s">
        <v>16</v>
      </c>
      <c r="M648" s="157" t="s">
        <v>67</v>
      </c>
      <c r="N648" s="9">
        <v>45611</v>
      </c>
      <c r="O648" s="159">
        <f>IF($N648="","",NETWORKDAYS($E648,$N648,$V$33:$V$47)-1)</f>
        <v>1</v>
      </c>
      <c r="P648" s="10" t="str">
        <f>IF(ISBLANK(N648),"",IF(N648&gt;H648,"No","Yes"))</f>
        <v>Yes</v>
      </c>
      <c r="Q648" s="9" t="s">
        <v>117</v>
      </c>
      <c r="R648" s="4" t="s">
        <v>126</v>
      </c>
      <c r="S648" s="4" t="s">
        <v>119</v>
      </c>
      <c r="T648" s="4"/>
      <c r="U648" s="6"/>
      <c r="V648" s="6"/>
      <c r="W648" s="6"/>
      <c r="X648" s="6"/>
      <c r="Y648" s="6"/>
      <c r="Z648" s="6"/>
      <c r="AX648" s="6" t="str">
        <v>Quarter 3</v>
      </c>
    </row>
    <row r="649" spans="1:50" ht="31.4" customHeight="1" x14ac:dyDescent="0.35">
      <c r="A649" s="162">
        <v>648</v>
      </c>
      <c r="B649" s="4" t="s">
        <v>8</v>
      </c>
      <c r="C649" s="4" t="s">
        <v>8</v>
      </c>
      <c r="D649" s="4" t="s">
        <v>1236</v>
      </c>
      <c r="E649" s="157">
        <v>45610</v>
      </c>
      <c r="F649" s="9">
        <f>IF($E649="","",WORKDAY($E649,1,$V$33:$V$41))</f>
        <v>45611</v>
      </c>
      <c r="G649" s="9">
        <f>IF($E649="","",WORKDAY($E649,10,$V$33:$V$41))</f>
        <v>45624</v>
      </c>
      <c r="H649" s="9">
        <f>IF($E649="","",WORKDAY($E649,20,$V$33:$V$41))</f>
        <v>45638</v>
      </c>
      <c r="I649" s="157" t="str">
        <f t="shared" si="12"/>
        <v>Nov</v>
      </c>
      <c r="J649" s="14" t="str">
        <f ca="1">IF(E649="","",IF(N649="",H649-TODAY(),""))</f>
        <v/>
      </c>
      <c r="K649" s="157" t="s">
        <v>4</v>
      </c>
      <c r="L649" s="157" t="s">
        <v>7</v>
      </c>
      <c r="M649" s="157" t="s">
        <v>31</v>
      </c>
      <c r="N649" s="9">
        <v>45625</v>
      </c>
      <c r="O649" s="159">
        <f>IF($N649="","",NETWORKDAYS($E649,$N649,$V$33:$V$47)-1)</f>
        <v>11</v>
      </c>
      <c r="P649" s="10" t="str">
        <f>IF(ISBLANK(N649),"",IF(N649&gt;H649,"No","Yes"))</f>
        <v>Yes</v>
      </c>
      <c r="Q649" s="9" t="s">
        <v>117</v>
      </c>
      <c r="R649" s="4" t="s">
        <v>118</v>
      </c>
      <c r="S649" s="4"/>
      <c r="T649" s="4" t="s">
        <v>141</v>
      </c>
      <c r="U649" s="6"/>
      <c r="V649" s="6"/>
      <c r="W649" s="6"/>
      <c r="X649" s="6"/>
      <c r="Y649" s="6"/>
      <c r="Z649" s="6"/>
      <c r="AX649" s="6" t="str">
        <v>Quarter 3</v>
      </c>
    </row>
    <row r="650" spans="1:50" ht="31.4" customHeight="1" x14ac:dyDescent="0.35">
      <c r="A650" s="162">
        <v>649</v>
      </c>
      <c r="B650" s="4" t="s">
        <v>1144</v>
      </c>
      <c r="C650" s="4" t="s">
        <v>6</v>
      </c>
      <c r="D650" s="4" t="s">
        <v>1237</v>
      </c>
      <c r="E650" s="157">
        <v>45610</v>
      </c>
      <c r="F650" s="9">
        <f>IF($E650="","",WORKDAY($E650,1,$V$33:$V$41))</f>
        <v>45611</v>
      </c>
      <c r="G650" s="9">
        <f>IF($E650="","",WORKDAY($E650,10,$V$33:$V$41))</f>
        <v>45624</v>
      </c>
      <c r="H650" s="9">
        <f>IF($E650="","",WORKDAY($E650,20,$V$33:$V$41))</f>
        <v>45638</v>
      </c>
      <c r="I650" s="157" t="str">
        <f t="shared" si="12"/>
        <v>Nov</v>
      </c>
      <c r="J650" s="14" t="str">
        <f ca="1">IF(E650="","",IF(N650="",H650-TODAY(),""))</f>
        <v/>
      </c>
      <c r="K650" s="157" t="s">
        <v>5</v>
      </c>
      <c r="L650" s="157" t="s">
        <v>16</v>
      </c>
      <c r="M650" s="157" t="s">
        <v>71</v>
      </c>
      <c r="N650" s="9">
        <v>45630</v>
      </c>
      <c r="O650" s="159">
        <f>IF($N650="","",NETWORKDAYS($E650,$N650,$V$33:$V$47)-1)</f>
        <v>14</v>
      </c>
      <c r="P650" s="10" t="str">
        <f>IF(ISBLANK(N650),"",IF(N650&gt;H650,"No","Yes"))</f>
        <v>Yes</v>
      </c>
      <c r="Q650" s="9" t="s">
        <v>117</v>
      </c>
      <c r="R650" s="4" t="s">
        <v>118</v>
      </c>
      <c r="S650" s="4"/>
      <c r="T650" s="4"/>
      <c r="U650" s="6"/>
      <c r="V650" s="6"/>
      <c r="W650" s="6"/>
      <c r="X650" s="6"/>
      <c r="Y650" s="6"/>
      <c r="Z650" s="6"/>
      <c r="AX650" s="6" t="str">
        <v>Quarter 3</v>
      </c>
    </row>
    <row r="651" spans="1:50" ht="31.4" customHeight="1" x14ac:dyDescent="0.35">
      <c r="A651" s="162">
        <v>650</v>
      </c>
      <c r="B651" s="4" t="s">
        <v>1238</v>
      </c>
      <c r="C651" s="4" t="s">
        <v>13</v>
      </c>
      <c r="D651" s="4" t="s">
        <v>1239</v>
      </c>
      <c r="E651" s="157">
        <v>45611</v>
      </c>
      <c r="F651" s="9">
        <f>IF($E651="","",WORKDAY($E651,1,$V$33:$V$41))</f>
        <v>45614</v>
      </c>
      <c r="G651" s="9">
        <f>IF($E651="","",WORKDAY($E651,10,$V$33:$V$41))</f>
        <v>45625</v>
      </c>
      <c r="H651" s="9">
        <f>IF($E651="","",WORKDAY($E651,20,$V$33:$V$41))</f>
        <v>45639</v>
      </c>
      <c r="I651" s="157" t="str">
        <f t="shared" si="12"/>
        <v>Nov</v>
      </c>
      <c r="J651" s="14" t="str">
        <f ca="1">IF(E651="","",IF(N651="",H651-TODAY(),""))</f>
        <v/>
      </c>
      <c r="K651" s="157" t="s">
        <v>5</v>
      </c>
      <c r="L651" s="157" t="s">
        <v>18</v>
      </c>
      <c r="M651" s="157" t="s">
        <v>66</v>
      </c>
      <c r="N651" s="9">
        <v>45611</v>
      </c>
      <c r="O651" s="159">
        <f>IF($N651="","",NETWORKDAYS($E651,$N651,$V$33:$V$47)-1)</f>
        <v>0</v>
      </c>
      <c r="P651" s="10" t="str">
        <f>IF(ISBLANK(N651),"",IF(N651&gt;H651,"No","Yes"))</f>
        <v>Yes</v>
      </c>
      <c r="Q651" s="9" t="s">
        <v>117</v>
      </c>
      <c r="R651" s="4" t="s">
        <v>132</v>
      </c>
      <c r="S651" s="4" t="s">
        <v>119</v>
      </c>
      <c r="T651" s="4"/>
      <c r="U651" s="6"/>
      <c r="V651" s="6"/>
      <c r="W651" s="6"/>
      <c r="X651" s="6"/>
      <c r="Y651" s="6"/>
      <c r="Z651" s="6"/>
      <c r="AX651" s="6" t="str">
        <v>Quarter 3</v>
      </c>
    </row>
    <row r="652" spans="1:50" ht="31.4" customHeight="1" x14ac:dyDescent="0.35">
      <c r="A652" s="162">
        <v>651</v>
      </c>
      <c r="B652" s="4" t="s">
        <v>8</v>
      </c>
      <c r="C652" s="4" t="s">
        <v>8</v>
      </c>
      <c r="D652" s="4" t="s">
        <v>1240</v>
      </c>
      <c r="E652" s="157">
        <v>45611</v>
      </c>
      <c r="F652" s="9">
        <f>IF($E652="","",WORKDAY($E652,1,$V$33:$V$41))</f>
        <v>45614</v>
      </c>
      <c r="G652" s="9">
        <f>IF($E652="","",WORKDAY($E652,10,$V$33:$V$41))</f>
        <v>45625</v>
      </c>
      <c r="H652" s="9">
        <f>IF($E652="","",WORKDAY($E652,20,$V$33:$V$41))</f>
        <v>45639</v>
      </c>
      <c r="I652" s="157" t="str">
        <f t="shared" si="12"/>
        <v>Nov</v>
      </c>
      <c r="J652" s="14" t="str">
        <f ca="1">IF(E652="","",IF(N652="",H652-TODAY(),""))</f>
        <v/>
      </c>
      <c r="K652" s="157" t="s">
        <v>124</v>
      </c>
      <c r="L652" s="157" t="s">
        <v>24</v>
      </c>
      <c r="M652" s="157" t="s">
        <v>76</v>
      </c>
      <c r="N652" s="9">
        <v>45628</v>
      </c>
      <c r="O652" s="159">
        <f>IF($N652="","",NETWORKDAYS($E652,$N652,$V$33:$V$47)-1)</f>
        <v>11</v>
      </c>
      <c r="P652" s="10" t="str">
        <f>IF(ISBLANK(N652),"",IF(N652&gt;H652,"No","Yes"))</f>
        <v>Yes</v>
      </c>
      <c r="Q652" s="9" t="s">
        <v>117</v>
      </c>
      <c r="R652" s="4" t="s">
        <v>118</v>
      </c>
      <c r="S652" s="4"/>
      <c r="T652" s="4"/>
      <c r="U652" s="6"/>
      <c r="V652" s="6"/>
      <c r="W652" s="6"/>
      <c r="X652" s="6"/>
      <c r="Y652" s="6"/>
      <c r="Z652" s="6"/>
      <c r="AX652" s="6" t="str">
        <v>Quarter 3</v>
      </c>
    </row>
    <row r="653" spans="1:50" ht="31.4" customHeight="1" x14ac:dyDescent="0.35">
      <c r="A653" s="162">
        <v>652</v>
      </c>
      <c r="B653" s="7" t="s">
        <v>1241</v>
      </c>
      <c r="C653" s="7" t="s">
        <v>13</v>
      </c>
      <c r="D653" s="4" t="s">
        <v>1242</v>
      </c>
      <c r="E653" s="157">
        <v>45610</v>
      </c>
      <c r="F653" s="9">
        <f>IF($E653="","",WORKDAY($E653,1,$V$33:$V$41))</f>
        <v>45611</v>
      </c>
      <c r="G653" s="9">
        <f>IF($E653="","",WORKDAY($E653,10,$V$33:$V$41))</f>
        <v>45624</v>
      </c>
      <c r="H653" s="9">
        <f>IF($E653="","",WORKDAY($E653,20,$V$33:$V$41))</f>
        <v>45638</v>
      </c>
      <c r="I653" s="157" t="str">
        <f t="shared" si="12"/>
        <v>Nov</v>
      </c>
      <c r="J653" s="14" t="str">
        <f ca="1">IF(E653="","",IF(N653="",H653-TODAY(),""))</f>
        <v/>
      </c>
      <c r="K653" s="157" t="s">
        <v>10</v>
      </c>
      <c r="L653" s="157" t="s">
        <v>9</v>
      </c>
      <c r="M653" s="157" t="s">
        <v>38</v>
      </c>
      <c r="N653" s="9">
        <v>45631</v>
      </c>
      <c r="O653" s="159">
        <f>IF($N653="","",NETWORKDAYS($E653,$N653,$V$33:$V$47)-1)</f>
        <v>15</v>
      </c>
      <c r="P653" s="10" t="str">
        <f>IF(ISBLANK(N653),"",IF(N653&gt;H653,"No","Yes"))</f>
        <v>Yes</v>
      </c>
      <c r="Q653" s="9" t="s">
        <v>117</v>
      </c>
      <c r="R653" s="4" t="s">
        <v>126</v>
      </c>
      <c r="S653" s="4" t="s">
        <v>120</v>
      </c>
      <c r="T653" s="4"/>
      <c r="U653" s="6"/>
      <c r="V653" s="6"/>
      <c r="W653" s="6"/>
      <c r="X653" s="6"/>
      <c r="Y653" s="6"/>
      <c r="Z653" s="6"/>
      <c r="AX653" s="6" t="str">
        <v>Quarter 3</v>
      </c>
    </row>
    <row r="654" spans="1:50" ht="31.4" customHeight="1" x14ac:dyDescent="0.35">
      <c r="A654" s="162">
        <v>653</v>
      </c>
      <c r="B654" s="4" t="s">
        <v>293</v>
      </c>
      <c r="C654" s="4" t="s">
        <v>6</v>
      </c>
      <c r="D654" s="4" t="s">
        <v>1159</v>
      </c>
      <c r="E654" s="157">
        <v>45611</v>
      </c>
      <c r="F654" s="9">
        <f>IF($E654="","",WORKDAY($E654,1,$V$33:$V$41))</f>
        <v>45614</v>
      </c>
      <c r="G654" s="9">
        <f>IF($E654="","",WORKDAY($E654,10,$V$33:$V$41))</f>
        <v>45625</v>
      </c>
      <c r="H654" s="9">
        <f>IF($E654="","",WORKDAY($E654,20,$V$33:$V$41))</f>
        <v>45639</v>
      </c>
      <c r="I654" s="157" t="str">
        <f t="shared" si="12"/>
        <v>Nov</v>
      </c>
      <c r="J654" s="14" t="str">
        <f ca="1">IF(E654="","",IF(N654="",H654-TODAY(),""))</f>
        <v/>
      </c>
      <c r="K654" s="157" t="s">
        <v>5</v>
      </c>
      <c r="L654" s="157" t="s">
        <v>18</v>
      </c>
      <c r="M654" s="157" t="s">
        <v>43</v>
      </c>
      <c r="N654" s="9">
        <v>45623</v>
      </c>
      <c r="O654" s="159">
        <f>IF($N654="","",NETWORKDAYS($E654,$N654,$V$33:$V$47)-1)</f>
        <v>8</v>
      </c>
      <c r="P654" s="10" t="str">
        <f>IF(ISBLANK(N654),"",IF(N654&gt;H654,"No","Yes"))</f>
        <v>Yes</v>
      </c>
      <c r="Q654" s="9" t="s">
        <v>117</v>
      </c>
      <c r="R654" s="4" t="s">
        <v>118</v>
      </c>
      <c r="S654" s="4"/>
      <c r="T654" s="4"/>
      <c r="U654" s="6"/>
      <c r="V654" s="6"/>
      <c r="W654" s="6"/>
      <c r="X654" s="6"/>
      <c r="Y654" s="6"/>
      <c r="Z654" s="6"/>
      <c r="AX654" s="6" t="str">
        <v>Quarter 3</v>
      </c>
    </row>
    <row r="655" spans="1:50" ht="31.4" customHeight="1" x14ac:dyDescent="0.35">
      <c r="A655" s="162">
        <v>654</v>
      </c>
      <c r="B655" s="4" t="s">
        <v>8</v>
      </c>
      <c r="C655" s="4" t="s">
        <v>8</v>
      </c>
      <c r="D655" s="4" t="s">
        <v>1243</v>
      </c>
      <c r="E655" s="157">
        <v>45611</v>
      </c>
      <c r="F655" s="9">
        <f>IF($E655="","",WORKDAY($E655,1,$V$33:$V$41))</f>
        <v>45614</v>
      </c>
      <c r="G655" s="9">
        <f>IF($E655="","",WORKDAY($E655,10,$V$33:$V$41))</f>
        <v>45625</v>
      </c>
      <c r="H655" s="9">
        <f>IF($E655="","",WORKDAY($E655,20,$V$33:$V$41))</f>
        <v>45639</v>
      </c>
      <c r="I655" s="157" t="str">
        <f t="shared" si="12"/>
        <v>Nov</v>
      </c>
      <c r="J655" s="14" t="str">
        <f ca="1">IF(E655="","",IF(N655="",H655-TODAY(),""))</f>
        <v/>
      </c>
      <c r="K655" s="157" t="s">
        <v>124</v>
      </c>
      <c r="L655" s="157" t="s">
        <v>20</v>
      </c>
      <c r="M655" s="157" t="s">
        <v>48</v>
      </c>
      <c r="N655" s="9">
        <v>45615</v>
      </c>
      <c r="O655" s="159">
        <f>IF($N655="","",NETWORKDAYS($E655,$N655,$V$33:$V$47)-1)</f>
        <v>2</v>
      </c>
      <c r="P655" s="163" t="str">
        <f>IF(ISBLANK(N655),"",IF(N655&gt;H655,"No","Yes"))</f>
        <v>Yes</v>
      </c>
      <c r="Q655" s="9" t="s">
        <v>117</v>
      </c>
      <c r="R655" s="4" t="s">
        <v>118</v>
      </c>
      <c r="S655" s="4"/>
      <c r="T655" s="4"/>
      <c r="U655" s="6"/>
      <c r="V655" s="6"/>
      <c r="W655" s="6"/>
      <c r="X655" s="6"/>
      <c r="Y655" s="6"/>
      <c r="Z655" s="6"/>
      <c r="AX655" s="6" t="str">
        <v>Quarter 3</v>
      </c>
    </row>
    <row r="656" spans="1:50" ht="31.4" customHeight="1" x14ac:dyDescent="0.35">
      <c r="A656" s="162">
        <v>655</v>
      </c>
      <c r="B656" s="4" t="s">
        <v>8</v>
      </c>
      <c r="C656" s="4" t="s">
        <v>8</v>
      </c>
      <c r="D656" s="4" t="s">
        <v>1244</v>
      </c>
      <c r="E656" s="157">
        <v>45614</v>
      </c>
      <c r="F656" s="9">
        <f>IF($E656="","",WORKDAY($E656,1,$V$33:$V$41))</f>
        <v>45615</v>
      </c>
      <c r="G656" s="9">
        <f>IF($E656="","",WORKDAY($E656,10,$V$33:$V$41))</f>
        <v>45628</v>
      </c>
      <c r="H656" s="9">
        <f>IF($E656="","",WORKDAY($E656,20,$V$33:$V$41))</f>
        <v>45642</v>
      </c>
      <c r="I656" s="157" t="str">
        <f t="shared" si="12"/>
        <v>Nov</v>
      </c>
      <c r="J656" s="14" t="str">
        <f ca="1">IF(E656="","",IF(N656="",H656-TODAY(),""))</f>
        <v/>
      </c>
      <c r="K656" s="157" t="s">
        <v>5</v>
      </c>
      <c r="L656" s="157" t="s">
        <v>16</v>
      </c>
      <c r="M656" s="157" t="s">
        <v>71</v>
      </c>
      <c r="N656" s="9">
        <v>45630</v>
      </c>
      <c r="O656" s="159">
        <f>IF($N656="","",NETWORKDAYS($E656,$N656,$V$33:$V$47)-1)</f>
        <v>12</v>
      </c>
      <c r="P656" s="10" t="str">
        <f>IF(ISBLANK(N656),"",IF(N656&gt;H656,"No","Yes"))</f>
        <v>Yes</v>
      </c>
      <c r="Q656" s="9" t="s">
        <v>117</v>
      </c>
      <c r="R656" s="4" t="s">
        <v>118</v>
      </c>
      <c r="S656" s="4"/>
      <c r="T656" s="4" t="s">
        <v>141</v>
      </c>
      <c r="U656" s="6"/>
      <c r="V656" s="6"/>
      <c r="W656" s="6"/>
      <c r="X656" s="6"/>
      <c r="Y656" s="6"/>
      <c r="Z656" s="6"/>
      <c r="AX656" s="6" t="str">
        <v>Quarter 3</v>
      </c>
    </row>
    <row r="657" spans="1:50" ht="31.4" customHeight="1" x14ac:dyDescent="0.35">
      <c r="A657" s="162">
        <v>656</v>
      </c>
      <c r="B657" s="4" t="s">
        <v>8</v>
      </c>
      <c r="C657" s="4" t="s">
        <v>8</v>
      </c>
      <c r="D657" s="4" t="s">
        <v>1245</v>
      </c>
      <c r="E657" s="157">
        <v>45614</v>
      </c>
      <c r="F657" s="9">
        <f>IF($E657="","",WORKDAY($E657,1,$V$33:$V$41))</f>
        <v>45615</v>
      </c>
      <c r="G657" s="9">
        <f>IF($E657="","",WORKDAY($E657,10,$V$33:$V$41))</f>
        <v>45628</v>
      </c>
      <c r="H657" s="9">
        <f>IF($E657="","",WORKDAY($E657,20,$V$33:$V$41))</f>
        <v>45642</v>
      </c>
      <c r="I657" s="157" t="str">
        <f t="shared" si="12"/>
        <v>Nov</v>
      </c>
      <c r="J657" s="14" t="str">
        <f ca="1">IF(E657="","",IF(N657="",H657-TODAY(),""))</f>
        <v/>
      </c>
      <c r="K657" s="157" t="s">
        <v>5</v>
      </c>
      <c r="L657" s="157" t="s">
        <v>16</v>
      </c>
      <c r="M657" s="157" t="s">
        <v>71</v>
      </c>
      <c r="N657" s="9">
        <v>45630</v>
      </c>
      <c r="O657" s="159">
        <f>IF($N657="","",NETWORKDAYS($E657,$N657,$V$33:$V$47)-1)</f>
        <v>12</v>
      </c>
      <c r="P657" s="10" t="str">
        <f>IF(ISBLANK(N657),"",IF(N657&gt;H657,"No","Yes"))</f>
        <v>Yes</v>
      </c>
      <c r="Q657" s="9" t="s">
        <v>117</v>
      </c>
      <c r="R657" s="4" t="s">
        <v>150</v>
      </c>
      <c r="S657" s="4"/>
      <c r="T657" s="4"/>
      <c r="U657" s="6"/>
      <c r="V657" s="6"/>
      <c r="W657" s="6"/>
      <c r="X657" s="6"/>
      <c r="Y657" s="6"/>
      <c r="Z657" s="6"/>
      <c r="AX657" s="6" t="str">
        <v>Quarter 3</v>
      </c>
    </row>
    <row r="658" spans="1:50" ht="31.4" customHeight="1" x14ac:dyDescent="0.35">
      <c r="A658" s="162">
        <v>657</v>
      </c>
      <c r="B658" s="4" t="s">
        <v>8</v>
      </c>
      <c r="C658" s="4" t="s">
        <v>8</v>
      </c>
      <c r="D658" s="4" t="s">
        <v>1246</v>
      </c>
      <c r="E658" s="157">
        <v>45614</v>
      </c>
      <c r="F658" s="9">
        <f>IF($E658="","",WORKDAY($E658,1,$V$33:$V$41))</f>
        <v>45615</v>
      </c>
      <c r="G658" s="9">
        <f>IF($E658="","",WORKDAY($E658,10,$V$33:$V$41))</f>
        <v>45628</v>
      </c>
      <c r="H658" s="9">
        <f>IF($E658="","",WORKDAY($E658,20,$V$33:$V$41))</f>
        <v>45642</v>
      </c>
      <c r="I658" s="157" t="str">
        <f t="shared" si="12"/>
        <v>Nov</v>
      </c>
      <c r="J658" s="14" t="str">
        <f ca="1">IF(E658="","",IF(N658="",H658-TODAY(),""))</f>
        <v/>
      </c>
      <c r="K658" s="157" t="s">
        <v>124</v>
      </c>
      <c r="L658" s="157" t="s">
        <v>20</v>
      </c>
      <c r="M658" s="157" t="s">
        <v>62</v>
      </c>
      <c r="N658" s="9">
        <v>45628</v>
      </c>
      <c r="O658" s="159">
        <f>IF($N658="","",NETWORKDAYS($E658,$N658,$V$33:$V$47)-1)</f>
        <v>10</v>
      </c>
      <c r="P658" s="10" t="str">
        <f>IF(ISBLANK(N658),"",IF(N658&gt;H658,"No","Yes"))</f>
        <v>Yes</v>
      </c>
      <c r="Q658" s="9" t="s">
        <v>117</v>
      </c>
      <c r="R658" s="4" t="s">
        <v>118</v>
      </c>
      <c r="S658" s="4"/>
      <c r="T658" s="4"/>
      <c r="U658" s="6"/>
      <c r="V658" s="6"/>
      <c r="W658" s="6"/>
      <c r="X658" s="6"/>
      <c r="Y658" s="6"/>
      <c r="Z658" s="6"/>
      <c r="AX658" s="6" t="str">
        <v>Quarter 3</v>
      </c>
    </row>
    <row r="659" spans="1:50" ht="31.4" customHeight="1" x14ac:dyDescent="0.35">
      <c r="A659" s="162">
        <v>658</v>
      </c>
      <c r="B659" s="4" t="s">
        <v>174</v>
      </c>
      <c r="C659" s="4" t="s">
        <v>23</v>
      </c>
      <c r="D659" s="4" t="s">
        <v>1247</v>
      </c>
      <c r="E659" s="157">
        <v>45614</v>
      </c>
      <c r="F659" s="9">
        <f>IF($E659="","",WORKDAY($E659,1,$V$33:$V$41))</f>
        <v>45615</v>
      </c>
      <c r="G659" s="9">
        <f>IF($E659="","",WORKDAY($E659,10,$V$33:$V$41))</f>
        <v>45628</v>
      </c>
      <c r="H659" s="9">
        <f>IF($E659="","",WORKDAY($E659,20,$V$33:$V$41))</f>
        <v>45642</v>
      </c>
      <c r="I659" s="157" t="str">
        <f t="shared" si="12"/>
        <v>Nov</v>
      </c>
      <c r="J659" s="14" t="str">
        <f ca="1">IF(E659="","",IF(N659="",H659-TODAY(),""))</f>
        <v/>
      </c>
      <c r="K659" s="157" t="s">
        <v>5</v>
      </c>
      <c r="L659" s="157" t="s">
        <v>22</v>
      </c>
      <c r="M659" s="157" t="s">
        <v>64</v>
      </c>
      <c r="N659" s="9">
        <v>45628</v>
      </c>
      <c r="O659" s="159">
        <f>IF($N659="","",NETWORKDAYS($E659,$N659,$V$33:$V$47)-1)</f>
        <v>10</v>
      </c>
      <c r="P659" s="10" t="str">
        <f>IF(ISBLANK(N659),"",IF(N659&gt;H659,"No","Yes"))</f>
        <v>Yes</v>
      </c>
      <c r="Q659" s="9" t="s">
        <v>117</v>
      </c>
      <c r="R659" s="4" t="s">
        <v>118</v>
      </c>
      <c r="S659" s="4"/>
      <c r="T659" s="4"/>
      <c r="U659" s="6"/>
      <c r="V659" s="6"/>
      <c r="W659" s="6"/>
      <c r="X659" s="6"/>
      <c r="Y659" s="6"/>
      <c r="Z659" s="6"/>
      <c r="AX659" s="6" t="str">
        <v>Quarter 3</v>
      </c>
    </row>
    <row r="660" spans="1:50" ht="31.4" customHeight="1" x14ac:dyDescent="0.35">
      <c r="A660" s="162">
        <v>659</v>
      </c>
      <c r="B660" s="4" t="s">
        <v>8</v>
      </c>
      <c r="C660" s="4" t="s">
        <v>8</v>
      </c>
      <c r="D660" s="4" t="s">
        <v>1248</v>
      </c>
      <c r="E660" s="157">
        <v>45614</v>
      </c>
      <c r="F660" s="9">
        <f>IF($E660="","",WORKDAY($E660,1,$V$33:$V$41))</f>
        <v>45615</v>
      </c>
      <c r="G660" s="9">
        <f>IF($E660="","",WORKDAY($E660,10,$V$33:$V$41))</f>
        <v>45628</v>
      </c>
      <c r="H660" s="9">
        <f>IF($E660="","",WORKDAY($E660,20,$V$33:$V$41))</f>
        <v>45642</v>
      </c>
      <c r="I660" s="157" t="str">
        <f t="shared" si="12"/>
        <v>Nov</v>
      </c>
      <c r="J660" s="14" t="str">
        <f ca="1">IF(E660="","",IF(N660="",H660-TODAY(),""))</f>
        <v/>
      </c>
      <c r="K660" s="157" t="s">
        <v>5</v>
      </c>
      <c r="L660" s="157" t="s">
        <v>22</v>
      </c>
      <c r="M660" s="157" t="s">
        <v>64</v>
      </c>
      <c r="N660" s="9">
        <v>45628</v>
      </c>
      <c r="O660" s="159">
        <f>IF($N660="","",NETWORKDAYS($E660,$N660,$V$33:$V$47)-1)</f>
        <v>10</v>
      </c>
      <c r="P660" s="10" t="str">
        <f>IF(ISBLANK(N660),"",IF(N660&gt;H660,"No","Yes"))</f>
        <v>Yes</v>
      </c>
      <c r="Q660" s="9" t="s">
        <v>117</v>
      </c>
      <c r="R660" s="4" t="s">
        <v>150</v>
      </c>
      <c r="S660" s="4"/>
      <c r="T660" s="4"/>
      <c r="U660" s="6"/>
      <c r="V660" s="6"/>
      <c r="W660" s="6"/>
      <c r="X660" s="6"/>
      <c r="Y660" s="6"/>
      <c r="Z660" s="6"/>
      <c r="AX660" s="6" t="str">
        <v>Quarter 3</v>
      </c>
    </row>
    <row r="661" spans="1:50" ht="31.4" customHeight="1" x14ac:dyDescent="0.35">
      <c r="A661" s="162">
        <v>660</v>
      </c>
      <c r="B661" s="4" t="s">
        <v>1249</v>
      </c>
      <c r="C661" s="4" t="s">
        <v>6</v>
      </c>
      <c r="D661" s="4" t="s">
        <v>1250</v>
      </c>
      <c r="E661" s="157">
        <v>45614</v>
      </c>
      <c r="F661" s="9">
        <f>IF($E661="","",WORKDAY($E661,1,$V$33:$V$41))</f>
        <v>45615</v>
      </c>
      <c r="G661" s="9">
        <f>IF($E661="","",WORKDAY($E661,10,$V$33:$V$41))</f>
        <v>45628</v>
      </c>
      <c r="H661" s="9">
        <f>IF($E661="","",WORKDAY($E661,20,$V$33:$V$41))</f>
        <v>45642</v>
      </c>
      <c r="I661" s="157" t="str">
        <f t="shared" si="12"/>
        <v>Nov</v>
      </c>
      <c r="J661" s="14" t="str">
        <f ca="1">IF(E661="","",IF(N661="",H661-TODAY(),""))</f>
        <v/>
      </c>
      <c r="K661" s="157" t="s">
        <v>10</v>
      </c>
      <c r="L661" s="157" t="s">
        <v>12</v>
      </c>
      <c r="M661" s="157" t="s">
        <v>65</v>
      </c>
      <c r="N661" s="9">
        <v>45646</v>
      </c>
      <c r="O661" s="159">
        <f>IF($N661="","",NETWORKDAYS($E661,$N661,$V$33:$V$47)-1)</f>
        <v>24</v>
      </c>
      <c r="P661" s="10" t="str">
        <f>IF(ISBLANK(N661),"",IF(N661&gt;H661,"No","Yes"))</f>
        <v>No</v>
      </c>
      <c r="Q661" s="9" t="s">
        <v>117</v>
      </c>
      <c r="R661" s="4" t="s">
        <v>118</v>
      </c>
      <c r="S661" s="4"/>
      <c r="T661" s="4" t="s">
        <v>141</v>
      </c>
      <c r="U661" s="6"/>
      <c r="V661" s="6"/>
      <c r="W661" s="6"/>
      <c r="X661" s="6"/>
      <c r="Y661" s="6"/>
      <c r="Z661" s="6"/>
      <c r="AX661" s="6" t="str">
        <v>Quarter 3</v>
      </c>
    </row>
    <row r="662" spans="1:50" ht="31.4" customHeight="1" x14ac:dyDescent="0.35">
      <c r="A662" s="162">
        <v>661</v>
      </c>
      <c r="B662" s="4" t="s">
        <v>1251</v>
      </c>
      <c r="C662" s="4" t="s">
        <v>15</v>
      </c>
      <c r="D662" s="4" t="s">
        <v>1252</v>
      </c>
      <c r="E662" s="157">
        <v>45614</v>
      </c>
      <c r="F662" s="9">
        <f>IF($E662="","",WORKDAY($E662,1,$V$33:$V$41))</f>
        <v>45615</v>
      </c>
      <c r="G662" s="9">
        <f>IF($E662="","",WORKDAY($E662,10,$V$33:$V$41))</f>
        <v>45628</v>
      </c>
      <c r="H662" s="9">
        <f>IF($E662="","",WORKDAY($E662,20,$V$33:$V$41))</f>
        <v>45642</v>
      </c>
      <c r="I662" s="157" t="str">
        <f t="shared" si="12"/>
        <v>Nov</v>
      </c>
      <c r="J662" s="14" t="str">
        <f ca="1">IF(E662="","",IF(N662="",H662-TODAY(),""))</f>
        <v/>
      </c>
      <c r="K662" s="157" t="s">
        <v>10</v>
      </c>
      <c r="L662" s="157" t="s">
        <v>27</v>
      </c>
      <c r="M662" s="157" t="s">
        <v>37</v>
      </c>
      <c r="N662" s="9">
        <v>45628</v>
      </c>
      <c r="O662" s="159">
        <f>IF($N662="","",NETWORKDAYS($E662,$N662,$V$33:$V$47)-1)</f>
        <v>10</v>
      </c>
      <c r="P662" s="10" t="str">
        <f>IF(ISBLANK(N662),"",IF(N662&gt;H662,"No","Yes"))</f>
        <v>Yes</v>
      </c>
      <c r="Q662" s="9" t="s">
        <v>117</v>
      </c>
      <c r="R662" s="4" t="s">
        <v>118</v>
      </c>
      <c r="S662" s="4"/>
      <c r="T662" s="4"/>
      <c r="U662" s="6"/>
      <c r="V662" s="6"/>
      <c r="W662" s="6"/>
      <c r="X662" s="6"/>
      <c r="Y662" s="6"/>
      <c r="Z662" s="6"/>
      <c r="AX662" s="6" t="str">
        <v>Quarter 3</v>
      </c>
    </row>
    <row r="663" spans="1:50" ht="31.4" customHeight="1" x14ac:dyDescent="0.35">
      <c r="A663" s="162">
        <v>662</v>
      </c>
      <c r="B663" s="4" t="s">
        <v>8</v>
      </c>
      <c r="C663" s="4" t="s">
        <v>8</v>
      </c>
      <c r="D663" s="4" t="s">
        <v>1253</v>
      </c>
      <c r="E663" s="157">
        <v>45614</v>
      </c>
      <c r="F663" s="9">
        <f>IF($E663="","",WORKDAY($E663,1,$V$33:$V$41))</f>
        <v>45615</v>
      </c>
      <c r="G663" s="9">
        <f>IF($E663="","",WORKDAY($E663,10,$V$33:$V$41))</f>
        <v>45628</v>
      </c>
      <c r="H663" s="9">
        <f>IF($E663="","",WORKDAY($E663,20,$V$33:$V$41))</f>
        <v>45642</v>
      </c>
      <c r="I663" s="157" t="str">
        <f t="shared" si="12"/>
        <v>Nov</v>
      </c>
      <c r="J663" s="14" t="str">
        <f ca="1">IF(E663="","",IF(N663="",H663-TODAY(),""))</f>
        <v/>
      </c>
      <c r="K663" s="157" t="s">
        <v>124</v>
      </c>
      <c r="L663" s="157" t="s">
        <v>20</v>
      </c>
      <c r="M663" s="157" t="s">
        <v>62</v>
      </c>
      <c r="N663" s="9">
        <v>45642</v>
      </c>
      <c r="O663" s="159">
        <f>IF($N663="","",NETWORKDAYS($E663,$N663,$V$33:$V$47)-1)</f>
        <v>20</v>
      </c>
      <c r="P663" s="10" t="str">
        <f>IF(ISBLANK(N663),"",IF(N663&gt;H663,"No","Yes"))</f>
        <v>Yes</v>
      </c>
      <c r="Q663" s="9" t="s">
        <v>117</v>
      </c>
      <c r="R663" s="4" t="s">
        <v>118</v>
      </c>
      <c r="S663" s="4"/>
      <c r="T663" s="4"/>
      <c r="U663" s="6"/>
      <c r="V663" s="6"/>
      <c r="W663" s="6"/>
      <c r="X663" s="6"/>
      <c r="Y663" s="6"/>
      <c r="Z663" s="6"/>
      <c r="AX663" s="6" t="str">
        <v>Quarter 3</v>
      </c>
    </row>
    <row r="664" spans="1:50" ht="31.4" customHeight="1" x14ac:dyDescent="0.35">
      <c r="A664" s="162">
        <v>663</v>
      </c>
      <c r="B664" s="4" t="s">
        <v>8</v>
      </c>
      <c r="C664" s="4" t="s">
        <v>8</v>
      </c>
      <c r="D664" s="4" t="s">
        <v>1254</v>
      </c>
      <c r="E664" s="157">
        <v>45614</v>
      </c>
      <c r="F664" s="9">
        <f>IF($E664="","",WORKDAY($E664,1,$V$33:$V$41))</f>
        <v>45615</v>
      </c>
      <c r="G664" s="9">
        <f>IF($E664="","",WORKDAY($E664,10,$V$33:$V$41))</f>
        <v>45628</v>
      </c>
      <c r="H664" s="9">
        <f>IF($E664="","",WORKDAY($E664,20,$V$33:$V$41))</f>
        <v>45642</v>
      </c>
      <c r="I664" s="157" t="str">
        <f t="shared" si="12"/>
        <v>Nov</v>
      </c>
      <c r="J664" s="14" t="str">
        <f ca="1">IF(E664="","",IF(N664="",H664-TODAY(),""))</f>
        <v/>
      </c>
      <c r="K664" s="157" t="s">
        <v>124</v>
      </c>
      <c r="L664" s="157" t="s">
        <v>14</v>
      </c>
      <c r="M664" s="157" t="s">
        <v>81</v>
      </c>
      <c r="N664" s="9">
        <v>45621</v>
      </c>
      <c r="O664" s="159">
        <f>IF($N664="","",NETWORKDAYS($E664,$N664,$V$33:$V$47)-1)</f>
        <v>5</v>
      </c>
      <c r="P664" s="10" t="str">
        <f>IF(ISBLANK(N664),"",IF(N664&gt;H664,"No","Yes"))</f>
        <v>Yes</v>
      </c>
      <c r="Q664" s="9" t="s">
        <v>117</v>
      </c>
      <c r="R664" s="4" t="s">
        <v>118</v>
      </c>
      <c r="S664" s="4"/>
      <c r="T664" s="4"/>
      <c r="U664" s="6"/>
      <c r="V664" s="6"/>
      <c r="W664" s="6"/>
      <c r="X664" s="6"/>
      <c r="Y664" s="6"/>
      <c r="Z664" s="6"/>
      <c r="AX664" s="6" t="str">
        <v>Quarter 3</v>
      </c>
    </row>
    <row r="665" spans="1:50" ht="31.4" customHeight="1" x14ac:dyDescent="0.35">
      <c r="A665" s="162">
        <v>664</v>
      </c>
      <c r="B665" s="4" t="s">
        <v>8</v>
      </c>
      <c r="C665" s="4" t="s">
        <v>8</v>
      </c>
      <c r="D665" s="4" t="s">
        <v>1255</v>
      </c>
      <c r="E665" s="157">
        <v>45611</v>
      </c>
      <c r="F665" s="9">
        <f>IF($E665="","",WORKDAY($E665,1,$V$33:$V$41))</f>
        <v>45614</v>
      </c>
      <c r="G665" s="9">
        <f>IF($E665="","",WORKDAY($E665,10,$V$33:$V$41))</f>
        <v>45625</v>
      </c>
      <c r="H665" s="9">
        <f>IF($E665="","",WORKDAY($E665,20,$V$33:$V$41))</f>
        <v>45639</v>
      </c>
      <c r="I665" s="157" t="str">
        <f t="shared" si="12"/>
        <v>Nov</v>
      </c>
      <c r="J665" s="14" t="str">
        <f ca="1">IF(E665="","",IF(N665="",H665-TODAY(),""))</f>
        <v/>
      </c>
      <c r="K665" s="157" t="s">
        <v>124</v>
      </c>
      <c r="L665" s="157" t="s">
        <v>14</v>
      </c>
      <c r="M665" s="157" t="s">
        <v>44</v>
      </c>
      <c r="N665" s="9">
        <v>45615</v>
      </c>
      <c r="O665" s="159">
        <f>IF($N665="","",NETWORKDAYS($E665,$N665,$V$33:$V$47)-1)</f>
        <v>2</v>
      </c>
      <c r="P665" s="10" t="str">
        <f>IF(ISBLANK(N665),"",IF(N665&gt;H665,"No","Yes"))</f>
        <v>Yes</v>
      </c>
      <c r="Q665" s="9" t="s">
        <v>117</v>
      </c>
      <c r="R665" s="4" t="s">
        <v>150</v>
      </c>
      <c r="S665" s="4"/>
      <c r="T665" s="4"/>
      <c r="U665" s="6"/>
      <c r="V665" s="6"/>
      <c r="W665" s="6"/>
      <c r="X665" s="6"/>
      <c r="Y665" s="6"/>
      <c r="Z665" s="6"/>
      <c r="AX665" s="6" t="str">
        <v>Quarter 3</v>
      </c>
    </row>
    <row r="666" spans="1:50" ht="31.4" customHeight="1" x14ac:dyDescent="0.35">
      <c r="A666" s="162">
        <v>665</v>
      </c>
      <c r="B666" s="4" t="s">
        <v>8</v>
      </c>
      <c r="C666" s="4" t="s">
        <v>8</v>
      </c>
      <c r="D666" s="4" t="s">
        <v>1255</v>
      </c>
      <c r="E666" s="157">
        <v>45615</v>
      </c>
      <c r="F666" s="9">
        <f>IF($E666="","",WORKDAY($E666,1,$V$33:$V$41))</f>
        <v>45616</v>
      </c>
      <c r="G666" s="9">
        <f>IF($E666="","",WORKDAY($E666,10,$V$33:$V$41))</f>
        <v>45629</v>
      </c>
      <c r="H666" s="9">
        <f>IF($E666="","",WORKDAY($E666,20,$V$33:$V$41))</f>
        <v>45643</v>
      </c>
      <c r="I666" s="157" t="str">
        <f t="shared" si="12"/>
        <v>Nov</v>
      </c>
      <c r="J666" s="14" t="str">
        <f ca="1">IF(E666="","",IF(N666="",H666-TODAY(),""))</f>
        <v/>
      </c>
      <c r="K666" s="157" t="s">
        <v>124</v>
      </c>
      <c r="L666" s="157" t="s">
        <v>14</v>
      </c>
      <c r="M666" s="157" t="s">
        <v>44</v>
      </c>
      <c r="N666" s="9">
        <v>45615</v>
      </c>
      <c r="O666" s="159">
        <f>IF($N666="","",NETWORKDAYS($E666,$N666,$V$33:$V$47)-1)</f>
        <v>0</v>
      </c>
      <c r="P666" s="10" t="str">
        <f>IF(ISBLANK(N666),"",IF(N666&gt;H666,"No","Yes"))</f>
        <v>Yes</v>
      </c>
      <c r="Q666" s="9" t="s">
        <v>117</v>
      </c>
      <c r="R666" s="4" t="s">
        <v>150</v>
      </c>
      <c r="S666" s="4"/>
      <c r="T666" s="4"/>
      <c r="U666" s="6"/>
      <c r="V666" s="6"/>
      <c r="W666" s="6"/>
      <c r="X666" s="6"/>
      <c r="Y666" s="6"/>
      <c r="Z666" s="6"/>
      <c r="AX666" s="6" t="str">
        <v>Quarter 3</v>
      </c>
    </row>
    <row r="667" spans="1:50" ht="31.4" customHeight="1" x14ac:dyDescent="0.35">
      <c r="A667" s="162">
        <v>666</v>
      </c>
      <c r="B667" s="4" t="s">
        <v>8</v>
      </c>
      <c r="C667" s="4" t="s">
        <v>8</v>
      </c>
      <c r="D667" s="4" t="s">
        <v>1256</v>
      </c>
      <c r="E667" s="157">
        <v>45614</v>
      </c>
      <c r="F667" s="9">
        <f>IF($E667="","",WORKDAY($E667,1,$V$33:$V$41))</f>
        <v>45615</v>
      </c>
      <c r="G667" s="9">
        <f>IF($E667="","",WORKDAY($E667,10,$V$33:$V$41))</f>
        <v>45628</v>
      </c>
      <c r="H667" s="9">
        <f>IF($E667="","",WORKDAY($E667,20,$V$33:$V$41))</f>
        <v>45642</v>
      </c>
      <c r="I667" s="157" t="str">
        <f t="shared" si="12"/>
        <v>Nov</v>
      </c>
      <c r="J667" s="14" t="str">
        <f ca="1">IF(E667="","",IF(N667="",H667-TODAY(),""))</f>
        <v/>
      </c>
      <c r="K667" s="157" t="s">
        <v>124</v>
      </c>
      <c r="L667" s="157" t="s">
        <v>20</v>
      </c>
      <c r="M667" s="157" t="s">
        <v>48</v>
      </c>
      <c r="N667" s="9">
        <v>45628</v>
      </c>
      <c r="O667" s="159">
        <f>IF($N667="","",NETWORKDAYS($E667,$N667,$V$33:$V$47)-1)</f>
        <v>10</v>
      </c>
      <c r="P667" s="10" t="str">
        <f>IF(ISBLANK(N667),"",IF(N667&gt;H667,"No","Yes"))</f>
        <v>Yes</v>
      </c>
      <c r="Q667" s="9" t="s">
        <v>117</v>
      </c>
      <c r="R667" s="4" t="s">
        <v>118</v>
      </c>
      <c r="S667" s="4"/>
      <c r="T667" s="4"/>
      <c r="U667" s="6"/>
      <c r="V667" s="6"/>
      <c r="W667" s="6"/>
      <c r="X667" s="6"/>
      <c r="Y667" s="6"/>
      <c r="Z667" s="6"/>
      <c r="AX667" s="6" t="str">
        <v>Quarter 3</v>
      </c>
    </row>
    <row r="668" spans="1:50" ht="31.4" customHeight="1" x14ac:dyDescent="0.35">
      <c r="A668" s="162">
        <v>667</v>
      </c>
      <c r="B668" s="4" t="s">
        <v>8</v>
      </c>
      <c r="C668" s="4" t="s">
        <v>8</v>
      </c>
      <c r="D668" s="4" t="s">
        <v>1257</v>
      </c>
      <c r="E668" s="157">
        <v>45614</v>
      </c>
      <c r="F668" s="9">
        <f>IF($E668="","",WORKDAY($E668,1,$V$33:$V$41))</f>
        <v>45615</v>
      </c>
      <c r="G668" s="9">
        <f>IF($E668="","",WORKDAY($E668,10,$V$33:$V$41))</f>
        <v>45628</v>
      </c>
      <c r="H668" s="9">
        <f>IF($E668="","",WORKDAY($E668,20,$V$33:$V$41))</f>
        <v>45642</v>
      </c>
      <c r="I668" s="157" t="str">
        <f t="shared" si="12"/>
        <v>Nov</v>
      </c>
      <c r="J668" s="14" t="str">
        <f ca="1">IF(E668="","",IF(N668="",H668-TODAY(),""))</f>
        <v/>
      </c>
      <c r="K668" s="157" t="s">
        <v>124</v>
      </c>
      <c r="L668" s="157" t="s">
        <v>20</v>
      </c>
      <c r="M668" s="157" t="s">
        <v>78</v>
      </c>
      <c r="N668" s="9">
        <v>45684</v>
      </c>
      <c r="O668" s="159">
        <f>IF($N668="","",NETWORKDAYS($E668,$N668,$V$33:$V$47)-1)</f>
        <v>47</v>
      </c>
      <c r="P668" s="10" t="str">
        <f>IF(ISBLANK(N668),"",IF(N668&gt;H668,"No","Yes"))</f>
        <v>No</v>
      </c>
      <c r="Q668" s="9" t="s">
        <v>117</v>
      </c>
      <c r="R668" s="4" t="s">
        <v>118</v>
      </c>
      <c r="S668" s="4" t="s">
        <v>119</v>
      </c>
      <c r="T668" s="4"/>
      <c r="U668" s="6"/>
      <c r="V668" s="6"/>
      <c r="W668" s="6"/>
      <c r="X668" s="6"/>
      <c r="Y668" s="6"/>
      <c r="Z668" s="6"/>
      <c r="AX668" s="6" t="str">
        <v>Quarter 3</v>
      </c>
    </row>
    <row r="669" spans="1:50" ht="31.4" customHeight="1" x14ac:dyDescent="0.35">
      <c r="A669" s="162">
        <v>668</v>
      </c>
      <c r="B669" s="4" t="s">
        <v>174</v>
      </c>
      <c r="C669" s="4" t="s">
        <v>23</v>
      </c>
      <c r="D669" s="4" t="s">
        <v>1258</v>
      </c>
      <c r="E669" s="157">
        <v>45614</v>
      </c>
      <c r="F669" s="9">
        <f>IF($E669="","",WORKDAY($E669,1,$V$33:$V$41))</f>
        <v>45615</v>
      </c>
      <c r="G669" s="9">
        <f>IF($E669="","",WORKDAY($E669,10,$V$33:$V$41))</f>
        <v>45628</v>
      </c>
      <c r="H669" s="9">
        <f>IF($E669="","",WORKDAY($E669,20,$V$33:$V$41))</f>
        <v>45642</v>
      </c>
      <c r="I669" s="157" t="str">
        <f t="shared" ref="I669" si="13">IF(ISBLANK(E669),"",TEXT(E669,"mmm"))</f>
        <v>Nov</v>
      </c>
      <c r="J669" s="14" t="str">
        <f ca="1">IF(E669="","",IF(N669="",H669-TODAY(),""))</f>
        <v/>
      </c>
      <c r="K669" s="157" t="s">
        <v>5</v>
      </c>
      <c r="L669" s="157" t="s">
        <v>16</v>
      </c>
      <c r="M669" s="157" t="s">
        <v>52</v>
      </c>
      <c r="N669" s="9">
        <v>45639</v>
      </c>
      <c r="O669" s="159">
        <f>IF($N669="","",NETWORKDAYS($E669,$N669,$V$33:$V$47)-1)</f>
        <v>19</v>
      </c>
      <c r="P669" s="10" t="str">
        <f>IF(ISBLANK(N669),"",IF(N669&gt;H669,"No","Yes"))</f>
        <v>Yes</v>
      </c>
      <c r="Q669" s="9" t="s">
        <v>117</v>
      </c>
      <c r="R669" s="4" t="s">
        <v>126</v>
      </c>
      <c r="S669" s="4" t="s">
        <v>178</v>
      </c>
      <c r="T669" s="4" t="s">
        <v>1021</v>
      </c>
      <c r="U669" s="6"/>
      <c r="V669" s="6"/>
      <c r="W669" s="6"/>
      <c r="X669" s="6"/>
      <c r="Y669" s="6"/>
      <c r="Z669" s="6"/>
      <c r="AX669" s="6" t="str">
        <v>Quarter 3</v>
      </c>
    </row>
    <row r="670" spans="1:50" ht="31.4" customHeight="1" x14ac:dyDescent="0.35">
      <c r="A670" s="162">
        <v>669</v>
      </c>
      <c r="B670" s="4" t="s">
        <v>8</v>
      </c>
      <c r="C670" s="4" t="s">
        <v>8</v>
      </c>
      <c r="D670" s="4" t="s">
        <v>1259</v>
      </c>
      <c r="E670" s="157">
        <v>45614</v>
      </c>
      <c r="F670" s="9">
        <f>IF($E670="","",WORKDAY($E670,1,$V$33:$V$41))</f>
        <v>45615</v>
      </c>
      <c r="G670" s="9">
        <f>IF($E670="","",WORKDAY($E670,10,$V$33:$V$41))</f>
        <v>45628</v>
      </c>
      <c r="H670" s="9">
        <f>IF($E670="","",WORKDAY($E670,20,$V$33:$V$41))</f>
        <v>45642</v>
      </c>
      <c r="I670" s="157" t="str">
        <f t="shared" ref="I670" si="14">IF(ISBLANK(E670),"",TEXT(E670,"mmm"))</f>
        <v>Nov</v>
      </c>
      <c r="J670" s="14" t="str">
        <f ca="1">IF(E670="","",IF(N670="",H670-TODAY(),""))</f>
        <v/>
      </c>
      <c r="K670" s="157" t="s">
        <v>124</v>
      </c>
      <c r="L670" s="157" t="s">
        <v>24</v>
      </c>
      <c r="M670" s="157" t="s">
        <v>94</v>
      </c>
      <c r="N670" s="9">
        <v>45616</v>
      </c>
      <c r="O670" s="159">
        <f>IF($N670="","",NETWORKDAYS($E670,$N670,$V$33:$V$47)-1)</f>
        <v>2</v>
      </c>
      <c r="P670" s="10" t="str">
        <f>IF(ISBLANK(N670),"",IF(N670&gt;H670,"No","Yes"))</f>
        <v>Yes</v>
      </c>
      <c r="Q670" s="9" t="s">
        <v>117</v>
      </c>
      <c r="R670" s="4" t="s">
        <v>150</v>
      </c>
      <c r="S670" s="4"/>
      <c r="T670" s="4"/>
      <c r="U670" s="6"/>
      <c r="V670" s="6"/>
      <c r="W670" s="6"/>
      <c r="X670" s="6"/>
      <c r="Y670" s="6"/>
      <c r="Z670" s="6"/>
      <c r="AX670" s="6" t="str">
        <v>Quarter 3</v>
      </c>
    </row>
    <row r="671" spans="1:50" ht="31.4" customHeight="1" x14ac:dyDescent="0.35">
      <c r="A671" s="162">
        <v>670</v>
      </c>
      <c r="B671" s="4" t="s">
        <v>1260</v>
      </c>
      <c r="C671" s="4" t="s">
        <v>13</v>
      </c>
      <c r="D671" s="4" t="s">
        <v>1261</v>
      </c>
      <c r="E671" s="157">
        <v>45615</v>
      </c>
      <c r="F671" s="9">
        <f>IF($E671="","",WORKDAY($E671,1,$V$33:$V$41))</f>
        <v>45616</v>
      </c>
      <c r="G671" s="9">
        <f>IF($E671="","",WORKDAY($E671,10,$V$33:$V$41))</f>
        <v>45629</v>
      </c>
      <c r="H671" s="9">
        <f>IF($E671="","",WORKDAY($E671,20,$V$33:$V$41))</f>
        <v>45643</v>
      </c>
      <c r="I671" s="157" t="str">
        <f t="shared" si="12"/>
        <v>Nov</v>
      </c>
      <c r="J671" s="14" t="str">
        <f ca="1">IF(E671="","",IF(N671="",H671-TODAY(),""))</f>
        <v/>
      </c>
      <c r="K671" s="157" t="s">
        <v>10</v>
      </c>
      <c r="L671" s="157" t="s">
        <v>12</v>
      </c>
      <c r="M671" s="157" t="s">
        <v>65</v>
      </c>
      <c r="N671" s="9">
        <v>45617</v>
      </c>
      <c r="O671" s="159">
        <f>IF($N671="","",NETWORKDAYS($E671,$N671,$V$33:$V$47)-1)</f>
        <v>2</v>
      </c>
      <c r="P671" s="10" t="str">
        <f>IF(ISBLANK(N671),"",IF(N671&gt;H671,"No","Yes"))</f>
        <v>Yes</v>
      </c>
      <c r="Q671" s="9" t="s">
        <v>117</v>
      </c>
      <c r="R671" s="4" t="s">
        <v>118</v>
      </c>
      <c r="S671" s="4"/>
      <c r="T671" s="4"/>
      <c r="U671" s="6"/>
      <c r="V671" s="6"/>
      <c r="W671" s="6"/>
      <c r="X671" s="6"/>
      <c r="Y671" s="6"/>
      <c r="Z671" s="6"/>
      <c r="AX671" s="6" t="str">
        <v>Quarter 3</v>
      </c>
    </row>
    <row r="672" spans="1:50" ht="31.4" customHeight="1" x14ac:dyDescent="0.35">
      <c r="A672" s="162">
        <v>671</v>
      </c>
      <c r="B672" s="4" t="s">
        <v>1262</v>
      </c>
      <c r="C672" s="4" t="s">
        <v>13</v>
      </c>
      <c r="D672" s="4" t="s">
        <v>1263</v>
      </c>
      <c r="E672" s="157">
        <v>45615</v>
      </c>
      <c r="F672" s="9">
        <f>IF($E672="","",WORKDAY($E672,1,$V$33:$V$41))</f>
        <v>45616</v>
      </c>
      <c r="G672" s="9">
        <f>IF($E672="","",WORKDAY($E672,10,$V$33:$V$41))</f>
        <v>45629</v>
      </c>
      <c r="H672" s="9">
        <f>IF($E672="","",WORKDAY($E672,20,$V$33:$V$41))</f>
        <v>45643</v>
      </c>
      <c r="I672" s="157" t="str">
        <f t="shared" si="12"/>
        <v>Nov</v>
      </c>
      <c r="J672" s="14" t="str">
        <f ca="1">IF(E672="","",IF(N672="",H672-TODAY(),""))</f>
        <v/>
      </c>
      <c r="K672" s="157" t="s">
        <v>10</v>
      </c>
      <c r="L672" s="157" t="s">
        <v>12</v>
      </c>
      <c r="M672" s="157" t="s">
        <v>65</v>
      </c>
      <c r="N672" s="9">
        <v>45632</v>
      </c>
      <c r="O672" s="159">
        <f>IF($N672="","",NETWORKDAYS($E672,$N672,$V$33:$V$47)-1)</f>
        <v>13</v>
      </c>
      <c r="P672" s="10" t="str">
        <f>IF(ISBLANK(N672),"",IF(N672&gt;H672,"No","Yes"))</f>
        <v>Yes</v>
      </c>
      <c r="Q672" s="9" t="s">
        <v>117</v>
      </c>
      <c r="R672" s="4" t="s">
        <v>118</v>
      </c>
      <c r="S672" s="4"/>
      <c r="T672" s="4" t="s">
        <v>141</v>
      </c>
      <c r="U672" s="6"/>
      <c r="V672" s="6"/>
      <c r="W672" s="6"/>
      <c r="X672" s="6"/>
      <c r="Y672" s="6"/>
      <c r="Z672" s="6"/>
      <c r="AX672" s="6" t="str">
        <v>Quarter 3</v>
      </c>
    </row>
    <row r="673" spans="1:50" ht="31.4" customHeight="1" x14ac:dyDescent="0.35">
      <c r="A673" s="162">
        <v>672</v>
      </c>
      <c r="B673" s="4" t="s">
        <v>8</v>
      </c>
      <c r="C673" s="4" t="s">
        <v>8</v>
      </c>
      <c r="D673" s="4" t="s">
        <v>1264</v>
      </c>
      <c r="E673" s="157">
        <v>45615</v>
      </c>
      <c r="F673" s="9">
        <f>IF($E673="","",WORKDAY($E673,1,$V$33:$V$41))</f>
        <v>45616</v>
      </c>
      <c r="G673" s="9">
        <f>IF($E673="","",WORKDAY($E673,10,$V$33:$V$41))</f>
        <v>45629</v>
      </c>
      <c r="H673" s="9">
        <f>IF($E673="","",WORKDAY($E673,20,$V$33:$V$41))</f>
        <v>45643</v>
      </c>
      <c r="I673" s="157" t="str">
        <f t="shared" si="12"/>
        <v>Nov</v>
      </c>
      <c r="J673" s="14" t="str">
        <f ca="1">IF(E673="","",IF(N673="",H673-TODAY(),""))</f>
        <v/>
      </c>
      <c r="K673" s="157" t="s">
        <v>10</v>
      </c>
      <c r="L673" s="157" t="s">
        <v>12</v>
      </c>
      <c r="M673" s="157" t="s">
        <v>65</v>
      </c>
      <c r="N673" s="9">
        <v>45629</v>
      </c>
      <c r="O673" s="159">
        <f>IF($N673="","",NETWORKDAYS($E673,$N673,$V$33:$V$47)-1)</f>
        <v>10</v>
      </c>
      <c r="P673" s="10" t="str">
        <f>IF(ISBLANK(N673),"",IF(N673&gt;H673,"No","Yes"))</f>
        <v>Yes</v>
      </c>
      <c r="Q673" s="9" t="s">
        <v>117</v>
      </c>
      <c r="R673" s="4" t="s">
        <v>118</v>
      </c>
      <c r="S673" s="4"/>
      <c r="T673" s="4"/>
      <c r="U673" s="6"/>
      <c r="V673" s="6"/>
      <c r="W673" s="6"/>
      <c r="X673" s="6"/>
      <c r="Y673" s="6"/>
      <c r="Z673" s="6"/>
      <c r="AX673" s="6" t="str">
        <v>Quarter 3</v>
      </c>
    </row>
    <row r="674" spans="1:50" ht="31.4" customHeight="1" x14ac:dyDescent="0.35">
      <c r="A674" s="162">
        <v>673</v>
      </c>
      <c r="B674" s="4" t="s">
        <v>8</v>
      </c>
      <c r="C674" s="4" t="s">
        <v>8</v>
      </c>
      <c r="D674" s="4" t="s">
        <v>1265</v>
      </c>
      <c r="E674" s="157">
        <v>45616</v>
      </c>
      <c r="F674" s="9">
        <f>IF($E674="","",WORKDAY($E674,1,$V$33:$V$41))</f>
        <v>45617</v>
      </c>
      <c r="G674" s="9">
        <f>IF($E674="","",WORKDAY($E674,10,$V$33:$V$41))</f>
        <v>45630</v>
      </c>
      <c r="H674" s="9">
        <f>IF($E674="","",WORKDAY($E674,20,$V$33:$V$41))</f>
        <v>45644</v>
      </c>
      <c r="I674" s="157" t="str">
        <f t="shared" si="12"/>
        <v>Nov</v>
      </c>
      <c r="J674" s="14" t="str">
        <f ca="1">IF(E674="","",IF(N674="",H674-TODAY(),""))</f>
        <v/>
      </c>
      <c r="K674" s="157" t="s">
        <v>5</v>
      </c>
      <c r="L674" s="157" t="s">
        <v>18</v>
      </c>
      <c r="M674" s="157" t="s">
        <v>66</v>
      </c>
      <c r="N674" s="9">
        <v>45631</v>
      </c>
      <c r="O674" s="159">
        <f>IF($N674="","",NETWORKDAYS($E674,$N674,$V$33:$V$47)-1)</f>
        <v>11</v>
      </c>
      <c r="P674" s="10" t="str">
        <f>IF(ISBLANK(N674),"",IF(N674&gt;H674,"No","Yes"))</f>
        <v>Yes</v>
      </c>
      <c r="Q674" s="9" t="s">
        <v>117</v>
      </c>
      <c r="R674" s="4" t="s">
        <v>132</v>
      </c>
      <c r="S674" s="4" t="s">
        <v>134</v>
      </c>
      <c r="T674" s="4"/>
      <c r="U674" s="6"/>
      <c r="V674" s="6"/>
      <c r="W674" s="6"/>
      <c r="X674" s="6"/>
      <c r="Y674" s="6"/>
      <c r="Z674" s="6"/>
      <c r="AX674" s="6" t="str">
        <v>Quarter 3</v>
      </c>
    </row>
    <row r="675" spans="1:50" ht="31.4" customHeight="1" x14ac:dyDescent="0.35">
      <c r="A675" s="162">
        <v>674</v>
      </c>
      <c r="B675" s="4" t="s">
        <v>8</v>
      </c>
      <c r="C675" s="4" t="s">
        <v>8</v>
      </c>
      <c r="D675" s="4" t="s">
        <v>1266</v>
      </c>
      <c r="E675" s="157">
        <v>45616</v>
      </c>
      <c r="F675" s="9">
        <f>IF($E675="","",WORKDAY($E675,1,$V$33:$V$41))</f>
        <v>45617</v>
      </c>
      <c r="G675" s="9">
        <f>IF($E675="","",WORKDAY($E675,10,$V$33:$V$41))</f>
        <v>45630</v>
      </c>
      <c r="H675" s="9">
        <f>IF($E675="","",WORKDAY($E675,20,$V$33:$V$41))</f>
        <v>45644</v>
      </c>
      <c r="I675" s="157" t="str">
        <f t="shared" si="12"/>
        <v>Nov</v>
      </c>
      <c r="J675" s="14" t="str">
        <f ca="1">IF(E675="","",IF(N675="",H675-TODAY(),""))</f>
        <v/>
      </c>
      <c r="K675" s="157" t="s">
        <v>4</v>
      </c>
      <c r="L675" s="157" t="s">
        <v>26</v>
      </c>
      <c r="M675" s="157" t="s">
        <v>93</v>
      </c>
      <c r="N675" s="9">
        <v>45639</v>
      </c>
      <c r="O675" s="159">
        <f>IF($N675="","",NETWORKDAYS($E675,$N675,$V$33:$V$47)-1)</f>
        <v>17</v>
      </c>
      <c r="P675" s="10" t="str">
        <f>IF(ISBLANK(N675),"",IF(N675&gt;H675,"No","Yes"))</f>
        <v>Yes</v>
      </c>
      <c r="Q675" s="9" t="s">
        <v>117</v>
      </c>
      <c r="R675" s="4" t="s">
        <v>118</v>
      </c>
      <c r="S675" s="4"/>
      <c r="T675" s="4" t="s">
        <v>1267</v>
      </c>
      <c r="U675" s="6"/>
      <c r="V675" s="6"/>
      <c r="W675" s="6"/>
      <c r="X675" s="6"/>
      <c r="Y675" s="6"/>
      <c r="Z675" s="6"/>
      <c r="AX675" s="6" t="str">
        <v>Quarter 3</v>
      </c>
    </row>
    <row r="676" spans="1:50" ht="31.4" customHeight="1" x14ac:dyDescent="0.35">
      <c r="A676" s="162">
        <v>675</v>
      </c>
      <c r="B676" s="4" t="s">
        <v>8</v>
      </c>
      <c r="C676" s="4" t="s">
        <v>8</v>
      </c>
      <c r="D676" s="4" t="s">
        <v>1268</v>
      </c>
      <c r="E676" s="157">
        <v>45616</v>
      </c>
      <c r="F676" s="9">
        <f>IF($E676="","",WORKDAY($E676,1,$V$33:$V$41))</f>
        <v>45617</v>
      </c>
      <c r="G676" s="9">
        <f>IF($E676="","",WORKDAY($E676,10,$V$33:$V$41))</f>
        <v>45630</v>
      </c>
      <c r="H676" s="9">
        <f>IF($E676="","",WORKDAY($E676,20,$V$33:$V$41))</f>
        <v>45644</v>
      </c>
      <c r="I676" s="157" t="str">
        <f t="shared" si="12"/>
        <v>Nov</v>
      </c>
      <c r="J676" s="14" t="str">
        <f ca="1">IF(E676="","",IF(N676="",H676-TODAY(),""))</f>
        <v/>
      </c>
      <c r="K676" s="157" t="s">
        <v>124</v>
      </c>
      <c r="L676" s="25" t="s">
        <v>24</v>
      </c>
      <c r="M676" s="25" t="s">
        <v>94</v>
      </c>
      <c r="N676" s="9">
        <v>45617</v>
      </c>
      <c r="O676" s="159">
        <f>IF($N676="","",NETWORKDAYS($E676,$N676,$V$33:$V$47)-1)</f>
        <v>1</v>
      </c>
      <c r="P676" s="10" t="str">
        <f>IF(ISBLANK(N676),"",IF(N676&gt;H676,"No","Yes"))</f>
        <v>Yes</v>
      </c>
      <c r="Q676" s="9" t="s">
        <v>117</v>
      </c>
      <c r="R676" s="4" t="s">
        <v>118</v>
      </c>
      <c r="S676" s="4"/>
      <c r="T676" s="4"/>
      <c r="U676" s="6"/>
      <c r="V676" s="6"/>
      <c r="W676" s="6"/>
      <c r="X676" s="6"/>
      <c r="Y676" s="6"/>
      <c r="Z676" s="6"/>
      <c r="AX676" s="6" t="str">
        <v>Quarter 3</v>
      </c>
    </row>
    <row r="677" spans="1:50" ht="31.4" customHeight="1" x14ac:dyDescent="0.35">
      <c r="A677" s="162">
        <v>676</v>
      </c>
      <c r="B677" s="4" t="s">
        <v>535</v>
      </c>
      <c r="C677" s="4" t="s">
        <v>6</v>
      </c>
      <c r="D677" s="4" t="s">
        <v>1269</v>
      </c>
      <c r="E677" s="157">
        <v>45616</v>
      </c>
      <c r="F677" s="9">
        <f>IF($E677="","",WORKDAY($E677,1,$V$33:$V$41))</f>
        <v>45617</v>
      </c>
      <c r="G677" s="9">
        <f>IF($E677="","",WORKDAY($E677,10,$V$33:$V$41))</f>
        <v>45630</v>
      </c>
      <c r="H677" s="9">
        <f>IF($E677="","",WORKDAY($E677,20,$V$33:$V$41))</f>
        <v>45644</v>
      </c>
      <c r="I677" s="157" t="str">
        <f t="shared" si="12"/>
        <v>Nov</v>
      </c>
      <c r="J677" s="14" t="str">
        <f ca="1">IF(E677="","",IF(N677="",H677-TODAY(),""))</f>
        <v/>
      </c>
      <c r="K677" s="157" t="s">
        <v>5</v>
      </c>
      <c r="L677" s="157" t="s">
        <v>16</v>
      </c>
      <c r="M677" s="157" t="s">
        <v>71</v>
      </c>
      <c r="N677" s="9">
        <v>45649</v>
      </c>
      <c r="O677" s="159">
        <f>IF($N677="","",NETWORKDAYS($E677,$N677,$V$33:$V$47)-1)</f>
        <v>23</v>
      </c>
      <c r="P677" s="10" t="str">
        <f>IF(ISBLANK(N677),"",IF(N677&gt;H677,"No","Yes"))</f>
        <v>No</v>
      </c>
      <c r="Q677" s="9" t="s">
        <v>117</v>
      </c>
      <c r="R677" s="4" t="s">
        <v>118</v>
      </c>
      <c r="S677" s="4"/>
      <c r="T677" s="4"/>
      <c r="U677" s="6"/>
      <c r="V677" s="6"/>
      <c r="W677" s="6"/>
      <c r="X677" s="6"/>
      <c r="Y677" s="6"/>
      <c r="Z677" s="6"/>
      <c r="AX677" s="6" t="str">
        <v>Quarter 3</v>
      </c>
    </row>
    <row r="678" spans="1:50" ht="31.4" customHeight="1" x14ac:dyDescent="0.35">
      <c r="A678" s="162">
        <v>677</v>
      </c>
      <c r="B678" s="4" t="s">
        <v>8</v>
      </c>
      <c r="C678" s="4" t="s">
        <v>8</v>
      </c>
      <c r="D678" s="4" t="s">
        <v>1270</v>
      </c>
      <c r="E678" s="157">
        <v>45616</v>
      </c>
      <c r="F678" s="9">
        <f>IF($E678="","",WORKDAY($E678,1,$V$33:$V$41))</f>
        <v>45617</v>
      </c>
      <c r="G678" s="9">
        <f>IF($E678="","",WORKDAY($E678,10,$V$33:$V$41))</f>
        <v>45630</v>
      </c>
      <c r="H678" s="9">
        <f>IF($E678="","",WORKDAY($E678,20,$V$33:$V$41))</f>
        <v>45644</v>
      </c>
      <c r="I678" s="157" t="str">
        <f t="shared" si="12"/>
        <v>Nov</v>
      </c>
      <c r="J678" s="14" t="str">
        <f ca="1">IF(E678="","",IF(N678="",H678-TODAY(),""))</f>
        <v/>
      </c>
      <c r="K678" s="157" t="s">
        <v>4</v>
      </c>
      <c r="L678" s="157" t="s">
        <v>26</v>
      </c>
      <c r="M678" s="157" t="s">
        <v>93</v>
      </c>
      <c r="N678" s="9">
        <v>45641</v>
      </c>
      <c r="O678" s="159">
        <f>IF($N678="","",NETWORKDAYS($E678,$N678,$V$33:$V$47)-1)</f>
        <v>17</v>
      </c>
      <c r="P678" s="10" t="str">
        <f>IF(ISBLANK(N678),"",IF(N678&gt;H678,"No","Yes"))</f>
        <v>Yes</v>
      </c>
      <c r="Q678" s="9" t="s">
        <v>117</v>
      </c>
      <c r="R678" s="4" t="s">
        <v>118</v>
      </c>
      <c r="S678" s="4"/>
      <c r="T678" s="4"/>
      <c r="U678" s="6"/>
      <c r="V678" s="6"/>
      <c r="W678" s="6"/>
      <c r="X678" s="6"/>
      <c r="Y678" s="6"/>
      <c r="Z678" s="6"/>
      <c r="AX678" s="6" t="str">
        <v>Quarter 3</v>
      </c>
    </row>
    <row r="679" spans="1:50" ht="31.4" customHeight="1" x14ac:dyDescent="0.35">
      <c r="A679" s="162">
        <v>678</v>
      </c>
      <c r="B679" s="4" t="s">
        <v>8</v>
      </c>
      <c r="C679" s="4" t="s">
        <v>8</v>
      </c>
      <c r="D679" s="4" t="s">
        <v>1271</v>
      </c>
      <c r="E679" s="157">
        <v>45617</v>
      </c>
      <c r="F679" s="9">
        <f>IF($E679="","",WORKDAY($E679,1,$V$33:$V$41))</f>
        <v>45618</v>
      </c>
      <c r="G679" s="9">
        <f>IF($E679="","",WORKDAY($E679,10,$V$33:$V$41))</f>
        <v>45631</v>
      </c>
      <c r="H679" s="9">
        <f>IF($E679="","",WORKDAY($E679,20,$V$33:$V$41))</f>
        <v>45645</v>
      </c>
      <c r="I679" s="157" t="str">
        <f t="shared" si="12"/>
        <v>Nov</v>
      </c>
      <c r="J679" s="142" t="str">
        <f ca="1">IF(E679="","",IF(N679="",H679-TODAY(),""))</f>
        <v/>
      </c>
      <c r="K679" s="157" t="s">
        <v>5</v>
      </c>
      <c r="L679" s="157" t="s">
        <v>16</v>
      </c>
      <c r="M679" s="157" t="s">
        <v>45</v>
      </c>
      <c r="N679" s="9">
        <v>45646</v>
      </c>
      <c r="O679" s="159">
        <f>IF($N679="","",NETWORKDAYS($E679,$N679,$V$33:$V$47)-1)</f>
        <v>21</v>
      </c>
      <c r="P679" s="10" t="str">
        <f>IF(ISBLANK(N679),"",IF(N679&gt;H679,"No","Yes"))</f>
        <v>No</v>
      </c>
      <c r="Q679" s="9" t="s">
        <v>117</v>
      </c>
      <c r="R679" s="4" t="s">
        <v>118</v>
      </c>
      <c r="S679" s="4" t="s">
        <v>135</v>
      </c>
      <c r="T679" s="4"/>
      <c r="U679" s="6"/>
      <c r="V679" s="6"/>
      <c r="W679" s="6"/>
      <c r="X679" s="6"/>
      <c r="Y679" s="6"/>
      <c r="Z679" s="6"/>
      <c r="AX679" s="6" t="str">
        <v>Quarter 3</v>
      </c>
    </row>
    <row r="680" spans="1:50" ht="31.4" customHeight="1" x14ac:dyDescent="0.35">
      <c r="A680" s="162">
        <v>679</v>
      </c>
      <c r="B680" s="4" t="s">
        <v>8</v>
      </c>
      <c r="C680" s="4" t="s">
        <v>8</v>
      </c>
      <c r="D680" s="4" t="s">
        <v>1272</v>
      </c>
      <c r="E680" s="157">
        <v>45616</v>
      </c>
      <c r="F680" s="9">
        <f>IF($E680="","",WORKDAY($E680,1,$V$33:$V$41))</f>
        <v>45617</v>
      </c>
      <c r="G680" s="9">
        <f>IF($E680="","",WORKDAY($E680,10,$V$33:$V$41))</f>
        <v>45630</v>
      </c>
      <c r="H680" s="9">
        <f>IF($E680="","",WORKDAY($E680,20,$V$33:$V$41))</f>
        <v>45644</v>
      </c>
      <c r="I680" s="157" t="str">
        <f t="shared" si="12"/>
        <v>Nov</v>
      </c>
      <c r="J680" s="142" t="str">
        <f ca="1">IF(E680="","",IF(N680="",H680-TODAY(),""))</f>
        <v/>
      </c>
      <c r="K680" s="157" t="s">
        <v>4</v>
      </c>
      <c r="L680" s="157" t="s">
        <v>26</v>
      </c>
      <c r="M680" s="157" t="s">
        <v>93</v>
      </c>
      <c r="N680" s="9">
        <v>45639</v>
      </c>
      <c r="O680" s="159">
        <f>IF($N680="","",NETWORKDAYS($E680,$N680,$V$33:$V$47)-1)</f>
        <v>17</v>
      </c>
      <c r="P680" s="10" t="str">
        <f>IF(ISBLANK(N680),"",IF(N680&gt;H680,"No","Yes"))</f>
        <v>Yes</v>
      </c>
      <c r="Q680" s="9" t="s">
        <v>117</v>
      </c>
      <c r="R680" s="4" t="s">
        <v>118</v>
      </c>
      <c r="S680" s="4"/>
      <c r="T680" s="4" t="s">
        <v>141</v>
      </c>
      <c r="U680" s="6"/>
      <c r="V680" s="6"/>
      <c r="W680" s="6"/>
      <c r="X680" s="6"/>
      <c r="Y680" s="6"/>
      <c r="Z680" s="6"/>
      <c r="AX680" s="6" t="str">
        <v>Quarter 3</v>
      </c>
    </row>
    <row r="681" spans="1:50" ht="31.4" customHeight="1" x14ac:dyDescent="0.35">
      <c r="A681" s="162">
        <v>680</v>
      </c>
      <c r="B681" s="4" t="s">
        <v>188</v>
      </c>
      <c r="C681" s="4" t="s">
        <v>6</v>
      </c>
      <c r="D681" s="4" t="s">
        <v>1273</v>
      </c>
      <c r="E681" s="157">
        <v>45617</v>
      </c>
      <c r="F681" s="9">
        <f>IF($E681="","",WORKDAY($E681,1,$V$33:$V$41))</f>
        <v>45618</v>
      </c>
      <c r="G681" s="9">
        <f>IF($E681="","",WORKDAY($E681,10,$V$33:$V$41))</f>
        <v>45631</v>
      </c>
      <c r="H681" s="9">
        <f>IF($E681="","",WORKDAY($E681,20,$V$33:$V$41))</f>
        <v>45645</v>
      </c>
      <c r="I681" s="157" t="str">
        <f t="shared" si="12"/>
        <v>Nov</v>
      </c>
      <c r="J681" s="142" t="str">
        <f ca="1">IF(E681="","",IF(N681="",H681-TODAY(),""))</f>
        <v/>
      </c>
      <c r="K681" s="157" t="s">
        <v>124</v>
      </c>
      <c r="L681" s="157" t="s">
        <v>24</v>
      </c>
      <c r="M681" s="157" t="s">
        <v>94</v>
      </c>
      <c r="N681" s="9">
        <v>45636</v>
      </c>
      <c r="O681" s="159">
        <f>IF($N681="","",NETWORKDAYS($E681,$N681,$V$33:$V$47)-1)</f>
        <v>13</v>
      </c>
      <c r="P681" s="10" t="str">
        <f>IF(ISBLANK(N681),"",IF(N681&gt;H681,"No","Yes"))</f>
        <v>Yes</v>
      </c>
      <c r="Q681" s="9" t="s">
        <v>117</v>
      </c>
      <c r="R681" s="4" t="s">
        <v>118</v>
      </c>
      <c r="S681" s="4"/>
      <c r="T681" s="4"/>
      <c r="U681" s="6"/>
      <c r="V681" s="6"/>
      <c r="W681" s="6"/>
      <c r="X681" s="6"/>
      <c r="Y681" s="6"/>
      <c r="Z681" s="6"/>
      <c r="AX681" s="6" t="str">
        <v>Quarter 3</v>
      </c>
    </row>
    <row r="682" spans="1:50" ht="31.4" customHeight="1" x14ac:dyDescent="0.35">
      <c r="A682" s="162">
        <v>681</v>
      </c>
      <c r="B682" s="4" t="s">
        <v>8</v>
      </c>
      <c r="C682" s="4" t="s">
        <v>8</v>
      </c>
      <c r="D682" s="4" t="s">
        <v>1274</v>
      </c>
      <c r="E682" s="157">
        <v>45617</v>
      </c>
      <c r="F682" s="9">
        <f>IF($E682="","",WORKDAY($E682,1,$V$33:$V$41))</f>
        <v>45618</v>
      </c>
      <c r="G682" s="9">
        <f>IF($E682="","",WORKDAY($E682,10,$V$33:$V$41))</f>
        <v>45631</v>
      </c>
      <c r="H682" s="9">
        <f>IF($E682="","",WORKDAY($E682,20,$V$33:$V$41))</f>
        <v>45645</v>
      </c>
      <c r="I682" s="157" t="str">
        <f t="shared" si="12"/>
        <v>Nov</v>
      </c>
      <c r="J682" s="142" t="str">
        <f ca="1">IF(E682="","",IF(N682="",H682-TODAY(),""))</f>
        <v/>
      </c>
      <c r="K682" s="157" t="s">
        <v>10</v>
      </c>
      <c r="L682" s="157" t="s">
        <v>9</v>
      </c>
      <c r="M682" s="157" t="s">
        <v>38</v>
      </c>
      <c r="N682" s="9">
        <v>45645</v>
      </c>
      <c r="O682" s="159">
        <f>IF($N682="","",NETWORKDAYS($E682,$N682,$V$33:$V$47)-1)</f>
        <v>20</v>
      </c>
      <c r="P682" s="10" t="str">
        <f>IF(ISBLANK(N682),"",IF(N682&gt;H682,"No","Yes"))</f>
        <v>Yes</v>
      </c>
      <c r="Q682" s="9" t="s">
        <v>117</v>
      </c>
      <c r="R682" s="4" t="s">
        <v>126</v>
      </c>
      <c r="S682" s="4" t="s">
        <v>120</v>
      </c>
      <c r="T682" s="4" t="s">
        <v>1225</v>
      </c>
      <c r="U682" s="6"/>
      <c r="V682" s="6"/>
      <c r="W682" s="6"/>
      <c r="X682" s="6"/>
      <c r="Y682" s="6"/>
      <c r="Z682" s="6"/>
      <c r="AX682" s="6" t="str">
        <v>Quarter 3</v>
      </c>
    </row>
    <row r="683" spans="1:50" ht="31.4" customHeight="1" x14ac:dyDescent="0.35">
      <c r="A683" s="162">
        <v>682</v>
      </c>
      <c r="B683" s="4" t="s">
        <v>8</v>
      </c>
      <c r="C683" s="4" t="s">
        <v>8</v>
      </c>
      <c r="D683" s="4" t="s">
        <v>1275</v>
      </c>
      <c r="E683" s="157">
        <v>45617</v>
      </c>
      <c r="F683" s="9">
        <f>IF($E683="","",WORKDAY($E683,1,$V$33:$V$41))</f>
        <v>45618</v>
      </c>
      <c r="G683" s="9">
        <f>IF($E683="","",WORKDAY($E683,10,$V$33:$V$41))</f>
        <v>45631</v>
      </c>
      <c r="H683" s="9">
        <f>IF($E683="","",WORKDAY($E683,20,$V$33:$V$41))</f>
        <v>45645</v>
      </c>
      <c r="I683" s="157" t="str">
        <f t="shared" si="12"/>
        <v>Nov</v>
      </c>
      <c r="J683" s="142" t="str">
        <f ca="1">IF(E683="","",IF(N683="",H683-TODAY(),""))</f>
        <v/>
      </c>
      <c r="K683" s="157" t="s">
        <v>124</v>
      </c>
      <c r="L683" s="157" t="s">
        <v>20</v>
      </c>
      <c r="M683" s="157" t="s">
        <v>79</v>
      </c>
      <c r="N683" s="9">
        <v>45617</v>
      </c>
      <c r="O683" s="159">
        <f>IF($N683="","",NETWORKDAYS($E683,$N683,$V$33:$V$47)-1)</f>
        <v>0</v>
      </c>
      <c r="P683" s="10" t="str">
        <f>IF(ISBLANK(N683),"",IF(N683&gt;H683,"No","Yes"))</f>
        <v>Yes</v>
      </c>
      <c r="Q683" s="9" t="s">
        <v>117</v>
      </c>
      <c r="R683" s="4" t="s">
        <v>118</v>
      </c>
      <c r="S683" s="4"/>
      <c r="T683" s="4"/>
      <c r="U683" s="6"/>
      <c r="V683" s="6"/>
      <c r="W683" s="6"/>
      <c r="X683" s="6"/>
      <c r="Y683" s="6"/>
      <c r="Z683" s="6"/>
      <c r="AX683" s="6" t="str">
        <v>Quarter 3</v>
      </c>
    </row>
    <row r="684" spans="1:50" ht="31.4" customHeight="1" x14ac:dyDescent="0.35">
      <c r="A684" s="162">
        <v>683</v>
      </c>
      <c r="B684" s="4" t="s">
        <v>8</v>
      </c>
      <c r="C684" s="4" t="s">
        <v>8</v>
      </c>
      <c r="D684" s="4" t="s">
        <v>1276</v>
      </c>
      <c r="E684" s="157">
        <v>45617</v>
      </c>
      <c r="F684" s="9">
        <f>IF($E684="","",WORKDAY($E684,1,$V$33:$V$41))</f>
        <v>45618</v>
      </c>
      <c r="G684" s="9">
        <f>IF($E684="","",WORKDAY($E684,10,$V$33:$V$41))</f>
        <v>45631</v>
      </c>
      <c r="H684" s="9">
        <f>IF($E684="","",WORKDAY($E684,20,$V$33:$V$41))</f>
        <v>45645</v>
      </c>
      <c r="I684" s="157" t="str">
        <f t="shared" si="12"/>
        <v>Nov</v>
      </c>
      <c r="J684" s="142" t="str">
        <f ca="1">IF(E684="","",IF(N684="",H684-TODAY(),""))</f>
        <v/>
      </c>
      <c r="K684" s="157" t="s">
        <v>5</v>
      </c>
      <c r="L684" s="157" t="s">
        <v>22</v>
      </c>
      <c r="M684" s="157" t="s">
        <v>64</v>
      </c>
      <c r="N684" s="9">
        <v>45650</v>
      </c>
      <c r="O684" s="159">
        <f>IF($N684="","",NETWORKDAYS($E684,$N684,$V$33:$V$47)-1)</f>
        <v>23</v>
      </c>
      <c r="P684" s="10" t="str">
        <f>IF(ISBLANK(N684),"",IF(N684&gt;H684,"No","Yes"))</f>
        <v>No</v>
      </c>
      <c r="Q684" s="9" t="s">
        <v>117</v>
      </c>
      <c r="R684" s="4" t="s">
        <v>132</v>
      </c>
      <c r="S684" s="4" t="s">
        <v>120</v>
      </c>
      <c r="T684" s="4"/>
      <c r="U684" s="6"/>
      <c r="V684" s="6"/>
      <c r="W684" s="6"/>
      <c r="X684" s="6"/>
      <c r="Y684" s="6"/>
      <c r="Z684" s="6"/>
      <c r="AX684" s="6" t="str">
        <v>Quarter 3</v>
      </c>
    </row>
    <row r="685" spans="1:50" ht="31.4" customHeight="1" x14ac:dyDescent="0.35">
      <c r="A685" s="162">
        <v>684</v>
      </c>
      <c r="B685" s="4" t="s">
        <v>1277</v>
      </c>
      <c r="C685" s="4" t="s">
        <v>13</v>
      </c>
      <c r="D685" s="4" t="s">
        <v>1278</v>
      </c>
      <c r="E685" s="157">
        <v>45617</v>
      </c>
      <c r="F685" s="9">
        <f>IF($E685="","",WORKDAY($E685,1,$V$33:$V$41))</f>
        <v>45618</v>
      </c>
      <c r="G685" s="9">
        <f>IF($E685="","",WORKDAY($E685,10,$V$33:$V$41))</f>
        <v>45631</v>
      </c>
      <c r="H685" s="9">
        <f>IF($E685="","",WORKDAY($E685,20,$V$33:$V$41))</f>
        <v>45645</v>
      </c>
      <c r="I685" s="157" t="str">
        <f t="shared" si="12"/>
        <v>Nov</v>
      </c>
      <c r="J685" s="142" t="str">
        <f ca="1">IF(E685="","",IF(N685="",H685-TODAY(),""))</f>
        <v/>
      </c>
      <c r="K685" s="157" t="s">
        <v>124</v>
      </c>
      <c r="L685" s="25" t="s">
        <v>20</v>
      </c>
      <c r="M685" s="25" t="s">
        <v>70</v>
      </c>
      <c r="N685" s="9">
        <v>45631</v>
      </c>
      <c r="O685" s="159">
        <f>IF($N685="","",NETWORKDAYS($E685,$N685,$V$33:$V$47)-1)</f>
        <v>10</v>
      </c>
      <c r="P685" s="10" t="str">
        <f>IF(ISBLANK(N685),"",IF(N685&gt;H685,"No","Yes"))</f>
        <v>Yes</v>
      </c>
      <c r="Q685" s="9" t="s">
        <v>117</v>
      </c>
      <c r="R685" s="4" t="s">
        <v>118</v>
      </c>
      <c r="S685" s="4"/>
      <c r="T685" s="4"/>
      <c r="U685" s="6"/>
      <c r="V685" s="6"/>
      <c r="W685" s="6"/>
      <c r="X685" s="6"/>
      <c r="Y685" s="6"/>
      <c r="Z685" s="6"/>
      <c r="AX685" s="6" t="str">
        <v>Quarter 3</v>
      </c>
    </row>
    <row r="686" spans="1:50" ht="31.4" customHeight="1" x14ac:dyDescent="0.35">
      <c r="A686" s="162">
        <v>685</v>
      </c>
      <c r="B686" s="4" t="s">
        <v>1279</v>
      </c>
      <c r="C686" s="4" t="s">
        <v>13</v>
      </c>
      <c r="D686" s="4" t="s">
        <v>1280</v>
      </c>
      <c r="E686" s="157">
        <v>45617</v>
      </c>
      <c r="F686" s="9">
        <f>IF($E686="","",WORKDAY($E686,1,$V$33:$V$41))</f>
        <v>45618</v>
      </c>
      <c r="G686" s="9">
        <f>IF($E686="","",WORKDAY($E686,10,$V$33:$V$41))</f>
        <v>45631</v>
      </c>
      <c r="H686" s="9">
        <f>IF($E686="","",WORKDAY($E686,20,$V$33:$V$41))</f>
        <v>45645</v>
      </c>
      <c r="I686" s="157" t="str">
        <f t="shared" si="12"/>
        <v>Nov</v>
      </c>
      <c r="J686" s="142" t="str">
        <f ca="1">IF(E686="","",IF(N686="",H686-TODAY(),""))</f>
        <v/>
      </c>
      <c r="K686" s="157" t="s">
        <v>124</v>
      </c>
      <c r="L686" s="157" t="s">
        <v>24</v>
      </c>
      <c r="M686" s="157" t="s">
        <v>76</v>
      </c>
      <c r="N686" s="9">
        <v>45631</v>
      </c>
      <c r="O686" s="159">
        <f>IF($N686="","",NETWORKDAYS($E686,$N686,$V$33:$V$47)-1)</f>
        <v>10</v>
      </c>
      <c r="P686" s="10" t="str">
        <f>IF(ISBLANK(N686),"",IF(N686&gt;H686,"No","Yes"))</f>
        <v>Yes</v>
      </c>
      <c r="Q686" s="9" t="s">
        <v>117</v>
      </c>
      <c r="R686" s="4" t="s">
        <v>118</v>
      </c>
      <c r="S686" s="4"/>
      <c r="T686" s="4"/>
      <c r="U686" s="6"/>
      <c r="V686" s="6"/>
      <c r="W686" s="6"/>
      <c r="X686" s="6"/>
      <c r="Y686" s="6"/>
      <c r="Z686" s="6"/>
      <c r="AX686" s="6" t="str">
        <v>Quarter 3</v>
      </c>
    </row>
    <row r="687" spans="1:50" ht="31.4" customHeight="1" x14ac:dyDescent="0.35">
      <c r="A687" s="162">
        <v>686</v>
      </c>
      <c r="B687" s="4" t="s">
        <v>310</v>
      </c>
      <c r="C687" s="4" t="s">
        <v>6</v>
      </c>
      <c r="D687" s="4" t="s">
        <v>1281</v>
      </c>
      <c r="E687" s="157">
        <v>45617</v>
      </c>
      <c r="F687" s="9">
        <f>IF($E687="","",WORKDAY($E687,1,$V$33:$V$41))</f>
        <v>45618</v>
      </c>
      <c r="G687" s="9">
        <f>IF($E687="","",WORKDAY($E687,10,$V$33:$V$41))</f>
        <v>45631</v>
      </c>
      <c r="H687" s="9">
        <f>IF($E687="","",WORKDAY($E687,20,$V$33:$V$41))</f>
        <v>45645</v>
      </c>
      <c r="I687" s="157" t="str">
        <f t="shared" si="12"/>
        <v>Nov</v>
      </c>
      <c r="J687" s="142" t="str">
        <f ca="1">IF(E687="","",IF(N687="",H687-TODAY(),""))</f>
        <v/>
      </c>
      <c r="K687" s="157" t="s">
        <v>124</v>
      </c>
      <c r="L687" s="157" t="s">
        <v>20</v>
      </c>
      <c r="M687" s="157" t="s">
        <v>63</v>
      </c>
      <c r="N687" s="9">
        <v>45709</v>
      </c>
      <c r="O687" s="159">
        <f>IF($N687="","",NETWORKDAYS($E687,$N687,$V$33:$V$47)-1)</f>
        <v>63</v>
      </c>
      <c r="P687" s="10" t="str">
        <f>IF(ISBLANK(N687),"",IF(N687&gt;H687,"No","Yes"))</f>
        <v>No</v>
      </c>
      <c r="Q687" s="9" t="s">
        <v>117</v>
      </c>
      <c r="R687" s="4" t="s">
        <v>118</v>
      </c>
      <c r="S687" s="4"/>
      <c r="T687" s="4" t="s">
        <v>1282</v>
      </c>
      <c r="U687" s="6"/>
      <c r="V687" s="6"/>
      <c r="W687" s="6"/>
      <c r="X687" s="6"/>
      <c r="Y687" s="6"/>
      <c r="Z687" s="6"/>
      <c r="AX687" s="6" t="str">
        <v>Quarter 3</v>
      </c>
    </row>
    <row r="688" spans="1:50" ht="31.4" customHeight="1" x14ac:dyDescent="0.35">
      <c r="A688" s="162">
        <v>687</v>
      </c>
      <c r="B688" s="4" t="s">
        <v>8</v>
      </c>
      <c r="C688" s="4" t="s">
        <v>8</v>
      </c>
      <c r="D688" s="4" t="s">
        <v>1283</v>
      </c>
      <c r="E688" s="157">
        <v>45617</v>
      </c>
      <c r="F688" s="9">
        <f>IF($E688="","",WORKDAY($E688,1,$V$33:$V$41))</f>
        <v>45618</v>
      </c>
      <c r="G688" s="9">
        <f>IF($E688="","",WORKDAY($E688,10,$V$33:$V$41))</f>
        <v>45631</v>
      </c>
      <c r="H688" s="9">
        <f>IF($E688="","",WORKDAY($E688,20,$V$33:$V$41))</f>
        <v>45645</v>
      </c>
      <c r="I688" s="157" t="str">
        <f t="shared" si="12"/>
        <v>Nov</v>
      </c>
      <c r="J688" s="142" t="str">
        <f ca="1">IF(E688="","",IF(N688="",H688-TODAY(),""))</f>
        <v/>
      </c>
      <c r="K688" s="157" t="s">
        <v>4</v>
      </c>
      <c r="L688" s="157" t="s">
        <v>7</v>
      </c>
      <c r="M688" s="157" t="s">
        <v>31</v>
      </c>
      <c r="N688" s="9">
        <v>45625</v>
      </c>
      <c r="O688" s="159">
        <f>IF($N688="","",NETWORKDAYS($E688,$N688,$V$33:$V$47)-1)</f>
        <v>6</v>
      </c>
      <c r="P688" s="10" t="str">
        <f>IF(ISBLANK(N688),"",IF(N688&gt;H688,"No","Yes"))</f>
        <v>Yes</v>
      </c>
      <c r="Q688" s="9" t="s">
        <v>117</v>
      </c>
      <c r="R688" s="4" t="s">
        <v>118</v>
      </c>
      <c r="S688" s="4"/>
      <c r="T688" s="4" t="s">
        <v>141</v>
      </c>
      <c r="U688" s="6"/>
      <c r="V688" s="6"/>
      <c r="W688" s="6"/>
      <c r="X688" s="6"/>
      <c r="Y688" s="6"/>
      <c r="Z688" s="6"/>
      <c r="AX688" s="6" t="str">
        <v>Quarter 3</v>
      </c>
    </row>
    <row r="689" spans="1:50" ht="31.4" customHeight="1" x14ac:dyDescent="0.35">
      <c r="A689" s="162">
        <v>688</v>
      </c>
      <c r="B689" s="4" t="s">
        <v>293</v>
      </c>
      <c r="C689" s="4" t="s">
        <v>6</v>
      </c>
      <c r="D689" s="4" t="s">
        <v>1079</v>
      </c>
      <c r="E689" s="157">
        <v>45617</v>
      </c>
      <c r="F689" s="9">
        <f>IF($E689="","",WORKDAY($E689,1,$V$33:$V$41))</f>
        <v>45618</v>
      </c>
      <c r="G689" s="9">
        <f>IF($E689="","",WORKDAY($E689,10,$V$33:$V$41))</f>
        <v>45631</v>
      </c>
      <c r="H689" s="9">
        <f>IF($E689="","",WORKDAY($E689,20,$V$33:$V$41))</f>
        <v>45645</v>
      </c>
      <c r="I689" s="157" t="str">
        <f t="shared" si="12"/>
        <v>Nov</v>
      </c>
      <c r="J689" s="142" t="str">
        <f ca="1">IF(E689="","",IF(N689="",H689-TODAY(),""))</f>
        <v/>
      </c>
      <c r="K689" s="157" t="s">
        <v>4</v>
      </c>
      <c r="L689" s="157" t="s">
        <v>3</v>
      </c>
      <c r="M689" s="157" t="s">
        <v>77</v>
      </c>
      <c r="N689" s="9">
        <v>45621</v>
      </c>
      <c r="O689" s="159">
        <f>IF($N689="","",NETWORKDAYS($E689,$N689,$V$33:$V$47)-1)</f>
        <v>2</v>
      </c>
      <c r="P689" s="10" t="str">
        <f>IF(ISBLANK(N689),"",IF(N689&gt;H689,"No","Yes"))</f>
        <v>Yes</v>
      </c>
      <c r="Q689" s="9" t="s">
        <v>117</v>
      </c>
      <c r="R689" s="4" t="s">
        <v>118</v>
      </c>
      <c r="S689" s="4"/>
      <c r="T689" s="4" t="s">
        <v>141</v>
      </c>
      <c r="U689" s="6"/>
      <c r="V689" s="6"/>
      <c r="W689" s="6"/>
      <c r="X689" s="6"/>
      <c r="Y689" s="6"/>
      <c r="Z689" s="6"/>
      <c r="AX689" s="6" t="str">
        <v>Quarter 3</v>
      </c>
    </row>
    <row r="690" spans="1:50" ht="31.4" customHeight="1" x14ac:dyDescent="0.35">
      <c r="A690" s="162">
        <v>689</v>
      </c>
      <c r="B690" s="4" t="s">
        <v>8</v>
      </c>
      <c r="C690" s="4" t="s">
        <v>8</v>
      </c>
      <c r="D690" s="4" t="s">
        <v>1284</v>
      </c>
      <c r="E690" s="157">
        <v>45617</v>
      </c>
      <c r="F690" s="9">
        <f>IF($E690="","",WORKDAY($E690,1,$V$33:$V$41))</f>
        <v>45618</v>
      </c>
      <c r="G690" s="9">
        <f>IF($E690="","",WORKDAY($E690,10,$V$33:$V$41))</f>
        <v>45631</v>
      </c>
      <c r="H690" s="9">
        <f>IF($E690="","",WORKDAY($E690,20,$V$33:$V$41))</f>
        <v>45645</v>
      </c>
      <c r="I690" s="157" t="str">
        <f t="shared" si="12"/>
        <v>Nov</v>
      </c>
      <c r="J690" s="142" t="str">
        <f ca="1">IF(E690="","",IF(N690="",H690-TODAY(),""))</f>
        <v/>
      </c>
      <c r="K690" s="157" t="s">
        <v>5</v>
      </c>
      <c r="L690" s="157" t="s">
        <v>22</v>
      </c>
      <c r="M690" s="157" t="s">
        <v>55</v>
      </c>
      <c r="N690" s="9">
        <v>45618</v>
      </c>
      <c r="O690" s="159">
        <f>IF($N690="","",NETWORKDAYS($E690,$N690,$V$33:$V$47)-1)</f>
        <v>1</v>
      </c>
      <c r="P690" s="10" t="str">
        <f>IF(ISBLANK(N690),"",IF(N690&gt;H690,"No","Yes"))</f>
        <v>Yes</v>
      </c>
      <c r="Q690" s="9" t="s">
        <v>117</v>
      </c>
      <c r="R690" s="4" t="s">
        <v>150</v>
      </c>
      <c r="S690" s="4"/>
      <c r="T690" s="4"/>
      <c r="U690" s="6"/>
      <c r="V690" s="6"/>
      <c r="W690" s="6"/>
      <c r="X690" s="6"/>
      <c r="Y690" s="6"/>
      <c r="Z690" s="6"/>
      <c r="AX690" s="6" t="str">
        <v>Quarter 3</v>
      </c>
    </row>
    <row r="691" spans="1:50" ht="31.4" customHeight="1" x14ac:dyDescent="0.35">
      <c r="A691" s="162">
        <v>690</v>
      </c>
      <c r="B691" s="4" t="s">
        <v>1285</v>
      </c>
      <c r="C691" s="4" t="s">
        <v>13</v>
      </c>
      <c r="D691" s="4" t="s">
        <v>1286</v>
      </c>
      <c r="E691" s="157">
        <v>45618</v>
      </c>
      <c r="F691" s="9">
        <f>IF($E691="","",WORKDAY($E691,1,$V$33:$V$41))</f>
        <v>45621</v>
      </c>
      <c r="G691" s="9">
        <f>IF($E691="","",WORKDAY($E691,10,$V$33:$V$41))</f>
        <v>45632</v>
      </c>
      <c r="H691" s="9">
        <f>IF($E691="","",WORKDAY($E691,20,$V$33:$V$41))</f>
        <v>45646</v>
      </c>
      <c r="I691" s="157" t="str">
        <f t="shared" si="12"/>
        <v>Nov</v>
      </c>
      <c r="J691" s="142" t="str">
        <f ca="1">IF(E691="","",IF(N691="",H691-TODAY(),""))</f>
        <v/>
      </c>
      <c r="K691" s="157" t="s">
        <v>124</v>
      </c>
      <c r="L691" s="157" t="s">
        <v>24</v>
      </c>
      <c r="M691" s="157" t="s">
        <v>61</v>
      </c>
      <c r="N691" s="9">
        <v>45643</v>
      </c>
      <c r="O691" s="159">
        <f>IF($N691="","",NETWORKDAYS($E691,$N691,$V$33:$V$47)-1)</f>
        <v>17</v>
      </c>
      <c r="P691" s="10" t="str">
        <f>IF(ISBLANK(N691),"",IF(N691&gt;H691,"No","Yes"))</f>
        <v>Yes</v>
      </c>
      <c r="Q691" s="9" t="s">
        <v>117</v>
      </c>
      <c r="R691" s="4" t="s">
        <v>118</v>
      </c>
      <c r="S691" s="4"/>
      <c r="T691" s="4" t="s">
        <v>141</v>
      </c>
      <c r="U691" s="6"/>
      <c r="V691" s="6"/>
      <c r="W691" s="6"/>
      <c r="X691" s="6"/>
      <c r="Y691" s="6"/>
      <c r="Z691" s="6"/>
      <c r="AX691" s="6" t="str">
        <v>Quarter 3</v>
      </c>
    </row>
    <row r="692" spans="1:50" ht="31.4" customHeight="1" x14ac:dyDescent="0.35">
      <c r="A692" s="162">
        <v>691</v>
      </c>
      <c r="B692" s="4" t="s">
        <v>8</v>
      </c>
      <c r="C692" s="4" t="s">
        <v>8</v>
      </c>
      <c r="D692" s="4" t="s">
        <v>1287</v>
      </c>
      <c r="E692" s="157">
        <v>45618</v>
      </c>
      <c r="F692" s="9">
        <f>IF($E692="","",WORKDAY($E692,1,$V$33:$V$41))</f>
        <v>45621</v>
      </c>
      <c r="G692" s="9">
        <f>IF($E692="","",WORKDAY($E692,10,$V$33:$V$41))</f>
        <v>45632</v>
      </c>
      <c r="H692" s="9">
        <f>IF($E692="","",WORKDAY($E692,20,$V$33:$V$41))</f>
        <v>45646</v>
      </c>
      <c r="I692" s="157" t="str">
        <f t="shared" si="12"/>
        <v>Nov</v>
      </c>
      <c r="J692" s="142" t="str">
        <f ca="1">IF(E692="","",IF(N692="",H692-TODAY(),""))</f>
        <v/>
      </c>
      <c r="K692" s="157" t="s">
        <v>124</v>
      </c>
      <c r="L692" s="157" t="s">
        <v>24</v>
      </c>
      <c r="M692" s="157" t="s">
        <v>87</v>
      </c>
      <c r="N692" s="9">
        <v>45623</v>
      </c>
      <c r="O692" s="159">
        <f>IF($N692="","",NETWORKDAYS($E692,$N692,$V$33:$V$47)-1)</f>
        <v>3</v>
      </c>
      <c r="P692" s="10" t="str">
        <f>IF(ISBLANK(N692),"",IF(N692&gt;H692,"No","Yes"))</f>
        <v>Yes</v>
      </c>
      <c r="Q692" s="9" t="s">
        <v>117</v>
      </c>
      <c r="R692" s="4" t="s">
        <v>118</v>
      </c>
      <c r="S692" s="4"/>
      <c r="T692" s="4"/>
      <c r="U692" s="6"/>
      <c r="V692" s="6"/>
      <c r="W692" s="6"/>
      <c r="X692" s="6"/>
      <c r="Y692" s="6"/>
      <c r="Z692" s="6"/>
      <c r="AX692" s="6" t="str">
        <v>Quarter 3</v>
      </c>
    </row>
    <row r="693" spans="1:50" ht="31.4" customHeight="1" x14ac:dyDescent="0.35">
      <c r="A693" s="162">
        <v>692</v>
      </c>
      <c r="B693" s="4" t="s">
        <v>8</v>
      </c>
      <c r="C693" s="4" t="s">
        <v>8</v>
      </c>
      <c r="D693" s="4" t="s">
        <v>1288</v>
      </c>
      <c r="E693" s="157">
        <v>45618</v>
      </c>
      <c r="F693" s="9">
        <f>IF($E693="","",WORKDAY($E693,1,$V$33:$V$41))</f>
        <v>45621</v>
      </c>
      <c r="G693" s="9">
        <f>IF($E693="","",WORKDAY($E693,10,$V$33:$V$41))</f>
        <v>45632</v>
      </c>
      <c r="H693" s="9">
        <f>IF($E693="","",WORKDAY($E693,20,$V$33:$V$41))</f>
        <v>45646</v>
      </c>
      <c r="I693" s="157" t="str">
        <f t="shared" si="12"/>
        <v>Nov</v>
      </c>
      <c r="J693" s="142" t="str">
        <f ca="1">IF(E693="","",IF(N693="",H693-TODAY(),""))</f>
        <v/>
      </c>
      <c r="K693" s="157" t="s">
        <v>5</v>
      </c>
      <c r="L693" s="157" t="s">
        <v>18</v>
      </c>
      <c r="M693" s="157" t="s">
        <v>80</v>
      </c>
      <c r="N693" s="9">
        <v>45642</v>
      </c>
      <c r="O693" s="159">
        <f>IF($N693="","",NETWORKDAYS($E693,$N693,$V$33:$V$47)-1)</f>
        <v>16</v>
      </c>
      <c r="P693" s="10" t="str">
        <f>IF(ISBLANK(N693),"",IF(N693&gt;H693,"No","Yes"))</f>
        <v>Yes</v>
      </c>
      <c r="Q693" s="9" t="s">
        <v>117</v>
      </c>
      <c r="R693" s="4" t="s">
        <v>126</v>
      </c>
      <c r="S693" s="4" t="s">
        <v>178</v>
      </c>
      <c r="T693" s="4" t="s">
        <v>2117</v>
      </c>
      <c r="U693" s="6"/>
      <c r="V693" s="6"/>
      <c r="W693" s="6"/>
      <c r="X693" s="6"/>
      <c r="Y693" s="6"/>
      <c r="Z693" s="6"/>
      <c r="AX693" s="6" t="str">
        <v>Quarter 3</v>
      </c>
    </row>
    <row r="694" spans="1:50" ht="31.4" customHeight="1" x14ac:dyDescent="0.35">
      <c r="A694" s="162">
        <v>693</v>
      </c>
      <c r="B694" s="4" t="s">
        <v>1289</v>
      </c>
      <c r="C694" s="4" t="s">
        <v>13</v>
      </c>
      <c r="D694" s="4" t="s">
        <v>1290</v>
      </c>
      <c r="E694" s="157">
        <v>45618</v>
      </c>
      <c r="F694" s="9">
        <f>IF($E694="","",WORKDAY($E694,1,$V$33:$V$41))</f>
        <v>45621</v>
      </c>
      <c r="G694" s="9">
        <f>IF($E694="","",WORKDAY($E694,10,$V$33:$V$41))</f>
        <v>45632</v>
      </c>
      <c r="H694" s="9">
        <f>IF($E694="","",WORKDAY($E694,20,$V$33:$V$41))</f>
        <v>45646</v>
      </c>
      <c r="I694" s="157" t="str">
        <f t="shared" si="12"/>
        <v>Nov</v>
      </c>
      <c r="J694" s="142" t="str">
        <f ca="1">IF(E694="","",IF(N694="",H694-TODAY(),""))</f>
        <v/>
      </c>
      <c r="K694" s="25" t="s">
        <v>10</v>
      </c>
      <c r="L694" s="157" t="s">
        <v>27</v>
      </c>
      <c r="M694" s="157" t="s">
        <v>95</v>
      </c>
      <c r="N694" s="9">
        <v>45630</v>
      </c>
      <c r="O694" s="159">
        <f>IF($N694="","",NETWORKDAYS($E694,$N694,$V$33:$V$47)-1)</f>
        <v>8</v>
      </c>
      <c r="P694" s="10" t="str">
        <f>IF(ISBLANK(N694),"",IF(N694&gt;H694,"No","Yes"))</f>
        <v>Yes</v>
      </c>
      <c r="Q694" s="9" t="s">
        <v>117</v>
      </c>
      <c r="R694" s="4" t="s">
        <v>118</v>
      </c>
      <c r="S694" s="4"/>
      <c r="T694" s="4"/>
      <c r="U694" s="6"/>
      <c r="V694" s="6"/>
      <c r="W694" s="6"/>
      <c r="X694" s="6"/>
      <c r="Y694" s="6"/>
      <c r="Z694" s="6"/>
      <c r="AX694" s="6" t="str">
        <v>Quarter 3</v>
      </c>
    </row>
    <row r="695" spans="1:50" ht="31.4" customHeight="1" x14ac:dyDescent="0.35">
      <c r="A695" s="162">
        <v>694</v>
      </c>
      <c r="B695" s="4" t="s">
        <v>8</v>
      </c>
      <c r="C695" s="4" t="s">
        <v>8</v>
      </c>
      <c r="D695" s="4" t="s">
        <v>1291</v>
      </c>
      <c r="E695" s="157">
        <v>45621</v>
      </c>
      <c r="F695" s="9">
        <f>IF($E695="","",WORKDAY($E695,1,$V$33:$V$41))</f>
        <v>45622</v>
      </c>
      <c r="G695" s="9">
        <f>IF($E695="","",WORKDAY($E695,10,$V$33:$V$41))</f>
        <v>45635</v>
      </c>
      <c r="H695" s="9">
        <f>IF($E695="","",WORKDAY($E695,20,$V$33:$V$41))</f>
        <v>45649</v>
      </c>
      <c r="I695" s="157" t="str">
        <f t="shared" si="12"/>
        <v>Nov</v>
      </c>
      <c r="J695" s="142" t="str">
        <f ca="1">IF(E695="","",IF(N695="",H695-TODAY(),""))</f>
        <v/>
      </c>
      <c r="K695" s="157" t="s">
        <v>10</v>
      </c>
      <c r="L695" s="25" t="s">
        <v>12</v>
      </c>
      <c r="M695" s="25" t="s">
        <v>91</v>
      </c>
      <c r="N695" s="9">
        <v>45631</v>
      </c>
      <c r="O695" s="159">
        <f>IF($N695="","",NETWORKDAYS($E695,$N695,$V$33:$V$47)-1)</f>
        <v>8</v>
      </c>
      <c r="P695" s="10" t="str">
        <f>IF(ISBLANK(N695),"",IF(N695&gt;H695,"No","Yes"))</f>
        <v>Yes</v>
      </c>
      <c r="Q695" s="9" t="s">
        <v>117</v>
      </c>
      <c r="R695" s="4" t="s">
        <v>118</v>
      </c>
      <c r="S695" s="4"/>
      <c r="T695" s="4"/>
      <c r="U695" s="6"/>
      <c r="V695" s="6"/>
      <c r="W695" s="6"/>
      <c r="X695" s="6"/>
      <c r="Y695" s="6"/>
      <c r="Z695" s="6"/>
      <c r="AX695" s="6" t="str">
        <v>Quarter 3</v>
      </c>
    </row>
    <row r="696" spans="1:50" ht="31.4" customHeight="1" x14ac:dyDescent="0.35">
      <c r="A696" s="162">
        <v>695</v>
      </c>
      <c r="B696" s="4" t="s">
        <v>1292</v>
      </c>
      <c r="C696" s="4" t="s">
        <v>13</v>
      </c>
      <c r="D696" s="4" t="s">
        <v>1293</v>
      </c>
      <c r="E696" s="157">
        <v>45621</v>
      </c>
      <c r="F696" s="9">
        <f>IF($E696="","",WORKDAY($E696,1,$V$33:$V$41))</f>
        <v>45622</v>
      </c>
      <c r="G696" s="9">
        <f>IF($E696="","",WORKDAY($E696,10,$V$33:$V$41))</f>
        <v>45635</v>
      </c>
      <c r="H696" s="9">
        <f>IF($E696="","",WORKDAY($E696,20,$V$33:$V$41))</f>
        <v>45649</v>
      </c>
      <c r="I696" s="157" t="str">
        <f t="shared" si="12"/>
        <v>Nov</v>
      </c>
      <c r="J696" s="142" t="str">
        <f ca="1">IF(E696="","",IF(N696="",H696-TODAY(),""))</f>
        <v/>
      </c>
      <c r="K696" s="157" t="s">
        <v>10</v>
      </c>
      <c r="L696" s="157" t="s">
        <v>27</v>
      </c>
      <c r="M696" s="157" t="s">
        <v>37</v>
      </c>
      <c r="N696" s="9">
        <v>45638</v>
      </c>
      <c r="O696" s="159">
        <f>IF($N696="","",NETWORKDAYS($E696,$N696,$V$33:$V$47)-1)</f>
        <v>13</v>
      </c>
      <c r="P696" s="10" t="str">
        <f>IF(ISBLANK(N696),"",IF(N696&gt;H696,"No","Yes"))</f>
        <v>Yes</v>
      </c>
      <c r="Q696" s="9" t="s">
        <v>117</v>
      </c>
      <c r="R696" s="4" t="s">
        <v>118</v>
      </c>
      <c r="S696" s="4"/>
      <c r="T696" s="4"/>
      <c r="U696" s="6"/>
      <c r="V696" s="6"/>
      <c r="W696" s="6"/>
      <c r="X696" s="6"/>
      <c r="Y696" s="6"/>
      <c r="Z696" s="6"/>
      <c r="AX696" s="6" t="str">
        <v>Quarter 3</v>
      </c>
    </row>
    <row r="697" spans="1:50" ht="31.4" customHeight="1" x14ac:dyDescent="0.35">
      <c r="A697" s="162">
        <v>696</v>
      </c>
      <c r="B697" s="4" t="s">
        <v>8</v>
      </c>
      <c r="C697" s="4" t="s">
        <v>8</v>
      </c>
      <c r="D697" s="4" t="s">
        <v>1294</v>
      </c>
      <c r="E697" s="157">
        <v>45621</v>
      </c>
      <c r="F697" s="9">
        <f>IF($E697="","",WORKDAY($E697,1,$V$33:$V$41))</f>
        <v>45622</v>
      </c>
      <c r="G697" s="9">
        <f>IF($E697="","",WORKDAY($E697,10,$V$33:$V$41))</f>
        <v>45635</v>
      </c>
      <c r="H697" s="9">
        <f>IF($E697="","",WORKDAY($E697,20,$V$33:$V$41))</f>
        <v>45649</v>
      </c>
      <c r="I697" s="157" t="str">
        <f t="shared" si="12"/>
        <v>Nov</v>
      </c>
      <c r="J697" s="142" t="str">
        <f ca="1">IF(E697="","",IF(N697="",H697-TODAY(),""))</f>
        <v/>
      </c>
      <c r="K697" s="157" t="s">
        <v>124</v>
      </c>
      <c r="L697" s="157" t="s">
        <v>24</v>
      </c>
      <c r="M697" s="157" t="s">
        <v>61</v>
      </c>
      <c r="N697" s="9">
        <v>45623</v>
      </c>
      <c r="O697" s="159">
        <f>IF($N697="","",NETWORKDAYS($E697,$N697,$V$33:$V$47)-1)</f>
        <v>2</v>
      </c>
      <c r="P697" s="10" t="str">
        <f>IF(ISBLANK(N697),"",IF(N697&gt;H697,"No","Yes"))</f>
        <v>Yes</v>
      </c>
      <c r="Q697" s="9" t="s">
        <v>117</v>
      </c>
      <c r="R697" s="4" t="s">
        <v>118</v>
      </c>
      <c r="S697" s="4"/>
      <c r="T697" s="4"/>
      <c r="U697" s="6"/>
      <c r="V697" s="6"/>
      <c r="W697" s="6"/>
      <c r="X697" s="6"/>
      <c r="Y697" s="6"/>
      <c r="Z697" s="6"/>
      <c r="AX697" s="6" t="str">
        <v>Quarter 3</v>
      </c>
    </row>
    <row r="698" spans="1:50" ht="31.4" customHeight="1" x14ac:dyDescent="0.35">
      <c r="A698" s="162">
        <v>697</v>
      </c>
      <c r="B698" s="4" t="s">
        <v>8</v>
      </c>
      <c r="C698" s="4" t="s">
        <v>8</v>
      </c>
      <c r="D698" s="4" t="s">
        <v>1295</v>
      </c>
      <c r="E698" s="157">
        <v>45621</v>
      </c>
      <c r="F698" s="9">
        <f>IF($E698="","",WORKDAY($E698,1,$V$33:$V$41))</f>
        <v>45622</v>
      </c>
      <c r="G698" s="9">
        <f>IF($E698="","",WORKDAY($E698,10,$V$33:$V$41))</f>
        <v>45635</v>
      </c>
      <c r="H698" s="9">
        <f>IF($E698="","",WORKDAY($E698,20,$V$33:$V$41))</f>
        <v>45649</v>
      </c>
      <c r="I698" s="157" t="str">
        <f t="shared" si="12"/>
        <v>Nov</v>
      </c>
      <c r="J698" s="142" t="str">
        <f ca="1">IF(E698="","",IF(N698="",H698-TODAY(),""))</f>
        <v/>
      </c>
      <c r="K698" s="157" t="s">
        <v>5</v>
      </c>
      <c r="L698" s="157" t="s">
        <v>16</v>
      </c>
      <c r="M698" s="157" t="s">
        <v>52</v>
      </c>
      <c r="N698" s="9">
        <v>45635</v>
      </c>
      <c r="O698" s="159">
        <f>IF($N698="","",NETWORKDAYS($E698,$N698,$V$33:$V$47)-1)</f>
        <v>10</v>
      </c>
      <c r="P698" s="10" t="str">
        <f>IF(ISBLANK(N698),"",IF(N698&gt;H698,"No","Yes"))</f>
        <v>Yes</v>
      </c>
      <c r="Q698" s="9" t="s">
        <v>117</v>
      </c>
      <c r="R698" s="4" t="s">
        <v>118</v>
      </c>
      <c r="S698" s="4"/>
      <c r="T698" s="4"/>
      <c r="U698" s="6"/>
      <c r="V698" s="6"/>
      <c r="W698" s="6"/>
      <c r="X698" s="6"/>
      <c r="Y698" s="6"/>
      <c r="Z698" s="6"/>
      <c r="AX698" s="6" t="str">
        <v>Quarter 3</v>
      </c>
    </row>
    <row r="699" spans="1:50" ht="31.4" customHeight="1" x14ac:dyDescent="0.35">
      <c r="A699" s="162">
        <v>698</v>
      </c>
      <c r="B699" s="4" t="s">
        <v>8</v>
      </c>
      <c r="C699" s="4" t="s">
        <v>8</v>
      </c>
      <c r="D699" s="4" t="s">
        <v>1288</v>
      </c>
      <c r="E699" s="157">
        <v>45621</v>
      </c>
      <c r="F699" s="9">
        <f>IF($E699="","",WORKDAY($E699,1,$V$33:$V$41))</f>
        <v>45622</v>
      </c>
      <c r="G699" s="9">
        <f>IF($E699="","",WORKDAY($E699,10,$V$33:$V$41))</f>
        <v>45635</v>
      </c>
      <c r="H699" s="9">
        <f>IF($E699="","",WORKDAY($E699,20,$V$33:$V$41))</f>
        <v>45649</v>
      </c>
      <c r="I699" s="157" t="str">
        <f t="shared" si="12"/>
        <v>Nov</v>
      </c>
      <c r="J699" s="142" t="str">
        <f ca="1">IF(E699="","",IF(N699="",H699-TODAY(),""))</f>
        <v/>
      </c>
      <c r="K699" s="157" t="s">
        <v>5</v>
      </c>
      <c r="L699" s="157" t="s">
        <v>18</v>
      </c>
      <c r="M699" s="157" t="s">
        <v>80</v>
      </c>
      <c r="N699" s="9">
        <v>45642</v>
      </c>
      <c r="O699" s="159">
        <f>IF($N699="","",NETWORKDAYS($E699,$N699,$V$33:$V$47)-1)</f>
        <v>15</v>
      </c>
      <c r="P699" s="10" t="str">
        <f>IF(ISBLANK(N699),"",IF(N699&gt;H699,"No","Yes"))</f>
        <v>Yes</v>
      </c>
      <c r="Q699" s="9" t="s">
        <v>117</v>
      </c>
      <c r="R699" s="4" t="s">
        <v>118</v>
      </c>
      <c r="S699" s="4" t="s">
        <v>119</v>
      </c>
      <c r="T699" s="4"/>
      <c r="U699" s="6"/>
      <c r="V699" s="6"/>
      <c r="W699" s="6"/>
      <c r="X699" s="6"/>
      <c r="Y699" s="6"/>
      <c r="Z699" s="6"/>
      <c r="AX699" s="6" t="str">
        <v>Quarter 3</v>
      </c>
    </row>
    <row r="700" spans="1:50" ht="31.4" customHeight="1" x14ac:dyDescent="0.35">
      <c r="A700" s="162">
        <v>699</v>
      </c>
      <c r="B700" s="4" t="s">
        <v>8</v>
      </c>
      <c r="C700" s="4" t="s">
        <v>8</v>
      </c>
      <c r="D700" s="4" t="s">
        <v>1296</v>
      </c>
      <c r="E700" s="157">
        <v>45621</v>
      </c>
      <c r="F700" s="9">
        <f>IF($E700="","",WORKDAY($E700,1,$V$33:$V$41))</f>
        <v>45622</v>
      </c>
      <c r="G700" s="9">
        <f>IF($E700="","",WORKDAY($E700,10,$V$33:$V$41))</f>
        <v>45635</v>
      </c>
      <c r="H700" s="9">
        <f>IF($E700="","",WORKDAY($E700,20,$V$33:$V$41))</f>
        <v>45649</v>
      </c>
      <c r="I700" s="157" t="str">
        <f t="shared" si="12"/>
        <v>Nov</v>
      </c>
      <c r="J700" s="142" t="str">
        <f ca="1">IF(E700="","",IF(N700="",H700-TODAY(),""))</f>
        <v/>
      </c>
      <c r="K700" s="157" t="s">
        <v>5</v>
      </c>
      <c r="L700" s="157" t="s">
        <v>16</v>
      </c>
      <c r="M700" s="157" t="s">
        <v>52</v>
      </c>
      <c r="N700" s="9">
        <v>45635</v>
      </c>
      <c r="O700" s="159">
        <f>IF($N700="","",NETWORKDAYS($E700,$N700,$V$33:$V$47)-1)</f>
        <v>10</v>
      </c>
      <c r="P700" s="10" t="str">
        <f>IF(ISBLANK(N700),"",IF(N700&gt;H700,"No","Yes"))</f>
        <v>Yes</v>
      </c>
      <c r="Q700" s="9" t="s">
        <v>117</v>
      </c>
      <c r="R700" s="4" t="s">
        <v>118</v>
      </c>
      <c r="S700" s="4" t="s">
        <v>135</v>
      </c>
      <c r="T700" s="4"/>
      <c r="U700" s="6"/>
      <c r="V700" s="6"/>
      <c r="W700" s="6"/>
      <c r="X700" s="6"/>
      <c r="Y700" s="6"/>
      <c r="Z700" s="6"/>
      <c r="AX700" s="6" t="str">
        <v>Quarter 3</v>
      </c>
    </row>
    <row r="701" spans="1:50" ht="31.4" customHeight="1" x14ac:dyDescent="0.35">
      <c r="A701" s="162">
        <v>700</v>
      </c>
      <c r="B701" s="4" t="s">
        <v>1297</v>
      </c>
      <c r="C701" s="4" t="s">
        <v>6</v>
      </c>
      <c r="D701" s="4" t="s">
        <v>1298</v>
      </c>
      <c r="E701" s="157">
        <v>45621</v>
      </c>
      <c r="F701" s="9">
        <f>IF($E701="","",WORKDAY($E701,1,$V$33:$V$41))</f>
        <v>45622</v>
      </c>
      <c r="G701" s="9">
        <f>IF($E701="","",WORKDAY($E701,10,$V$33:$V$41))</f>
        <v>45635</v>
      </c>
      <c r="H701" s="9">
        <f>IF($E701="","",WORKDAY($E701,20,$V$33:$V$41))</f>
        <v>45649</v>
      </c>
      <c r="I701" s="157" t="str">
        <f t="shared" si="12"/>
        <v>Nov</v>
      </c>
      <c r="J701" s="142" t="str">
        <f ca="1">IF(E701="","",IF(N701="",H701-TODAY(),""))</f>
        <v/>
      </c>
      <c r="K701" s="157" t="s">
        <v>5</v>
      </c>
      <c r="L701" s="157" t="s">
        <v>22</v>
      </c>
      <c r="M701" s="157" t="s">
        <v>64</v>
      </c>
      <c r="N701" s="9">
        <v>45635</v>
      </c>
      <c r="O701" s="159">
        <f>IF($N701="","",NETWORKDAYS($E701,$N701,$V$33:$V$47)-1)</f>
        <v>10</v>
      </c>
      <c r="P701" s="10" t="str">
        <f>IF(ISBLANK(N701),"",IF(N701&gt;H701,"No","Yes"))</f>
        <v>Yes</v>
      </c>
      <c r="Q701" s="9" t="s">
        <v>117</v>
      </c>
      <c r="R701" s="4" t="s">
        <v>150</v>
      </c>
      <c r="S701" s="4"/>
      <c r="T701" s="4"/>
      <c r="U701" s="6"/>
      <c r="V701" s="6"/>
      <c r="W701" s="6"/>
      <c r="X701" s="6"/>
      <c r="Y701" s="6"/>
      <c r="Z701" s="6"/>
      <c r="AX701" s="6" t="str">
        <v>Quarter 3</v>
      </c>
    </row>
    <row r="702" spans="1:50" ht="31.4" customHeight="1" x14ac:dyDescent="0.35">
      <c r="A702" s="162">
        <v>701</v>
      </c>
      <c r="B702" s="4" t="s">
        <v>8</v>
      </c>
      <c r="C702" s="4" t="s">
        <v>8</v>
      </c>
      <c r="D702" s="4" t="s">
        <v>1299</v>
      </c>
      <c r="E702" s="157">
        <v>45621</v>
      </c>
      <c r="F702" s="9">
        <f>IF($E702="","",WORKDAY($E702,1,$V$33:$V$41))</f>
        <v>45622</v>
      </c>
      <c r="G702" s="9">
        <f>IF($E702="","",WORKDAY($E702,10,$V$33:$V$41))</f>
        <v>45635</v>
      </c>
      <c r="H702" s="9">
        <f>IF($E702="","",WORKDAY($E702,20,$V$33:$V$41))</f>
        <v>45649</v>
      </c>
      <c r="I702" s="157" t="str">
        <f t="shared" si="12"/>
        <v>Nov</v>
      </c>
      <c r="J702" s="142"/>
      <c r="K702" s="157" t="s">
        <v>4</v>
      </c>
      <c r="L702" s="157" t="s">
        <v>7</v>
      </c>
      <c r="M702" s="157" t="s">
        <v>31</v>
      </c>
      <c r="N702" s="9"/>
      <c r="O702" s="159" t="str">
        <f>IF($N702="","",NETWORKDAYS($E702,$N702,$V$33:$V$47)-1)</f>
        <v/>
      </c>
      <c r="P702" s="10" t="str">
        <f>IF(ISBLANK(N702),"",IF(N702&gt;H702,"No","Yes"))</f>
        <v/>
      </c>
      <c r="Q702" s="9" t="s">
        <v>133</v>
      </c>
      <c r="R702" s="4" t="s">
        <v>133</v>
      </c>
      <c r="S702" s="4"/>
      <c r="T702" s="4" t="s">
        <v>764</v>
      </c>
      <c r="U702" s="6"/>
      <c r="V702" s="6"/>
      <c r="W702" s="6"/>
      <c r="X702" s="6"/>
      <c r="Y702" s="6"/>
      <c r="Z702" s="6"/>
      <c r="AX702" s="6" t="str">
        <v>Quarter 3</v>
      </c>
    </row>
    <row r="703" spans="1:50" ht="31.4" customHeight="1" x14ac:dyDescent="0.35">
      <c r="A703" s="162">
        <v>702</v>
      </c>
      <c r="B703" s="4" t="s">
        <v>8</v>
      </c>
      <c r="C703" s="4" t="s">
        <v>8</v>
      </c>
      <c r="D703" s="4" t="s">
        <v>1300</v>
      </c>
      <c r="E703" s="157">
        <v>45621</v>
      </c>
      <c r="F703" s="9">
        <f>IF($E703="","",WORKDAY($E703,1,$V$33:$V$41))</f>
        <v>45622</v>
      </c>
      <c r="G703" s="9">
        <f>IF($E703="","",WORKDAY($E703,10,$V$33:$V$41))</f>
        <v>45635</v>
      </c>
      <c r="H703" s="9">
        <f>IF($E703="","",WORKDAY($E703,20,$V$33:$V$41))</f>
        <v>45649</v>
      </c>
      <c r="I703" s="157" t="str">
        <f t="shared" si="12"/>
        <v>Nov</v>
      </c>
      <c r="J703" s="142" t="str">
        <f ca="1">IF(E703="","",IF(N703="",H703-TODAY(),""))</f>
        <v/>
      </c>
      <c r="K703" s="157" t="s">
        <v>5</v>
      </c>
      <c r="L703" s="157" t="s">
        <v>16</v>
      </c>
      <c r="M703" s="157" t="s">
        <v>52</v>
      </c>
      <c r="N703" s="9">
        <v>45623</v>
      </c>
      <c r="O703" s="159">
        <f>IF($N703="","",NETWORKDAYS($E703,$N703,$V$33:$V$47)-1)</f>
        <v>2</v>
      </c>
      <c r="P703" s="10" t="str">
        <f>IF(ISBLANK(N703),"",IF(N703&gt;H703,"No","Yes"))</f>
        <v>Yes</v>
      </c>
      <c r="Q703" s="9" t="s">
        <v>117</v>
      </c>
      <c r="R703" s="4" t="s">
        <v>118</v>
      </c>
      <c r="S703" s="4"/>
      <c r="T703" s="4"/>
      <c r="U703" s="6"/>
      <c r="V703" s="6"/>
      <c r="W703" s="6"/>
      <c r="X703" s="6"/>
      <c r="Y703" s="6"/>
      <c r="Z703" s="6"/>
      <c r="AX703" s="6" t="str">
        <v>Quarter 3</v>
      </c>
    </row>
    <row r="704" spans="1:50" ht="31.4" customHeight="1" x14ac:dyDescent="0.35">
      <c r="A704" s="162">
        <v>703</v>
      </c>
      <c r="B704" s="4" t="s">
        <v>8</v>
      </c>
      <c r="C704" s="4" t="s">
        <v>8</v>
      </c>
      <c r="D704" s="4" t="s">
        <v>1301</v>
      </c>
      <c r="E704" s="157">
        <v>45621</v>
      </c>
      <c r="F704" s="9">
        <f>IF($E704="","",WORKDAY($E704,1,$V$33:$V$41))</f>
        <v>45622</v>
      </c>
      <c r="G704" s="9">
        <f>IF($E704="","",WORKDAY($E704,10,$V$33:$V$41))</f>
        <v>45635</v>
      </c>
      <c r="H704" s="9">
        <f>IF($E704="","",WORKDAY($E704,20,$V$33:$V$41))</f>
        <v>45649</v>
      </c>
      <c r="I704" s="157" t="str">
        <f t="shared" si="12"/>
        <v>Nov</v>
      </c>
      <c r="J704" s="142" t="str">
        <f ca="1">IF(E704="","",IF(N704="",H704-TODAY(),""))</f>
        <v/>
      </c>
      <c r="K704" s="157" t="s">
        <v>5</v>
      </c>
      <c r="L704" s="157" t="s">
        <v>16</v>
      </c>
      <c r="M704" s="157" t="s">
        <v>52</v>
      </c>
      <c r="N704" s="9">
        <v>45625</v>
      </c>
      <c r="O704" s="159">
        <f>IF($N704="","",NETWORKDAYS($E704,$N704,$V$33:$V$47)-1)</f>
        <v>4</v>
      </c>
      <c r="P704" s="10" t="str">
        <f>IF(ISBLANK(N704),"",IF(N704&gt;H704,"No","Yes"))</f>
        <v>Yes</v>
      </c>
      <c r="Q704" s="9" t="s">
        <v>117</v>
      </c>
      <c r="R704" s="4" t="s">
        <v>118</v>
      </c>
      <c r="S704" s="4"/>
      <c r="T704" s="4" t="s">
        <v>141</v>
      </c>
      <c r="U704" s="6"/>
      <c r="V704" s="6"/>
      <c r="W704" s="6"/>
      <c r="X704" s="6"/>
      <c r="Y704" s="6"/>
      <c r="Z704" s="6"/>
      <c r="AX704" s="6" t="str">
        <v>Quarter 3</v>
      </c>
    </row>
    <row r="705" spans="1:50" ht="31.4" customHeight="1" x14ac:dyDescent="0.35">
      <c r="A705" s="162">
        <v>704</v>
      </c>
      <c r="B705" s="4" t="s">
        <v>8</v>
      </c>
      <c r="C705" s="4" t="s">
        <v>8</v>
      </c>
      <c r="D705" s="4" t="s">
        <v>1302</v>
      </c>
      <c r="E705" s="157">
        <v>45622</v>
      </c>
      <c r="F705" s="9">
        <f>IF($E705="","",WORKDAY($E705,1,$V$33:$V$41))</f>
        <v>45623</v>
      </c>
      <c r="G705" s="9">
        <f>IF($E705="","",WORKDAY($E705,10,$V$33:$V$41))</f>
        <v>45636</v>
      </c>
      <c r="H705" s="9">
        <f>IF($E705="","",WORKDAY($E705,20,$V$33:$V$41))</f>
        <v>45650</v>
      </c>
      <c r="I705" s="157" t="str">
        <f t="shared" si="12"/>
        <v>Nov</v>
      </c>
      <c r="J705" s="142" t="str">
        <f ca="1">IF(E705="","",IF(N705="",H705-TODAY(),""))</f>
        <v/>
      </c>
      <c r="K705" s="157" t="s">
        <v>4</v>
      </c>
      <c r="L705" s="25" t="s">
        <v>7</v>
      </c>
      <c r="M705" s="25" t="s">
        <v>31</v>
      </c>
      <c r="N705" s="9">
        <v>45632</v>
      </c>
      <c r="O705" s="159">
        <f>IF($N705="","",NETWORKDAYS($E705,$N705,$V$33:$V$47)-1)</f>
        <v>8</v>
      </c>
      <c r="P705" s="10" t="str">
        <f>IF(ISBLANK(N705),"",IF(N705&gt;H705,"No","Yes"))</f>
        <v>Yes</v>
      </c>
      <c r="Q705" s="9" t="s">
        <v>117</v>
      </c>
      <c r="R705" s="4" t="s">
        <v>118</v>
      </c>
      <c r="S705" s="4"/>
      <c r="T705" s="4" t="s">
        <v>141</v>
      </c>
      <c r="U705" s="6"/>
      <c r="V705" s="6"/>
      <c r="W705" s="6"/>
      <c r="X705" s="6"/>
      <c r="Y705" s="6"/>
      <c r="Z705" s="6"/>
      <c r="AX705" s="6" t="str">
        <v>Quarter 3</v>
      </c>
    </row>
    <row r="706" spans="1:50" ht="31.4" customHeight="1" x14ac:dyDescent="0.35">
      <c r="A706" s="162">
        <v>705</v>
      </c>
      <c r="B706" s="4" t="s">
        <v>8</v>
      </c>
      <c r="C706" s="4" t="s">
        <v>8</v>
      </c>
      <c r="D706" s="4" t="s">
        <v>1303</v>
      </c>
      <c r="E706" s="157">
        <v>45622</v>
      </c>
      <c r="F706" s="9">
        <f>IF($E706="","",WORKDAY($E706,1,$V$33:$V$41))</f>
        <v>45623</v>
      </c>
      <c r="G706" s="9">
        <f>IF($E706="","",WORKDAY($E706,10,$V$33:$V$41))</f>
        <v>45636</v>
      </c>
      <c r="H706" s="9">
        <f>IF($E706="","",WORKDAY($E706,20,$V$33:$V$41))</f>
        <v>45650</v>
      </c>
      <c r="I706" s="157" t="str">
        <f t="shared" ref="I706:I769" si="15">IF(ISBLANK(E706),"",TEXT(E706,"mmm"))</f>
        <v>Nov</v>
      </c>
      <c r="J706" s="142" t="str">
        <f ca="1">IF(E706="","",IF(N706="",H706-TODAY(),""))</f>
        <v/>
      </c>
      <c r="K706" s="25" t="s">
        <v>124</v>
      </c>
      <c r="L706" s="25" t="s">
        <v>20</v>
      </c>
      <c r="M706" s="25" t="s">
        <v>62</v>
      </c>
      <c r="N706" s="9">
        <v>45630</v>
      </c>
      <c r="O706" s="159">
        <f>IF($N706="","",NETWORKDAYS($E706,$N706,$V$33:$V$47)-1)</f>
        <v>6</v>
      </c>
      <c r="P706" s="10" t="str">
        <f>IF(ISBLANK(N706),"",IF(N706&gt;H706,"No","Yes"))</f>
        <v>Yes</v>
      </c>
      <c r="Q706" s="9" t="s">
        <v>117</v>
      </c>
      <c r="R706" s="4" t="s">
        <v>150</v>
      </c>
      <c r="S706" s="4"/>
      <c r="T706" s="4"/>
      <c r="U706" s="6"/>
      <c r="V706" s="6"/>
      <c r="W706" s="6"/>
      <c r="X706" s="6"/>
      <c r="Y706" s="6"/>
      <c r="Z706" s="6"/>
      <c r="AX706" s="6" t="str">
        <v>Quarter 3</v>
      </c>
    </row>
    <row r="707" spans="1:50" ht="31.4" customHeight="1" x14ac:dyDescent="0.35">
      <c r="A707" s="162">
        <v>706</v>
      </c>
      <c r="B707" s="4" t="s">
        <v>293</v>
      </c>
      <c r="C707" s="4" t="s">
        <v>6</v>
      </c>
      <c r="D707" s="4" t="s">
        <v>1304</v>
      </c>
      <c r="E707" s="157">
        <v>45623</v>
      </c>
      <c r="F707" s="9">
        <f>IF($E707="","",WORKDAY($E707,1,$V$33:$V$41))</f>
        <v>45624</v>
      </c>
      <c r="G707" s="9">
        <f>IF($E707="","",WORKDAY($E707,10,$V$33:$V$41))</f>
        <v>45637</v>
      </c>
      <c r="H707" s="9">
        <f>IF($E707="","",WORKDAY($E707,20,$V$33:$V$41))</f>
        <v>45653</v>
      </c>
      <c r="I707" s="157" t="str">
        <f t="shared" si="15"/>
        <v>Nov</v>
      </c>
      <c r="J707" s="142" t="str">
        <f ca="1">IF(E707="","",IF(N707="",H707-TODAY(),""))</f>
        <v/>
      </c>
      <c r="K707" s="157" t="s">
        <v>10</v>
      </c>
      <c r="L707" s="157" t="s">
        <v>27</v>
      </c>
      <c r="M707" s="157" t="s">
        <v>86</v>
      </c>
      <c r="N707" s="9">
        <v>45630</v>
      </c>
      <c r="O707" s="159">
        <f>IF($N707="","",NETWORKDAYS($E707,$N707,$V$33:$V$47)-1)</f>
        <v>5</v>
      </c>
      <c r="P707" s="10" t="str">
        <f>IF(ISBLANK(N707),"",IF(N707&gt;H707,"No","Yes"))</f>
        <v>Yes</v>
      </c>
      <c r="Q707" s="9" t="s">
        <v>117</v>
      </c>
      <c r="R707" s="4" t="s">
        <v>118</v>
      </c>
      <c r="S707" s="4"/>
      <c r="T707" s="4"/>
      <c r="U707" s="6"/>
      <c r="V707" s="6"/>
      <c r="W707" s="6"/>
      <c r="X707" s="6"/>
      <c r="Y707" s="6"/>
      <c r="Z707" s="6"/>
      <c r="AX707" s="6" t="str">
        <v>Quarter 3</v>
      </c>
    </row>
    <row r="708" spans="1:50" ht="31.4" customHeight="1" x14ac:dyDescent="0.35">
      <c r="A708" s="162">
        <v>707</v>
      </c>
      <c r="B708" s="4" t="s">
        <v>1305</v>
      </c>
      <c r="C708" s="4" t="s">
        <v>13</v>
      </c>
      <c r="D708" s="4" t="s">
        <v>1306</v>
      </c>
      <c r="E708" s="157">
        <v>45624</v>
      </c>
      <c r="F708" s="9">
        <f>IF($E708="","",WORKDAY($E708,1,$V$33:$V$41))</f>
        <v>45625</v>
      </c>
      <c r="G708" s="9">
        <f>IF($E708="","",WORKDAY($E708,10,$V$33:$V$41))</f>
        <v>45638</v>
      </c>
      <c r="H708" s="9">
        <f>IF($E708="","",WORKDAY($E708,20,$V$33:$V$41))</f>
        <v>45656</v>
      </c>
      <c r="I708" s="157" t="str">
        <f t="shared" si="15"/>
        <v>Nov</v>
      </c>
      <c r="J708" s="142" t="str">
        <f ca="1">IF(E708="","",IF(N708="",H708-TODAY(),""))</f>
        <v/>
      </c>
      <c r="K708" s="157" t="s">
        <v>4</v>
      </c>
      <c r="L708" s="157" t="s">
        <v>7</v>
      </c>
      <c r="M708" s="157" t="s">
        <v>31</v>
      </c>
      <c r="N708" s="9">
        <v>45642</v>
      </c>
      <c r="O708" s="159">
        <f>IF($N708="","",NETWORKDAYS($E708,$N708,$V$33:$V$47)-1)</f>
        <v>12</v>
      </c>
      <c r="P708" s="10" t="str">
        <f>IF(ISBLANK(N708),"",IF(N708&gt;H708,"No","Yes"))</f>
        <v>Yes</v>
      </c>
      <c r="Q708" s="9" t="s">
        <v>117</v>
      </c>
      <c r="R708" s="4" t="s">
        <v>118</v>
      </c>
      <c r="S708" s="4"/>
      <c r="T708" s="4"/>
      <c r="U708" s="6"/>
      <c r="V708" s="6"/>
      <c r="W708" s="6"/>
      <c r="X708" s="6"/>
      <c r="Y708" s="6"/>
      <c r="Z708" s="6"/>
      <c r="AX708" s="6" t="str">
        <v>Quarter 3</v>
      </c>
    </row>
    <row r="709" spans="1:50" ht="31.4" customHeight="1" x14ac:dyDescent="0.35">
      <c r="A709" s="162">
        <v>708</v>
      </c>
      <c r="B709" s="4" t="s">
        <v>481</v>
      </c>
      <c r="C709" s="4" t="s">
        <v>6</v>
      </c>
      <c r="D709" s="4" t="s">
        <v>1307</v>
      </c>
      <c r="E709" s="157">
        <v>45625</v>
      </c>
      <c r="F709" s="9">
        <f>IF($E709="","",WORKDAY($E709,1,$V$33:$V$41))</f>
        <v>45628</v>
      </c>
      <c r="G709" s="9">
        <f>IF($E709="","",WORKDAY($E709,10,$V$33:$V$41))</f>
        <v>45639</v>
      </c>
      <c r="H709" s="9">
        <f>IF($E709="","",WORKDAY($E709,20,$V$33:$V$41))</f>
        <v>45657</v>
      </c>
      <c r="I709" s="157" t="str">
        <f t="shared" si="15"/>
        <v>Nov</v>
      </c>
      <c r="J709" s="142" t="str">
        <f ca="1">IF(E709="","",IF(N709="",H709-TODAY(),""))</f>
        <v/>
      </c>
      <c r="K709" s="157" t="s">
        <v>5</v>
      </c>
      <c r="L709" s="157" t="s">
        <v>16</v>
      </c>
      <c r="M709" s="157" t="s">
        <v>52</v>
      </c>
      <c r="N709" s="9">
        <v>45678</v>
      </c>
      <c r="O709" s="159">
        <f>IF($N709="","",NETWORKDAYS($E709,$N709,$V$33:$V$47)-1)</f>
        <v>34</v>
      </c>
      <c r="P709" s="10" t="str">
        <f>IF(ISBLANK(N709),"",IF(N709&gt;H709,"No","Yes"))</f>
        <v>No</v>
      </c>
      <c r="Q709" s="9" t="s">
        <v>117</v>
      </c>
      <c r="R709" s="4" t="s">
        <v>126</v>
      </c>
      <c r="S709" s="4" t="s">
        <v>120</v>
      </c>
      <c r="T709" s="4"/>
      <c r="U709" s="6"/>
      <c r="V709" s="6"/>
      <c r="W709" s="6"/>
      <c r="X709" s="6"/>
      <c r="Y709" s="6"/>
      <c r="Z709" s="6"/>
      <c r="AX709" s="6" t="str">
        <v>Quarter 3</v>
      </c>
    </row>
    <row r="710" spans="1:50" ht="31.4" customHeight="1" x14ac:dyDescent="0.35">
      <c r="A710" s="162">
        <v>709</v>
      </c>
      <c r="B710" s="4" t="s">
        <v>8</v>
      </c>
      <c r="C710" s="4" t="s">
        <v>8</v>
      </c>
      <c r="D710" s="4" t="s">
        <v>1308</v>
      </c>
      <c r="E710" s="157">
        <v>45625</v>
      </c>
      <c r="F710" s="9">
        <f>IF($E710="","",WORKDAY($E710,1,$V$33:$V$41))</f>
        <v>45628</v>
      </c>
      <c r="G710" s="9">
        <f>IF($E710="","",WORKDAY($E710,10,$V$33:$V$41))</f>
        <v>45639</v>
      </c>
      <c r="H710" s="9">
        <f>IF($E710="","",WORKDAY($E710,20,$V$33:$V$41))</f>
        <v>45657</v>
      </c>
      <c r="I710" s="157" t="str">
        <f t="shared" si="15"/>
        <v>Nov</v>
      </c>
      <c r="J710" s="142" t="str">
        <f ca="1">IF(E710="","",IF(N710="",H710-TODAY(),""))</f>
        <v/>
      </c>
      <c r="K710" s="157" t="s">
        <v>124</v>
      </c>
      <c r="L710" s="157" t="s">
        <v>20</v>
      </c>
      <c r="M710" s="157" t="s">
        <v>70</v>
      </c>
      <c r="N710" s="9">
        <v>45628</v>
      </c>
      <c r="O710" s="159">
        <f>IF($N710="","",NETWORKDAYS($E710,$N710,$V$33:$V$47)-1)</f>
        <v>1</v>
      </c>
      <c r="P710" s="10" t="str">
        <f>IF(ISBLANK(N710),"",IF(N710&gt;H710,"No","Yes"))</f>
        <v>Yes</v>
      </c>
      <c r="Q710" s="9" t="s">
        <v>117</v>
      </c>
      <c r="R710" s="4" t="s">
        <v>126</v>
      </c>
      <c r="S710" s="4" t="s">
        <v>134</v>
      </c>
      <c r="T710" s="4"/>
      <c r="U710" s="6"/>
      <c r="V710" s="6"/>
      <c r="W710" s="6"/>
      <c r="X710" s="6"/>
      <c r="Y710" s="6"/>
      <c r="Z710" s="6"/>
      <c r="AX710" s="6" t="str">
        <v>Quarter 3</v>
      </c>
    </row>
    <row r="711" spans="1:50" ht="31.4" customHeight="1" x14ac:dyDescent="0.35">
      <c r="A711" s="162">
        <v>710</v>
      </c>
      <c r="B711" s="4" t="s">
        <v>8</v>
      </c>
      <c r="C711" s="4" t="s">
        <v>8</v>
      </c>
      <c r="D711" s="4" t="s">
        <v>1309</v>
      </c>
      <c r="E711" s="157">
        <v>45625</v>
      </c>
      <c r="F711" s="9">
        <f>IF($E711="","",WORKDAY($E711,1,$V$33:$V$41))</f>
        <v>45628</v>
      </c>
      <c r="G711" s="9">
        <f>IF($E711="","",WORKDAY($E711,10,$V$33:$V$41))</f>
        <v>45639</v>
      </c>
      <c r="H711" s="9">
        <f>IF($E711="","",WORKDAY($E711,20,$V$33:$V$41))</f>
        <v>45657</v>
      </c>
      <c r="I711" s="157" t="str">
        <f t="shared" si="15"/>
        <v>Nov</v>
      </c>
      <c r="J711" s="142" t="str">
        <f ca="1">IF(E711="","",IF(N711="",H711-TODAY(),""))</f>
        <v/>
      </c>
      <c r="K711" s="157" t="s">
        <v>10</v>
      </c>
      <c r="L711" s="157" t="s">
        <v>12</v>
      </c>
      <c r="M711" s="157" t="s">
        <v>36</v>
      </c>
      <c r="N711" s="9">
        <v>45643</v>
      </c>
      <c r="O711" s="159">
        <f>IF($N711="","",NETWORKDAYS($E711,$N711,$V$33:$V$47)-1)</f>
        <v>12</v>
      </c>
      <c r="P711" s="10" t="str">
        <f>IF(ISBLANK(N711),"",IF(N711&gt;H711,"No","Yes"))</f>
        <v>Yes</v>
      </c>
      <c r="Q711" s="9" t="s">
        <v>117</v>
      </c>
      <c r="R711" s="4" t="s">
        <v>118</v>
      </c>
      <c r="S711" s="4"/>
      <c r="T711" s="4"/>
      <c r="U711" s="6"/>
      <c r="V711" s="6"/>
      <c r="W711" s="6"/>
      <c r="X711" s="6"/>
      <c r="Y711" s="6"/>
      <c r="Z711" s="6"/>
      <c r="AX711" s="6" t="str">
        <v>Quarter 3</v>
      </c>
    </row>
    <row r="712" spans="1:50" ht="31.4" customHeight="1" x14ac:dyDescent="0.35">
      <c r="A712" s="162">
        <v>711</v>
      </c>
      <c r="B712" s="4" t="s">
        <v>8</v>
      </c>
      <c r="C712" s="4" t="s">
        <v>8</v>
      </c>
      <c r="D712" s="7" t="s">
        <v>1310</v>
      </c>
      <c r="E712" s="157">
        <v>45625</v>
      </c>
      <c r="F712" s="9">
        <f>IF($E712="","",WORKDAY($E712,1,$V$33:$V$41))</f>
        <v>45628</v>
      </c>
      <c r="G712" s="9">
        <f>IF($E712="","",WORKDAY($E712,10,$V$33:$V$41))</f>
        <v>45639</v>
      </c>
      <c r="H712" s="9">
        <f>IF($E712="","",WORKDAY($E712,20,$V$33:$V$41))</f>
        <v>45657</v>
      </c>
      <c r="I712" s="157" t="str">
        <f t="shared" si="15"/>
        <v>Nov</v>
      </c>
      <c r="J712" s="142" t="str">
        <f ca="1">IF(E712="","",IF(N712="",H712-TODAY(),""))</f>
        <v/>
      </c>
      <c r="K712" s="25" t="s">
        <v>10</v>
      </c>
      <c r="L712" s="25" t="s">
        <v>12</v>
      </c>
      <c r="M712" s="25" t="s">
        <v>91</v>
      </c>
      <c r="N712" s="9">
        <v>45639</v>
      </c>
      <c r="O712" s="159">
        <f>IF($N712="","",NETWORKDAYS($E712,$N712,$V$33:$V$47)-1)</f>
        <v>10</v>
      </c>
      <c r="P712" s="10" t="str">
        <f>IF(ISBLANK(N712),"",IF(N712&gt;H712,"No","Yes"))</f>
        <v>Yes</v>
      </c>
      <c r="Q712" s="9" t="s">
        <v>117</v>
      </c>
      <c r="R712" s="7" t="s">
        <v>118</v>
      </c>
      <c r="S712" s="7"/>
      <c r="T712" s="7"/>
      <c r="U712" s="6"/>
      <c r="V712" s="6"/>
      <c r="W712" s="6"/>
      <c r="X712" s="6"/>
      <c r="Y712" s="6"/>
      <c r="Z712" s="6"/>
      <c r="AX712" s="6" t="str">
        <v>Quarter 3</v>
      </c>
    </row>
    <row r="713" spans="1:50" ht="31.4" customHeight="1" x14ac:dyDescent="0.35">
      <c r="A713" s="162">
        <v>712</v>
      </c>
      <c r="B713" s="4" t="s">
        <v>8</v>
      </c>
      <c r="C713" s="4" t="s">
        <v>8</v>
      </c>
      <c r="D713" s="4" t="s">
        <v>1311</v>
      </c>
      <c r="E713" s="157">
        <v>45625</v>
      </c>
      <c r="F713" s="9">
        <f>IF($E713="","",WORKDAY($E713,1,$V$33:$V$41))</f>
        <v>45628</v>
      </c>
      <c r="G713" s="9">
        <f>IF($E713="","",WORKDAY($E713,10,$V$33:$V$41))</f>
        <v>45639</v>
      </c>
      <c r="H713" s="9">
        <f>IF($E713="","",WORKDAY($E713,20,$V$33:$V$41))</f>
        <v>45657</v>
      </c>
      <c r="I713" s="157" t="str">
        <f t="shared" si="15"/>
        <v>Nov</v>
      </c>
      <c r="J713" s="142" t="str">
        <f ca="1">IF(E713="","",IF(N713="",H713-TODAY(),""))</f>
        <v/>
      </c>
      <c r="K713" s="157" t="s">
        <v>10</v>
      </c>
      <c r="L713" s="157" t="s">
        <v>12</v>
      </c>
      <c r="M713" s="157" t="s">
        <v>38</v>
      </c>
      <c r="N713" s="9">
        <v>45643</v>
      </c>
      <c r="O713" s="159">
        <f>IF($N713="","",NETWORKDAYS($E713,$N713,$V$33:$V$47)-1)</f>
        <v>12</v>
      </c>
      <c r="P713" s="10" t="str">
        <f>IF(ISBLANK(N713),"",IF(N713&gt;H713,"No","Yes"))</f>
        <v>Yes</v>
      </c>
      <c r="Q713" s="9" t="s">
        <v>117</v>
      </c>
      <c r="R713" s="7" t="s">
        <v>118</v>
      </c>
      <c r="S713" s="4"/>
      <c r="T713" s="21"/>
      <c r="U713" s="6"/>
      <c r="V713" s="6"/>
      <c r="W713" s="6"/>
      <c r="X713" s="6"/>
      <c r="Y713" s="6"/>
      <c r="Z713" s="6"/>
      <c r="AX713" s="6" t="str">
        <v>Quarter 3</v>
      </c>
    </row>
    <row r="714" spans="1:50" ht="31.4" customHeight="1" x14ac:dyDescent="0.35">
      <c r="A714" s="162">
        <v>713</v>
      </c>
      <c r="B714" s="4" t="s">
        <v>8</v>
      </c>
      <c r="C714" s="4" t="s">
        <v>8</v>
      </c>
      <c r="D714" s="4" t="s">
        <v>1312</v>
      </c>
      <c r="E714" s="157">
        <v>45628</v>
      </c>
      <c r="F714" s="9">
        <f>IF($E714="","",WORKDAY($E714,1,$V$33:$V$41))</f>
        <v>45629</v>
      </c>
      <c r="G714" s="9">
        <f>IF($E714="","",WORKDAY($E714,10,$V$33:$V$41))</f>
        <v>45642</v>
      </c>
      <c r="H714" s="9">
        <f>IF($E714="","",WORKDAY($E714,20,$V$33:$V$41))</f>
        <v>45659</v>
      </c>
      <c r="I714" s="157" t="str">
        <f t="shared" si="15"/>
        <v>Dec</v>
      </c>
      <c r="J714" s="142" t="str">
        <f ca="1">IF(E714="","",IF(N714="",H714-TODAY(),""))</f>
        <v/>
      </c>
      <c r="K714" s="157" t="s">
        <v>124</v>
      </c>
      <c r="L714" s="157" t="s">
        <v>20</v>
      </c>
      <c r="M714" s="157" t="s">
        <v>63</v>
      </c>
      <c r="N714" s="9">
        <v>45630</v>
      </c>
      <c r="O714" s="159">
        <f>IF($N714="","",NETWORKDAYS($E714,$N714,$V$33:$V$47)-1)</f>
        <v>2</v>
      </c>
      <c r="P714" s="10" t="str">
        <f>IF(ISBLANK(N714),"",IF(N714&gt;H714,"No","Yes"))</f>
        <v>Yes</v>
      </c>
      <c r="Q714" s="9" t="s">
        <v>117</v>
      </c>
      <c r="R714" s="7" t="s">
        <v>150</v>
      </c>
      <c r="S714" s="4"/>
      <c r="T714" s="4"/>
      <c r="U714" s="6"/>
      <c r="V714" s="6"/>
      <c r="W714" s="6"/>
      <c r="X714" s="6"/>
      <c r="Y714" s="6"/>
      <c r="Z714" s="6"/>
      <c r="AX714" s="6" t="str">
        <v>Quarter 3</v>
      </c>
    </row>
    <row r="715" spans="1:50" ht="31.4" customHeight="1" x14ac:dyDescent="0.35">
      <c r="A715" s="162">
        <v>714</v>
      </c>
      <c r="B715" s="4" t="s">
        <v>8</v>
      </c>
      <c r="C715" s="4" t="s">
        <v>8</v>
      </c>
      <c r="D715" s="4" t="s">
        <v>275</v>
      </c>
      <c r="E715" s="157">
        <v>45628</v>
      </c>
      <c r="F715" s="9">
        <f>IF($E715="","",WORKDAY($E715,1,$V$33:$V$41))</f>
        <v>45629</v>
      </c>
      <c r="G715" s="9">
        <f>IF($E715="","",WORKDAY($E715,10,$V$33:$V$41))</f>
        <v>45642</v>
      </c>
      <c r="H715" s="9">
        <f>IF($E715="","",WORKDAY($E715,20,$V$33:$V$41))</f>
        <v>45659</v>
      </c>
      <c r="I715" s="157" t="str">
        <f t="shared" si="15"/>
        <v>Dec</v>
      </c>
      <c r="J715" s="142" t="str">
        <f ca="1">IF(E715="","",IF(N715="",H715-TODAY(),""))</f>
        <v/>
      </c>
      <c r="K715" s="157" t="s">
        <v>124</v>
      </c>
      <c r="L715" s="157" t="s">
        <v>20</v>
      </c>
      <c r="M715" s="157" t="s">
        <v>70</v>
      </c>
      <c r="N715" s="9">
        <v>45644</v>
      </c>
      <c r="O715" s="159">
        <f>IF($N715="","",NETWORKDAYS($E715,$N715,$V$33:$V$47)-1)</f>
        <v>12</v>
      </c>
      <c r="P715" s="10" t="str">
        <f>IF(ISBLANK(N715),"",IF(N715&gt;H715,"No","Yes"))</f>
        <v>Yes</v>
      </c>
      <c r="Q715" s="9" t="s">
        <v>117</v>
      </c>
      <c r="R715" s="4" t="s">
        <v>126</v>
      </c>
      <c r="S715" s="4" t="s">
        <v>134</v>
      </c>
      <c r="T715" s="4"/>
      <c r="U715" s="6"/>
      <c r="V715" s="6"/>
      <c r="W715" s="6"/>
      <c r="X715" s="6"/>
      <c r="Y715" s="6"/>
      <c r="Z715" s="6"/>
      <c r="AX715" s="6" t="str">
        <v>Quarter 3</v>
      </c>
    </row>
    <row r="716" spans="1:50" ht="31.4" customHeight="1" x14ac:dyDescent="0.35">
      <c r="A716" s="162">
        <v>715</v>
      </c>
      <c r="B716" s="4" t="s">
        <v>8</v>
      </c>
      <c r="C716" s="4" t="s">
        <v>8</v>
      </c>
      <c r="D716" s="4" t="s">
        <v>1313</v>
      </c>
      <c r="E716" s="157">
        <v>45628</v>
      </c>
      <c r="F716" s="9">
        <f>IF($E716="","",WORKDAY($E716,1,$V$33:$V$41))</f>
        <v>45629</v>
      </c>
      <c r="G716" s="9">
        <f>IF($E716="","",WORKDAY($E716,10,$V$33:$V$41))</f>
        <v>45642</v>
      </c>
      <c r="H716" s="9">
        <f>IF($E716="","",WORKDAY($E716,20,$V$33:$V$41))</f>
        <v>45659</v>
      </c>
      <c r="I716" s="157" t="str">
        <f t="shared" si="15"/>
        <v>Dec</v>
      </c>
      <c r="J716" s="142" t="str">
        <f ca="1">IF(E716="","",IF(N716="",H716-TODAY(),""))</f>
        <v/>
      </c>
      <c r="K716" s="25" t="s">
        <v>124</v>
      </c>
      <c r="L716" s="25" t="s">
        <v>20</v>
      </c>
      <c r="M716" s="25" t="s">
        <v>62</v>
      </c>
      <c r="N716" s="9">
        <v>45629</v>
      </c>
      <c r="O716" s="159">
        <f>IF($N716="","",NETWORKDAYS($E716,$N716,$V$33:$V$47)-1)</f>
        <v>1</v>
      </c>
      <c r="P716" s="10" t="str">
        <f>IF(ISBLANK(N716),"",IF(N716&gt;H716,"No","Yes"))</f>
        <v>Yes</v>
      </c>
      <c r="Q716" s="9" t="s">
        <v>117</v>
      </c>
      <c r="R716" s="4" t="s">
        <v>118</v>
      </c>
      <c r="S716" s="4"/>
      <c r="T716" s="4"/>
      <c r="U716" s="6"/>
      <c r="V716" s="6"/>
      <c r="W716" s="6"/>
      <c r="X716" s="6"/>
      <c r="Y716" s="6"/>
      <c r="Z716" s="6"/>
      <c r="AX716" s="6" t="str">
        <v>Quarter 3</v>
      </c>
    </row>
    <row r="717" spans="1:50" ht="31.4" customHeight="1" x14ac:dyDescent="0.35">
      <c r="A717" s="162">
        <v>716</v>
      </c>
      <c r="B717" s="4" t="s">
        <v>1314</v>
      </c>
      <c r="C717" s="4" t="s">
        <v>13</v>
      </c>
      <c r="D717" s="4" t="s">
        <v>1315</v>
      </c>
      <c r="E717" s="157">
        <v>45628</v>
      </c>
      <c r="F717" s="9">
        <f>IF($E717="","",WORKDAY($E717,1,$V$33:$V$41))</f>
        <v>45629</v>
      </c>
      <c r="G717" s="9">
        <f>IF($E717="","",WORKDAY($E717,10,$V$33:$V$41))</f>
        <v>45642</v>
      </c>
      <c r="H717" s="9">
        <f>IF($E717="","",WORKDAY($E717,20,$V$33:$V$41))</f>
        <v>45659</v>
      </c>
      <c r="I717" s="157" t="str">
        <f t="shared" si="15"/>
        <v>Dec</v>
      </c>
      <c r="J717" s="142" t="str">
        <f ca="1">IF(E717="","",IF(N717="",H717-TODAY(),""))</f>
        <v/>
      </c>
      <c r="K717" s="157" t="s">
        <v>4</v>
      </c>
      <c r="L717" s="157" t="s">
        <v>3</v>
      </c>
      <c r="M717" s="157" t="s">
        <v>89</v>
      </c>
      <c r="N717" s="9">
        <v>45646</v>
      </c>
      <c r="O717" s="159">
        <f>IF($N717="","",NETWORKDAYS($E717,$N717,$V$33:$V$47)-1)</f>
        <v>14</v>
      </c>
      <c r="P717" s="10" t="str">
        <f>IF(ISBLANK(N717),"",IF(N717&gt;H717,"No","Yes"))</f>
        <v>Yes</v>
      </c>
      <c r="Q717" s="9" t="s">
        <v>117</v>
      </c>
      <c r="R717" s="4" t="s">
        <v>126</v>
      </c>
      <c r="S717" s="4" t="s">
        <v>120</v>
      </c>
      <c r="T717" s="4"/>
      <c r="U717" s="6"/>
      <c r="V717" s="6"/>
      <c r="W717" s="6"/>
      <c r="X717" s="6"/>
      <c r="Y717" s="6"/>
      <c r="Z717" s="6"/>
      <c r="AX717" s="6" t="str">
        <v>Quarter 3</v>
      </c>
    </row>
    <row r="718" spans="1:50" ht="31.4" customHeight="1" x14ac:dyDescent="0.35">
      <c r="A718" s="162">
        <v>717</v>
      </c>
      <c r="B718" s="4" t="s">
        <v>1316</v>
      </c>
      <c r="C718" s="4" t="s">
        <v>17</v>
      </c>
      <c r="D718" s="4" t="s">
        <v>1317</v>
      </c>
      <c r="E718" s="157">
        <v>45629</v>
      </c>
      <c r="F718" s="9">
        <f>IF($E718="","",WORKDAY($E718,1,$V$33:$V$41))</f>
        <v>45630</v>
      </c>
      <c r="G718" s="9">
        <f>IF($E718="","",WORKDAY($E718,10,$V$33:$V$41))</f>
        <v>45643</v>
      </c>
      <c r="H718" s="9">
        <f>IF($E718="","",WORKDAY($E718,20,$V$33:$V$41))</f>
        <v>45660</v>
      </c>
      <c r="I718" s="157" t="str">
        <f t="shared" si="15"/>
        <v>Dec</v>
      </c>
      <c r="J718" s="142" t="str">
        <f ca="1">IF(E718="","",IF(N718="",H718-TODAY(),""))</f>
        <v/>
      </c>
      <c r="K718" s="157" t="s">
        <v>4</v>
      </c>
      <c r="L718" s="157" t="s">
        <v>3</v>
      </c>
      <c r="M718" s="157" t="s">
        <v>33</v>
      </c>
      <c r="N718" s="9">
        <v>45642</v>
      </c>
      <c r="O718" s="159">
        <f>IF($N718="","",NETWORKDAYS($E718,$N718,$V$33:$V$47)-1)</f>
        <v>9</v>
      </c>
      <c r="P718" s="10" t="str">
        <f>IF(ISBLANK(N718),"",IF(N718&gt;H718,"No","Yes"))</f>
        <v>Yes</v>
      </c>
      <c r="Q718" s="9" t="s">
        <v>117</v>
      </c>
      <c r="R718" s="4" t="s">
        <v>118</v>
      </c>
      <c r="S718" s="4"/>
      <c r="T718" s="4"/>
      <c r="U718" s="6"/>
      <c r="V718" s="6"/>
      <c r="W718" s="6"/>
      <c r="X718" s="6"/>
      <c r="Y718" s="6"/>
      <c r="Z718" s="6"/>
      <c r="AX718" s="6" t="str">
        <v>Quarter 3</v>
      </c>
    </row>
    <row r="719" spans="1:50" ht="31.4" customHeight="1" x14ac:dyDescent="0.35">
      <c r="A719" s="162">
        <v>718</v>
      </c>
      <c r="B719" s="4" t="s">
        <v>8</v>
      </c>
      <c r="C719" s="4" t="s">
        <v>8</v>
      </c>
      <c r="D719" s="4" t="s">
        <v>1318</v>
      </c>
      <c r="E719" s="157">
        <v>45629</v>
      </c>
      <c r="F719" s="9">
        <f>IF($E719="","",WORKDAY($E719,1,$V$33:$V$41))</f>
        <v>45630</v>
      </c>
      <c r="G719" s="9">
        <f>IF($E719="","",WORKDAY($E719,10,$V$33:$V$41))</f>
        <v>45643</v>
      </c>
      <c r="H719" s="9">
        <f>IF($E719="","",WORKDAY($E719,20,$V$33:$V$41))</f>
        <v>45660</v>
      </c>
      <c r="I719" s="157" t="str">
        <f t="shared" si="15"/>
        <v>Dec</v>
      </c>
      <c r="J719" s="142" t="str">
        <f ca="1">IF(E719="","",IF(N719="",H719-TODAY(),""))</f>
        <v/>
      </c>
      <c r="K719" s="157" t="s">
        <v>5</v>
      </c>
      <c r="L719" s="157" t="s">
        <v>18</v>
      </c>
      <c r="M719" s="157" t="s">
        <v>66</v>
      </c>
      <c r="N719" s="9">
        <v>45630</v>
      </c>
      <c r="O719" s="159">
        <f>IF($N719="","",NETWORKDAYS($E719,$N719,$V$33:$V$47)-1)</f>
        <v>1</v>
      </c>
      <c r="P719" s="10" t="str">
        <f>IF(ISBLANK(N719),"",IF(N719&gt;H719,"No","Yes"))</f>
        <v>Yes</v>
      </c>
      <c r="Q719" s="9" t="s">
        <v>117</v>
      </c>
      <c r="R719" s="4" t="s">
        <v>150</v>
      </c>
      <c r="S719" s="4"/>
      <c r="T719" s="4"/>
      <c r="U719" s="6"/>
      <c r="V719" s="6"/>
      <c r="W719" s="6"/>
      <c r="X719" s="6"/>
      <c r="Y719" s="6"/>
      <c r="Z719" s="6"/>
      <c r="AX719" s="6" t="str">
        <v>Quarter 3</v>
      </c>
    </row>
    <row r="720" spans="1:50" ht="31.4" customHeight="1" x14ac:dyDescent="0.35">
      <c r="A720" s="162">
        <v>719</v>
      </c>
      <c r="B720" s="4" t="s">
        <v>8</v>
      </c>
      <c r="C720" s="4" t="s">
        <v>8</v>
      </c>
      <c r="D720" s="4" t="s">
        <v>1319</v>
      </c>
      <c r="E720" s="157">
        <v>45630</v>
      </c>
      <c r="F720" s="9">
        <f>IF($E720="","",WORKDAY($E720,1,$V$33:$V$41))</f>
        <v>45631</v>
      </c>
      <c r="G720" s="9">
        <f>IF($E720="","",WORKDAY($E720,10,$V$33:$V$41))</f>
        <v>45644</v>
      </c>
      <c r="H720" s="9">
        <f>IF($E720="","",WORKDAY($E720,20,$V$33:$V$41))</f>
        <v>45663</v>
      </c>
      <c r="I720" s="157" t="str">
        <f t="shared" si="15"/>
        <v>Dec</v>
      </c>
      <c r="J720" s="142" t="str">
        <f ca="1">IF(E720="","",IF(N720="",H720-TODAY(),""))</f>
        <v/>
      </c>
      <c r="K720" s="157" t="s">
        <v>124</v>
      </c>
      <c r="L720" s="157" t="s">
        <v>20</v>
      </c>
      <c r="M720" s="157" t="s">
        <v>70</v>
      </c>
      <c r="N720" s="9">
        <v>45631</v>
      </c>
      <c r="O720" s="159">
        <f>IF($N720="","",NETWORKDAYS($E720,$N720,$V$33:$V$47)-1)</f>
        <v>1</v>
      </c>
      <c r="P720" s="10" t="str">
        <f>IF(ISBLANK(N720),"",IF(N720&gt;H720,"No","Yes"))</f>
        <v>Yes</v>
      </c>
      <c r="Q720" s="9" t="s">
        <v>117</v>
      </c>
      <c r="R720" s="4" t="s">
        <v>118</v>
      </c>
      <c r="S720" s="4"/>
      <c r="T720" s="4"/>
      <c r="U720" s="6"/>
      <c r="V720" s="6"/>
      <c r="W720" s="6"/>
      <c r="X720" s="6"/>
      <c r="Y720" s="6"/>
      <c r="Z720" s="6"/>
      <c r="AX720" s="6" t="str">
        <v>Quarter 3</v>
      </c>
    </row>
    <row r="721" spans="1:50" ht="31.4" customHeight="1" x14ac:dyDescent="0.35">
      <c r="A721" s="162">
        <v>720</v>
      </c>
      <c r="B721" s="4" t="s">
        <v>1320</v>
      </c>
      <c r="C721" s="4" t="s">
        <v>13</v>
      </c>
      <c r="D721" s="4" t="s">
        <v>648</v>
      </c>
      <c r="E721" s="157">
        <v>45630</v>
      </c>
      <c r="F721" s="9">
        <f>IF($E721="","",WORKDAY($E721,1,$V$33:$V$41))</f>
        <v>45631</v>
      </c>
      <c r="G721" s="9">
        <f>IF($E721="","",WORKDAY($E721,10,$V$33:$V$41))</f>
        <v>45644</v>
      </c>
      <c r="H721" s="9">
        <f>IF($E721="","",WORKDAY($E721,20,$V$33:$V$41))</f>
        <v>45663</v>
      </c>
      <c r="I721" s="157" t="str">
        <f t="shared" si="15"/>
        <v>Dec</v>
      </c>
      <c r="J721" s="142" t="str">
        <f ca="1">IF(E721="","",IF(N721="",H721-TODAY(),""))</f>
        <v/>
      </c>
      <c r="K721" s="157" t="s">
        <v>124</v>
      </c>
      <c r="L721" s="157" t="s">
        <v>14</v>
      </c>
      <c r="M721" s="157" t="s">
        <v>81</v>
      </c>
      <c r="N721" s="9">
        <v>45630</v>
      </c>
      <c r="O721" s="159">
        <f>IF($N721="","",NETWORKDAYS($E721,$N721,$V$33:$V$47)-1)</f>
        <v>0</v>
      </c>
      <c r="P721" s="10" t="str">
        <f>IF(ISBLANK(N721),"",IF(N721&gt;H721,"No","Yes"))</f>
        <v>Yes</v>
      </c>
      <c r="Q721" s="9" t="s">
        <v>117</v>
      </c>
      <c r="R721" s="4" t="s">
        <v>118</v>
      </c>
      <c r="S721" s="4"/>
      <c r="T721" s="4"/>
      <c r="U721" s="6"/>
      <c r="V721" s="6"/>
      <c r="W721" s="6"/>
      <c r="X721" s="6"/>
      <c r="Y721" s="6"/>
      <c r="Z721" s="6"/>
      <c r="AX721" s="6" t="str">
        <v>Quarter 3</v>
      </c>
    </row>
    <row r="722" spans="1:50" ht="31.4" customHeight="1" x14ac:dyDescent="0.35">
      <c r="A722" s="162">
        <v>721</v>
      </c>
      <c r="B722" s="4" t="s">
        <v>1321</v>
      </c>
      <c r="C722" s="4" t="s">
        <v>13</v>
      </c>
      <c r="D722" s="4" t="s">
        <v>523</v>
      </c>
      <c r="E722" s="157">
        <v>45631</v>
      </c>
      <c r="F722" s="9">
        <f>IF($E722="","",WORKDAY($E722,1,$V$33:$V$41))</f>
        <v>45632</v>
      </c>
      <c r="G722" s="9">
        <f>IF($E722="","",WORKDAY($E722,10,$V$33:$V$41))</f>
        <v>45645</v>
      </c>
      <c r="H722" s="9">
        <f>IF($E722="","",WORKDAY($E722,20,$V$33:$V$41))</f>
        <v>45664</v>
      </c>
      <c r="I722" s="157" t="str">
        <f t="shared" si="15"/>
        <v>Dec</v>
      </c>
      <c r="J722" s="142" t="str">
        <f ca="1">IF(E722="","",IF(N722="",H722-TODAY(),""))</f>
        <v/>
      </c>
      <c r="K722" s="157" t="s">
        <v>10</v>
      </c>
      <c r="L722" s="157" t="s">
        <v>27</v>
      </c>
      <c r="M722" s="157" t="s">
        <v>37</v>
      </c>
      <c r="N722" s="9">
        <v>45659</v>
      </c>
      <c r="O722" s="159">
        <f>IF($N722="","",NETWORKDAYS($E722,$N722,$V$33:$V$47)-1)</f>
        <v>17</v>
      </c>
      <c r="P722" s="10" t="str">
        <f>IF(ISBLANK(N722),"",IF(N722&gt;H722,"No","Yes"))</f>
        <v>Yes</v>
      </c>
      <c r="Q722" s="9" t="s">
        <v>117</v>
      </c>
      <c r="R722" s="4" t="s">
        <v>126</v>
      </c>
      <c r="S722" s="4" t="s">
        <v>120</v>
      </c>
      <c r="T722" s="4"/>
      <c r="U722" s="6"/>
      <c r="V722" s="6"/>
      <c r="W722" s="6"/>
      <c r="X722" s="6"/>
      <c r="Y722" s="6"/>
      <c r="Z722" s="6"/>
      <c r="AX722" s="6" t="str">
        <v>Quarter 3</v>
      </c>
    </row>
    <row r="723" spans="1:50" ht="31.4" customHeight="1" x14ac:dyDescent="0.35">
      <c r="A723" s="162">
        <v>722</v>
      </c>
      <c r="B723" s="4" t="s">
        <v>1322</v>
      </c>
      <c r="C723" s="4" t="s">
        <v>15</v>
      </c>
      <c r="D723" s="4" t="s">
        <v>1323</v>
      </c>
      <c r="E723" s="157">
        <v>45631</v>
      </c>
      <c r="F723" s="9">
        <f>IF($E723="","",WORKDAY($E723,1,$V$33:$V$41))</f>
        <v>45632</v>
      </c>
      <c r="G723" s="9">
        <f>IF($E723="","",WORKDAY($E723,10,$V$33:$V$41))</f>
        <v>45645</v>
      </c>
      <c r="H723" s="9">
        <f>IF($E723="","",WORKDAY($E723,20,$V$33:$V$41))</f>
        <v>45664</v>
      </c>
      <c r="I723" s="157" t="str">
        <f t="shared" si="15"/>
        <v>Dec</v>
      </c>
      <c r="J723" s="142" t="str">
        <f ca="1">IF(E723="","",IF(N723="",H723-TODAY(),""))</f>
        <v/>
      </c>
      <c r="K723" s="157" t="s">
        <v>10</v>
      </c>
      <c r="L723" s="157" t="s">
        <v>12</v>
      </c>
      <c r="M723" s="157" t="s">
        <v>30</v>
      </c>
      <c r="N723" s="9">
        <v>45632</v>
      </c>
      <c r="O723" s="159">
        <f>IF($N723="","",NETWORKDAYS($E723,$N723,$V$33:$V$47)-1)</f>
        <v>1</v>
      </c>
      <c r="P723" s="10" t="str">
        <f>IF(ISBLANK(N723),"",IF(N723&gt;H723,"No","Yes"))</f>
        <v>Yes</v>
      </c>
      <c r="Q723" s="9" t="s">
        <v>117</v>
      </c>
      <c r="R723" s="4" t="s">
        <v>118</v>
      </c>
      <c r="S723" s="4" t="s">
        <v>135</v>
      </c>
      <c r="T723" s="4"/>
      <c r="U723" s="6"/>
      <c r="V723" s="6"/>
      <c r="W723" s="6"/>
      <c r="X723" s="6"/>
      <c r="Y723" s="6"/>
      <c r="Z723" s="6"/>
      <c r="AX723" s="6" t="str">
        <v>Quarter 3</v>
      </c>
    </row>
    <row r="724" spans="1:50" ht="31.4" customHeight="1" x14ac:dyDescent="0.35">
      <c r="A724" s="162">
        <v>723</v>
      </c>
      <c r="B724" s="4" t="s">
        <v>138</v>
      </c>
      <c r="C724" s="4" t="s">
        <v>19</v>
      </c>
      <c r="D724" s="4" t="s">
        <v>1324</v>
      </c>
      <c r="E724" s="157">
        <v>45632</v>
      </c>
      <c r="F724" s="9">
        <f>IF($E724="","",WORKDAY($E724,1,$V$33:$V$41))</f>
        <v>45635</v>
      </c>
      <c r="G724" s="9">
        <f>IF($E724="","",WORKDAY($E724,10,$V$33:$V$41))</f>
        <v>45646</v>
      </c>
      <c r="H724" s="9">
        <f>IF($E724="","",WORKDAY($E724,20,$V$33:$V$41))</f>
        <v>45665</v>
      </c>
      <c r="I724" s="157" t="str">
        <f t="shared" si="15"/>
        <v>Dec</v>
      </c>
      <c r="J724" s="142" t="str">
        <f ca="1">IF(E724="","",IF(N724="",H724-TODAY(),""))</f>
        <v/>
      </c>
      <c r="K724" s="157" t="s">
        <v>5</v>
      </c>
      <c r="L724" s="157" t="s">
        <v>16</v>
      </c>
      <c r="M724" s="157" t="s">
        <v>52</v>
      </c>
      <c r="N724" s="9">
        <v>45642</v>
      </c>
      <c r="O724" s="159">
        <f>IF($N724="","",NETWORKDAYS($E724,$N724,$V$33:$V$47)-1)</f>
        <v>6</v>
      </c>
      <c r="P724" s="10" t="str">
        <f>IF(ISBLANK(N724),"",IF(N724&gt;H724,"No","Yes"))</f>
        <v>Yes</v>
      </c>
      <c r="Q724" s="9" t="s">
        <v>117</v>
      </c>
      <c r="R724" s="4" t="s">
        <v>118</v>
      </c>
      <c r="S724" s="4" t="s">
        <v>135</v>
      </c>
      <c r="T724" s="4" t="s">
        <v>141</v>
      </c>
      <c r="U724" s="6"/>
      <c r="V724" s="6"/>
      <c r="W724" s="6"/>
      <c r="X724" s="6"/>
      <c r="Y724" s="6"/>
      <c r="Z724" s="6"/>
      <c r="AX724" s="6" t="str">
        <v>Quarter 3</v>
      </c>
    </row>
    <row r="725" spans="1:50" ht="31.4" customHeight="1" x14ac:dyDescent="0.35">
      <c r="A725" s="162">
        <v>724</v>
      </c>
      <c r="B725" s="4" t="s">
        <v>1325</v>
      </c>
      <c r="C725" s="4" t="s">
        <v>13</v>
      </c>
      <c r="D725" s="4" t="s">
        <v>1326</v>
      </c>
      <c r="E725" s="157">
        <v>45632</v>
      </c>
      <c r="F725" s="9">
        <f>IF($E725="","",WORKDAY($E725,1,$V$33:$V$41))</f>
        <v>45635</v>
      </c>
      <c r="G725" s="9">
        <f>IF($E725="","",WORKDAY($E725,10,$V$33:$V$41))</f>
        <v>45646</v>
      </c>
      <c r="H725" s="9">
        <f>IF($E725="","",WORKDAY($E725,20,$V$33:$V$41))</f>
        <v>45665</v>
      </c>
      <c r="I725" s="157" t="str">
        <f t="shared" si="15"/>
        <v>Dec</v>
      </c>
      <c r="J725" s="142" t="str">
        <f ca="1">IF(E725="","",IF(N725="",H725-TODAY(),""))</f>
        <v/>
      </c>
      <c r="K725" s="157" t="s">
        <v>124</v>
      </c>
      <c r="L725" s="157" t="s">
        <v>24</v>
      </c>
      <c r="M725" s="157" t="s">
        <v>87</v>
      </c>
      <c r="N725" s="9">
        <v>45636</v>
      </c>
      <c r="O725" s="159">
        <f>IF($N725="","",NETWORKDAYS($E725,$N725,$V$33:$V$47)-1)</f>
        <v>2</v>
      </c>
      <c r="P725" s="10" t="str">
        <f>IF(ISBLANK(N725),"",IF(N725&gt;H725,"No","Yes"))</f>
        <v>Yes</v>
      </c>
      <c r="Q725" s="9" t="s">
        <v>117</v>
      </c>
      <c r="R725" s="4" t="s">
        <v>118</v>
      </c>
      <c r="S725" s="4"/>
      <c r="T725" s="4"/>
      <c r="U725" s="6"/>
      <c r="V725" s="6"/>
      <c r="W725" s="6"/>
      <c r="X725" s="6"/>
      <c r="Y725" s="6"/>
      <c r="Z725" s="6"/>
      <c r="AX725" s="6" t="str">
        <v>Quarter 3</v>
      </c>
    </row>
    <row r="726" spans="1:50" ht="31.4" customHeight="1" x14ac:dyDescent="0.35">
      <c r="A726" s="162">
        <v>725</v>
      </c>
      <c r="B726" s="4" t="s">
        <v>138</v>
      </c>
      <c r="C726" s="4" t="s">
        <v>19</v>
      </c>
      <c r="D726" s="4" t="s">
        <v>368</v>
      </c>
      <c r="E726" s="157">
        <v>45632</v>
      </c>
      <c r="F726" s="9">
        <f>IF($E726="","",WORKDAY($E726,1,$V$33:$V$41))</f>
        <v>45635</v>
      </c>
      <c r="G726" s="9">
        <f>IF($E726="","",WORKDAY($E726,10,$V$33:$V$41))</f>
        <v>45646</v>
      </c>
      <c r="H726" s="9">
        <f>IF($E726="","",WORKDAY($E726,20,$V$33:$V$41))</f>
        <v>45665</v>
      </c>
      <c r="I726" s="157" t="str">
        <f t="shared" si="15"/>
        <v>Dec</v>
      </c>
      <c r="J726" s="142" t="str">
        <f ca="1">IF(E726="","",IF(N726="",H726-TODAY(),""))</f>
        <v/>
      </c>
      <c r="K726" s="157" t="s">
        <v>4</v>
      </c>
      <c r="L726" s="157" t="s">
        <v>7</v>
      </c>
      <c r="M726" s="157" t="s">
        <v>31</v>
      </c>
      <c r="N726" s="9">
        <v>45642</v>
      </c>
      <c r="O726" s="159">
        <f>IF($N726="","",NETWORKDAYS($E726,$N726,$V$33:$V$47)-1)</f>
        <v>6</v>
      </c>
      <c r="P726" s="10" t="str">
        <f>IF(ISBLANK(N726),"",IF(N726&gt;H726,"No","Yes"))</f>
        <v>Yes</v>
      </c>
      <c r="Q726" s="9" t="s">
        <v>117</v>
      </c>
      <c r="R726" s="4" t="s">
        <v>118</v>
      </c>
      <c r="S726" s="4" t="s">
        <v>135</v>
      </c>
      <c r="T726" s="4" t="s">
        <v>2117</v>
      </c>
      <c r="U726" s="6"/>
      <c r="V726" s="6"/>
      <c r="W726" s="6"/>
      <c r="X726" s="6"/>
      <c r="Y726" s="6"/>
      <c r="Z726" s="6"/>
      <c r="AX726" s="6" t="str">
        <v>Quarter 3</v>
      </c>
    </row>
    <row r="727" spans="1:50" ht="31.4" customHeight="1" x14ac:dyDescent="0.35">
      <c r="A727" s="162">
        <v>726</v>
      </c>
      <c r="B727" s="4" t="s">
        <v>1327</v>
      </c>
      <c r="C727" s="4" t="s">
        <v>6</v>
      </c>
      <c r="D727" s="4" t="s">
        <v>1328</v>
      </c>
      <c r="E727" s="157"/>
      <c r="F727" s="9" t="str">
        <f>IF($E727="","",WORKDAY($E727,1,$V$33:$V$41))</f>
        <v/>
      </c>
      <c r="G727" s="9" t="str">
        <f>IF($E727="","",WORKDAY($E727,10,$V$33:$V$41))</f>
        <v/>
      </c>
      <c r="H727" s="9" t="str">
        <f>IF($E727="","",WORKDAY($E727,20,$V$33:$V$41))</f>
        <v/>
      </c>
      <c r="I727" s="157" t="s">
        <v>1329</v>
      </c>
      <c r="J727" s="142" t="str">
        <f ca="1">IF(E727="","",IF(N727="",H727-TODAY(),""))</f>
        <v/>
      </c>
      <c r="K727" s="157" t="s">
        <v>10</v>
      </c>
      <c r="L727" s="157" t="s">
        <v>12</v>
      </c>
      <c r="M727" s="157" t="s">
        <v>91</v>
      </c>
      <c r="N727" s="9"/>
      <c r="O727" s="159" t="str">
        <f>IF($N727="","",NETWORKDAYS($E727,$N727,$V$33:$V$47)-1)</f>
        <v/>
      </c>
      <c r="P727" s="10" t="str">
        <f>IF(ISBLANK(N727),"",IF(N727&gt;H727,"No","Yes"))</f>
        <v/>
      </c>
      <c r="Q727" s="9" t="s">
        <v>133</v>
      </c>
      <c r="R727" s="4" t="s">
        <v>133</v>
      </c>
      <c r="S727" s="4"/>
      <c r="T727" s="4" t="s">
        <v>764</v>
      </c>
      <c r="U727" s="6"/>
      <c r="V727" s="6"/>
      <c r="W727" s="6"/>
      <c r="X727" s="6"/>
      <c r="Y727" s="6"/>
      <c r="Z727" s="6"/>
      <c r="AX727" s="6" t="str">
        <v>Quarter 3</v>
      </c>
    </row>
    <row r="728" spans="1:50" ht="31.4" customHeight="1" x14ac:dyDescent="0.35">
      <c r="A728" s="162">
        <v>727</v>
      </c>
      <c r="B728" s="4" t="s">
        <v>138</v>
      </c>
      <c r="C728" s="4" t="s">
        <v>19</v>
      </c>
      <c r="D728" s="4" t="s">
        <v>1330</v>
      </c>
      <c r="E728" s="157">
        <v>45635</v>
      </c>
      <c r="F728" s="9">
        <f>IF($E728="","",WORKDAY($E728,1,$V$33:$V$41))</f>
        <v>45636</v>
      </c>
      <c r="G728" s="9">
        <f>IF($E728="","",WORKDAY($E728,10,$V$33:$V$41))</f>
        <v>45649</v>
      </c>
      <c r="H728" s="9">
        <f>IF($E728="","",WORKDAY($E728,20,$V$33:$V$41))</f>
        <v>45666</v>
      </c>
      <c r="I728" s="157" t="str">
        <f t="shared" si="15"/>
        <v>Dec</v>
      </c>
      <c r="J728" s="142" t="str">
        <f ca="1">IF(E728="","",IF(N728="",H728-TODAY(),""))</f>
        <v/>
      </c>
      <c r="K728" s="157" t="s">
        <v>5</v>
      </c>
      <c r="L728" s="157" t="s">
        <v>22</v>
      </c>
      <c r="M728" s="157" t="s">
        <v>64</v>
      </c>
      <c r="N728" s="9">
        <v>45635</v>
      </c>
      <c r="O728" s="159">
        <f>IF($N728="","",NETWORKDAYS($E728,$N728,$V$33:$V$47)-1)</f>
        <v>0</v>
      </c>
      <c r="P728" s="10" t="str">
        <f>IF(ISBLANK(N728),"",IF(N728&gt;H728,"No","Yes"))</f>
        <v>Yes</v>
      </c>
      <c r="Q728" s="9" t="s">
        <v>117</v>
      </c>
      <c r="R728" s="4" t="s">
        <v>118</v>
      </c>
      <c r="S728" s="4"/>
      <c r="T728" s="4"/>
      <c r="U728" s="6"/>
      <c r="V728" s="6"/>
      <c r="W728" s="6"/>
      <c r="X728" s="6"/>
      <c r="Y728" s="6"/>
      <c r="Z728" s="6"/>
      <c r="AX728" s="6" t="str">
        <v>Quarter 3</v>
      </c>
    </row>
    <row r="729" spans="1:50" ht="31.4" customHeight="1" x14ac:dyDescent="0.35">
      <c r="A729" s="162">
        <v>728</v>
      </c>
      <c r="B729" s="4" t="s">
        <v>138</v>
      </c>
      <c r="C729" s="4" t="s">
        <v>19</v>
      </c>
      <c r="D729" s="4" t="s">
        <v>1331</v>
      </c>
      <c r="E729" s="157">
        <v>45635</v>
      </c>
      <c r="F729" s="9">
        <f>IF($E729="","",WORKDAY($E729,1,$V$33:$V$41))</f>
        <v>45636</v>
      </c>
      <c r="G729" s="9">
        <f>IF($E729="","",WORKDAY($E729,10,$V$33:$V$41))</f>
        <v>45649</v>
      </c>
      <c r="H729" s="9">
        <f>IF($E729="","",WORKDAY($E729,20,$V$33:$V$41))</f>
        <v>45666</v>
      </c>
      <c r="I729" s="157" t="str">
        <f t="shared" si="15"/>
        <v>Dec</v>
      </c>
      <c r="J729" s="142" t="str">
        <f ca="1">IF(E729="","",IF(N729="",H729-TODAY(),""))</f>
        <v/>
      </c>
      <c r="K729" s="157" t="s">
        <v>124</v>
      </c>
      <c r="L729" s="157" t="s">
        <v>20</v>
      </c>
      <c r="M729" s="157" t="s">
        <v>62</v>
      </c>
      <c r="N729" s="9">
        <v>45667</v>
      </c>
      <c r="O729" s="159">
        <f>IF($N729="","",NETWORKDAYS($E729,$N729,$V$33:$V$47)-1)</f>
        <v>21</v>
      </c>
      <c r="P729" s="10" t="str">
        <f>IF(ISBLANK(N729),"",IF(N729&gt;H729,"No","Yes"))</f>
        <v>No</v>
      </c>
      <c r="Q729" s="9" t="s">
        <v>117</v>
      </c>
      <c r="R729" s="4" t="s">
        <v>118</v>
      </c>
      <c r="S729" s="4"/>
      <c r="T729" s="4" t="s">
        <v>141</v>
      </c>
      <c r="U729" s="6"/>
      <c r="V729" s="6"/>
      <c r="W729" s="6"/>
      <c r="X729" s="6"/>
      <c r="Y729" s="6"/>
      <c r="Z729" s="6"/>
      <c r="AX729" s="6" t="str">
        <v>Quarter 3</v>
      </c>
    </row>
    <row r="730" spans="1:50" ht="31.4" customHeight="1" x14ac:dyDescent="0.35">
      <c r="A730" s="162">
        <v>729</v>
      </c>
      <c r="B730" s="4" t="s">
        <v>138</v>
      </c>
      <c r="C730" s="4" t="s">
        <v>19</v>
      </c>
      <c r="D730" s="4" t="s">
        <v>1332</v>
      </c>
      <c r="E730" s="157">
        <v>45635</v>
      </c>
      <c r="F730" s="9">
        <f>IF($E730="","",WORKDAY($E730,1,$V$33:$V$41))</f>
        <v>45636</v>
      </c>
      <c r="G730" s="9">
        <f>IF($E730="","",WORKDAY($E730,10,$V$33:$V$41))</f>
        <v>45649</v>
      </c>
      <c r="H730" s="9">
        <f>IF($E730="","",WORKDAY($E730,20,$V$33:$V$41))</f>
        <v>45666</v>
      </c>
      <c r="I730" s="157" t="str">
        <f t="shared" si="15"/>
        <v>Dec</v>
      </c>
      <c r="J730" s="142" t="str">
        <f ca="1">IF(E730="","",IF(N730="",H730-TODAY(),""))</f>
        <v/>
      </c>
      <c r="K730" s="157" t="s">
        <v>10</v>
      </c>
      <c r="L730" s="157" t="s">
        <v>27</v>
      </c>
      <c r="M730" s="157" t="s">
        <v>37</v>
      </c>
      <c r="N730" s="9">
        <v>45666</v>
      </c>
      <c r="O730" s="159">
        <f>IF($N730="","",NETWORKDAYS($E730,$N730,$V$33:$V$47)-1)</f>
        <v>20</v>
      </c>
      <c r="P730" s="10" t="str">
        <f>IF(ISBLANK(N730),"",IF(N730&gt;H730,"No","Yes"))</f>
        <v>Yes</v>
      </c>
      <c r="Q730" s="9" t="s">
        <v>117</v>
      </c>
      <c r="R730" s="4" t="s">
        <v>118</v>
      </c>
      <c r="S730" s="4"/>
      <c r="T730" s="4" t="s">
        <v>141</v>
      </c>
      <c r="U730" s="6"/>
      <c r="V730" s="6"/>
      <c r="W730" s="6"/>
      <c r="X730" s="6"/>
      <c r="Y730" s="6"/>
      <c r="Z730" s="6"/>
      <c r="AX730" s="6" t="str">
        <v>Quarter 3</v>
      </c>
    </row>
    <row r="731" spans="1:50" ht="31.4" customHeight="1" x14ac:dyDescent="0.35">
      <c r="A731" s="162">
        <v>730</v>
      </c>
      <c r="B731" s="4" t="s">
        <v>138</v>
      </c>
      <c r="C731" s="4" t="s">
        <v>19</v>
      </c>
      <c r="D731" s="4" t="s">
        <v>1333</v>
      </c>
      <c r="E731" s="157">
        <v>45635</v>
      </c>
      <c r="F731" s="9">
        <f>IF($E731="","",WORKDAY($E731,1,$V$33:$V$41))</f>
        <v>45636</v>
      </c>
      <c r="G731" s="9">
        <f>IF($E731="","",WORKDAY($E731,10,$V$33:$V$41))</f>
        <v>45649</v>
      </c>
      <c r="H731" s="9">
        <f>IF($E731="","",WORKDAY($E731,20,$V$33:$V$41))</f>
        <v>45666</v>
      </c>
      <c r="I731" s="157" t="str">
        <f t="shared" si="15"/>
        <v>Dec</v>
      </c>
      <c r="J731" s="142" t="str">
        <f ca="1">IF(E731="","",IF(N731="",H731-TODAY(),""))</f>
        <v/>
      </c>
      <c r="K731" s="157" t="s">
        <v>124</v>
      </c>
      <c r="L731" s="157" t="s">
        <v>24</v>
      </c>
      <c r="M731" s="157" t="s">
        <v>61</v>
      </c>
      <c r="N731" s="9">
        <v>45643</v>
      </c>
      <c r="O731" s="159">
        <f>IF($N731="","",NETWORKDAYS($E731,$N731,$V$33:$V$47)-1)</f>
        <v>6</v>
      </c>
      <c r="P731" s="10" t="str">
        <f>IF(ISBLANK(N731),"",IF(N731&gt;H731,"No","Yes"))</f>
        <v>Yes</v>
      </c>
      <c r="Q731" s="9" t="s">
        <v>117</v>
      </c>
      <c r="R731" s="4" t="s">
        <v>118</v>
      </c>
      <c r="S731" s="4"/>
      <c r="T731" s="4" t="s">
        <v>141</v>
      </c>
      <c r="U731" s="6"/>
      <c r="V731" s="6"/>
      <c r="W731" s="6"/>
      <c r="X731" s="6"/>
      <c r="Y731" s="6"/>
      <c r="Z731" s="6"/>
      <c r="AX731" s="6" t="str">
        <v>Quarter 3</v>
      </c>
    </row>
    <row r="732" spans="1:50" ht="31.4" customHeight="1" x14ac:dyDescent="0.35">
      <c r="A732" s="162">
        <v>731</v>
      </c>
      <c r="B732" s="4" t="s">
        <v>138</v>
      </c>
      <c r="C732" s="4" t="s">
        <v>19</v>
      </c>
      <c r="D732" s="4" t="s">
        <v>1334</v>
      </c>
      <c r="E732" s="157">
        <v>45636</v>
      </c>
      <c r="F732" s="9">
        <f>IF($E732="","",WORKDAY($E732,1,$V$33:$V$41))</f>
        <v>45637</v>
      </c>
      <c r="G732" s="9">
        <f>IF($E732="","",WORKDAY($E732,10,$V$33:$V$41))</f>
        <v>45650</v>
      </c>
      <c r="H732" s="9">
        <f>IF($E732="","",WORKDAY($E732,20,$V$33:$V$41))</f>
        <v>45667</v>
      </c>
      <c r="I732" s="157" t="str">
        <f t="shared" si="15"/>
        <v>Dec</v>
      </c>
      <c r="J732" s="142" t="str">
        <f ca="1">IF(E732="","",IF(N732="",H732-TODAY(),""))</f>
        <v/>
      </c>
      <c r="K732" s="157" t="s">
        <v>5</v>
      </c>
      <c r="L732" s="157" t="s">
        <v>22</v>
      </c>
      <c r="M732" s="157" t="s">
        <v>75</v>
      </c>
      <c r="N732" s="9">
        <v>45643</v>
      </c>
      <c r="O732" s="159">
        <f>IF($N732="","",NETWORKDAYS($E732,$N732,$V$33:$V$47)-1)</f>
        <v>5</v>
      </c>
      <c r="P732" s="10" t="str">
        <f>IF(ISBLANK(N732),"",IF(N732&gt;H732,"No","Yes"))</f>
        <v>Yes</v>
      </c>
      <c r="Q732" s="9" t="s">
        <v>117</v>
      </c>
      <c r="R732" s="4" t="s">
        <v>118</v>
      </c>
      <c r="S732" s="4"/>
      <c r="T732" s="4"/>
      <c r="U732" s="6"/>
      <c r="V732" s="6"/>
      <c r="W732" s="6"/>
      <c r="X732" s="6"/>
      <c r="Y732" s="6"/>
      <c r="Z732" s="6"/>
      <c r="AX732" s="6" t="str">
        <v>Quarter 3</v>
      </c>
    </row>
    <row r="733" spans="1:50" ht="31.4" customHeight="1" x14ac:dyDescent="0.35">
      <c r="A733" s="162">
        <v>732</v>
      </c>
      <c r="B733" s="4" t="s">
        <v>1335</v>
      </c>
      <c r="C733" s="4" t="s">
        <v>15</v>
      </c>
      <c r="D733" s="4" t="s">
        <v>1079</v>
      </c>
      <c r="E733" s="157">
        <v>45636</v>
      </c>
      <c r="F733" s="9">
        <f>IF($E733="","",WORKDAY($E733,1,$V$33:$V$41))</f>
        <v>45637</v>
      </c>
      <c r="G733" s="9">
        <f>IF($E733="","",WORKDAY($E733,10,$V$33:$V$41))</f>
        <v>45650</v>
      </c>
      <c r="H733" s="9">
        <f>IF($E733="","",WORKDAY($E733,20,$V$33:$V$41))</f>
        <v>45667</v>
      </c>
      <c r="I733" s="157" t="str">
        <f t="shared" si="15"/>
        <v>Dec</v>
      </c>
      <c r="J733" s="142" t="str">
        <f ca="1">IF(E733="","",IF(N733="",H733-TODAY(),""))</f>
        <v/>
      </c>
      <c r="K733" s="157" t="s">
        <v>4</v>
      </c>
      <c r="L733" s="157" t="s">
        <v>3</v>
      </c>
      <c r="M733" s="157" t="s">
        <v>77</v>
      </c>
      <c r="N733" s="9">
        <v>45660</v>
      </c>
      <c r="O733" s="159">
        <f>IF($N733="","",NETWORKDAYS($E733,$N733,$V$33:$V$47)-1)</f>
        <v>15</v>
      </c>
      <c r="P733" s="10" t="str">
        <f>IF(ISBLANK(N733),"",IF(N733&gt;H733,"No","Yes"))</f>
        <v>Yes</v>
      </c>
      <c r="Q733" s="9" t="s">
        <v>117</v>
      </c>
      <c r="R733" s="4" t="s">
        <v>118</v>
      </c>
      <c r="S733" s="4"/>
      <c r="T733" s="4"/>
      <c r="U733" s="6"/>
      <c r="V733" s="6"/>
      <c r="W733" s="6"/>
      <c r="X733" s="6"/>
      <c r="Y733" s="6"/>
      <c r="Z733" s="6"/>
      <c r="AX733" s="6" t="str">
        <v>Quarter 3</v>
      </c>
    </row>
    <row r="734" spans="1:50" ht="31.4" customHeight="1" x14ac:dyDescent="0.35">
      <c r="A734" s="162">
        <v>733</v>
      </c>
      <c r="B734" s="4" t="s">
        <v>1336</v>
      </c>
      <c r="C734" s="4" t="s">
        <v>25</v>
      </c>
      <c r="D734" s="4" t="s">
        <v>1337</v>
      </c>
      <c r="E734" s="157">
        <v>45636</v>
      </c>
      <c r="F734" s="9">
        <f>IF($E734="","",WORKDAY($E734,1,$V$33:$V$41))</f>
        <v>45637</v>
      </c>
      <c r="G734" s="9">
        <f>IF($E734="","",WORKDAY($E734,10,$V$33:$V$41))</f>
        <v>45650</v>
      </c>
      <c r="H734" s="9">
        <f>IF($E734="","",WORKDAY($E734,20,$V$33:$V$41))</f>
        <v>45667</v>
      </c>
      <c r="I734" s="157" t="str">
        <f t="shared" si="15"/>
        <v>Dec</v>
      </c>
      <c r="J734" s="142" t="str">
        <f ca="1">IF(E734="","",IF(N734="",H734-TODAY(),""))</f>
        <v/>
      </c>
      <c r="K734" s="157" t="s">
        <v>5</v>
      </c>
      <c r="L734" s="157" t="s">
        <v>16</v>
      </c>
      <c r="M734" s="157" t="s">
        <v>45</v>
      </c>
      <c r="N734" s="9">
        <v>45663</v>
      </c>
      <c r="O734" s="159">
        <f>IF($N734="","",NETWORKDAYS($E734,$N734,$V$33:$V$47)-1)</f>
        <v>16</v>
      </c>
      <c r="P734" s="10" t="str">
        <f>IF(ISBLANK(N734),"",IF(N734&gt;H734,"No","Yes"))</f>
        <v>Yes</v>
      </c>
      <c r="Q734" s="9" t="s">
        <v>117</v>
      </c>
      <c r="R734" s="4" t="s">
        <v>118</v>
      </c>
      <c r="S734" s="4"/>
      <c r="T734" s="4" t="s">
        <v>141</v>
      </c>
      <c r="U734" s="6"/>
      <c r="V734" s="6"/>
      <c r="W734" s="6"/>
      <c r="X734" s="6"/>
      <c r="Y734" s="6"/>
      <c r="Z734" s="6"/>
      <c r="AX734" s="6" t="str">
        <v>Quarter 3</v>
      </c>
    </row>
    <row r="735" spans="1:50" ht="31.4" customHeight="1" x14ac:dyDescent="0.35">
      <c r="A735" s="162">
        <v>734</v>
      </c>
      <c r="B735" s="4" t="s">
        <v>138</v>
      </c>
      <c r="C735" s="4" t="s">
        <v>19</v>
      </c>
      <c r="D735" s="4" t="s">
        <v>1338</v>
      </c>
      <c r="E735" s="157">
        <v>45636</v>
      </c>
      <c r="F735" s="9">
        <f>IF($E735="","",WORKDAY($E735,1,$V$33:$V$41))</f>
        <v>45637</v>
      </c>
      <c r="G735" s="9">
        <f>IF($E735="","",WORKDAY($E735,10,$V$33:$V$41))</f>
        <v>45650</v>
      </c>
      <c r="H735" s="9">
        <f>IF($E735="","",WORKDAY($E735,20,$V$33:$V$41))</f>
        <v>45667</v>
      </c>
      <c r="I735" s="157" t="str">
        <f t="shared" si="15"/>
        <v>Dec</v>
      </c>
      <c r="J735" s="142" t="str">
        <f ca="1">IF(E735="","",IF(N735="",H735-TODAY(),""))</f>
        <v/>
      </c>
      <c r="K735" s="157" t="s">
        <v>124</v>
      </c>
      <c r="L735" s="157" t="s">
        <v>20</v>
      </c>
      <c r="M735" s="157" t="s">
        <v>62</v>
      </c>
      <c r="N735" s="9">
        <v>45643</v>
      </c>
      <c r="O735" s="159">
        <f>IF($N735="","",NETWORKDAYS($E735,$N735,$V$33:$V$47)-1)</f>
        <v>5</v>
      </c>
      <c r="P735" s="10" t="str">
        <f>IF(ISBLANK(N735),"",IF(N735&gt;H735,"No","Yes"))</f>
        <v>Yes</v>
      </c>
      <c r="Q735" s="9" t="s">
        <v>117</v>
      </c>
      <c r="R735" s="4" t="s">
        <v>118</v>
      </c>
      <c r="S735" s="4"/>
      <c r="T735" s="4"/>
      <c r="U735" s="6"/>
      <c r="V735" s="6"/>
      <c r="W735" s="6"/>
      <c r="X735" s="6"/>
      <c r="Y735" s="6"/>
      <c r="Z735" s="6"/>
      <c r="AX735" s="6" t="str">
        <v>Quarter 3</v>
      </c>
    </row>
    <row r="736" spans="1:50" ht="31.4" customHeight="1" x14ac:dyDescent="0.35">
      <c r="A736" s="162">
        <v>735</v>
      </c>
      <c r="B736" s="4" t="s">
        <v>8</v>
      </c>
      <c r="C736" s="4" t="s">
        <v>8</v>
      </c>
      <c r="D736" s="4" t="s">
        <v>1339</v>
      </c>
      <c r="E736" s="157">
        <v>45637</v>
      </c>
      <c r="F736" s="9">
        <f>IF($E736="","",WORKDAY($E736,1,$V$33:$V$41))</f>
        <v>45638</v>
      </c>
      <c r="G736" s="9">
        <f>IF($E736="","",WORKDAY($E736,10,$V$33:$V$41))</f>
        <v>45653</v>
      </c>
      <c r="H736" s="9">
        <f>IF($E736="","",WORKDAY($E736,20,$V$33:$V$41))</f>
        <v>45670</v>
      </c>
      <c r="I736" s="157" t="str">
        <f t="shared" si="15"/>
        <v>Dec</v>
      </c>
      <c r="J736" s="142" t="str">
        <f ca="1">IF(E736="","",IF(N736="",H736-TODAY(),""))</f>
        <v/>
      </c>
      <c r="K736" s="157" t="s">
        <v>10</v>
      </c>
      <c r="L736" s="157" t="s">
        <v>27</v>
      </c>
      <c r="M736" s="157" t="s">
        <v>59</v>
      </c>
      <c r="N736" s="9">
        <v>45638</v>
      </c>
      <c r="O736" s="159">
        <f>IF($N736="","",NETWORKDAYS($E736,$N736,$V$33:$V$47)-1)</f>
        <v>1</v>
      </c>
      <c r="P736" s="10" t="str">
        <f>IF(ISBLANK(N736),"",IF(N736&gt;H736,"No","Yes"))</f>
        <v>Yes</v>
      </c>
      <c r="Q736" s="9" t="s">
        <v>117</v>
      </c>
      <c r="R736" s="4" t="s">
        <v>150</v>
      </c>
      <c r="S736" s="4"/>
      <c r="T736" s="4"/>
      <c r="U736" s="6"/>
      <c r="V736" s="6"/>
      <c r="W736" s="6"/>
      <c r="X736" s="6"/>
      <c r="Y736" s="6"/>
      <c r="Z736" s="6"/>
      <c r="AX736" s="6" t="str">
        <v>Quarter 3</v>
      </c>
    </row>
    <row r="737" spans="1:50" ht="31.4" customHeight="1" x14ac:dyDescent="0.35">
      <c r="A737" s="162">
        <v>736</v>
      </c>
      <c r="B737" s="4" t="s">
        <v>138</v>
      </c>
      <c r="C737" s="4" t="s">
        <v>19</v>
      </c>
      <c r="D737" s="4" t="s">
        <v>1340</v>
      </c>
      <c r="E737" s="157">
        <v>45637</v>
      </c>
      <c r="F737" s="9">
        <f>IF($E737="","",WORKDAY($E737,1,$V$33:$V$41))</f>
        <v>45638</v>
      </c>
      <c r="G737" s="9">
        <f>IF($E737="","",WORKDAY($E737,10,$V$33:$V$41))</f>
        <v>45653</v>
      </c>
      <c r="H737" s="9">
        <f>IF($E737="","",WORKDAY($E737,20,$V$33:$V$41))</f>
        <v>45670</v>
      </c>
      <c r="I737" s="157" t="str">
        <f t="shared" si="15"/>
        <v>Dec</v>
      </c>
      <c r="J737" s="142" t="str">
        <f ca="1">IF(E737="","",IF(N737="",H737-TODAY(),""))</f>
        <v/>
      </c>
      <c r="K737" s="157" t="s">
        <v>5</v>
      </c>
      <c r="L737" s="157" t="s">
        <v>22</v>
      </c>
      <c r="M737" s="157" t="s">
        <v>85</v>
      </c>
      <c r="N737" s="9">
        <v>45642</v>
      </c>
      <c r="O737" s="159">
        <f>IF($N737="","",NETWORKDAYS($E737,$N737,$V$33:$V$47)-1)</f>
        <v>3</v>
      </c>
      <c r="P737" s="10" t="str">
        <f>IF(ISBLANK(N737),"",IF(N737&gt;H737,"No","Yes"))</f>
        <v>Yes</v>
      </c>
      <c r="Q737" s="9" t="s">
        <v>117</v>
      </c>
      <c r="R737" s="4" t="s">
        <v>132</v>
      </c>
      <c r="S737" s="4"/>
      <c r="T737" s="4" t="s">
        <v>1341</v>
      </c>
      <c r="U737" s="6"/>
      <c r="V737" s="6"/>
      <c r="W737" s="6"/>
      <c r="X737" s="6"/>
      <c r="Y737" s="6"/>
      <c r="Z737" s="6"/>
      <c r="AX737" s="6" t="str">
        <v>Quarter 3</v>
      </c>
    </row>
    <row r="738" spans="1:50" ht="31.4" customHeight="1" x14ac:dyDescent="0.35">
      <c r="A738" s="162">
        <v>737</v>
      </c>
      <c r="B738" s="4" t="s">
        <v>1342</v>
      </c>
      <c r="C738" s="4" t="s">
        <v>13</v>
      </c>
      <c r="D738" s="4" t="s">
        <v>1343</v>
      </c>
      <c r="E738" s="157">
        <v>45637</v>
      </c>
      <c r="F738" s="9">
        <f>IF($E738="","",WORKDAY($E738,1,$V$33:$V$41))</f>
        <v>45638</v>
      </c>
      <c r="G738" s="9">
        <f>IF($E738="","",WORKDAY($E738,10,$V$33:$V$41))</f>
        <v>45653</v>
      </c>
      <c r="H738" s="9">
        <f>IF($E738="","",WORKDAY($E738,20,$V$33:$V$41))</f>
        <v>45670</v>
      </c>
      <c r="I738" s="157" t="str">
        <f t="shared" si="15"/>
        <v>Dec</v>
      </c>
      <c r="J738" s="142" t="str">
        <f ca="1">IF(E738="","",IF(N738="",H738-TODAY(),""))</f>
        <v/>
      </c>
      <c r="K738" s="157" t="s">
        <v>10</v>
      </c>
      <c r="L738" s="157" t="s">
        <v>27</v>
      </c>
      <c r="M738" s="157" t="s">
        <v>37</v>
      </c>
      <c r="N738" s="9">
        <v>45660</v>
      </c>
      <c r="O738" s="159">
        <f>IF($N738="","",NETWORKDAYS($E738,$N738,$V$33:$V$47)-1)</f>
        <v>14</v>
      </c>
      <c r="P738" s="10" t="str">
        <f>IF(ISBLANK(N738),"",IF(N738&gt;H738,"No","Yes"))</f>
        <v>Yes</v>
      </c>
      <c r="Q738" s="9" t="s">
        <v>117</v>
      </c>
      <c r="R738" s="4" t="s">
        <v>118</v>
      </c>
      <c r="S738" s="4"/>
      <c r="T738" s="4" t="s">
        <v>141</v>
      </c>
      <c r="U738" s="6"/>
      <c r="V738" s="6"/>
      <c r="W738" s="6"/>
      <c r="X738" s="6"/>
      <c r="Y738" s="6"/>
      <c r="Z738" s="6"/>
      <c r="AX738" s="6" t="str">
        <v>Quarter 3</v>
      </c>
    </row>
    <row r="739" spans="1:50" ht="31.4" customHeight="1" x14ac:dyDescent="0.35">
      <c r="A739" s="162">
        <v>738</v>
      </c>
      <c r="B739" s="4" t="s">
        <v>138</v>
      </c>
      <c r="C739" s="4" t="s">
        <v>19</v>
      </c>
      <c r="D739" s="4" t="s">
        <v>1344</v>
      </c>
      <c r="E739" s="157">
        <v>45638</v>
      </c>
      <c r="F739" s="9">
        <f>IF($E739="","",WORKDAY($E739,1,$V$33:$V$41))</f>
        <v>45639</v>
      </c>
      <c r="G739" s="9">
        <f>IF($E739="","",WORKDAY($E739,10,$V$33:$V$41))</f>
        <v>45656</v>
      </c>
      <c r="H739" s="9">
        <f>IF($E739="","",WORKDAY($E739,20,$V$33:$V$41))</f>
        <v>45671</v>
      </c>
      <c r="I739" s="157" t="str">
        <f t="shared" si="15"/>
        <v>Dec</v>
      </c>
      <c r="J739" s="142" t="str">
        <f ca="1">IF(E739="","",IF(N739="",H739-TODAY(),""))</f>
        <v/>
      </c>
      <c r="K739" s="157" t="s">
        <v>5</v>
      </c>
      <c r="L739" s="157" t="s">
        <v>16</v>
      </c>
      <c r="M739" s="157" t="s">
        <v>52</v>
      </c>
      <c r="N739" s="9">
        <v>45650</v>
      </c>
      <c r="O739" s="159">
        <f>IF($N739="","",NETWORKDAYS($E739,$N739,$V$33:$V$47)-1)</f>
        <v>8</v>
      </c>
      <c r="P739" s="10" t="str">
        <f>IF(ISBLANK(N739),"",IF(N739&gt;H739,"No","Yes"))</f>
        <v>Yes</v>
      </c>
      <c r="Q739" s="9" t="s">
        <v>117</v>
      </c>
      <c r="R739" s="4" t="s">
        <v>118</v>
      </c>
      <c r="S739" s="4"/>
      <c r="T739" s="4"/>
      <c r="U739" s="6"/>
      <c r="V739" s="6"/>
      <c r="W739" s="6"/>
      <c r="X739" s="6"/>
      <c r="Y739" s="6"/>
      <c r="Z739" s="6"/>
      <c r="AX739" s="6" t="str">
        <v>Quarter 3</v>
      </c>
    </row>
    <row r="740" spans="1:50" ht="31.4" customHeight="1" x14ac:dyDescent="0.35">
      <c r="A740" s="162">
        <v>739</v>
      </c>
      <c r="B740" s="4" t="s">
        <v>1345</v>
      </c>
      <c r="C740" s="4" t="s">
        <v>13</v>
      </c>
      <c r="D740" s="4" t="s">
        <v>1346</v>
      </c>
      <c r="E740" s="157">
        <v>45638</v>
      </c>
      <c r="F740" s="9">
        <f>IF($E740="","",WORKDAY($E740,1,$V$33:$V$41))</f>
        <v>45639</v>
      </c>
      <c r="G740" s="9">
        <f>IF($E740="","",WORKDAY($E740,10,$V$33:$V$41))</f>
        <v>45656</v>
      </c>
      <c r="H740" s="9">
        <f>IF($E740="","",WORKDAY($E740,20,$V$33:$V$41))</f>
        <v>45671</v>
      </c>
      <c r="I740" s="157" t="str">
        <f t="shared" si="15"/>
        <v>Dec</v>
      </c>
      <c r="J740" s="142" t="str">
        <f ca="1">IF(E740="","",IF(N740="",H740-TODAY(),""))</f>
        <v/>
      </c>
      <c r="K740" s="157" t="s">
        <v>124</v>
      </c>
      <c r="L740" s="157" t="s">
        <v>24</v>
      </c>
      <c r="M740" s="157" t="s">
        <v>76</v>
      </c>
      <c r="N740" s="9">
        <v>45639</v>
      </c>
      <c r="O740" s="159">
        <f>IF($N740="","",NETWORKDAYS($E740,$N740,$V$33:$V$47)-1)</f>
        <v>1</v>
      </c>
      <c r="P740" s="10" t="str">
        <f>IF(ISBLANK(N740),"",IF(N740&gt;H740,"No","Yes"))</f>
        <v>Yes</v>
      </c>
      <c r="Q740" s="9" t="s">
        <v>117</v>
      </c>
      <c r="R740" s="4" t="s">
        <v>118</v>
      </c>
      <c r="S740" s="4"/>
      <c r="T740" s="4" t="s">
        <v>141</v>
      </c>
      <c r="U740" s="6"/>
      <c r="V740" s="6"/>
      <c r="W740" s="6"/>
      <c r="X740" s="6"/>
      <c r="Y740" s="6"/>
      <c r="Z740" s="6"/>
      <c r="AX740" s="6" t="str">
        <v>Quarter 3</v>
      </c>
    </row>
    <row r="741" spans="1:50" ht="31.4" customHeight="1" x14ac:dyDescent="0.35">
      <c r="A741" s="162">
        <v>740</v>
      </c>
      <c r="B741" s="4" t="s">
        <v>1347</v>
      </c>
      <c r="C741" s="4" t="s">
        <v>6</v>
      </c>
      <c r="D741" s="4" t="s">
        <v>1348</v>
      </c>
      <c r="E741" s="157">
        <v>45638</v>
      </c>
      <c r="F741" s="9">
        <f>IF($E741="","",WORKDAY($E741,1,$V$33:$V$41))</f>
        <v>45639</v>
      </c>
      <c r="G741" s="9">
        <f>IF($E741="","",WORKDAY($E741,10,$V$33:$V$41))</f>
        <v>45656</v>
      </c>
      <c r="H741" s="9">
        <f>IF($E741="","",WORKDAY($E741,20,$V$33:$V$41))</f>
        <v>45671</v>
      </c>
      <c r="I741" s="157" t="str">
        <f t="shared" si="15"/>
        <v>Dec</v>
      </c>
      <c r="J741" s="142" t="str">
        <f ca="1">IF(E741="","",IF(N741="",H741-TODAY(),""))</f>
        <v/>
      </c>
      <c r="K741" s="157" t="s">
        <v>124</v>
      </c>
      <c r="L741" s="157" t="s">
        <v>20</v>
      </c>
      <c r="M741" s="157" t="s">
        <v>92</v>
      </c>
      <c r="N741" s="9">
        <v>45656</v>
      </c>
      <c r="O741" s="159">
        <f>IF($N741="","",NETWORKDAYS($E741,$N741,$V$33:$V$47)-1)</f>
        <v>10</v>
      </c>
      <c r="P741" s="10" t="str">
        <f>IF(ISBLANK(N741),"",IF(N741&gt;H741,"No","Yes"))</f>
        <v>Yes</v>
      </c>
      <c r="Q741" s="9" t="s">
        <v>117</v>
      </c>
      <c r="R741" s="4" t="s">
        <v>118</v>
      </c>
      <c r="S741" s="4"/>
      <c r="T741" s="4"/>
      <c r="U741" s="6"/>
      <c r="V741" s="6"/>
      <c r="W741" s="6"/>
      <c r="X741" s="6"/>
      <c r="Y741" s="6"/>
      <c r="Z741" s="6"/>
      <c r="AX741" s="6" t="str">
        <v>Quarter 3</v>
      </c>
    </row>
    <row r="742" spans="1:50" ht="31.4" customHeight="1" x14ac:dyDescent="0.35">
      <c r="A742" s="162">
        <v>741</v>
      </c>
      <c r="B742" s="4" t="s">
        <v>188</v>
      </c>
      <c r="C742" s="4" t="s">
        <v>6</v>
      </c>
      <c r="D742" s="4" t="s">
        <v>1349</v>
      </c>
      <c r="E742" s="157">
        <v>45639</v>
      </c>
      <c r="F742" s="9">
        <f>IF($E742="","",WORKDAY($E742,1,$V$33:$V$41))</f>
        <v>45642</v>
      </c>
      <c r="G742" s="9">
        <f>IF($E742="","",WORKDAY($E742,10,$V$33:$V$41))</f>
        <v>45657</v>
      </c>
      <c r="H742" s="9">
        <f>IF($E742="","",WORKDAY($E742,20,$V$33:$V$41))</f>
        <v>45672</v>
      </c>
      <c r="I742" s="157" t="str">
        <f t="shared" si="15"/>
        <v>Dec</v>
      </c>
      <c r="J742" s="142" t="str">
        <f ca="1">IF(E742="","",IF(N742="",H742-TODAY(),""))</f>
        <v/>
      </c>
      <c r="K742" s="157" t="s">
        <v>124</v>
      </c>
      <c r="L742" s="157" t="s">
        <v>24</v>
      </c>
      <c r="M742" s="157" t="s">
        <v>76</v>
      </c>
      <c r="N742" s="9">
        <v>45642</v>
      </c>
      <c r="O742" s="159">
        <f>IF($N742="","",NETWORKDAYS($E742,$N742,$V$33:$V$47)-1)</f>
        <v>1</v>
      </c>
      <c r="P742" s="10" t="str">
        <f>IF(ISBLANK(N742),"",IF(N742&gt;H742,"No","Yes"))</f>
        <v>Yes</v>
      </c>
      <c r="Q742" s="9" t="s">
        <v>117</v>
      </c>
      <c r="R742" s="4" t="s">
        <v>118</v>
      </c>
      <c r="S742" s="4"/>
      <c r="T742" s="4"/>
      <c r="U742" s="6"/>
      <c r="V742" s="6"/>
      <c r="W742" s="6"/>
      <c r="X742" s="6"/>
      <c r="Y742" s="6"/>
      <c r="Z742" s="6"/>
      <c r="AX742" s="6" t="str">
        <v>Quarter 3</v>
      </c>
    </row>
    <row r="743" spans="1:50" ht="31.4" customHeight="1" x14ac:dyDescent="0.35">
      <c r="A743" s="162">
        <v>742</v>
      </c>
      <c r="B743" s="4" t="s">
        <v>266</v>
      </c>
      <c r="C743" s="4" t="s">
        <v>15</v>
      </c>
      <c r="D743" s="4" t="s">
        <v>1350</v>
      </c>
      <c r="E743" s="157">
        <v>45642</v>
      </c>
      <c r="F743" s="9">
        <f>IF($E743="","",WORKDAY($E743,1,$V$33:$V$41))</f>
        <v>45643</v>
      </c>
      <c r="G743" s="9">
        <f>IF($E743="","",WORKDAY($E743,10,$V$33:$V$41))</f>
        <v>45659</v>
      </c>
      <c r="H743" s="9">
        <f>IF($E743="","",WORKDAY($E743,20,$V$33:$V$41))</f>
        <v>45673</v>
      </c>
      <c r="I743" s="157" t="str">
        <f t="shared" si="15"/>
        <v>Dec</v>
      </c>
      <c r="J743" s="142" t="str">
        <f ca="1">IF(E743="","",IF(N743="",H743-TODAY(),""))</f>
        <v/>
      </c>
      <c r="K743" s="157" t="s">
        <v>4</v>
      </c>
      <c r="L743" s="157" t="s">
        <v>7</v>
      </c>
      <c r="M743" s="157" t="s">
        <v>31</v>
      </c>
      <c r="N743" s="9">
        <v>45644</v>
      </c>
      <c r="O743" s="159">
        <f>IF($N743="","",NETWORKDAYS($E743,$N743,$V$33:$V$47)-1)</f>
        <v>2</v>
      </c>
      <c r="P743" s="10" t="str">
        <f>IF(ISBLANK(N743),"",IF(N743&gt;H743,"No","Yes"))</f>
        <v>Yes</v>
      </c>
      <c r="Q743" s="9" t="s">
        <v>117</v>
      </c>
      <c r="R743" s="4" t="s">
        <v>118</v>
      </c>
      <c r="S743" s="4"/>
      <c r="T743" s="4"/>
      <c r="U743" s="6"/>
      <c r="V743" s="6"/>
      <c r="W743" s="6"/>
      <c r="X743" s="6"/>
      <c r="Y743" s="6"/>
      <c r="Z743" s="6"/>
      <c r="AX743" s="6" t="str">
        <v>Quarter 3</v>
      </c>
    </row>
    <row r="744" spans="1:50" ht="31.4" customHeight="1" x14ac:dyDescent="0.35">
      <c r="A744" s="162">
        <v>743</v>
      </c>
      <c r="B744" s="4" t="s">
        <v>266</v>
      </c>
      <c r="C744" s="4" t="s">
        <v>15</v>
      </c>
      <c r="D744" s="4" t="s">
        <v>1351</v>
      </c>
      <c r="E744" s="157">
        <v>45642</v>
      </c>
      <c r="F744" s="9">
        <f>IF($E744="","",WORKDAY($E744,1,$V$33:$V$41))</f>
        <v>45643</v>
      </c>
      <c r="G744" s="9">
        <f>IF($E744="","",WORKDAY($E744,10,$V$33:$V$41))</f>
        <v>45659</v>
      </c>
      <c r="H744" s="9">
        <f>IF($E744="","",WORKDAY($E744,20,$V$33:$V$41))</f>
        <v>45673</v>
      </c>
      <c r="I744" s="157" t="str">
        <f t="shared" si="15"/>
        <v>Dec</v>
      </c>
      <c r="J744" s="142" t="str">
        <f ca="1">IF(E744="","",IF(N744="",H744-TODAY(),""))</f>
        <v/>
      </c>
      <c r="K744" s="157" t="s">
        <v>4</v>
      </c>
      <c r="L744" s="157" t="s">
        <v>7</v>
      </c>
      <c r="M744" s="157" t="s">
        <v>31</v>
      </c>
      <c r="N744" s="9">
        <v>45644</v>
      </c>
      <c r="O744" s="159">
        <f>IF($N744="","",NETWORKDAYS($E744,$N744,$V$33:$V$47)-1)</f>
        <v>2</v>
      </c>
      <c r="P744" s="10" t="str">
        <f>IF(ISBLANK(N744),"",IF(N744&gt;H744,"No","Yes"))</f>
        <v>Yes</v>
      </c>
      <c r="Q744" s="9" t="s">
        <v>117</v>
      </c>
      <c r="R744" s="4" t="s">
        <v>118</v>
      </c>
      <c r="S744" s="4"/>
      <c r="T744" s="4"/>
      <c r="U744" s="6"/>
      <c r="V744" s="6"/>
      <c r="W744" s="6"/>
      <c r="X744" s="6"/>
      <c r="Y744" s="6"/>
      <c r="Z744" s="6"/>
      <c r="AX744" s="6" t="str">
        <v>Quarter 3</v>
      </c>
    </row>
    <row r="745" spans="1:50" ht="31.4" customHeight="1" x14ac:dyDescent="0.35">
      <c r="A745" s="162">
        <v>744</v>
      </c>
      <c r="B745" s="4" t="s">
        <v>1352</v>
      </c>
      <c r="C745" s="4" t="s">
        <v>15</v>
      </c>
      <c r="D745" s="4" t="s">
        <v>1353</v>
      </c>
      <c r="E745" s="157">
        <v>45642</v>
      </c>
      <c r="F745" s="9">
        <f>IF($E745="","",WORKDAY($E745,1,$V$33:$V$41))</f>
        <v>45643</v>
      </c>
      <c r="G745" s="9">
        <f>IF($E745="","",WORKDAY($E745,10,$V$33:$V$41))</f>
        <v>45659</v>
      </c>
      <c r="H745" s="9">
        <f>IF($E745="","",WORKDAY($E745,20,$V$33:$V$41))</f>
        <v>45673</v>
      </c>
      <c r="I745" s="157" t="str">
        <f t="shared" si="15"/>
        <v>Dec</v>
      </c>
      <c r="J745" s="142" t="str">
        <f ca="1">IF(E745="","",IF(N745="",H745-TODAY(),""))</f>
        <v/>
      </c>
      <c r="K745" s="157" t="s">
        <v>124</v>
      </c>
      <c r="L745" s="157" t="s">
        <v>20</v>
      </c>
      <c r="M745" s="157" t="s">
        <v>63</v>
      </c>
      <c r="N745" s="9">
        <v>45663</v>
      </c>
      <c r="O745" s="159">
        <f>IF($N745="","",NETWORKDAYS($E745,$N745,$V$33:$V$47)-1)</f>
        <v>12</v>
      </c>
      <c r="P745" s="10" t="str">
        <f>IF(ISBLANK(N745),"",IF(N745&gt;H745,"No","Yes"))</f>
        <v>Yes</v>
      </c>
      <c r="Q745" s="9" t="s">
        <v>117</v>
      </c>
      <c r="R745" s="4" t="s">
        <v>118</v>
      </c>
      <c r="S745" s="4"/>
      <c r="T745" s="4" t="s">
        <v>1077</v>
      </c>
      <c r="U745" s="6"/>
      <c r="V745" s="6"/>
      <c r="W745" s="6"/>
      <c r="X745" s="6"/>
      <c r="Y745" s="6"/>
      <c r="Z745" s="6"/>
      <c r="AX745" s="6" t="str">
        <v>Quarter 3</v>
      </c>
    </row>
    <row r="746" spans="1:50" ht="31.4" customHeight="1" x14ac:dyDescent="0.35">
      <c r="A746" s="162">
        <v>745</v>
      </c>
      <c r="B746" s="4" t="s">
        <v>8</v>
      </c>
      <c r="C746" s="4" t="s">
        <v>8</v>
      </c>
      <c r="D746" s="4" t="s">
        <v>1354</v>
      </c>
      <c r="E746" s="157">
        <v>45642</v>
      </c>
      <c r="F746" s="9">
        <f>IF($E746="","",WORKDAY($E746,1,$V$33:$V$41))</f>
        <v>45643</v>
      </c>
      <c r="G746" s="9">
        <f>IF($E746="","",WORKDAY($E746,10,$V$33:$V$41))</f>
        <v>45659</v>
      </c>
      <c r="H746" s="9">
        <f>IF($E746="","",WORKDAY($E746,20,$V$33:$V$41))</f>
        <v>45673</v>
      </c>
      <c r="I746" s="157" t="str">
        <f t="shared" si="15"/>
        <v>Dec</v>
      </c>
      <c r="J746" s="142" t="str">
        <f ca="1">IF(E746="","",IF(N746="",H746-TODAY(),""))</f>
        <v/>
      </c>
      <c r="K746" s="157" t="s">
        <v>10</v>
      </c>
      <c r="L746" s="157" t="s">
        <v>27</v>
      </c>
      <c r="M746" s="157" t="s">
        <v>50</v>
      </c>
      <c r="N746" s="9">
        <v>45642</v>
      </c>
      <c r="O746" s="159">
        <f>IF($N746="","",NETWORKDAYS($E746,$N746,$V$33:$V$47)-1)</f>
        <v>0</v>
      </c>
      <c r="P746" s="10" t="str">
        <f>IF(ISBLANK(N746),"",IF(N746&gt;H746,"No","Yes"))</f>
        <v>Yes</v>
      </c>
      <c r="Q746" s="9" t="s">
        <v>117</v>
      </c>
      <c r="R746" s="4" t="s">
        <v>118</v>
      </c>
      <c r="S746" s="4"/>
      <c r="T746" s="4"/>
      <c r="U746" s="6"/>
      <c r="V746" s="6"/>
      <c r="W746" s="6"/>
      <c r="X746" s="6"/>
      <c r="Y746" s="6"/>
      <c r="Z746" s="6"/>
      <c r="AX746" s="6" t="str">
        <v>Quarter 3</v>
      </c>
    </row>
    <row r="747" spans="1:50" ht="31.4" customHeight="1" x14ac:dyDescent="0.35">
      <c r="A747" s="162">
        <v>746</v>
      </c>
      <c r="B747" s="4" t="s">
        <v>8</v>
      </c>
      <c r="C747" s="4" t="s">
        <v>8</v>
      </c>
      <c r="D747" s="4" t="s">
        <v>1355</v>
      </c>
      <c r="E747" s="157">
        <v>45642</v>
      </c>
      <c r="F747" s="9">
        <f>IF($E747="","",WORKDAY($E747,1,$V$33:$V$41))</f>
        <v>45643</v>
      </c>
      <c r="G747" s="9">
        <f>IF($E747="","",WORKDAY($E747,10,$V$33:$V$41))</f>
        <v>45659</v>
      </c>
      <c r="H747" s="9">
        <f>IF($E747="","",WORKDAY($E747,20,$V$33:$V$41))</f>
        <v>45673</v>
      </c>
      <c r="I747" s="157" t="str">
        <f t="shared" si="15"/>
        <v>Dec</v>
      </c>
      <c r="J747" s="142" t="str">
        <f ca="1">IF(E747="","",IF(N747="",H747-TODAY(),""))</f>
        <v/>
      </c>
      <c r="K747" s="157" t="s">
        <v>10</v>
      </c>
      <c r="L747" s="157" t="s">
        <v>27</v>
      </c>
      <c r="M747" s="157" t="s">
        <v>86</v>
      </c>
      <c r="N747" s="9">
        <v>45674</v>
      </c>
      <c r="O747" s="159">
        <f>IF($N747="","",NETWORKDAYS($E747,$N747,$V$33:$V$47)-1)</f>
        <v>21</v>
      </c>
      <c r="P747" s="10" t="str">
        <f>IF(ISBLANK(N747),"",IF(N747&gt;H747,"No","Yes"))</f>
        <v>No</v>
      </c>
      <c r="Q747" s="9" t="s">
        <v>117</v>
      </c>
      <c r="R747" s="4" t="s">
        <v>126</v>
      </c>
      <c r="S747" s="4" t="s">
        <v>119</v>
      </c>
      <c r="T747" s="4"/>
      <c r="U747" s="6"/>
      <c r="V747" s="6"/>
      <c r="W747" s="6"/>
      <c r="X747" s="6"/>
      <c r="Y747" s="6"/>
      <c r="Z747" s="6"/>
      <c r="AX747" s="6" t="str">
        <v>Quarter 3</v>
      </c>
    </row>
    <row r="748" spans="1:50" ht="31.4" customHeight="1" x14ac:dyDescent="0.35">
      <c r="A748" s="162">
        <v>747</v>
      </c>
      <c r="B748" s="4" t="s">
        <v>8</v>
      </c>
      <c r="C748" s="4" t="s">
        <v>8</v>
      </c>
      <c r="D748" s="4" t="s">
        <v>1356</v>
      </c>
      <c r="E748" s="157">
        <v>45642</v>
      </c>
      <c r="F748" s="9">
        <f>IF($E748="","",WORKDAY($E748,1,$V$33:$V$41))</f>
        <v>45643</v>
      </c>
      <c r="G748" s="9">
        <f>IF($E748="","",WORKDAY($E748,10,$V$33:$V$41))</f>
        <v>45659</v>
      </c>
      <c r="H748" s="9">
        <f>IF($E748="","",WORKDAY($E748,20,$V$33:$V$41))</f>
        <v>45673</v>
      </c>
      <c r="I748" s="157" t="str">
        <f t="shared" si="15"/>
        <v>Dec</v>
      </c>
      <c r="J748" s="142" t="str">
        <f ca="1">IF(E748="","",IF(N748="",H748-TODAY(),""))</f>
        <v/>
      </c>
      <c r="K748" s="157" t="s">
        <v>10</v>
      </c>
      <c r="L748" s="157" t="s">
        <v>12</v>
      </c>
      <c r="M748" s="157" t="s">
        <v>91</v>
      </c>
      <c r="N748" s="9">
        <v>45646</v>
      </c>
      <c r="O748" s="159">
        <f>IF($N748="","",NETWORKDAYS($E748,$N748,$V$33:$V$47)-1)</f>
        <v>4</v>
      </c>
      <c r="P748" s="10" t="str">
        <f>IF(ISBLANK(N748),"",IF(N748&gt;H748,"No","Yes"))</f>
        <v>Yes</v>
      </c>
      <c r="Q748" s="9" t="s">
        <v>117</v>
      </c>
      <c r="R748" s="4" t="s">
        <v>118</v>
      </c>
      <c r="S748" s="4"/>
      <c r="T748" s="4"/>
      <c r="U748" s="6"/>
      <c r="V748" s="6"/>
      <c r="W748" s="6"/>
      <c r="X748" s="6"/>
      <c r="Y748" s="6"/>
      <c r="Z748" s="6"/>
      <c r="AX748" s="6" t="str">
        <v>Quarter 3</v>
      </c>
    </row>
    <row r="749" spans="1:50" ht="31.4" customHeight="1" x14ac:dyDescent="0.35">
      <c r="A749" s="162">
        <v>748</v>
      </c>
      <c r="B749" s="4" t="s">
        <v>138</v>
      </c>
      <c r="C749" s="4" t="s">
        <v>19</v>
      </c>
      <c r="D749" s="4" t="s">
        <v>1357</v>
      </c>
      <c r="E749" s="157">
        <v>45642</v>
      </c>
      <c r="F749" s="9">
        <f>IF($E749="","",WORKDAY($E749,1,$V$33:$V$41))</f>
        <v>45643</v>
      </c>
      <c r="G749" s="9">
        <f>IF($E749="","",WORKDAY($E749,10,$V$33:$V$41))</f>
        <v>45659</v>
      </c>
      <c r="H749" s="9">
        <f>IF($E749="","",WORKDAY($E749,20,$V$33:$V$41))</f>
        <v>45673</v>
      </c>
      <c r="I749" s="157" t="str">
        <f t="shared" si="15"/>
        <v>Dec</v>
      </c>
      <c r="J749" s="142" t="str">
        <f ca="1">IF(E749="","",IF(N749="",H749-TODAY(),""))</f>
        <v/>
      </c>
      <c r="K749" s="157" t="s">
        <v>10</v>
      </c>
      <c r="L749" s="157" t="s">
        <v>12</v>
      </c>
      <c r="M749" s="157" t="s">
        <v>91</v>
      </c>
      <c r="N749" s="9">
        <v>45642</v>
      </c>
      <c r="O749" s="159">
        <f>IF($N749="","",NETWORKDAYS($E749,$N749,$V$33:$V$47)-1)</f>
        <v>0</v>
      </c>
      <c r="P749" s="10" t="str">
        <f>IF(ISBLANK(N749),"",IF(N749&gt;H749,"No","Yes"))</f>
        <v>Yes</v>
      </c>
      <c r="Q749" s="9" t="s">
        <v>117</v>
      </c>
      <c r="R749" s="4" t="s">
        <v>118</v>
      </c>
      <c r="S749" s="4"/>
      <c r="T749" s="4"/>
      <c r="U749" s="6"/>
      <c r="V749" s="6"/>
      <c r="W749" s="6"/>
      <c r="X749" s="6"/>
      <c r="Y749" s="6"/>
      <c r="Z749" s="6"/>
      <c r="AX749" s="6" t="str">
        <v>Quarter 3</v>
      </c>
    </row>
    <row r="750" spans="1:50" ht="31.4" customHeight="1" x14ac:dyDescent="0.35">
      <c r="A750" s="162">
        <v>749</v>
      </c>
      <c r="B750" s="4" t="s">
        <v>138</v>
      </c>
      <c r="C750" s="4" t="s">
        <v>19</v>
      </c>
      <c r="D750" s="4" t="s">
        <v>1358</v>
      </c>
      <c r="E750" s="157">
        <v>45644</v>
      </c>
      <c r="F750" s="9">
        <f>IF($E750="","",WORKDAY($E750,1,$V$33:$V$41))</f>
        <v>45645</v>
      </c>
      <c r="G750" s="9">
        <f>IF($E750="","",WORKDAY($E750,10,$V$33:$V$41))</f>
        <v>45663</v>
      </c>
      <c r="H750" s="9">
        <f>IF($E750="","",WORKDAY($E750,20,$V$33:$V$41))</f>
        <v>45677</v>
      </c>
      <c r="I750" s="157" t="str">
        <f t="shared" si="15"/>
        <v>Dec</v>
      </c>
      <c r="J750" s="142" t="str">
        <f ca="1">IF(E750="","",IF(N750="",H750-TODAY(),""))</f>
        <v/>
      </c>
      <c r="K750" s="157" t="s">
        <v>124</v>
      </c>
      <c r="L750" s="157" t="s">
        <v>20</v>
      </c>
      <c r="M750" s="157" t="s">
        <v>63</v>
      </c>
      <c r="N750" s="9">
        <v>45709</v>
      </c>
      <c r="O750" s="159">
        <f>IF($N750="","",NETWORKDAYS($E750,$N750,$V$33:$V$47)-1)</f>
        <v>44</v>
      </c>
      <c r="P750" s="10" t="str">
        <f>IF(ISBLANK(N750),"",IF(N750&gt;H750,"No","Yes"))</f>
        <v>No</v>
      </c>
      <c r="Q750" s="9" t="s">
        <v>117</v>
      </c>
      <c r="R750" s="4" t="s">
        <v>150</v>
      </c>
      <c r="S750" s="4"/>
      <c r="T750" s="4"/>
      <c r="U750" s="6"/>
      <c r="V750" s="6"/>
      <c r="W750" s="6"/>
      <c r="X750" s="6"/>
      <c r="Y750" s="6"/>
      <c r="Z750" s="6"/>
      <c r="AX750" s="6" t="str">
        <v>Quarter 3</v>
      </c>
    </row>
    <row r="751" spans="1:50" ht="31.4" customHeight="1" x14ac:dyDescent="0.35">
      <c r="A751" s="162">
        <v>750</v>
      </c>
      <c r="B751" s="4" t="s">
        <v>293</v>
      </c>
      <c r="C751" s="4" t="s">
        <v>6</v>
      </c>
      <c r="D751" s="4" t="s">
        <v>1359</v>
      </c>
      <c r="E751" s="157">
        <v>45644</v>
      </c>
      <c r="F751" s="9">
        <f>IF($E751="","",WORKDAY($E751,1,$V$33:$V$41))</f>
        <v>45645</v>
      </c>
      <c r="G751" s="9">
        <f>IF($E751="","",WORKDAY($E751,10,$V$33:$V$41))</f>
        <v>45663</v>
      </c>
      <c r="H751" s="9">
        <f>IF($E751="","",WORKDAY($E751,20,$V$33:$V$41))</f>
        <v>45677</v>
      </c>
      <c r="I751" s="157" t="str">
        <f t="shared" si="15"/>
        <v>Dec</v>
      </c>
      <c r="J751" s="142" t="str">
        <f ca="1">IF(E751="","",IF(N751="",H751-TODAY(),""))</f>
        <v/>
      </c>
      <c r="K751" s="157" t="s">
        <v>124</v>
      </c>
      <c r="L751" s="157" t="s">
        <v>20</v>
      </c>
      <c r="M751" s="157" t="s">
        <v>79</v>
      </c>
      <c r="N751" s="9">
        <v>45666</v>
      </c>
      <c r="O751" s="159">
        <f>IF($N751="","",NETWORKDAYS($E751,$N751,$V$33:$V$47)-1)</f>
        <v>13</v>
      </c>
      <c r="P751" s="10" t="str">
        <f>IF(ISBLANK(N751),"",IF(N751&gt;H751,"No","Yes"))</f>
        <v>Yes</v>
      </c>
      <c r="Q751" s="9" t="s">
        <v>117</v>
      </c>
      <c r="R751" s="4" t="s">
        <v>118</v>
      </c>
      <c r="S751" s="4"/>
      <c r="T751" s="4" t="s">
        <v>141</v>
      </c>
      <c r="U751" s="6"/>
      <c r="V751" s="6"/>
      <c r="W751" s="6"/>
      <c r="X751" s="6"/>
      <c r="Y751" s="6"/>
      <c r="Z751" s="6"/>
      <c r="AX751" s="6" t="str">
        <v>Quarter 3</v>
      </c>
    </row>
    <row r="752" spans="1:50" ht="31.4" customHeight="1" x14ac:dyDescent="0.35">
      <c r="A752" s="162">
        <v>751</v>
      </c>
      <c r="B752" s="4" t="s">
        <v>8</v>
      </c>
      <c r="C752" s="4" t="s">
        <v>8</v>
      </c>
      <c r="D752" s="4" t="s">
        <v>1360</v>
      </c>
      <c r="E752" s="157">
        <v>45644</v>
      </c>
      <c r="F752" s="9">
        <f>IF($E752="","",WORKDAY($E752,1,$V$33:$V$41))</f>
        <v>45645</v>
      </c>
      <c r="G752" s="9">
        <f>IF($E752="","",WORKDAY($E752,10,$V$33:$V$41))</f>
        <v>45663</v>
      </c>
      <c r="H752" s="9">
        <f>IF($E752="","",WORKDAY($E752,20,$V$33:$V$41))</f>
        <v>45677</v>
      </c>
      <c r="I752" s="157" t="str">
        <f t="shared" si="15"/>
        <v>Dec</v>
      </c>
      <c r="J752" s="142" t="str">
        <f ca="1">IF(E752="","",IF(N752="",H752-TODAY(),""))</f>
        <v/>
      </c>
      <c r="K752" s="157" t="s">
        <v>5</v>
      </c>
      <c r="L752" s="157" t="s">
        <v>22</v>
      </c>
      <c r="M752" s="157" t="s">
        <v>75</v>
      </c>
      <c r="N752" s="9">
        <v>45646</v>
      </c>
      <c r="O752" s="159">
        <f>IF($N752="","",NETWORKDAYS($E752,$N752,$V$33:$V$47)-1)</f>
        <v>2</v>
      </c>
      <c r="P752" s="10" t="s">
        <v>116</v>
      </c>
      <c r="Q752" s="9" t="s">
        <v>117</v>
      </c>
      <c r="R752" s="4" t="s">
        <v>118</v>
      </c>
      <c r="S752" s="4"/>
      <c r="T752" s="4" t="s">
        <v>141</v>
      </c>
      <c r="U752" s="6"/>
      <c r="V752" s="6"/>
      <c r="W752" s="6"/>
      <c r="X752" s="6"/>
      <c r="Y752" s="6"/>
      <c r="Z752" s="6"/>
      <c r="AX752" s="6" t="str">
        <v>Quarter 3</v>
      </c>
    </row>
    <row r="753" spans="1:50" ht="31.4" customHeight="1" x14ac:dyDescent="0.35">
      <c r="A753" s="162">
        <v>752</v>
      </c>
      <c r="B753" s="4" t="s">
        <v>8</v>
      </c>
      <c r="C753" s="4" t="s">
        <v>8</v>
      </c>
      <c r="D753" s="4" t="s">
        <v>1361</v>
      </c>
      <c r="E753" s="157">
        <v>45644</v>
      </c>
      <c r="F753" s="9">
        <f>IF($E753="","",WORKDAY($E753,1,$V$33:$V$41))</f>
        <v>45645</v>
      </c>
      <c r="G753" s="9">
        <f>IF($E753="","",WORKDAY($E753,10,$V$33:$V$41))</f>
        <v>45663</v>
      </c>
      <c r="H753" s="9">
        <f>IF($E753="","",WORKDAY($E753,20,$V$33:$V$41))</f>
        <v>45677</v>
      </c>
      <c r="I753" s="157" t="str">
        <f t="shared" si="15"/>
        <v>Dec</v>
      </c>
      <c r="J753" s="142" t="str">
        <f ca="1">IF(E753="","",IF(N753="",H753-TODAY(),""))</f>
        <v/>
      </c>
      <c r="K753" s="157" t="s">
        <v>10</v>
      </c>
      <c r="L753" s="157" t="s">
        <v>27</v>
      </c>
      <c r="M753" s="157" t="s">
        <v>86</v>
      </c>
      <c r="N753" s="9">
        <v>45677</v>
      </c>
      <c r="O753" s="159">
        <f>IF($N753="","",NETWORKDAYS($E753,$N753,$V$33:$V$47)-1)</f>
        <v>20</v>
      </c>
      <c r="P753" s="10" t="str">
        <f>IF(ISBLANK(N753),"",IF(N753&gt;H753,"No","Yes"))</f>
        <v>Yes</v>
      </c>
      <c r="Q753" s="9" t="s">
        <v>117</v>
      </c>
      <c r="R753" s="4" t="s">
        <v>118</v>
      </c>
      <c r="S753" s="4"/>
      <c r="T753" s="4"/>
      <c r="U753" s="6"/>
      <c r="V753" s="6"/>
      <c r="W753" s="6"/>
      <c r="X753" s="6"/>
      <c r="Y753" s="6"/>
      <c r="Z753" s="6"/>
      <c r="AX753" s="6" t="str">
        <v>Quarter 3</v>
      </c>
    </row>
    <row r="754" spans="1:50" ht="31.4" customHeight="1" x14ac:dyDescent="0.35">
      <c r="A754" s="162">
        <v>753</v>
      </c>
      <c r="B754" s="4" t="s">
        <v>8</v>
      </c>
      <c r="C754" s="4" t="s">
        <v>8</v>
      </c>
      <c r="D754" s="4" t="s">
        <v>1362</v>
      </c>
      <c r="E754" s="157">
        <v>45646</v>
      </c>
      <c r="F754" s="9">
        <f>IF($E754="","",WORKDAY($E754,1,$V$33:$V$41))</f>
        <v>45649</v>
      </c>
      <c r="G754" s="9">
        <f>IF($E754="","",WORKDAY($E754,10,$V$33:$V$41))</f>
        <v>45665</v>
      </c>
      <c r="H754" s="9">
        <f>IF($E754="","",WORKDAY($E754,20,$V$33:$V$41))</f>
        <v>45679</v>
      </c>
      <c r="I754" s="157" t="str">
        <f t="shared" si="15"/>
        <v>Dec</v>
      </c>
      <c r="J754" s="142" t="str">
        <f ca="1">IF(E754="","",IF(N754="",H754-TODAY(),""))</f>
        <v/>
      </c>
      <c r="K754" s="157" t="s">
        <v>10</v>
      </c>
      <c r="L754" s="157" t="s">
        <v>27</v>
      </c>
      <c r="M754" s="157" t="s">
        <v>86</v>
      </c>
      <c r="N754" s="9">
        <v>45649</v>
      </c>
      <c r="O754" s="159">
        <f>IF($N754="","",NETWORKDAYS($E754,$N754,$V$33:$V$47)-1)</f>
        <v>1</v>
      </c>
      <c r="P754" s="10" t="str">
        <f>IF(ISBLANK(N754),"",IF(N754&gt;H754,"No","Yes"))</f>
        <v>Yes</v>
      </c>
      <c r="Q754" s="9" t="s">
        <v>117</v>
      </c>
      <c r="R754" s="4" t="s">
        <v>118</v>
      </c>
      <c r="S754" s="4"/>
      <c r="T754" s="4"/>
      <c r="U754" s="6"/>
      <c r="V754" s="6"/>
      <c r="W754" s="6"/>
      <c r="X754" s="6"/>
      <c r="Y754" s="6"/>
      <c r="Z754" s="6"/>
      <c r="AX754" s="6" t="str">
        <v>Quarter 3</v>
      </c>
    </row>
    <row r="755" spans="1:50" ht="31.4" customHeight="1" x14ac:dyDescent="0.35">
      <c r="A755" s="162">
        <v>754</v>
      </c>
      <c r="B755" s="4" t="s">
        <v>8</v>
      </c>
      <c r="C755" s="4" t="s">
        <v>8</v>
      </c>
      <c r="D755" s="4" t="s">
        <v>1363</v>
      </c>
      <c r="E755" s="157">
        <v>45646</v>
      </c>
      <c r="F755" s="9">
        <f>IF($E755="","",WORKDAY($E755,1,$V$33:$V$41))</f>
        <v>45649</v>
      </c>
      <c r="G755" s="9">
        <f>IF($E755="","",WORKDAY($E755,10,$V$33:$V$41))</f>
        <v>45665</v>
      </c>
      <c r="H755" s="9">
        <f>IF($E755="","",WORKDAY($E755,20,$V$33:$V$41))</f>
        <v>45679</v>
      </c>
      <c r="I755" s="157" t="str">
        <f t="shared" si="15"/>
        <v>Dec</v>
      </c>
      <c r="J755" s="142" t="str">
        <f ca="1">IF(E755="","",IF(N755="",H755-TODAY(),""))</f>
        <v/>
      </c>
      <c r="K755" s="157" t="s">
        <v>124</v>
      </c>
      <c r="L755" s="157" t="s">
        <v>20</v>
      </c>
      <c r="M755" s="157" t="s">
        <v>70</v>
      </c>
      <c r="N755" s="9">
        <v>45659</v>
      </c>
      <c r="O755" s="159">
        <f>IF($N755="","",NETWORKDAYS($E755,$N755,$V$33:$V$47)-1)</f>
        <v>6</v>
      </c>
      <c r="P755" s="10" t="str">
        <f>IF(ISBLANK(N755),"",IF(N755&gt;H755,"No","Yes"))</f>
        <v>Yes</v>
      </c>
      <c r="Q755" s="9" t="s">
        <v>117</v>
      </c>
      <c r="R755" s="4" t="s">
        <v>126</v>
      </c>
      <c r="S755" s="4" t="s">
        <v>134</v>
      </c>
      <c r="T755" s="4"/>
      <c r="U755" s="6"/>
      <c r="V755" s="6"/>
      <c r="W755" s="6"/>
      <c r="X755" s="6"/>
      <c r="Y755" s="6"/>
      <c r="Z755" s="6"/>
      <c r="AX755" s="6" t="str">
        <v>Quarter 3</v>
      </c>
    </row>
    <row r="756" spans="1:50" ht="31.4" customHeight="1" x14ac:dyDescent="0.35">
      <c r="A756" s="162">
        <v>755</v>
      </c>
      <c r="B756" s="4" t="s">
        <v>209</v>
      </c>
      <c r="C756" s="4" t="s">
        <v>13</v>
      </c>
      <c r="D756" s="4" t="s">
        <v>210</v>
      </c>
      <c r="E756" s="157">
        <v>45646</v>
      </c>
      <c r="F756" s="9">
        <f>IF($E756="","",WORKDAY($E756,1,$V$33:$V$41))</f>
        <v>45649</v>
      </c>
      <c r="G756" s="9">
        <f>IF($E756="","",WORKDAY($E756,10,$V$33:$V$41))</f>
        <v>45665</v>
      </c>
      <c r="H756" s="9">
        <f>IF($E756="","",WORKDAY($E756,20,$V$33:$V$41))</f>
        <v>45679</v>
      </c>
      <c r="I756" s="157" t="str">
        <f t="shared" si="15"/>
        <v>Dec</v>
      </c>
      <c r="J756" s="142" t="str">
        <f ca="1">IF(E756="","",IF(N756="",H756-TODAY(),""))</f>
        <v/>
      </c>
      <c r="K756" s="157" t="s">
        <v>5</v>
      </c>
      <c r="L756" s="157" t="s">
        <v>16</v>
      </c>
      <c r="M756" s="157" t="s">
        <v>71</v>
      </c>
      <c r="N756" s="9">
        <v>45646</v>
      </c>
      <c r="O756" s="159">
        <f>IF($N756="","",NETWORKDAYS($E756,$N756,$V$33:$V$47)-1)</f>
        <v>0</v>
      </c>
      <c r="P756" s="10" t="str">
        <f>IF(ISBLANK(N756),"",IF(N756&gt;H756,"No","Yes"))</f>
        <v>Yes</v>
      </c>
      <c r="Q756" s="9" t="s">
        <v>117</v>
      </c>
      <c r="R756" s="4" t="s">
        <v>118</v>
      </c>
      <c r="S756" s="4"/>
      <c r="T756" s="4"/>
      <c r="U756" s="6"/>
      <c r="V756" s="6"/>
      <c r="W756" s="6"/>
      <c r="X756" s="6"/>
      <c r="Y756" s="6"/>
      <c r="Z756" s="6"/>
      <c r="AX756" s="6" t="str">
        <v>Quarter 3</v>
      </c>
    </row>
    <row r="757" spans="1:50" ht="31.4" customHeight="1" x14ac:dyDescent="0.35">
      <c r="A757" s="162">
        <v>756</v>
      </c>
      <c r="B757" s="4" t="s">
        <v>1364</v>
      </c>
      <c r="C757" s="4" t="s">
        <v>15</v>
      </c>
      <c r="D757" s="4" t="s">
        <v>1365</v>
      </c>
      <c r="E757" s="157">
        <v>45646</v>
      </c>
      <c r="F757" s="9">
        <f>IF($E757="","",WORKDAY($E757,1,$V$33:$V$41))</f>
        <v>45649</v>
      </c>
      <c r="G757" s="9">
        <f>IF($E757="","",WORKDAY($E757,10,$V$33:$V$41))</f>
        <v>45665</v>
      </c>
      <c r="H757" s="9">
        <f>IF($E757="","",WORKDAY($E757,20,$V$33:$V$41))</f>
        <v>45679</v>
      </c>
      <c r="I757" s="157" t="str">
        <f t="shared" si="15"/>
        <v>Dec</v>
      </c>
      <c r="J757" s="142" t="str">
        <f ca="1">IF(E757="","",IF(N757="",H757-TODAY(),""))</f>
        <v/>
      </c>
      <c r="K757" s="157" t="s">
        <v>10</v>
      </c>
      <c r="L757" s="157" t="s">
        <v>27</v>
      </c>
      <c r="M757" s="157" t="s">
        <v>50</v>
      </c>
      <c r="N757" s="9">
        <v>45677</v>
      </c>
      <c r="O757" s="159">
        <f>IF($N757="","",NETWORKDAYS($E757,$N757,$V$33:$V$47)-1)</f>
        <v>18</v>
      </c>
      <c r="P757" s="10" t="str">
        <f>IF(ISBLANK(N757),"",IF(N757&gt;H757,"No","Yes"))</f>
        <v>Yes</v>
      </c>
      <c r="Q757" s="9" t="s">
        <v>117</v>
      </c>
      <c r="R757" s="4" t="s">
        <v>118</v>
      </c>
      <c r="S757" s="4" t="s">
        <v>135</v>
      </c>
      <c r="T757" s="4" t="s">
        <v>141</v>
      </c>
      <c r="U757" s="6"/>
      <c r="V757" s="6"/>
      <c r="W757" s="6"/>
      <c r="X757" s="6"/>
      <c r="Y757" s="6"/>
      <c r="Z757" s="6"/>
      <c r="AX757" s="6" t="str">
        <v>Quarter 3</v>
      </c>
    </row>
    <row r="758" spans="1:50" ht="31.4" customHeight="1" x14ac:dyDescent="0.35">
      <c r="A758" s="162">
        <v>757</v>
      </c>
      <c r="B758" s="4" t="s">
        <v>8</v>
      </c>
      <c r="C758" s="4" t="s">
        <v>8</v>
      </c>
      <c r="D758" s="4" t="s">
        <v>1366</v>
      </c>
      <c r="E758" s="157">
        <v>45649</v>
      </c>
      <c r="F758" s="9">
        <f>IF($E758="","",WORKDAY($E758,1,$V$33:$V$41))</f>
        <v>45650</v>
      </c>
      <c r="G758" s="9">
        <f>IF($E758="","",WORKDAY($E758,10,$V$33:$V$41))</f>
        <v>45666</v>
      </c>
      <c r="H758" s="9">
        <f>IF($E758="","",WORKDAY($E758,20,$V$33:$V$41))</f>
        <v>45680</v>
      </c>
      <c r="I758" s="157" t="str">
        <f t="shared" si="15"/>
        <v>Dec</v>
      </c>
      <c r="J758" s="142" t="str">
        <f ca="1">IF(E758="","",IF(N758="",H758-TODAY(),""))</f>
        <v/>
      </c>
      <c r="K758" s="157" t="s">
        <v>10</v>
      </c>
      <c r="L758" s="157" t="s">
        <v>12</v>
      </c>
      <c r="M758" s="157" t="s">
        <v>30</v>
      </c>
      <c r="N758" s="9">
        <v>45670</v>
      </c>
      <c r="O758" s="159">
        <f>IF($N758="","",NETWORKDAYS($E758,$N758,$V$33:$V$47)-1)</f>
        <v>12</v>
      </c>
      <c r="P758" s="10" t="str">
        <f>IF(ISBLANK(N758),"",IF(N758&gt;H758,"No","Yes"))</f>
        <v>Yes</v>
      </c>
      <c r="Q758" s="9" t="s">
        <v>117</v>
      </c>
      <c r="R758" s="4" t="s">
        <v>118</v>
      </c>
      <c r="S758" s="4"/>
      <c r="T758" s="4"/>
      <c r="U758" s="6"/>
      <c r="V758" s="6"/>
      <c r="W758" s="6"/>
      <c r="X758" s="6"/>
      <c r="Y758" s="6"/>
      <c r="Z758" s="6"/>
      <c r="AX758" s="6" t="str">
        <v>Quarter 3</v>
      </c>
    </row>
    <row r="759" spans="1:50" ht="31.4" customHeight="1" x14ac:dyDescent="0.35">
      <c r="A759" s="162">
        <v>758</v>
      </c>
      <c r="B759" s="4" t="s">
        <v>8</v>
      </c>
      <c r="C759" s="4" t="s">
        <v>8</v>
      </c>
      <c r="D759" s="4" t="s">
        <v>381</v>
      </c>
      <c r="E759" s="157">
        <v>45649</v>
      </c>
      <c r="F759" s="9">
        <f>IF($E759="","",WORKDAY($E759,1,$V$33:$V$41))</f>
        <v>45650</v>
      </c>
      <c r="G759" s="9">
        <f>IF($E759="","",WORKDAY($E759,10,$V$33:$V$41))</f>
        <v>45666</v>
      </c>
      <c r="H759" s="9">
        <f>IF($E759="","",WORKDAY($E759,20,$V$33:$V$41))</f>
        <v>45680</v>
      </c>
      <c r="I759" s="157" t="str">
        <f t="shared" si="15"/>
        <v>Dec</v>
      </c>
      <c r="J759" s="142" t="str">
        <f ca="1">IF(E759="","",IF(N759="",H759-TODAY(),""))</f>
        <v/>
      </c>
      <c r="K759" s="157" t="s">
        <v>124</v>
      </c>
      <c r="L759" s="157" t="s">
        <v>20</v>
      </c>
      <c r="M759" s="157" t="s">
        <v>62</v>
      </c>
      <c r="N759" s="9">
        <v>45667</v>
      </c>
      <c r="O759" s="159">
        <f>IF($N759="","",NETWORKDAYS($E759,$N759,$V$33:$V$47)-1)</f>
        <v>11</v>
      </c>
      <c r="P759" s="10" t="str">
        <f>IF(ISBLANK(N759),"",IF(N759&gt;H759,"No","Yes"))</f>
        <v>Yes</v>
      </c>
      <c r="Q759" s="9" t="s">
        <v>117</v>
      </c>
      <c r="R759" s="4" t="s">
        <v>118</v>
      </c>
      <c r="S759" s="4"/>
      <c r="T759" s="4"/>
      <c r="U759" s="6"/>
      <c r="V759" s="6"/>
      <c r="W759" s="6"/>
      <c r="X759" s="6"/>
      <c r="Y759" s="6"/>
      <c r="Z759" s="6"/>
      <c r="AX759" s="6" t="str">
        <v>Quarter 3</v>
      </c>
    </row>
    <row r="760" spans="1:50" ht="31.4" customHeight="1" x14ac:dyDescent="0.35">
      <c r="A760" s="162">
        <v>759</v>
      </c>
      <c r="B760" s="4" t="s">
        <v>138</v>
      </c>
      <c r="C760" s="4" t="s">
        <v>19</v>
      </c>
      <c r="D760" s="4" t="s">
        <v>1367</v>
      </c>
      <c r="E760" s="157">
        <v>45663</v>
      </c>
      <c r="F760" s="9">
        <f>IF($E760="","",WORKDAY($E760,1,$V$33:$V$41))</f>
        <v>45664</v>
      </c>
      <c r="G760" s="9">
        <f>IF($E760="","",WORKDAY($E760,10,$V$33:$V$41))</f>
        <v>45677</v>
      </c>
      <c r="H760" s="9">
        <f>IF($E760="","",WORKDAY($E760,20,$V$33:$V$41))</f>
        <v>45691</v>
      </c>
      <c r="I760" s="157" t="str">
        <f t="shared" si="15"/>
        <v>Jan</v>
      </c>
      <c r="J760" s="142" t="str">
        <f ca="1">IF(E760="","",IF(N760="",H760-TODAY(),""))</f>
        <v/>
      </c>
      <c r="K760" s="157" t="s">
        <v>124</v>
      </c>
      <c r="L760" s="157" t="s">
        <v>24</v>
      </c>
      <c r="M760" s="157" t="s">
        <v>76</v>
      </c>
      <c r="N760" s="9">
        <v>45666</v>
      </c>
      <c r="O760" s="159">
        <f>IF($N760="","",NETWORKDAYS($E760,$N760,$V$33:$V$47)-1)</f>
        <v>3</v>
      </c>
      <c r="P760" s="10" t="str">
        <f>IF(ISBLANK(N760),"",IF(N760&gt;H760,"No","Yes"))</f>
        <v>Yes</v>
      </c>
      <c r="Q760" s="9" t="s">
        <v>117</v>
      </c>
      <c r="R760" s="4" t="s">
        <v>118</v>
      </c>
      <c r="S760" s="4"/>
      <c r="T760" s="4" t="s">
        <v>141</v>
      </c>
      <c r="U760" s="6"/>
      <c r="V760" s="6"/>
      <c r="W760" s="6"/>
      <c r="X760" s="6"/>
      <c r="Y760" s="6"/>
      <c r="Z760" s="6"/>
      <c r="AX760" s="6" t="str">
        <v>Quarter 4</v>
      </c>
    </row>
    <row r="761" spans="1:50" ht="31.4" customHeight="1" x14ac:dyDescent="0.35">
      <c r="A761" s="162">
        <v>760</v>
      </c>
      <c r="B761" s="4" t="s">
        <v>138</v>
      </c>
      <c r="C761" s="4" t="s">
        <v>19</v>
      </c>
      <c r="D761" s="4" t="s">
        <v>1368</v>
      </c>
      <c r="E761" s="157">
        <v>45650</v>
      </c>
      <c r="F761" s="9">
        <f>IF($E761="","",WORKDAY($E761,1,$V$33:$V$41))</f>
        <v>45653</v>
      </c>
      <c r="G761" s="9">
        <f>IF($E761="","",WORKDAY($E761,10,$V$33:$V$41))</f>
        <v>45667</v>
      </c>
      <c r="H761" s="9">
        <f>IF($E761="","",WORKDAY($E761,20,$V$33:$V$41))</f>
        <v>45681</v>
      </c>
      <c r="I761" s="157" t="str">
        <f t="shared" si="15"/>
        <v>Dec</v>
      </c>
      <c r="J761" s="142" t="str">
        <f ca="1">IF(E761="","",IF(N761="",H761-TODAY(),""))</f>
        <v/>
      </c>
      <c r="K761" s="157" t="s">
        <v>124</v>
      </c>
      <c r="L761" s="157" t="s">
        <v>14</v>
      </c>
      <c r="M761" s="157" t="s">
        <v>83</v>
      </c>
      <c r="N761" s="9">
        <v>45678</v>
      </c>
      <c r="O761" s="159">
        <f>IF($N761="","",NETWORKDAYS($E761,$N761,$V$33:$V$47)-1)</f>
        <v>17</v>
      </c>
      <c r="P761" s="10" t="str">
        <f>IF(ISBLANK(N761),"",IF(N761&gt;H761,"No","Yes"))</f>
        <v>Yes</v>
      </c>
      <c r="Q761" s="9" t="s">
        <v>117</v>
      </c>
      <c r="R761" s="4" t="s">
        <v>126</v>
      </c>
      <c r="S761" s="4" t="s">
        <v>119</v>
      </c>
      <c r="T761" s="4"/>
      <c r="U761" s="6"/>
      <c r="V761" s="6"/>
      <c r="W761" s="6"/>
      <c r="X761" s="6"/>
      <c r="Y761" s="6"/>
      <c r="Z761" s="6"/>
      <c r="AX761" s="6" t="str">
        <v>Quarter 3</v>
      </c>
    </row>
    <row r="762" spans="1:50" ht="31.4" customHeight="1" x14ac:dyDescent="0.35">
      <c r="A762" s="162">
        <v>761</v>
      </c>
      <c r="B762" s="4" t="s">
        <v>1369</v>
      </c>
      <c r="C762" s="4" t="s">
        <v>15</v>
      </c>
      <c r="D762" s="4" t="s">
        <v>1370</v>
      </c>
      <c r="E762" s="157">
        <v>45653</v>
      </c>
      <c r="F762" s="9">
        <f>IF($E762="","",WORKDAY($E762,1,$V$33:$V$41))</f>
        <v>45656</v>
      </c>
      <c r="G762" s="9">
        <f>IF($E762="","",WORKDAY($E762,10,$V$33:$V$41))</f>
        <v>45670</v>
      </c>
      <c r="H762" s="9">
        <f>IF($E762="","",WORKDAY($E762,20,$V$33:$V$41))</f>
        <v>45684</v>
      </c>
      <c r="I762" s="157" t="str">
        <f t="shared" si="15"/>
        <v>Dec</v>
      </c>
      <c r="J762" s="142" t="str">
        <f ca="1">IF(E762="","",IF(N762="",H762-TODAY(),""))</f>
        <v/>
      </c>
      <c r="K762" s="157" t="s">
        <v>10</v>
      </c>
      <c r="L762" s="157" t="s">
        <v>27</v>
      </c>
      <c r="M762" s="157" t="s">
        <v>37</v>
      </c>
      <c r="N762" s="9">
        <v>45656</v>
      </c>
      <c r="O762" s="159">
        <f>IF($N762="","",NETWORKDAYS($E762,$N762,$V$33:$V$47)-1)</f>
        <v>1</v>
      </c>
      <c r="P762" s="10" t="str">
        <f>IF(ISBLANK(N762),"",IF(N762&gt;H762,"No","Yes"))</f>
        <v>Yes</v>
      </c>
      <c r="Q762" s="9" t="s">
        <v>117</v>
      </c>
      <c r="R762" s="4" t="s">
        <v>118</v>
      </c>
      <c r="S762" s="4"/>
      <c r="T762" s="4"/>
      <c r="U762" s="6"/>
      <c r="V762" s="6"/>
      <c r="W762" s="6"/>
      <c r="X762" s="6"/>
      <c r="Y762" s="6"/>
      <c r="Z762" s="6"/>
      <c r="AX762" s="6" t="str">
        <v>Quarter 3</v>
      </c>
    </row>
    <row r="763" spans="1:50" ht="31.4" customHeight="1" x14ac:dyDescent="0.35">
      <c r="A763" s="162">
        <v>762</v>
      </c>
      <c r="B763" s="4" t="s">
        <v>8</v>
      </c>
      <c r="C763" s="4" t="s">
        <v>8</v>
      </c>
      <c r="D763" s="4" t="s">
        <v>1371</v>
      </c>
      <c r="E763" s="157">
        <v>45653</v>
      </c>
      <c r="F763" s="9">
        <f>IF($E763="","",WORKDAY($E763,1,$V$33:$V$41))</f>
        <v>45656</v>
      </c>
      <c r="G763" s="9">
        <f>IF($E763="","",WORKDAY($E763,10,$V$33:$V$41))</f>
        <v>45670</v>
      </c>
      <c r="H763" s="9">
        <f>IF($E763="","",WORKDAY($E763,20,$V$33:$V$41))</f>
        <v>45684</v>
      </c>
      <c r="I763" s="157" t="str">
        <f t="shared" si="15"/>
        <v>Dec</v>
      </c>
      <c r="J763" s="142" t="str">
        <f ca="1">IF(E763="","",IF(N763="",H763-TODAY(),""))</f>
        <v/>
      </c>
      <c r="K763" s="157" t="s">
        <v>124</v>
      </c>
      <c r="L763" s="157" t="s">
        <v>24</v>
      </c>
      <c r="M763" s="157" t="s">
        <v>87</v>
      </c>
      <c r="N763" s="9">
        <v>45664</v>
      </c>
      <c r="O763" s="159">
        <f>IF($N763="","",NETWORKDAYS($E763,$N763,$V$33:$V$47)-1)</f>
        <v>6</v>
      </c>
      <c r="P763" s="10" t="str">
        <f>IF(ISBLANK(N763),"",IF(N763&gt;H763,"No","Yes"))</f>
        <v>Yes</v>
      </c>
      <c r="Q763" s="9" t="s">
        <v>117</v>
      </c>
      <c r="R763" s="4" t="s">
        <v>118</v>
      </c>
      <c r="S763" s="4"/>
      <c r="T763" s="4" t="s">
        <v>141</v>
      </c>
      <c r="U763" s="6"/>
      <c r="V763" s="6"/>
      <c r="W763" s="6"/>
      <c r="X763" s="6"/>
      <c r="Y763" s="6"/>
      <c r="Z763" s="6"/>
      <c r="AX763" s="6" t="str">
        <v>Quarter 3</v>
      </c>
    </row>
    <row r="764" spans="1:50" ht="31.4" customHeight="1" x14ac:dyDescent="0.35">
      <c r="A764" s="162">
        <v>763</v>
      </c>
      <c r="B764" s="4" t="s">
        <v>310</v>
      </c>
      <c r="C764" s="4" t="s">
        <v>6</v>
      </c>
      <c r="D764" s="4" t="s">
        <v>1372</v>
      </c>
      <c r="E764" s="157">
        <v>45656</v>
      </c>
      <c r="F764" s="9">
        <f>IF($E764="","",WORKDAY($E764,1,$V$33:$V$41))</f>
        <v>45657</v>
      </c>
      <c r="G764" s="9">
        <f>IF($E764="","",WORKDAY($E764,10,$V$33:$V$41))</f>
        <v>45671</v>
      </c>
      <c r="H764" s="9">
        <f>IF($E764="","",WORKDAY($E764,20,$V$33:$V$41))</f>
        <v>45685</v>
      </c>
      <c r="I764" s="157" t="str">
        <f t="shared" si="15"/>
        <v>Dec</v>
      </c>
      <c r="J764" s="142" t="str">
        <f ca="1">IF(E764="","",IF(N764="",H764-TODAY(),""))</f>
        <v/>
      </c>
      <c r="K764" s="157" t="s">
        <v>124</v>
      </c>
      <c r="L764" s="157" t="s">
        <v>24</v>
      </c>
      <c r="M764" s="157" t="s">
        <v>76</v>
      </c>
      <c r="N764" s="9">
        <v>45665</v>
      </c>
      <c r="O764" s="159">
        <f>IF($N764="","",NETWORKDAYS($E764,$N764,$V$33:$V$47)-1)</f>
        <v>6</v>
      </c>
      <c r="P764" s="10" t="str">
        <f>IF(ISBLANK(N764),"",IF(N764&gt;H764,"No","Yes"))</f>
        <v>Yes</v>
      </c>
      <c r="Q764" s="9" t="s">
        <v>117</v>
      </c>
      <c r="R764" s="4" t="s">
        <v>118</v>
      </c>
      <c r="S764" s="4"/>
      <c r="T764" s="4"/>
      <c r="U764" s="6"/>
      <c r="V764" s="6"/>
      <c r="W764" s="6"/>
      <c r="X764" s="6"/>
      <c r="Y764" s="6"/>
      <c r="Z764" s="6"/>
      <c r="AX764" s="6" t="str">
        <v>Quarter 3</v>
      </c>
    </row>
    <row r="765" spans="1:50" ht="31.4" customHeight="1" x14ac:dyDescent="0.35">
      <c r="A765" s="162">
        <v>764</v>
      </c>
      <c r="B765" s="4" t="s">
        <v>1373</v>
      </c>
      <c r="C765" s="4" t="s">
        <v>13</v>
      </c>
      <c r="D765" s="4" t="s">
        <v>1374</v>
      </c>
      <c r="E765" s="157">
        <v>45657</v>
      </c>
      <c r="F765" s="9">
        <f>IF($E765="","",WORKDAY($E765,1,$V$33:$V$41))</f>
        <v>45659</v>
      </c>
      <c r="G765" s="9">
        <f>IF($E765="","",WORKDAY($E765,10,$V$33:$V$41))</f>
        <v>45672</v>
      </c>
      <c r="H765" s="9">
        <f>IF($E765="","",WORKDAY($E765,20,$V$33:$V$41))</f>
        <v>45686</v>
      </c>
      <c r="I765" s="157" t="str">
        <f t="shared" si="15"/>
        <v>Dec</v>
      </c>
      <c r="J765" s="142" t="str">
        <f ca="1">IF(E765="","",IF(N765="",H765-TODAY(),""))</f>
        <v/>
      </c>
      <c r="K765" s="157" t="s">
        <v>4</v>
      </c>
      <c r="L765" s="157" t="s">
        <v>7</v>
      </c>
      <c r="M765" s="157" t="s">
        <v>31</v>
      </c>
      <c r="N765" s="9">
        <v>45686</v>
      </c>
      <c r="O765" s="159">
        <f>IF($N765="","",NETWORKDAYS($E765,$N765,$V$33:$V$47)-1)</f>
        <v>20</v>
      </c>
      <c r="P765" s="10" t="str">
        <f>IF(ISBLANK(N765),"",IF(N765&gt;H765,"No","Yes"))</f>
        <v>Yes</v>
      </c>
      <c r="Q765" s="9" t="s">
        <v>117</v>
      </c>
      <c r="R765" s="4" t="s">
        <v>126</v>
      </c>
      <c r="S765" s="4" t="s">
        <v>135</v>
      </c>
      <c r="T765" s="4"/>
      <c r="U765" s="6"/>
      <c r="V765" s="6"/>
      <c r="W765" s="6"/>
      <c r="X765" s="6"/>
      <c r="Y765" s="6"/>
      <c r="Z765" s="6"/>
      <c r="AX765" s="6" t="str">
        <v>Quarter 3</v>
      </c>
    </row>
    <row r="766" spans="1:50" ht="31.4" customHeight="1" x14ac:dyDescent="0.35">
      <c r="A766" s="162">
        <v>765</v>
      </c>
      <c r="B766" s="4" t="s">
        <v>8</v>
      </c>
      <c r="C766" s="4" t="s">
        <v>8</v>
      </c>
      <c r="D766" s="4" t="s">
        <v>1375</v>
      </c>
      <c r="E766" s="157">
        <v>45657</v>
      </c>
      <c r="F766" s="9">
        <f>IF($E766="","",WORKDAY($E766,1,$V$33:$V$41))</f>
        <v>45659</v>
      </c>
      <c r="G766" s="9">
        <f>IF($E766="","",WORKDAY($E766,10,$V$33:$V$41))</f>
        <v>45672</v>
      </c>
      <c r="H766" s="9">
        <f>IF($E766="","",WORKDAY($E766,20,$V$33:$V$41))</f>
        <v>45686</v>
      </c>
      <c r="I766" s="157" t="str">
        <f t="shared" si="15"/>
        <v>Dec</v>
      </c>
      <c r="J766" s="142" t="str">
        <f ca="1">IF(E766="","",IF(N766="",H766-TODAY(),""))</f>
        <v/>
      </c>
      <c r="K766" s="157" t="s">
        <v>4</v>
      </c>
      <c r="L766" s="157" t="s">
        <v>7</v>
      </c>
      <c r="M766" s="157" t="s">
        <v>31</v>
      </c>
      <c r="N766" s="9">
        <v>45684</v>
      </c>
      <c r="O766" s="159">
        <f>IF($N766="","",NETWORKDAYS($E766,$N766,$V$33:$V$47)-1)</f>
        <v>18</v>
      </c>
      <c r="P766" s="10" t="str">
        <f>IF(ISBLANK(N766),"",IF(N766&gt;H766,"No","Yes"))</f>
        <v>Yes</v>
      </c>
      <c r="Q766" s="9" t="s">
        <v>117</v>
      </c>
      <c r="R766" s="4" t="s">
        <v>118</v>
      </c>
      <c r="S766" s="4" t="s">
        <v>135</v>
      </c>
      <c r="T766" s="4" t="s">
        <v>2117</v>
      </c>
      <c r="U766" s="6"/>
      <c r="V766" s="6"/>
      <c r="W766" s="6"/>
      <c r="X766" s="6"/>
      <c r="Y766" s="6"/>
      <c r="Z766" s="6"/>
      <c r="AX766" s="6" t="str">
        <v>Quarter 3</v>
      </c>
    </row>
    <row r="767" spans="1:50" ht="31.4" customHeight="1" x14ac:dyDescent="0.35">
      <c r="A767" s="162">
        <v>766</v>
      </c>
      <c r="B767" s="4" t="s">
        <v>129</v>
      </c>
      <c r="C767" s="4" t="s">
        <v>13</v>
      </c>
      <c r="D767" s="4" t="s">
        <v>1376</v>
      </c>
      <c r="E767" s="157">
        <v>45659</v>
      </c>
      <c r="F767" s="9">
        <f>IF($E767="","",WORKDAY($E767,1,$V$33:$V$41))</f>
        <v>45660</v>
      </c>
      <c r="G767" s="9">
        <f>IF($E767="","",WORKDAY($E767,10,$V$33:$V$41))</f>
        <v>45673</v>
      </c>
      <c r="H767" s="9">
        <f>IF($E767="","",WORKDAY($E767,20,$V$33:$V$41))</f>
        <v>45687</v>
      </c>
      <c r="I767" s="157" t="str">
        <f t="shared" si="15"/>
        <v>Jan</v>
      </c>
      <c r="J767" s="142" t="str">
        <f ca="1">IF(E767="","",IF(N767="",H767-TODAY(),""))</f>
        <v/>
      </c>
      <c r="K767" s="157" t="s">
        <v>5</v>
      </c>
      <c r="L767" s="157" t="s">
        <v>18</v>
      </c>
      <c r="M767" s="157" t="s">
        <v>66</v>
      </c>
      <c r="N767" s="9">
        <v>45659</v>
      </c>
      <c r="O767" s="159">
        <f>IF($N767="","",NETWORKDAYS($E767,$N767,$V$33:$V$47)-1)</f>
        <v>0</v>
      </c>
      <c r="P767" s="10" t="str">
        <f>IF(ISBLANK(N767),"",IF(N767&gt;H767,"No","Yes"))</f>
        <v>Yes</v>
      </c>
      <c r="Q767" s="9" t="s">
        <v>117</v>
      </c>
      <c r="R767" s="4" t="s">
        <v>132</v>
      </c>
      <c r="S767" s="4" t="s">
        <v>134</v>
      </c>
      <c r="T767" s="4"/>
      <c r="U767" s="6"/>
      <c r="V767" s="6"/>
      <c r="W767" s="6"/>
      <c r="X767" s="6"/>
      <c r="Y767" s="6"/>
      <c r="Z767" s="6"/>
      <c r="AX767" s="6" t="str">
        <v>Quarter 4</v>
      </c>
    </row>
    <row r="768" spans="1:50" ht="31.4" customHeight="1" x14ac:dyDescent="0.35">
      <c r="A768" s="162">
        <v>767</v>
      </c>
      <c r="B768" s="4" t="s">
        <v>1377</v>
      </c>
      <c r="C768" s="4" t="s">
        <v>13</v>
      </c>
      <c r="D768" s="4" t="s">
        <v>229</v>
      </c>
      <c r="E768" s="157">
        <v>45659</v>
      </c>
      <c r="F768" s="9">
        <f>IF($E768="","",WORKDAY($E768,1,$V$33:$V$41))</f>
        <v>45660</v>
      </c>
      <c r="G768" s="9">
        <f>IF($E768="","",WORKDAY($E768,10,$V$33:$V$41))</f>
        <v>45673</v>
      </c>
      <c r="H768" s="9">
        <f>IF($E768="","",WORKDAY($E768,20,$V$33:$V$41))</f>
        <v>45687</v>
      </c>
      <c r="I768" s="157" t="str">
        <f t="shared" si="15"/>
        <v>Jan</v>
      </c>
      <c r="J768" s="142" t="str">
        <f ca="1">IF(E768="","",IF(N768="",H768-TODAY(),""))</f>
        <v/>
      </c>
      <c r="K768" s="157" t="s">
        <v>5</v>
      </c>
      <c r="L768" s="157" t="s">
        <v>16</v>
      </c>
      <c r="M768" s="157" t="s">
        <v>71</v>
      </c>
      <c r="N768" s="9">
        <v>45659</v>
      </c>
      <c r="O768" s="159">
        <f>IF($N768="","",NETWORKDAYS($E768,$N768,$V$33:$V$47)-1)</f>
        <v>0</v>
      </c>
      <c r="P768" s="10" t="str">
        <f>IF(ISBLANK(N768),"",IF(N768&gt;H768,"No","Yes"))</f>
        <v>Yes</v>
      </c>
      <c r="Q768" s="9" t="s">
        <v>117</v>
      </c>
      <c r="R768" s="4" t="s">
        <v>118</v>
      </c>
      <c r="S768" s="4" t="s">
        <v>119</v>
      </c>
      <c r="T768" s="4"/>
      <c r="U768" s="6"/>
      <c r="V768" s="6"/>
      <c r="W768" s="6"/>
      <c r="X768" s="6"/>
      <c r="Y768" s="6"/>
      <c r="Z768" s="6"/>
      <c r="AX768" s="6" t="str">
        <v>Quarter 4</v>
      </c>
    </row>
    <row r="769" spans="1:50" ht="31.4" customHeight="1" x14ac:dyDescent="0.35">
      <c r="A769" s="162">
        <v>768</v>
      </c>
      <c r="B769" s="4" t="s">
        <v>293</v>
      </c>
      <c r="C769" s="4" t="s">
        <v>6</v>
      </c>
      <c r="D769" s="4" t="s">
        <v>1378</v>
      </c>
      <c r="E769" s="157">
        <v>45659</v>
      </c>
      <c r="F769" s="9">
        <f>IF($E769="","",WORKDAY($E769,1,$V$33:$V$41))</f>
        <v>45660</v>
      </c>
      <c r="G769" s="9">
        <f>IF($E769="","",WORKDAY($E769,10,$V$33:$V$41))</f>
        <v>45673</v>
      </c>
      <c r="H769" s="9">
        <f>IF($E769="","",WORKDAY($E769,20,$V$33:$V$41))</f>
        <v>45687</v>
      </c>
      <c r="I769" s="157" t="str">
        <f t="shared" si="15"/>
        <v>Jan</v>
      </c>
      <c r="J769" s="142" t="str">
        <f ca="1">IF(E769="","",IF(N769="",H769-TODAY(),""))</f>
        <v/>
      </c>
      <c r="K769" s="157" t="s">
        <v>4</v>
      </c>
      <c r="L769" s="157" t="s">
        <v>26</v>
      </c>
      <c r="M769" s="157" t="s">
        <v>93</v>
      </c>
      <c r="N769" s="9">
        <v>45673</v>
      </c>
      <c r="O769" s="159">
        <f>IF($N769="","",NETWORKDAYS($E769,$N769,$V$33:$V$47)-1)</f>
        <v>10</v>
      </c>
      <c r="P769" s="10" t="str">
        <f>IF(ISBLANK(N769),"",IF(N769&gt;H769,"No","Yes"))</f>
        <v>Yes</v>
      </c>
      <c r="Q769" s="9" t="s">
        <v>117</v>
      </c>
      <c r="R769" s="4" t="s">
        <v>118</v>
      </c>
      <c r="S769" s="4"/>
      <c r="T769" s="4" t="s">
        <v>141</v>
      </c>
      <c r="U769" s="6"/>
      <c r="V769" s="6"/>
      <c r="W769" s="6"/>
      <c r="X769" s="6"/>
      <c r="Y769" s="6"/>
      <c r="Z769" s="6"/>
      <c r="AX769" s="6" t="str">
        <v>Quarter 4</v>
      </c>
    </row>
    <row r="770" spans="1:50" ht="31.4" customHeight="1" x14ac:dyDescent="0.35">
      <c r="A770" s="162">
        <v>769</v>
      </c>
      <c r="B770" s="4" t="s">
        <v>968</v>
      </c>
      <c r="C770" s="4" t="s">
        <v>13</v>
      </c>
      <c r="D770" s="4" t="s">
        <v>229</v>
      </c>
      <c r="E770" s="157">
        <v>45629</v>
      </c>
      <c r="F770" s="9">
        <f>IF($E770="","",WORKDAY($E770,1,$V$33:$V$41))</f>
        <v>45630</v>
      </c>
      <c r="G770" s="9">
        <f>IF($E770="","",WORKDAY($E770,10,$V$33:$V$41))</f>
        <v>45643</v>
      </c>
      <c r="H770" s="9">
        <f>IF($E770="","",WORKDAY($E770,20,$V$33:$V$41))</f>
        <v>45660</v>
      </c>
      <c r="I770" s="157" t="str">
        <f t="shared" ref="I770:I833" si="16">IF(ISBLANK(E770),"",TEXT(E770,"mmm"))</f>
        <v>Dec</v>
      </c>
      <c r="J770" s="142" t="str">
        <f ca="1">IF(E770="","",IF(N770="",H770-TODAY(),""))</f>
        <v/>
      </c>
      <c r="K770" s="157" t="s">
        <v>5</v>
      </c>
      <c r="L770" s="157" t="s">
        <v>16</v>
      </c>
      <c r="M770" s="157" t="s">
        <v>71</v>
      </c>
      <c r="N770" s="9">
        <v>45659</v>
      </c>
      <c r="O770" s="159">
        <f>IF($N770="","",NETWORKDAYS($E770,$N770,$V$33:$V$47)-1)</f>
        <v>19</v>
      </c>
      <c r="P770" s="10" t="str">
        <f>IF(ISBLANK(N770),"",IF(N770&gt;H770,"No","Yes"))</f>
        <v>Yes</v>
      </c>
      <c r="Q770" s="9" t="s">
        <v>117</v>
      </c>
      <c r="R770" s="4" t="s">
        <v>118</v>
      </c>
      <c r="S770" s="4" t="s">
        <v>119</v>
      </c>
      <c r="T770" s="4"/>
      <c r="U770" s="6"/>
      <c r="V770" s="6"/>
      <c r="W770" s="6"/>
      <c r="X770" s="6"/>
      <c r="Y770" s="6"/>
      <c r="Z770" s="6"/>
      <c r="AX770" s="6" t="str">
        <v>Quarter 3</v>
      </c>
    </row>
    <row r="771" spans="1:50" ht="31.4" customHeight="1" x14ac:dyDescent="0.35">
      <c r="A771" s="162">
        <v>770</v>
      </c>
      <c r="B771" s="4" t="s">
        <v>8</v>
      </c>
      <c r="C771" s="4" t="s">
        <v>8</v>
      </c>
      <c r="D771" s="4" t="s">
        <v>1379</v>
      </c>
      <c r="E771" s="157">
        <v>45659</v>
      </c>
      <c r="F771" s="9">
        <f>IF($E771="","",WORKDAY($E771,1,$V$33:$V$41))</f>
        <v>45660</v>
      </c>
      <c r="G771" s="9">
        <f>IF($E771="","",WORKDAY($E771,10,$V$33:$V$41))</f>
        <v>45673</v>
      </c>
      <c r="H771" s="9">
        <f>IF($E771="","",WORKDAY($E771,20,$V$33:$V$41))</f>
        <v>45687</v>
      </c>
      <c r="I771" s="157" t="str">
        <f t="shared" si="16"/>
        <v>Jan</v>
      </c>
      <c r="J771" s="142" t="str">
        <f ca="1">IF(E771="","",IF(N771="",H771-TODAY(),""))</f>
        <v/>
      </c>
      <c r="K771" s="157" t="s">
        <v>124</v>
      </c>
      <c r="L771" s="157" t="s">
        <v>20</v>
      </c>
      <c r="M771" s="157" t="s">
        <v>62</v>
      </c>
      <c r="N771" s="9">
        <v>45667</v>
      </c>
      <c r="O771" s="159">
        <f>IF($N771="","",NETWORKDAYS($E771,$N771,$V$33:$V$47)-1)</f>
        <v>6</v>
      </c>
      <c r="P771" s="10" t="str">
        <f>IF(ISBLANK(N771),"",IF(N771&gt;H771,"No","Yes"))</f>
        <v>Yes</v>
      </c>
      <c r="Q771" s="9" t="s">
        <v>117</v>
      </c>
      <c r="R771" s="4" t="s">
        <v>118</v>
      </c>
      <c r="S771" s="4"/>
      <c r="T771" s="7" t="s">
        <v>141</v>
      </c>
      <c r="U771" s="6"/>
      <c r="V771" s="6"/>
      <c r="W771" s="6"/>
      <c r="X771" s="6"/>
      <c r="Y771" s="6"/>
      <c r="Z771" s="6"/>
      <c r="AX771" s="6" t="str">
        <v>Quarter 4</v>
      </c>
    </row>
    <row r="772" spans="1:50" s="10" customFormat="1" ht="31.4" customHeight="1" x14ac:dyDescent="0.35">
      <c r="A772" s="162">
        <v>771</v>
      </c>
      <c r="B772" s="7" t="s">
        <v>1380</v>
      </c>
      <c r="C772" s="7" t="s">
        <v>15</v>
      </c>
      <c r="D772" s="7" t="s">
        <v>1365</v>
      </c>
      <c r="E772" s="157">
        <v>45660</v>
      </c>
      <c r="F772" s="9">
        <f>IF($E772="","",WORKDAY($E772,1,$V$33:$V$41))</f>
        <v>45663</v>
      </c>
      <c r="G772" s="9">
        <f>IF($E772="","",WORKDAY($E772,10,$V$33:$V$41))</f>
        <v>45674</v>
      </c>
      <c r="H772" s="9">
        <f>IF($E772="","",WORKDAY($E772,20,$V$33:$V$41))</f>
        <v>45688</v>
      </c>
      <c r="I772" s="157" t="str">
        <f t="shared" si="16"/>
        <v>Jan</v>
      </c>
      <c r="J772" s="142" t="str">
        <f ca="1">IF(E772="","",IF(N772="",H772-TODAY(),""))</f>
        <v/>
      </c>
      <c r="K772" s="157" t="s">
        <v>10</v>
      </c>
      <c r="L772" s="25" t="s">
        <v>27</v>
      </c>
      <c r="M772" s="25" t="s">
        <v>50</v>
      </c>
      <c r="N772" s="9">
        <v>45681</v>
      </c>
      <c r="O772" s="159">
        <f>IF($N772="","",NETWORKDAYS($E772,$N772,$V$33:$V$47)-1)</f>
        <v>15</v>
      </c>
      <c r="P772" s="10" t="str">
        <f>IF(ISBLANK(N772),"",IF(N772&gt;H772,"No","Yes"))</f>
        <v>Yes</v>
      </c>
      <c r="Q772" s="16" t="s">
        <v>117</v>
      </c>
      <c r="R772" s="7" t="s">
        <v>118</v>
      </c>
      <c r="S772" s="7"/>
      <c r="T772" s="7"/>
      <c r="AX772" s="10" t="str">
        <v>Quarter 4</v>
      </c>
    </row>
    <row r="773" spans="1:50" ht="31.4" customHeight="1" x14ac:dyDescent="0.35">
      <c r="A773" s="162">
        <v>772</v>
      </c>
      <c r="B773" s="4" t="s">
        <v>174</v>
      </c>
      <c r="C773" s="4" t="s">
        <v>23</v>
      </c>
      <c r="D773" s="4" t="s">
        <v>1381</v>
      </c>
      <c r="E773" s="157">
        <v>45660</v>
      </c>
      <c r="F773" s="9">
        <f>IF($E773="","",WORKDAY($E773,1,$V$33:$V$41))</f>
        <v>45663</v>
      </c>
      <c r="G773" s="9">
        <f>IF($E773="","",WORKDAY($E773,10,$V$33:$V$41))</f>
        <v>45674</v>
      </c>
      <c r="H773" s="9">
        <f>IF($E773="","",WORKDAY($E773,20,$V$33:$V$41))</f>
        <v>45688</v>
      </c>
      <c r="I773" s="157" t="str">
        <f t="shared" si="16"/>
        <v>Jan</v>
      </c>
      <c r="J773" s="142" t="str">
        <f ca="1">IF(E773="","",IF(N773="",H773-TODAY(),""))</f>
        <v/>
      </c>
      <c r="K773" s="157" t="s">
        <v>5</v>
      </c>
      <c r="L773" s="157" t="s">
        <v>22</v>
      </c>
      <c r="M773" s="157" t="s">
        <v>46</v>
      </c>
      <c r="N773" s="9">
        <v>45666</v>
      </c>
      <c r="O773" s="159">
        <f>IF($N773="","",NETWORKDAYS($E773,$N773,$V$33:$V$47)-1)</f>
        <v>4</v>
      </c>
      <c r="P773" s="10" t="str">
        <f>IF(ISBLANK(N773),"",IF(N773&gt;H773,"No","Yes"))</f>
        <v>Yes</v>
      </c>
      <c r="Q773" s="9" t="s">
        <v>117</v>
      </c>
      <c r="R773" s="4" t="s">
        <v>118</v>
      </c>
      <c r="S773" s="4" t="s">
        <v>135</v>
      </c>
      <c r="T773" s="4"/>
      <c r="U773" s="6"/>
      <c r="V773" s="6"/>
      <c r="W773" s="6"/>
      <c r="X773" s="6"/>
      <c r="Y773" s="6"/>
      <c r="Z773" s="6"/>
      <c r="AX773" s="6" t="str">
        <v>Quarter 4</v>
      </c>
    </row>
    <row r="774" spans="1:50" ht="31.4" customHeight="1" x14ac:dyDescent="0.35">
      <c r="A774" s="162">
        <v>773</v>
      </c>
      <c r="B774" s="4" t="s">
        <v>8</v>
      </c>
      <c r="C774" s="4" t="s">
        <v>8</v>
      </c>
      <c r="D774" s="4" t="s">
        <v>1382</v>
      </c>
      <c r="E774" s="157"/>
      <c r="F774" s="9" t="str">
        <f>IF($E774="","",WORKDAY($E774,1,$V$33:$V$41))</f>
        <v/>
      </c>
      <c r="G774" s="9" t="str">
        <f>IF($E774="","",WORKDAY($E774,10,$V$33:$V$41))</f>
        <v/>
      </c>
      <c r="H774" s="9" t="str">
        <f>IF($E774="","",WORKDAY($E774,20,$V$33:$V$41))</f>
        <v/>
      </c>
      <c r="I774" s="157" t="s">
        <v>1427</v>
      </c>
      <c r="J774" s="142" t="str">
        <f ca="1">IF(E774="","",IF(N774="",H774-TODAY(),""))</f>
        <v/>
      </c>
      <c r="K774" s="157" t="s">
        <v>4</v>
      </c>
      <c r="L774" s="157" t="s">
        <v>3</v>
      </c>
      <c r="M774" s="157" t="s">
        <v>89</v>
      </c>
      <c r="N774" s="9"/>
      <c r="O774" s="159" t="str">
        <f>IF($N774="","",NETWORKDAYS($E774,$N774,$V$33:$V$47)-1)</f>
        <v/>
      </c>
      <c r="P774" s="10" t="str">
        <f>IF(ISBLANK(N774),"",IF(N774&gt;H774,"No","Yes"))</f>
        <v/>
      </c>
      <c r="Q774" s="9" t="s">
        <v>133</v>
      </c>
      <c r="R774" s="4" t="s">
        <v>133</v>
      </c>
      <c r="S774" s="4"/>
      <c r="T774" s="4" t="s">
        <v>1383</v>
      </c>
      <c r="U774" s="6"/>
      <c r="V774" s="6"/>
      <c r="W774" s="6"/>
      <c r="X774" s="6"/>
      <c r="Y774" s="6"/>
      <c r="Z774" s="6"/>
      <c r="AX774" s="6" t="str">
        <v>Quarter 4</v>
      </c>
    </row>
    <row r="775" spans="1:50" ht="31.4" customHeight="1" x14ac:dyDescent="0.35">
      <c r="A775" s="162">
        <v>774</v>
      </c>
      <c r="B775" s="4" t="s">
        <v>293</v>
      </c>
      <c r="C775" s="4" t="s">
        <v>6</v>
      </c>
      <c r="D775" s="4" t="s">
        <v>405</v>
      </c>
      <c r="E775" s="157">
        <v>45660</v>
      </c>
      <c r="F775" s="9">
        <f>IF($E775="","",WORKDAY($E775,1,$V$33:$V$41))</f>
        <v>45663</v>
      </c>
      <c r="G775" s="9">
        <f>IF($E775="","",WORKDAY($E775,10,$V$33:$V$41))</f>
        <v>45674</v>
      </c>
      <c r="H775" s="9">
        <f>IF($E775="","",WORKDAY($E775,20,$V$33:$V$41))</f>
        <v>45688</v>
      </c>
      <c r="I775" s="157" t="str">
        <f t="shared" si="16"/>
        <v>Jan</v>
      </c>
      <c r="J775" s="142" t="str">
        <f ca="1">IF(E775="","",IF(N775="",H775-TODAY(),""))</f>
        <v/>
      </c>
      <c r="K775" s="157" t="s">
        <v>5</v>
      </c>
      <c r="L775" s="157" t="s">
        <v>16</v>
      </c>
      <c r="M775" s="157" t="s">
        <v>67</v>
      </c>
      <c r="N775" s="9">
        <v>45671</v>
      </c>
      <c r="O775" s="159">
        <f>IF($N775="","",NETWORKDAYS($E775,$N775,$V$33:$V$47)-1)</f>
        <v>7</v>
      </c>
      <c r="P775" s="10" t="str">
        <f>IF(ISBLANK(N775),"",IF(N775&gt;H775,"No","Yes"))</f>
        <v>Yes</v>
      </c>
      <c r="Q775" s="9" t="s">
        <v>117</v>
      </c>
      <c r="R775" s="4" t="s">
        <v>118</v>
      </c>
      <c r="S775" s="4"/>
      <c r="T775" s="4" t="s">
        <v>141</v>
      </c>
      <c r="U775" s="6"/>
      <c r="V775" s="6"/>
      <c r="W775" s="6"/>
      <c r="X775" s="6"/>
      <c r="Y775" s="6"/>
      <c r="Z775" s="6"/>
      <c r="AX775" s="6" t="str">
        <v>Quarter 4</v>
      </c>
    </row>
    <row r="776" spans="1:50" ht="31.4" customHeight="1" x14ac:dyDescent="0.35">
      <c r="A776" s="162">
        <v>775</v>
      </c>
      <c r="B776" s="4" t="s">
        <v>272</v>
      </c>
      <c r="C776" s="4" t="s">
        <v>6</v>
      </c>
      <c r="D776" s="4" t="s">
        <v>1384</v>
      </c>
      <c r="E776" s="157">
        <v>45660</v>
      </c>
      <c r="F776" s="9">
        <f>IF($E776="","",WORKDAY($E776,1,$V$33:$V$41))</f>
        <v>45663</v>
      </c>
      <c r="G776" s="9">
        <f>IF($E776="","",WORKDAY($E776,10,$V$33:$V$41))</f>
        <v>45674</v>
      </c>
      <c r="H776" s="9">
        <f>IF($E776="","",WORKDAY($E776,20,$V$33:$V$41))</f>
        <v>45688</v>
      </c>
      <c r="I776" s="157" t="str">
        <f t="shared" si="16"/>
        <v>Jan</v>
      </c>
      <c r="J776" s="142" t="str">
        <f ca="1">IF(E776="","",IF(N776="",H776-TODAY(),""))</f>
        <v/>
      </c>
      <c r="K776" s="157" t="s">
        <v>10</v>
      </c>
      <c r="L776" s="157" t="s">
        <v>12</v>
      </c>
      <c r="M776" s="157" t="s">
        <v>65</v>
      </c>
      <c r="N776" s="9">
        <v>45673</v>
      </c>
      <c r="O776" s="159">
        <f>IF($N776="","",NETWORKDAYS($E776,$N776,$V$33:$V$47)-1)</f>
        <v>9</v>
      </c>
      <c r="P776" s="10" t="str">
        <f>IF(ISBLANK(N776),"",IF(N776&gt;H776,"No","Yes"))</f>
        <v>Yes</v>
      </c>
      <c r="Q776" s="9" t="s">
        <v>117</v>
      </c>
      <c r="R776" s="4" t="s">
        <v>118</v>
      </c>
      <c r="S776" s="4"/>
      <c r="T776" s="4" t="s">
        <v>141</v>
      </c>
      <c r="U776" s="6"/>
      <c r="V776" s="6"/>
      <c r="W776" s="6"/>
      <c r="X776" s="6"/>
      <c r="Y776" s="6"/>
      <c r="Z776" s="6"/>
      <c r="AX776" s="6" t="str">
        <v>Quarter 4</v>
      </c>
    </row>
    <row r="777" spans="1:50" ht="31.4" customHeight="1" x14ac:dyDescent="0.35">
      <c r="A777" s="162">
        <v>776</v>
      </c>
      <c r="B777" s="4" t="s">
        <v>1385</v>
      </c>
      <c r="C777" s="4" t="s">
        <v>15</v>
      </c>
      <c r="D777" s="4" t="s">
        <v>1386</v>
      </c>
      <c r="E777" s="157">
        <v>45663</v>
      </c>
      <c r="F777" s="9">
        <f>IF($E777="","",WORKDAY($E777,1,$V$33:$V$41))</f>
        <v>45664</v>
      </c>
      <c r="G777" s="9">
        <f>IF($E777="","",WORKDAY($E777,10,$V$33:$V$41))</f>
        <v>45677</v>
      </c>
      <c r="H777" s="9">
        <f>IF($E777="","",WORKDAY($E777,20,$V$33:$V$41))</f>
        <v>45691</v>
      </c>
      <c r="I777" s="157" t="str">
        <f t="shared" si="16"/>
        <v>Jan</v>
      </c>
      <c r="J777" s="142" t="str">
        <f ca="1">IF(E777="","",IF(N777="",H777-TODAY(),""))</f>
        <v/>
      </c>
      <c r="K777" s="157" t="s">
        <v>4</v>
      </c>
      <c r="L777" s="157" t="s">
        <v>26</v>
      </c>
      <c r="M777" s="157" t="s">
        <v>93</v>
      </c>
      <c r="N777" s="9">
        <v>45673</v>
      </c>
      <c r="O777" s="159">
        <f>IF($N777="","",NETWORKDAYS($E777,$N777,$V$33:$V$47)-1)</f>
        <v>8</v>
      </c>
      <c r="P777" s="10" t="str">
        <f>IF(ISBLANK(N777),"",IF(N777&gt;H777,"No","Yes"))</f>
        <v>Yes</v>
      </c>
      <c r="Q777" s="9" t="s">
        <v>117</v>
      </c>
      <c r="R777" s="4" t="s">
        <v>118</v>
      </c>
      <c r="S777" s="4"/>
      <c r="T777" s="4"/>
      <c r="U777" s="6"/>
      <c r="V777" s="6"/>
      <c r="W777" s="6"/>
      <c r="X777" s="6"/>
      <c r="Y777" s="6"/>
      <c r="Z777" s="6"/>
      <c r="AX777" s="6" t="str">
        <v>Quarter 4</v>
      </c>
    </row>
    <row r="778" spans="1:50" ht="31.4" customHeight="1" x14ac:dyDescent="0.35">
      <c r="A778" s="162">
        <v>777</v>
      </c>
      <c r="B778" s="4" t="s">
        <v>8</v>
      </c>
      <c r="C778" s="4" t="s">
        <v>8</v>
      </c>
      <c r="D778" s="4" t="s">
        <v>1387</v>
      </c>
      <c r="E778" s="157">
        <v>45663</v>
      </c>
      <c r="F778" s="9">
        <f>IF($E778="","",WORKDAY($E778,1,$V$33:$V$41))</f>
        <v>45664</v>
      </c>
      <c r="G778" s="9">
        <f>IF($E778="","",WORKDAY($E778,10,$V$33:$V$41))</f>
        <v>45677</v>
      </c>
      <c r="H778" s="9">
        <f>IF($E778="","",WORKDAY($E778,20,$V$33:$V$41))</f>
        <v>45691</v>
      </c>
      <c r="I778" s="157" t="str">
        <f t="shared" si="16"/>
        <v>Jan</v>
      </c>
      <c r="J778" s="142" t="str">
        <f ca="1">IF(E778="","",IF(N778="",H778-TODAY(),""))</f>
        <v/>
      </c>
      <c r="K778" s="157" t="s">
        <v>124</v>
      </c>
      <c r="L778" s="157" t="s">
        <v>20</v>
      </c>
      <c r="M778" s="157" t="s">
        <v>62</v>
      </c>
      <c r="N778" s="9">
        <v>45730</v>
      </c>
      <c r="O778" s="159">
        <f>IF($N778="","",NETWORKDAYS($E778,$N778,$V$33:$V$47)-1)</f>
        <v>49</v>
      </c>
      <c r="P778" s="10" t="str">
        <f>IF(ISBLANK(N778),"",IF(N778&gt;H778,"No","Yes"))</f>
        <v>No</v>
      </c>
      <c r="Q778" s="9" t="s">
        <v>117</v>
      </c>
      <c r="R778" s="4" t="s">
        <v>118</v>
      </c>
      <c r="S778" s="4"/>
      <c r="T778" s="4" t="s">
        <v>141</v>
      </c>
      <c r="U778" s="6"/>
      <c r="V778" s="6"/>
      <c r="W778" s="6"/>
      <c r="X778" s="6"/>
      <c r="Y778" s="6"/>
      <c r="Z778" s="6"/>
      <c r="AX778" s="6" t="str">
        <v>Quarter 4</v>
      </c>
    </row>
    <row r="779" spans="1:50" ht="31.4" customHeight="1" x14ac:dyDescent="0.35">
      <c r="A779" s="162">
        <v>778</v>
      </c>
      <c r="B779" s="4" t="s">
        <v>138</v>
      </c>
      <c r="C779" s="4" t="s">
        <v>19</v>
      </c>
      <c r="D779" s="4" t="s">
        <v>1388</v>
      </c>
      <c r="E779" s="157">
        <v>45663</v>
      </c>
      <c r="F779" s="9">
        <f>IF($E779="","",WORKDAY($E779,1,$V$33:$V$41))</f>
        <v>45664</v>
      </c>
      <c r="G779" s="9">
        <f>IF($E779="","",WORKDAY($E779,10,$V$33:$V$41))</f>
        <v>45677</v>
      </c>
      <c r="H779" s="9">
        <f>IF($E779="","",WORKDAY($E779,20,$V$33:$V$41))</f>
        <v>45691</v>
      </c>
      <c r="I779" s="157" t="str">
        <f t="shared" si="16"/>
        <v>Jan</v>
      </c>
      <c r="J779" s="142" t="str">
        <f ca="1">IF(E779="","",IF(N779="",H779-TODAY(),""))</f>
        <v/>
      </c>
      <c r="K779" s="157" t="s">
        <v>10</v>
      </c>
      <c r="L779" s="157" t="s">
        <v>12</v>
      </c>
      <c r="M779" s="157" t="s">
        <v>30</v>
      </c>
      <c r="N779" s="9">
        <v>45663</v>
      </c>
      <c r="O779" s="159">
        <f>IF($N779="","",NETWORKDAYS($E779,$N779,$V$33:$V$47)-1)</f>
        <v>0</v>
      </c>
      <c r="P779" s="10" t="str">
        <f>IF(ISBLANK(N779),"",IF(N779&gt;H779,"No","Yes"))</f>
        <v>Yes</v>
      </c>
      <c r="Q779" s="9" t="s">
        <v>117</v>
      </c>
      <c r="R779" s="4" t="s">
        <v>150</v>
      </c>
      <c r="S779" s="4"/>
      <c r="T779" s="4"/>
      <c r="U779" s="6"/>
      <c r="V779" s="6"/>
      <c r="W779" s="6"/>
      <c r="X779" s="6"/>
      <c r="Y779" s="6"/>
      <c r="Z779" s="6"/>
      <c r="AX779" s="6" t="str">
        <v>Quarter 4</v>
      </c>
    </row>
    <row r="780" spans="1:50" ht="31.4" customHeight="1" x14ac:dyDescent="0.35">
      <c r="A780" s="162">
        <v>779</v>
      </c>
      <c r="B780" s="4" t="s">
        <v>8</v>
      </c>
      <c r="C780" s="4" t="s">
        <v>8</v>
      </c>
      <c r="D780" s="4" t="s">
        <v>1389</v>
      </c>
      <c r="E780" s="157">
        <v>45663</v>
      </c>
      <c r="F780" s="9">
        <f>IF($E780="","",WORKDAY($E780,1,$V$33:$V$41))</f>
        <v>45664</v>
      </c>
      <c r="G780" s="9">
        <f>IF($E780="","",WORKDAY($E780,10,$V$33:$V$41))</f>
        <v>45677</v>
      </c>
      <c r="H780" s="9">
        <f>IF($E780="","",WORKDAY($E780,20,$V$33:$V$41))</f>
        <v>45691</v>
      </c>
      <c r="I780" s="157" t="str">
        <f t="shared" si="16"/>
        <v>Jan</v>
      </c>
      <c r="J780" s="142" t="str">
        <f ca="1">IF(E780="","",IF(N780="",H780-TODAY(),""))</f>
        <v/>
      </c>
      <c r="K780" s="157" t="s">
        <v>10</v>
      </c>
      <c r="L780" s="157" t="s">
        <v>27</v>
      </c>
      <c r="M780" s="157" t="s">
        <v>38</v>
      </c>
      <c r="N780" s="9">
        <v>45678</v>
      </c>
      <c r="O780" s="159">
        <f>IF($N780="","",NETWORKDAYS($E780,$N780,$V$33:$V$47)-1)</f>
        <v>11</v>
      </c>
      <c r="P780" s="10" t="str">
        <f>IF(ISBLANK(N780),"",IF(N780&gt;H780,"No","Yes"))</f>
        <v>Yes</v>
      </c>
      <c r="Q780" s="9" t="s">
        <v>117</v>
      </c>
      <c r="R780" s="4" t="s">
        <v>126</v>
      </c>
      <c r="S780" s="4" t="s">
        <v>119</v>
      </c>
      <c r="T780" s="4"/>
      <c r="U780" s="6"/>
      <c r="V780" s="6"/>
      <c r="W780" s="6"/>
      <c r="X780" s="6"/>
      <c r="Y780" s="6"/>
      <c r="Z780" s="6"/>
      <c r="AX780" s="6" t="str">
        <v>Quarter 4</v>
      </c>
    </row>
    <row r="781" spans="1:50" ht="31.4" customHeight="1" x14ac:dyDescent="0.35">
      <c r="A781" s="162">
        <v>780</v>
      </c>
      <c r="B781" s="4" t="s">
        <v>8</v>
      </c>
      <c r="C781" s="4" t="s">
        <v>8</v>
      </c>
      <c r="D781" s="4" t="s">
        <v>1390</v>
      </c>
      <c r="E781" s="157">
        <v>45663</v>
      </c>
      <c r="F781" s="9">
        <f>IF($E781="","",WORKDAY($E781,1,$V$33:$V$41))</f>
        <v>45664</v>
      </c>
      <c r="G781" s="9">
        <f>IF($E781="","",WORKDAY($E781,10,$V$33:$V$41))</f>
        <v>45677</v>
      </c>
      <c r="H781" s="9">
        <f>IF($E781="","",WORKDAY($E781,20,$V$33:$V$41))</f>
        <v>45691</v>
      </c>
      <c r="I781" s="157" t="str">
        <f t="shared" si="16"/>
        <v>Jan</v>
      </c>
      <c r="J781" s="142" t="str">
        <f ca="1">IF(E781="","",IF(N781="",H781-TODAY(),""))</f>
        <v/>
      </c>
      <c r="K781" s="157" t="s">
        <v>10</v>
      </c>
      <c r="L781" s="157" t="s">
        <v>12</v>
      </c>
      <c r="M781" s="157" t="s">
        <v>30</v>
      </c>
      <c r="N781" s="9">
        <v>45671</v>
      </c>
      <c r="O781" s="159">
        <f>IF($N781="","",NETWORKDAYS($E781,$N781,$V$33:$V$47)-1)</f>
        <v>6</v>
      </c>
      <c r="P781" s="10" t="str">
        <f>IF(ISBLANK(N781),"",IF(N781&gt;H781,"No","Yes"))</f>
        <v>Yes</v>
      </c>
      <c r="Q781" s="9" t="s">
        <v>117</v>
      </c>
      <c r="R781" s="4" t="s">
        <v>118</v>
      </c>
      <c r="S781" s="4"/>
      <c r="T781" s="4"/>
      <c r="U781" s="6"/>
      <c r="V781" s="6"/>
      <c r="W781" s="6"/>
      <c r="X781" s="6"/>
      <c r="Y781" s="6"/>
      <c r="Z781" s="6"/>
      <c r="AX781" s="6" t="str">
        <v>Quarter 4</v>
      </c>
    </row>
    <row r="782" spans="1:50" ht="31.4" customHeight="1" x14ac:dyDescent="0.35">
      <c r="A782" s="162">
        <v>781</v>
      </c>
      <c r="B782" s="4" t="s">
        <v>293</v>
      </c>
      <c r="C782" s="4" t="s">
        <v>6</v>
      </c>
      <c r="D782" s="4" t="s">
        <v>1391</v>
      </c>
      <c r="E782" s="157">
        <v>45663</v>
      </c>
      <c r="F782" s="9">
        <f>IF($E782="","",WORKDAY($E782,1,$V$33:$V$41))</f>
        <v>45664</v>
      </c>
      <c r="G782" s="9">
        <f>IF($E782="","",WORKDAY($E782,10,$V$33:$V$41))</f>
        <v>45677</v>
      </c>
      <c r="H782" s="9">
        <f>IF($E782="","",WORKDAY($E782,20,$V$33:$V$41))</f>
        <v>45691</v>
      </c>
      <c r="I782" s="157" t="str">
        <f t="shared" si="16"/>
        <v>Jan</v>
      </c>
      <c r="J782" s="142" t="str">
        <f ca="1">IF(E782="","",IF(N782="",H782-TODAY(),""))</f>
        <v/>
      </c>
      <c r="K782" s="157" t="s">
        <v>4</v>
      </c>
      <c r="L782" s="157" t="s">
        <v>26</v>
      </c>
      <c r="M782" s="157" t="s">
        <v>93</v>
      </c>
      <c r="N782" s="9">
        <v>45673</v>
      </c>
      <c r="O782" s="159">
        <f>IF($N782="","",NETWORKDAYS($E782,$N782,$V$33:$V$47)-1)</f>
        <v>8</v>
      </c>
      <c r="P782" s="10" t="str">
        <f>IF(ISBLANK(N782),"",IF(N782&gt;H782,"No","Yes"))</f>
        <v>Yes</v>
      </c>
      <c r="Q782" s="9" t="s">
        <v>117</v>
      </c>
      <c r="R782" s="4" t="s">
        <v>118</v>
      </c>
      <c r="S782" s="4"/>
      <c r="T782" s="4"/>
      <c r="U782" s="6"/>
      <c r="V782" s="6"/>
      <c r="W782" s="6"/>
      <c r="X782" s="6"/>
      <c r="Y782" s="6"/>
      <c r="Z782" s="6"/>
      <c r="AX782" s="6" t="str">
        <v>Quarter 4</v>
      </c>
    </row>
    <row r="783" spans="1:50" ht="31.4" customHeight="1" x14ac:dyDescent="0.35">
      <c r="A783" s="162">
        <v>782</v>
      </c>
      <c r="B783" s="4" t="s">
        <v>1249</v>
      </c>
      <c r="C783" s="4" t="s">
        <v>6</v>
      </c>
      <c r="D783" s="4" t="s">
        <v>1392</v>
      </c>
      <c r="E783" s="157">
        <v>45664</v>
      </c>
      <c r="F783" s="9">
        <f>IF($E783="","",WORKDAY($E783,1,$V$33:$V$41))</f>
        <v>45665</v>
      </c>
      <c r="G783" s="9">
        <f>IF($E783="","",WORKDAY($E783,10,$V$33:$V$41))</f>
        <v>45678</v>
      </c>
      <c r="H783" s="9">
        <f>IF($E783="","",WORKDAY($E783,20,$V$33:$V$41))</f>
        <v>45692</v>
      </c>
      <c r="I783" s="157" t="str">
        <f t="shared" si="16"/>
        <v>Jan</v>
      </c>
      <c r="J783" s="142" t="str">
        <f ca="1">IF(E783="","",IF(N783="",H783-TODAY(),""))</f>
        <v/>
      </c>
      <c r="K783" s="157" t="s">
        <v>10</v>
      </c>
      <c r="L783" s="157" t="s">
        <v>12</v>
      </c>
      <c r="M783" s="157" t="s">
        <v>30</v>
      </c>
      <c r="N783" s="9">
        <v>45680</v>
      </c>
      <c r="O783" s="159">
        <f>IF($N783="","",NETWORKDAYS($E783,$N783,$V$33:$V$47)-1)</f>
        <v>12</v>
      </c>
      <c r="P783" s="10" t="str">
        <f>IF(ISBLANK(N783),"",IF(N783&gt;H783,"No","Yes"))</f>
        <v>Yes</v>
      </c>
      <c r="Q783" s="9" t="s">
        <v>117</v>
      </c>
      <c r="R783" s="4" t="s">
        <v>118</v>
      </c>
      <c r="S783" s="4"/>
      <c r="T783" s="4"/>
      <c r="U783" s="6"/>
      <c r="V783" s="6"/>
      <c r="W783" s="6"/>
      <c r="X783" s="6"/>
      <c r="Y783" s="6"/>
      <c r="Z783" s="6"/>
      <c r="AX783" s="6" t="str">
        <v>Quarter 4</v>
      </c>
    </row>
    <row r="784" spans="1:50" ht="31.4" customHeight="1" x14ac:dyDescent="0.35">
      <c r="A784" s="162">
        <v>783</v>
      </c>
      <c r="B784" s="4" t="s">
        <v>8</v>
      </c>
      <c r="C784" s="4" t="s">
        <v>8</v>
      </c>
      <c r="D784" s="4" t="s">
        <v>1393</v>
      </c>
      <c r="E784" s="157">
        <v>45664</v>
      </c>
      <c r="F784" s="9">
        <f>IF($E784="","",WORKDAY($E784,1,$V$33:$V$41))</f>
        <v>45665</v>
      </c>
      <c r="G784" s="9">
        <f>IF($E784="","",WORKDAY($E784,10,$V$33:$V$41))</f>
        <v>45678</v>
      </c>
      <c r="H784" s="9">
        <f>IF($E784="","",WORKDAY($E784,20,$V$33:$V$41))</f>
        <v>45692</v>
      </c>
      <c r="I784" s="157" t="str">
        <f t="shared" si="16"/>
        <v>Jan</v>
      </c>
      <c r="J784" s="142" t="str">
        <f ca="1">IF(E784="","",IF(N784="",H784-TODAY(),""))</f>
        <v/>
      </c>
      <c r="K784" s="157" t="s">
        <v>4</v>
      </c>
      <c r="L784" s="157" t="s">
        <v>3</v>
      </c>
      <c r="M784" s="157" t="s">
        <v>74</v>
      </c>
      <c r="N784" s="9">
        <v>45692</v>
      </c>
      <c r="O784" s="159">
        <f>IF($N784="","",NETWORKDAYS($E784,$N784,$V$33:$V$47)-1)</f>
        <v>20</v>
      </c>
      <c r="P784" s="10" t="str">
        <f>IF(ISBLANK(N784),"",IF(N784&gt;H784,"No","Yes"))</f>
        <v>Yes</v>
      </c>
      <c r="Q784" s="9" t="s">
        <v>117</v>
      </c>
      <c r="R784" s="4" t="s">
        <v>118</v>
      </c>
      <c r="S784" s="4"/>
      <c r="T784" s="4"/>
      <c r="U784" s="6"/>
      <c r="V784" s="6"/>
      <c r="W784" s="6"/>
      <c r="X784" s="6"/>
      <c r="Y784" s="6"/>
      <c r="Z784" s="6"/>
      <c r="AX784" s="6" t="str">
        <v>Quarter 4</v>
      </c>
    </row>
    <row r="785" spans="1:50" ht="31.4" customHeight="1" x14ac:dyDescent="0.35">
      <c r="A785" s="162">
        <v>784</v>
      </c>
      <c r="B785" s="4" t="s">
        <v>8</v>
      </c>
      <c r="C785" s="4" t="s">
        <v>8</v>
      </c>
      <c r="D785" s="4" t="s">
        <v>251</v>
      </c>
      <c r="E785" s="157">
        <v>45664</v>
      </c>
      <c r="F785" s="9">
        <f>IF($E785="","",WORKDAY($E785,1,$V$33:$V$41))</f>
        <v>45665</v>
      </c>
      <c r="G785" s="9">
        <f>IF($E785="","",WORKDAY($E785,10,$V$33:$V$41))</f>
        <v>45678</v>
      </c>
      <c r="H785" s="9">
        <f>IF($E785="","",WORKDAY($E785,20,$V$33:$V$41))</f>
        <v>45692</v>
      </c>
      <c r="I785" s="157" t="str">
        <f t="shared" si="16"/>
        <v>Jan</v>
      </c>
      <c r="J785" s="142" t="str">
        <f ca="1">IF(E785="","",IF(N785="",H785-TODAY(),""))</f>
        <v/>
      </c>
      <c r="K785" s="157" t="s">
        <v>5</v>
      </c>
      <c r="L785" s="157" t="s">
        <v>18</v>
      </c>
      <c r="M785" s="157" t="s">
        <v>66</v>
      </c>
      <c r="N785" s="9">
        <v>45664</v>
      </c>
      <c r="O785" s="159">
        <f>IF($N785="","",NETWORKDAYS($E785,$N785,$V$33:$V$47)-1)</f>
        <v>0</v>
      </c>
      <c r="P785" s="10" t="str">
        <f>IF(ISBLANK(N785),"",IF(N785&gt;H785,"No","Yes"))</f>
        <v>Yes</v>
      </c>
      <c r="Q785" s="9" t="s">
        <v>117</v>
      </c>
      <c r="R785" s="4" t="s">
        <v>126</v>
      </c>
      <c r="S785" s="4" t="s">
        <v>119</v>
      </c>
      <c r="T785" s="4" t="s">
        <v>1021</v>
      </c>
      <c r="U785" s="6"/>
      <c r="V785" s="6"/>
      <c r="W785" s="6"/>
      <c r="X785" s="6"/>
      <c r="Y785" s="6"/>
      <c r="Z785" s="6"/>
      <c r="AX785" s="6" t="str">
        <v>Quarter 4</v>
      </c>
    </row>
    <row r="786" spans="1:50" ht="31.4" customHeight="1" x14ac:dyDescent="0.35">
      <c r="A786" s="162">
        <v>785</v>
      </c>
      <c r="B786" s="4" t="s">
        <v>457</v>
      </c>
      <c r="C786" s="4" t="s">
        <v>6</v>
      </c>
      <c r="D786" s="4" t="s">
        <v>1394</v>
      </c>
      <c r="E786" s="157">
        <v>45664</v>
      </c>
      <c r="F786" s="9">
        <f>IF($E786="","",WORKDAY($E786,1,$V$33:$V$41))</f>
        <v>45665</v>
      </c>
      <c r="G786" s="9">
        <f>IF($E786="","",WORKDAY($E786,10,$V$33:$V$41))</f>
        <v>45678</v>
      </c>
      <c r="H786" s="9">
        <f>IF($E786="","",WORKDAY($E786,20,$V$33:$V$41))</f>
        <v>45692</v>
      </c>
      <c r="I786" s="157" t="str">
        <f t="shared" si="16"/>
        <v>Jan</v>
      </c>
      <c r="J786" s="142" t="str">
        <f ca="1">IF(E786="","",IF(N786="",H786-TODAY(),""))</f>
        <v/>
      </c>
      <c r="K786" s="157" t="s">
        <v>124</v>
      </c>
      <c r="L786" s="157" t="s">
        <v>20</v>
      </c>
      <c r="M786" s="157" t="s">
        <v>92</v>
      </c>
      <c r="N786" s="9">
        <v>45666</v>
      </c>
      <c r="O786" s="159">
        <f>IF($N786="","",NETWORKDAYS($E786,$N786,$V$33:$V$47)-1)</f>
        <v>2</v>
      </c>
      <c r="P786" s="10" t="str">
        <f>IF(ISBLANK(N786),"",IF(N786&gt;H786,"No","Yes"))</f>
        <v>Yes</v>
      </c>
      <c r="Q786" s="9" t="s">
        <v>117</v>
      </c>
      <c r="R786" s="4" t="s">
        <v>118</v>
      </c>
      <c r="S786" s="4"/>
      <c r="T786" s="4"/>
      <c r="U786" s="6"/>
      <c r="V786" s="6"/>
      <c r="W786" s="6"/>
      <c r="X786" s="6"/>
      <c r="Y786" s="6"/>
      <c r="Z786" s="6"/>
      <c r="AX786" s="6" t="str">
        <v>Quarter 4</v>
      </c>
    </row>
    <row r="787" spans="1:50" ht="31.4" customHeight="1" x14ac:dyDescent="0.35">
      <c r="A787" s="162">
        <v>786</v>
      </c>
      <c r="B787" s="4" t="s">
        <v>1380</v>
      </c>
      <c r="C787" s="4" t="s">
        <v>15</v>
      </c>
      <c r="D787" s="4" t="s">
        <v>1395</v>
      </c>
      <c r="E787" s="157">
        <v>45665</v>
      </c>
      <c r="F787" s="9">
        <f>IF($E787="","",WORKDAY($E787,1,$V$33:$V$41))</f>
        <v>45666</v>
      </c>
      <c r="G787" s="9">
        <f>IF($E787="","",WORKDAY($E787,10,$V$33:$V$41))</f>
        <v>45679</v>
      </c>
      <c r="H787" s="9">
        <f>IF($E787="","",WORKDAY($E787,20,$V$33:$V$41))</f>
        <v>45693</v>
      </c>
      <c r="I787" s="157" t="str">
        <f t="shared" si="16"/>
        <v>Jan</v>
      </c>
      <c r="J787" s="142" t="str">
        <f ca="1">IF(E787="","",IF(N787="",H787-TODAY(),""))</f>
        <v/>
      </c>
      <c r="K787" s="157" t="s">
        <v>4</v>
      </c>
      <c r="L787" s="157" t="s">
        <v>26</v>
      </c>
      <c r="M787" s="157" t="s">
        <v>57</v>
      </c>
      <c r="N787" s="9">
        <v>45680</v>
      </c>
      <c r="O787" s="159">
        <f>IF($N787="","",NETWORKDAYS($E787,$N787,$V$33:$V$47)-1)</f>
        <v>11</v>
      </c>
      <c r="P787" s="10" t="str">
        <f>IF(ISBLANK(N787),"",IF(N787&gt;H787,"No","Yes"))</f>
        <v>Yes</v>
      </c>
      <c r="Q787" s="9" t="s">
        <v>117</v>
      </c>
      <c r="R787" s="4" t="s">
        <v>118</v>
      </c>
      <c r="S787" s="4"/>
      <c r="T787" s="4"/>
      <c r="U787" s="6"/>
      <c r="V787" s="6"/>
      <c r="W787" s="6"/>
      <c r="X787" s="6"/>
      <c r="Y787" s="6"/>
      <c r="Z787" s="6"/>
      <c r="AX787" s="6" t="str">
        <v>Quarter 4</v>
      </c>
    </row>
    <row r="788" spans="1:50" ht="31.4" customHeight="1" x14ac:dyDescent="0.35">
      <c r="A788" s="162">
        <v>787</v>
      </c>
      <c r="B788" s="4" t="s">
        <v>8</v>
      </c>
      <c r="C788" s="4" t="s">
        <v>8</v>
      </c>
      <c r="D788" s="4" t="s">
        <v>1396</v>
      </c>
      <c r="E788" s="157">
        <v>45665</v>
      </c>
      <c r="F788" s="9">
        <f>IF($E788="","",WORKDAY($E788,1,$V$33:$V$41))</f>
        <v>45666</v>
      </c>
      <c r="G788" s="9">
        <f>IF($E788="","",WORKDAY($E788,10,$V$33:$V$41))</f>
        <v>45679</v>
      </c>
      <c r="H788" s="9">
        <f>IF($E788="","",WORKDAY($E788,20,$V$33:$V$41))</f>
        <v>45693</v>
      </c>
      <c r="I788" s="157" t="str">
        <f t="shared" si="16"/>
        <v>Jan</v>
      </c>
      <c r="J788" s="142" t="str">
        <f ca="1">IF(E788="","",IF(N788="",H788-TODAY(),""))</f>
        <v/>
      </c>
      <c r="K788" s="157" t="s">
        <v>10</v>
      </c>
      <c r="L788" s="157" t="s">
        <v>27</v>
      </c>
      <c r="M788" s="157" t="s">
        <v>86</v>
      </c>
      <c r="N788" s="9">
        <v>45665</v>
      </c>
      <c r="O788" s="159">
        <f>IF($N788="","",NETWORKDAYS($E788,$N788,$V$33:$V$47)-1)</f>
        <v>0</v>
      </c>
      <c r="P788" s="10" t="str">
        <f>IF(ISBLANK(N788),"",IF(N788&gt;H788,"No","Yes"))</f>
        <v>Yes</v>
      </c>
      <c r="Q788" s="9" t="s">
        <v>117</v>
      </c>
      <c r="R788" s="4" t="s">
        <v>132</v>
      </c>
      <c r="S788" s="4" t="s">
        <v>119</v>
      </c>
      <c r="T788" s="4" t="s">
        <v>1397</v>
      </c>
      <c r="U788" s="6"/>
      <c r="V788" s="6"/>
      <c r="W788" s="6"/>
      <c r="X788" s="6"/>
      <c r="Y788" s="6"/>
      <c r="Z788" s="6"/>
      <c r="AX788" s="6" t="str">
        <v>Quarter 4</v>
      </c>
    </row>
    <row r="789" spans="1:50" ht="31.4" customHeight="1" x14ac:dyDescent="0.35">
      <c r="A789" s="162">
        <v>788</v>
      </c>
      <c r="B789" s="4" t="s">
        <v>8</v>
      </c>
      <c r="C789" s="4" t="s">
        <v>8</v>
      </c>
      <c r="D789" s="4" t="s">
        <v>1398</v>
      </c>
      <c r="E789" s="157">
        <v>45674</v>
      </c>
      <c r="F789" s="9">
        <f>IF($E789="","",WORKDAY($E789,1,$V$33:$V$41))</f>
        <v>45677</v>
      </c>
      <c r="G789" s="9">
        <f>IF($E789="","",WORKDAY($E789,10,$V$33:$V$41))</f>
        <v>45688</v>
      </c>
      <c r="H789" s="9">
        <f>IF($E789="","",WORKDAY($E789,20,$V$33:$V$41))</f>
        <v>45702</v>
      </c>
      <c r="I789" s="157" t="str">
        <f t="shared" si="16"/>
        <v>Jan</v>
      </c>
      <c r="J789" s="142" t="str">
        <f ca="1">IF(E789="","",IF(N789="",H789-TODAY(),""))</f>
        <v/>
      </c>
      <c r="K789" s="157" t="s">
        <v>4</v>
      </c>
      <c r="L789" s="157" t="s">
        <v>7</v>
      </c>
      <c r="M789" s="157" t="s">
        <v>31</v>
      </c>
      <c r="N789" s="9">
        <v>45679</v>
      </c>
      <c r="O789" s="159">
        <f>IF($N789="","",NETWORKDAYS($E789,$N789,$V$33:$V$47)-1)</f>
        <v>3</v>
      </c>
      <c r="P789" s="10" t="str">
        <f>IF(ISBLANK(N789),"",IF(N789&gt;H789,"No","Yes"))</f>
        <v>Yes</v>
      </c>
      <c r="Q789" s="9" t="s">
        <v>117</v>
      </c>
      <c r="R789" s="4" t="s">
        <v>126</v>
      </c>
      <c r="S789" s="4" t="s">
        <v>119</v>
      </c>
      <c r="T789" s="4" t="s">
        <v>141</v>
      </c>
      <c r="U789" s="6"/>
      <c r="V789" s="6"/>
      <c r="W789" s="6"/>
      <c r="X789" s="6"/>
      <c r="Y789" s="6"/>
      <c r="Z789" s="6"/>
      <c r="AX789" s="6" t="str">
        <v>Quarter 4</v>
      </c>
    </row>
    <row r="790" spans="1:50" ht="31.4" customHeight="1" x14ac:dyDescent="0.35">
      <c r="A790" s="162">
        <v>789</v>
      </c>
      <c r="B790" s="4" t="s">
        <v>138</v>
      </c>
      <c r="C790" s="4" t="s">
        <v>19</v>
      </c>
      <c r="D790" s="4" t="s">
        <v>1399</v>
      </c>
      <c r="E790" s="157">
        <v>45665</v>
      </c>
      <c r="F790" s="9">
        <f>IF($E790="","",WORKDAY($E790,1,$V$33:$V$41))</f>
        <v>45666</v>
      </c>
      <c r="G790" s="9">
        <f>IF($E790="","",WORKDAY($E790,10,$V$33:$V$41))</f>
        <v>45679</v>
      </c>
      <c r="H790" s="9">
        <f>IF($E790="","",WORKDAY($E790,20,$V$33:$V$41))</f>
        <v>45693</v>
      </c>
      <c r="I790" s="157" t="str">
        <f t="shared" si="16"/>
        <v>Jan</v>
      </c>
      <c r="J790" s="142" t="str">
        <f ca="1">IF(E790="","",IF(N790="",H790-TODAY(),""))</f>
        <v/>
      </c>
      <c r="K790" s="157" t="s">
        <v>5</v>
      </c>
      <c r="L790" s="157" t="s">
        <v>18</v>
      </c>
      <c r="M790" s="157" t="s">
        <v>66</v>
      </c>
      <c r="N790" s="9">
        <v>45665</v>
      </c>
      <c r="O790" s="159">
        <f>IF($N790="","",NETWORKDAYS($E790,$N790,$V$33:$V$47)-1)</f>
        <v>0</v>
      </c>
      <c r="P790" s="10" t="str">
        <f>IF(ISBLANK(N790),"",IF(N790&gt;H790,"No","Yes"))</f>
        <v>Yes</v>
      </c>
      <c r="Q790" s="9" t="s">
        <v>117</v>
      </c>
      <c r="R790" s="4" t="s">
        <v>118</v>
      </c>
      <c r="S790" s="4"/>
      <c r="T790" s="4" t="s">
        <v>141</v>
      </c>
      <c r="U790" s="6"/>
      <c r="V790" s="6"/>
      <c r="W790" s="6"/>
      <c r="X790" s="6"/>
      <c r="Y790" s="6"/>
      <c r="Z790" s="6"/>
      <c r="AX790" s="6" t="str">
        <v>Quarter 4</v>
      </c>
    </row>
    <row r="791" spans="1:50" ht="31.4" customHeight="1" x14ac:dyDescent="0.35">
      <c r="A791" s="162">
        <v>790</v>
      </c>
      <c r="B791" s="4" t="s">
        <v>1249</v>
      </c>
      <c r="C791" s="4" t="s">
        <v>6</v>
      </c>
      <c r="D791" s="4" t="s">
        <v>1400</v>
      </c>
      <c r="E791" s="157">
        <v>45666</v>
      </c>
      <c r="F791" s="9">
        <f>IF($E791="","",WORKDAY($E791,1,$V$33:$V$41))</f>
        <v>45667</v>
      </c>
      <c r="G791" s="9">
        <f>IF($E791="","",WORKDAY($E791,10,$V$33:$V$41))</f>
        <v>45680</v>
      </c>
      <c r="H791" s="9">
        <f>IF($E791="","",WORKDAY($E791,20,$V$33:$V$41))</f>
        <v>45694</v>
      </c>
      <c r="I791" s="157" t="str">
        <f t="shared" si="16"/>
        <v>Jan</v>
      </c>
      <c r="J791" s="142" t="str">
        <f ca="1">IF(E791="","",IF(N791="",H791-TODAY(),""))</f>
        <v/>
      </c>
      <c r="K791" s="157" t="s">
        <v>10</v>
      </c>
      <c r="L791" s="157" t="s">
        <v>12</v>
      </c>
      <c r="M791" s="157" t="s">
        <v>65</v>
      </c>
      <c r="N791" s="9">
        <v>45691</v>
      </c>
      <c r="O791" s="159">
        <f>IF($N791="","",NETWORKDAYS($E791,$N791,$V$33:$V$47)-1)</f>
        <v>17</v>
      </c>
      <c r="P791" s="10" t="str">
        <f>IF(ISBLANK(N791),"",IF(N791&gt;H791,"No","Yes"))</f>
        <v>Yes</v>
      </c>
      <c r="Q791" s="9" t="s">
        <v>117</v>
      </c>
      <c r="R791" s="4" t="s">
        <v>126</v>
      </c>
      <c r="S791" s="4" t="s">
        <v>120</v>
      </c>
      <c r="T791" s="4"/>
      <c r="U791" s="6"/>
      <c r="V791" s="6"/>
      <c r="W791" s="6"/>
      <c r="X791" s="6"/>
      <c r="Y791" s="6"/>
      <c r="Z791" s="6"/>
      <c r="AX791" s="6" t="str">
        <v>Quarter 4</v>
      </c>
    </row>
    <row r="792" spans="1:50" ht="31.4" customHeight="1" x14ac:dyDescent="0.35">
      <c r="A792" s="162">
        <v>791</v>
      </c>
      <c r="B792" s="4" t="s">
        <v>8</v>
      </c>
      <c r="C792" s="4" t="s">
        <v>8</v>
      </c>
      <c r="D792" s="4" t="s">
        <v>1401</v>
      </c>
      <c r="E792" s="157">
        <v>45666</v>
      </c>
      <c r="F792" s="9">
        <f>IF($E792="","",WORKDAY($E792,1,$V$33:$V$41))</f>
        <v>45667</v>
      </c>
      <c r="G792" s="9">
        <f>IF($E792="","",WORKDAY($E792,10,$V$33:$V$41))</f>
        <v>45680</v>
      </c>
      <c r="H792" s="9">
        <f>IF($E792="","",WORKDAY($E792,20,$V$33:$V$41))</f>
        <v>45694</v>
      </c>
      <c r="I792" s="157" t="str">
        <f t="shared" si="16"/>
        <v>Jan</v>
      </c>
      <c r="J792" s="142" t="str">
        <f ca="1">IF(E792="","",IF(N792="",H792-TODAY(),""))</f>
        <v/>
      </c>
      <c r="K792" s="157" t="s">
        <v>124</v>
      </c>
      <c r="L792" s="157" t="s">
        <v>20</v>
      </c>
      <c r="M792" s="157" t="s">
        <v>92</v>
      </c>
      <c r="N792" s="9">
        <v>45680</v>
      </c>
      <c r="O792" s="159">
        <f>IF($N792="","",NETWORKDAYS($E792,$N792,$V$33:$V$47)-1)</f>
        <v>10</v>
      </c>
      <c r="P792" s="10" t="str">
        <f>IF(ISBLANK(N792),"",IF(N792&gt;H792,"No","Yes"))</f>
        <v>Yes</v>
      </c>
      <c r="Q792" s="9" t="s">
        <v>117</v>
      </c>
      <c r="R792" s="4" t="s">
        <v>118</v>
      </c>
      <c r="S792" s="4"/>
      <c r="T792" s="4"/>
      <c r="U792" s="6"/>
      <c r="V792" s="6"/>
      <c r="W792" s="6"/>
      <c r="X792" s="6"/>
      <c r="Y792" s="6"/>
      <c r="Z792" s="6"/>
      <c r="AX792" s="6" t="str">
        <v>Quarter 4</v>
      </c>
    </row>
    <row r="793" spans="1:50" ht="31.4" customHeight="1" x14ac:dyDescent="0.35">
      <c r="A793" s="162">
        <v>792</v>
      </c>
      <c r="B793" s="4" t="s">
        <v>1249</v>
      </c>
      <c r="C793" s="4" t="s">
        <v>6</v>
      </c>
      <c r="D793" s="4" t="s">
        <v>1392</v>
      </c>
      <c r="E793" s="157">
        <v>45666</v>
      </c>
      <c r="F793" s="9">
        <f>IF($E793="","",WORKDAY($E793,1,$V$33:$V$41))</f>
        <v>45667</v>
      </c>
      <c r="G793" s="9">
        <f>IF($E793="","",WORKDAY($E793,10,$V$33:$V$41))</f>
        <v>45680</v>
      </c>
      <c r="H793" s="9">
        <f>IF($E793="","",WORKDAY($E793,20,$V$33:$V$41))</f>
        <v>45694</v>
      </c>
      <c r="I793" s="157" t="str">
        <f t="shared" si="16"/>
        <v>Jan</v>
      </c>
      <c r="J793" s="142" t="str">
        <f ca="1">IF(E793="","",IF(N793="",H793-TODAY(),""))</f>
        <v/>
      </c>
      <c r="K793" s="157" t="s">
        <v>10</v>
      </c>
      <c r="L793" s="157" t="s">
        <v>12</v>
      </c>
      <c r="M793" s="157" t="s">
        <v>30</v>
      </c>
      <c r="N793" s="9">
        <v>45680</v>
      </c>
      <c r="O793" s="159">
        <f>IF($N793="","",NETWORKDAYS($E793,$N793,$V$33:$V$47)-1)</f>
        <v>10</v>
      </c>
      <c r="P793" s="10" t="str">
        <f>IF(ISBLANK(N793),"",IF(N793&gt;H793,"No","Yes"))</f>
        <v>Yes</v>
      </c>
      <c r="Q793" s="9" t="s">
        <v>117</v>
      </c>
      <c r="R793" s="4" t="s">
        <v>118</v>
      </c>
      <c r="S793" s="4"/>
      <c r="T793" s="4"/>
      <c r="U793" s="6"/>
      <c r="V793" s="6"/>
      <c r="W793" s="6"/>
      <c r="X793" s="6"/>
      <c r="Y793" s="6"/>
      <c r="Z793" s="6"/>
      <c r="AX793" s="6" t="str">
        <v>Quarter 4</v>
      </c>
    </row>
    <row r="794" spans="1:50" ht="31.4" customHeight="1" x14ac:dyDescent="0.35">
      <c r="A794" s="162">
        <v>793</v>
      </c>
      <c r="B794" s="4" t="s">
        <v>8</v>
      </c>
      <c r="C794" s="4" t="s">
        <v>8</v>
      </c>
      <c r="D794" s="4" t="s">
        <v>2094</v>
      </c>
      <c r="E794" s="157">
        <v>45666</v>
      </c>
      <c r="F794" s="9">
        <f>IF($E794="","",WORKDAY($E794,1,$V$33:$V$41))</f>
        <v>45667</v>
      </c>
      <c r="G794" s="9">
        <f>IF($E794="","",WORKDAY($E794,10,$V$33:$V$41))</f>
        <v>45680</v>
      </c>
      <c r="H794" s="9">
        <f>IF($E794="","",WORKDAY($E794,20,$V$33:$V$41))</f>
        <v>45694</v>
      </c>
      <c r="I794" s="157" t="str">
        <f t="shared" si="16"/>
        <v>Jan</v>
      </c>
      <c r="J794" s="142" t="str">
        <f ca="1">IF(E794="","",IF(N794="",H794-TODAY(),""))</f>
        <v/>
      </c>
      <c r="K794" s="157" t="s">
        <v>4</v>
      </c>
      <c r="L794" s="157" t="s">
        <v>7</v>
      </c>
      <c r="M794" s="157" t="s">
        <v>31</v>
      </c>
      <c r="N794" s="9">
        <v>45671</v>
      </c>
      <c r="O794" s="159">
        <f>IF($N794="","",NETWORKDAYS($E794,$N794,$V$33:$V$47)-1)</f>
        <v>3</v>
      </c>
      <c r="P794" s="10" t="str">
        <f>IF(ISBLANK(N794),"",IF(N794&gt;H794,"No","Yes"))</f>
        <v>Yes</v>
      </c>
      <c r="Q794" s="9" t="s">
        <v>117</v>
      </c>
      <c r="R794" s="4" t="s">
        <v>132</v>
      </c>
      <c r="S794" s="4" t="s">
        <v>120</v>
      </c>
      <c r="T794" s="4"/>
      <c r="U794" s="6"/>
      <c r="V794" s="6"/>
      <c r="W794" s="6"/>
      <c r="X794" s="6"/>
      <c r="Y794" s="6"/>
      <c r="Z794" s="6"/>
      <c r="AX794" s="6" t="str">
        <v>Quarter 4</v>
      </c>
    </row>
    <row r="795" spans="1:50" ht="31.4" customHeight="1" x14ac:dyDescent="0.35">
      <c r="A795" s="162">
        <v>794</v>
      </c>
      <c r="B795" s="4" t="s">
        <v>1402</v>
      </c>
      <c r="C795" s="4" t="s">
        <v>6</v>
      </c>
      <c r="D795" s="4" t="s">
        <v>1403</v>
      </c>
      <c r="E795" s="157">
        <v>45667</v>
      </c>
      <c r="F795" s="9">
        <f>IF($E795="","",WORKDAY($E795,1,$V$33:$V$41))</f>
        <v>45670</v>
      </c>
      <c r="G795" s="9">
        <f>IF($E795="","",WORKDAY($E795,10,$V$33:$V$41))</f>
        <v>45681</v>
      </c>
      <c r="H795" s="9">
        <f>IF($E795="","",WORKDAY($E795,20,$V$33:$V$41))</f>
        <v>45695</v>
      </c>
      <c r="I795" s="157" t="str">
        <f t="shared" si="16"/>
        <v>Jan</v>
      </c>
      <c r="J795" s="142" t="str">
        <f ca="1">IF(E795="","",IF(N795="",H795-TODAY(),""))</f>
        <v/>
      </c>
      <c r="K795" s="157" t="s">
        <v>10</v>
      </c>
      <c r="L795" s="157" t="s">
        <v>27</v>
      </c>
      <c r="M795" s="157" t="s">
        <v>86</v>
      </c>
      <c r="N795" s="9">
        <v>45685</v>
      </c>
      <c r="O795" s="159">
        <f>IF($N795="","",NETWORKDAYS($E795,$N795,$V$33:$V$47)-1)</f>
        <v>12</v>
      </c>
      <c r="P795" s="10" t="str">
        <f>IF(ISBLANK(N795),"",IF(N795&gt;H795,"No","Yes"))</f>
        <v>Yes</v>
      </c>
      <c r="Q795" s="9" t="s">
        <v>117</v>
      </c>
      <c r="R795" s="4" t="s">
        <v>118</v>
      </c>
      <c r="S795" s="4"/>
      <c r="T795" s="4"/>
      <c r="U795" s="6"/>
      <c r="V795" s="6"/>
      <c r="W795" s="6"/>
      <c r="X795" s="6"/>
      <c r="Y795" s="6"/>
      <c r="Z795" s="6"/>
      <c r="AX795" s="6" t="str">
        <v>Quarter 4</v>
      </c>
    </row>
    <row r="796" spans="1:50" ht="31.4" customHeight="1" x14ac:dyDescent="0.35">
      <c r="A796" s="162">
        <v>795</v>
      </c>
      <c r="B796" s="4" t="s">
        <v>138</v>
      </c>
      <c r="C796" s="4" t="s">
        <v>19</v>
      </c>
      <c r="D796" s="4" t="s">
        <v>1404</v>
      </c>
      <c r="E796" s="157">
        <v>45667</v>
      </c>
      <c r="F796" s="9">
        <f>IF($E796="","",WORKDAY($E796,1,$V$33:$V$41))</f>
        <v>45670</v>
      </c>
      <c r="G796" s="9">
        <f>IF($E796="","",WORKDAY($E796,10,$V$33:$V$41))</f>
        <v>45681</v>
      </c>
      <c r="H796" s="9">
        <f>IF($E796="","",WORKDAY($E796,20,$V$33:$V$41))</f>
        <v>45695</v>
      </c>
      <c r="I796" s="157" t="str">
        <f t="shared" si="16"/>
        <v>Jan</v>
      </c>
      <c r="J796" s="142" t="str">
        <f ca="1">IF(E796="","",IF(N796="",H796-TODAY(),""))</f>
        <v/>
      </c>
      <c r="K796" s="157" t="s">
        <v>124</v>
      </c>
      <c r="L796" s="157" t="s">
        <v>20</v>
      </c>
      <c r="M796" s="157" t="s">
        <v>92</v>
      </c>
      <c r="N796" s="9">
        <v>45680</v>
      </c>
      <c r="O796" s="159">
        <f>IF($N796="","",NETWORKDAYS($E796,$N796,$V$33:$V$47)-1)</f>
        <v>9</v>
      </c>
      <c r="P796" s="10" t="str">
        <f>IF(ISBLANK(N796),"",IF(N796&gt;H796,"No","Yes"))</f>
        <v>Yes</v>
      </c>
      <c r="Q796" s="9" t="s">
        <v>117</v>
      </c>
      <c r="R796" s="4" t="s">
        <v>118</v>
      </c>
      <c r="S796" s="4"/>
      <c r="T796" s="4"/>
      <c r="U796" s="6"/>
      <c r="V796" s="6"/>
      <c r="W796" s="6"/>
      <c r="X796" s="6"/>
      <c r="Y796" s="6"/>
      <c r="Z796" s="6"/>
      <c r="AX796" s="6" t="str">
        <v>Quarter 4</v>
      </c>
    </row>
    <row r="797" spans="1:50" ht="31.4" customHeight="1" x14ac:dyDescent="0.35">
      <c r="A797" s="162">
        <v>796</v>
      </c>
      <c r="B797" s="4" t="s">
        <v>8</v>
      </c>
      <c r="C797" s="4" t="s">
        <v>8</v>
      </c>
      <c r="D797" s="4" t="s">
        <v>1405</v>
      </c>
      <c r="E797" s="157">
        <v>45670</v>
      </c>
      <c r="F797" s="9">
        <f>IF($E797="","",WORKDAY($E797,1,$V$33:$V$41))</f>
        <v>45671</v>
      </c>
      <c r="G797" s="9">
        <f>IF($E797="","",WORKDAY($E797,10,$V$33:$V$41))</f>
        <v>45684</v>
      </c>
      <c r="H797" s="9">
        <f>IF($E797="","",WORKDAY($E797,20,$V$33:$V$41))</f>
        <v>45698</v>
      </c>
      <c r="I797" s="157" t="str">
        <f t="shared" si="16"/>
        <v>Jan</v>
      </c>
      <c r="J797" s="142" t="str">
        <f ca="1">IF(E797="","",IF(N797="",H797-TODAY(),""))</f>
        <v/>
      </c>
      <c r="K797" s="157" t="s">
        <v>124</v>
      </c>
      <c r="L797" s="157" t="s">
        <v>20</v>
      </c>
      <c r="M797" s="157" t="s">
        <v>47</v>
      </c>
      <c r="N797" s="9">
        <v>45670</v>
      </c>
      <c r="O797" s="159">
        <f>IF($N797="","",NETWORKDAYS($E797,$N797,$V$33:$V$47)-1)</f>
        <v>0</v>
      </c>
      <c r="P797" s="10" t="str">
        <f>IF(ISBLANK(N797),"",IF(N797&gt;H797,"No","Yes"))</f>
        <v>Yes</v>
      </c>
      <c r="Q797" s="9" t="s">
        <v>117</v>
      </c>
      <c r="R797" s="4" t="s">
        <v>118</v>
      </c>
      <c r="S797" s="4"/>
      <c r="T797" s="4"/>
      <c r="U797" s="6"/>
      <c r="V797" s="6"/>
      <c r="W797" s="6"/>
      <c r="X797" s="6"/>
      <c r="Y797" s="6"/>
      <c r="Z797" s="6"/>
      <c r="AX797" s="6" t="str">
        <v>Quarter 4</v>
      </c>
    </row>
    <row r="798" spans="1:50" ht="31.4" customHeight="1" x14ac:dyDescent="0.35">
      <c r="A798" s="162">
        <v>797</v>
      </c>
      <c r="B798" s="4" t="s">
        <v>8</v>
      </c>
      <c r="C798" s="4" t="s">
        <v>8</v>
      </c>
      <c r="D798" s="4" t="s">
        <v>1406</v>
      </c>
      <c r="E798" s="157">
        <v>45667</v>
      </c>
      <c r="F798" s="9">
        <f>IF($E798="","",WORKDAY($E798,1,$V$33:$V$41))</f>
        <v>45670</v>
      </c>
      <c r="G798" s="9">
        <f>IF($E798="","",WORKDAY($E798,10,$V$33:$V$41))</f>
        <v>45681</v>
      </c>
      <c r="H798" s="9">
        <f>IF($E798="","",WORKDAY($E798,20,$V$33:$V$41))</f>
        <v>45695</v>
      </c>
      <c r="I798" s="157" t="str">
        <f t="shared" si="16"/>
        <v>Jan</v>
      </c>
      <c r="J798" s="142" t="str">
        <f ca="1">IF(E798="","",IF(N798="",H798-TODAY(),""))</f>
        <v/>
      </c>
      <c r="K798" s="157" t="s">
        <v>5</v>
      </c>
      <c r="L798" s="157" t="s">
        <v>18</v>
      </c>
      <c r="M798" s="157" t="s">
        <v>66</v>
      </c>
      <c r="N798" s="9">
        <v>45670</v>
      </c>
      <c r="O798" s="159">
        <f>IF($N798="","",NETWORKDAYS($E798,$N798,$V$33:$V$47)-1)</f>
        <v>1</v>
      </c>
      <c r="P798" s="10" t="str">
        <f>IF(ISBLANK(N798),"",IF(N798&gt;H798,"No","Yes"))</f>
        <v>Yes</v>
      </c>
      <c r="Q798" s="9" t="s">
        <v>117</v>
      </c>
      <c r="R798" s="4" t="s">
        <v>132</v>
      </c>
      <c r="S798" s="4" t="s">
        <v>119</v>
      </c>
      <c r="T798" s="4"/>
      <c r="U798" s="6"/>
      <c r="V798" s="6"/>
      <c r="W798" s="6"/>
      <c r="X798" s="6"/>
      <c r="Y798" s="6"/>
      <c r="Z798" s="6"/>
      <c r="AX798" s="6" t="str">
        <v>Quarter 4</v>
      </c>
    </row>
    <row r="799" spans="1:50" ht="31" customHeight="1" x14ac:dyDescent="0.35">
      <c r="A799" s="162">
        <v>798</v>
      </c>
      <c r="B799" s="4" t="s">
        <v>397</v>
      </c>
      <c r="C799" s="4" t="s">
        <v>15</v>
      </c>
      <c r="D799" s="4" t="s">
        <v>1407</v>
      </c>
      <c r="E799" s="157">
        <v>45670</v>
      </c>
      <c r="F799" s="9">
        <f>IF($E799="","",WORKDAY($E799,1,$V$33:$V$41))</f>
        <v>45671</v>
      </c>
      <c r="G799" s="9">
        <f>IF($E799="","",WORKDAY($E799,10,$V$33:$V$41))</f>
        <v>45684</v>
      </c>
      <c r="H799" s="9">
        <f>IF($E799="","",WORKDAY($E799,20,$V$33:$V$41))</f>
        <v>45698</v>
      </c>
      <c r="I799" s="157" t="str">
        <f t="shared" si="16"/>
        <v>Jan</v>
      </c>
      <c r="J799" s="142" t="str">
        <f ca="1">IF(E799="","",IF(N799="",H799-TODAY(),""))</f>
        <v/>
      </c>
      <c r="K799" s="157" t="s">
        <v>124</v>
      </c>
      <c r="L799" s="157" t="s">
        <v>20</v>
      </c>
      <c r="M799" s="157" t="s">
        <v>62</v>
      </c>
      <c r="N799" s="9">
        <v>45730</v>
      </c>
      <c r="O799" s="159">
        <f>IF($N799="","",NETWORKDAYS($E799,$N799,$V$33:$V$47)-1)</f>
        <v>44</v>
      </c>
      <c r="P799" s="10" t="str">
        <f>IF(ISBLANK(N799),"",IF(N799&gt;H799,"No","Yes"))</f>
        <v>No</v>
      </c>
      <c r="Q799" s="9" t="s">
        <v>117</v>
      </c>
      <c r="R799" s="4" t="s">
        <v>118</v>
      </c>
      <c r="S799" s="4" t="s">
        <v>135</v>
      </c>
      <c r="T799" s="4"/>
      <c r="U799" s="6"/>
      <c r="V799" s="6"/>
      <c r="W799" s="6"/>
      <c r="X799" s="6"/>
      <c r="Y799" s="6"/>
      <c r="Z799" s="6"/>
      <c r="AX799" s="6" t="str">
        <v>Quarter 4</v>
      </c>
    </row>
    <row r="800" spans="1:50" ht="31.4" customHeight="1" x14ac:dyDescent="0.35">
      <c r="A800" s="162">
        <v>799</v>
      </c>
      <c r="B800" s="4" t="s">
        <v>8</v>
      </c>
      <c r="C800" s="4" t="s">
        <v>8</v>
      </c>
      <c r="D800" s="4" t="s">
        <v>1408</v>
      </c>
      <c r="E800" s="157">
        <v>45670</v>
      </c>
      <c r="F800" s="9">
        <f>IF($E800="","",WORKDAY($E800,1,$V$33:$V$41))</f>
        <v>45671</v>
      </c>
      <c r="G800" s="9">
        <f>IF($E800="","",WORKDAY($E800,10,$V$33:$V$41))</f>
        <v>45684</v>
      </c>
      <c r="H800" s="9">
        <f>IF($E800="","",WORKDAY($E800,20,$V$33:$V$41))</f>
        <v>45698</v>
      </c>
      <c r="I800" s="157" t="str">
        <f t="shared" si="16"/>
        <v>Jan</v>
      </c>
      <c r="J800" s="142" t="str">
        <f ca="1">IF(E800="","",IF(N800="",H800-TODAY(),""))</f>
        <v/>
      </c>
      <c r="K800" s="157" t="s">
        <v>124</v>
      </c>
      <c r="L800" s="157" t="s">
        <v>20</v>
      </c>
      <c r="M800" s="157" t="s">
        <v>62</v>
      </c>
      <c r="N800" s="9">
        <v>45705</v>
      </c>
      <c r="O800" s="159">
        <f>IF($N800="","",NETWORKDAYS($E800,$N800,$V$33:$V$47)-1)</f>
        <v>25</v>
      </c>
      <c r="P800" s="10" t="str">
        <f>IF(ISBLANK(N800),"",IF(N800&gt;H800,"No","Yes"))</f>
        <v>No</v>
      </c>
      <c r="Q800" s="9" t="s">
        <v>117</v>
      </c>
      <c r="R800" s="4" t="s">
        <v>118</v>
      </c>
      <c r="S800" s="4"/>
      <c r="T800" s="4"/>
      <c r="U800" s="6"/>
      <c r="V800" s="6"/>
      <c r="W800" s="6"/>
      <c r="X800" s="6"/>
      <c r="Y800" s="6"/>
      <c r="Z800" s="6"/>
      <c r="AX800" s="6" t="str">
        <v>Quarter 4</v>
      </c>
    </row>
    <row r="801" spans="1:50" ht="31.4" customHeight="1" x14ac:dyDescent="0.35">
      <c r="A801" s="162">
        <v>800</v>
      </c>
      <c r="B801" s="4" t="s">
        <v>8</v>
      </c>
      <c r="C801" s="4" t="s">
        <v>8</v>
      </c>
      <c r="D801" s="4" t="s">
        <v>1409</v>
      </c>
      <c r="E801" s="157">
        <v>45670</v>
      </c>
      <c r="F801" s="9">
        <f>IF($E801="","",WORKDAY($E801,1,$V$33:$V$41))</f>
        <v>45671</v>
      </c>
      <c r="G801" s="9">
        <f>IF($E801="","",WORKDAY($E801,10,$V$33:$V$41))</f>
        <v>45684</v>
      </c>
      <c r="H801" s="9">
        <f>IF($E801="","",WORKDAY($E801,20,$V$33:$V$41))</f>
        <v>45698</v>
      </c>
      <c r="I801" s="157" t="str">
        <f t="shared" si="16"/>
        <v>Jan</v>
      </c>
      <c r="J801" s="142" t="str">
        <f ca="1">IF(E801="","",IF(N801="",H801-TODAY(),""))</f>
        <v/>
      </c>
      <c r="K801" s="157" t="s">
        <v>5</v>
      </c>
      <c r="L801" s="157" t="s">
        <v>22</v>
      </c>
      <c r="M801" s="157" t="s">
        <v>64</v>
      </c>
      <c r="N801" s="9">
        <v>45685</v>
      </c>
      <c r="O801" s="159">
        <f>IF($N801="","",NETWORKDAYS($E801,$N801,$V$33:$V$47)-1)</f>
        <v>11</v>
      </c>
      <c r="P801" s="10" t="str">
        <f>IF(ISBLANK(N801),"",IF(N801&gt;H801,"No","Yes"))</f>
        <v>Yes</v>
      </c>
      <c r="Q801" s="9" t="s">
        <v>117</v>
      </c>
      <c r="R801" s="4" t="s">
        <v>118</v>
      </c>
      <c r="S801" s="4"/>
      <c r="T801" s="4" t="s">
        <v>141</v>
      </c>
      <c r="U801" s="6"/>
      <c r="V801" s="6"/>
      <c r="W801" s="6"/>
      <c r="X801" s="6"/>
      <c r="Y801" s="6"/>
      <c r="Z801" s="6"/>
      <c r="AX801" s="6" t="str">
        <v>Quarter 4</v>
      </c>
    </row>
    <row r="802" spans="1:50" ht="31.4" customHeight="1" x14ac:dyDescent="0.35">
      <c r="A802" s="162">
        <v>801</v>
      </c>
      <c r="B802" s="4" t="s">
        <v>8</v>
      </c>
      <c r="C802" s="4" t="s">
        <v>8</v>
      </c>
      <c r="D802" s="4" t="s">
        <v>1410</v>
      </c>
      <c r="E802" s="157">
        <v>45671</v>
      </c>
      <c r="F802" s="9">
        <f>IF($E802="","",WORKDAY($E802,1,$V$33:$V$41))</f>
        <v>45672</v>
      </c>
      <c r="G802" s="9">
        <f>IF($E802="","",WORKDAY($E802,10,$V$33:$V$41))</f>
        <v>45685</v>
      </c>
      <c r="H802" s="9">
        <f>IF($E802="","",WORKDAY($E802,20,$V$33:$V$41))</f>
        <v>45699</v>
      </c>
      <c r="I802" s="157" t="str">
        <f t="shared" si="16"/>
        <v>Jan</v>
      </c>
      <c r="J802" s="142" t="str">
        <f ca="1">IF(E802="","",IF(N802="",H802-TODAY(),""))</f>
        <v/>
      </c>
      <c r="K802" s="157" t="s">
        <v>124</v>
      </c>
      <c r="L802" s="157" t="s">
        <v>20</v>
      </c>
      <c r="M802" s="157" t="s">
        <v>63</v>
      </c>
      <c r="N802" s="9">
        <v>45671</v>
      </c>
      <c r="O802" s="159">
        <f>IF($N802="","",NETWORKDAYS($E802,$N802,$V$33:$V$47)-1)</f>
        <v>0</v>
      </c>
      <c r="P802" s="10" t="str">
        <f>IF(ISBLANK(N802),"",IF(N802&gt;H802,"No","Yes"))</f>
        <v>Yes</v>
      </c>
      <c r="Q802" s="9" t="s">
        <v>117</v>
      </c>
      <c r="R802" s="4" t="s">
        <v>118</v>
      </c>
      <c r="S802" s="4"/>
      <c r="T802" s="4"/>
      <c r="U802" s="6"/>
      <c r="V802" s="6"/>
      <c r="W802" s="6"/>
      <c r="X802" s="6"/>
      <c r="Y802" s="6"/>
      <c r="Z802" s="6"/>
      <c r="AX802" s="6" t="str">
        <v>Quarter 4</v>
      </c>
    </row>
    <row r="803" spans="1:50" ht="31.4" customHeight="1" x14ac:dyDescent="0.35">
      <c r="A803" s="162">
        <v>802</v>
      </c>
      <c r="B803" s="4" t="s">
        <v>751</v>
      </c>
      <c r="C803" s="4" t="s">
        <v>6</v>
      </c>
      <c r="D803" s="4" t="s">
        <v>1411</v>
      </c>
      <c r="E803" s="157">
        <v>45671</v>
      </c>
      <c r="F803" s="9">
        <f>IF($E803="","",WORKDAY($E803,1,$V$33:$V$41))</f>
        <v>45672</v>
      </c>
      <c r="G803" s="9">
        <f>IF($E803="","",WORKDAY($E803,10,$V$33:$V$41))</f>
        <v>45685</v>
      </c>
      <c r="H803" s="9">
        <f>IF($E803="","",WORKDAY($E803,20,$V$33:$V$41))</f>
        <v>45699</v>
      </c>
      <c r="I803" s="157" t="str">
        <f t="shared" si="16"/>
        <v>Jan</v>
      </c>
      <c r="J803" s="142" t="str">
        <f ca="1">IF(E803="","",IF(N803="",H803-TODAY(),""))</f>
        <v/>
      </c>
      <c r="K803" s="157" t="s">
        <v>124</v>
      </c>
      <c r="L803" s="157" t="s">
        <v>14</v>
      </c>
      <c r="M803" s="157" t="s">
        <v>44</v>
      </c>
      <c r="N803" s="9">
        <v>45699</v>
      </c>
      <c r="O803" s="159">
        <f>IF($N803="","",NETWORKDAYS($E803,$N803,$V$33:$V$47)-1)</f>
        <v>20</v>
      </c>
      <c r="P803" s="10" t="str">
        <f>IF(ISBLANK(N803),"",IF(N803&gt;H803,"No","Yes"))</f>
        <v>Yes</v>
      </c>
      <c r="Q803" s="9" t="s">
        <v>117</v>
      </c>
      <c r="R803" s="4" t="s">
        <v>118</v>
      </c>
      <c r="S803" s="4"/>
      <c r="T803" s="4" t="s">
        <v>141</v>
      </c>
      <c r="U803" s="6"/>
      <c r="V803" s="6"/>
      <c r="W803" s="6"/>
      <c r="X803" s="6"/>
      <c r="Y803" s="6"/>
      <c r="Z803" s="6"/>
      <c r="AX803" s="6" t="str">
        <v>Quarter 4</v>
      </c>
    </row>
    <row r="804" spans="1:50" ht="31.4" customHeight="1" x14ac:dyDescent="0.35">
      <c r="A804" s="162">
        <v>803</v>
      </c>
      <c r="B804" s="7" t="s">
        <v>1412</v>
      </c>
      <c r="C804" s="7" t="s">
        <v>15</v>
      </c>
      <c r="D804" s="7" t="s">
        <v>1413</v>
      </c>
      <c r="E804" s="25">
        <v>45671</v>
      </c>
      <c r="F804" s="9">
        <f>IF($E804="","",WORKDAY($E804,1,$V$33:$V$41))</f>
        <v>45672</v>
      </c>
      <c r="G804" s="9">
        <f>IF($E804="","",WORKDAY($E804,10,$V$33:$V$41))</f>
        <v>45685</v>
      </c>
      <c r="H804" s="9">
        <f>IF($E804="","",WORKDAY($E804,20,$V$33:$V$41))</f>
        <v>45699</v>
      </c>
      <c r="I804" s="157" t="str">
        <f t="shared" si="16"/>
        <v>Jan</v>
      </c>
      <c r="J804" s="142" t="str">
        <f ca="1">IF(E804="","",IF(N804="",H804-TODAY(),""))</f>
        <v/>
      </c>
      <c r="K804" s="157" t="s">
        <v>124</v>
      </c>
      <c r="L804" s="157" t="s">
        <v>20</v>
      </c>
      <c r="M804" s="157" t="s">
        <v>70</v>
      </c>
      <c r="N804" s="9">
        <v>45672</v>
      </c>
      <c r="O804" s="159">
        <f>IF($N804="","",NETWORKDAYS($E804,$N804,$V$33:$V$47)-1)</f>
        <v>1</v>
      </c>
      <c r="P804" s="10" t="str">
        <f>IF(ISBLANK(N804),"",IF(N804&gt;H804,"No","Yes"))</f>
        <v>Yes</v>
      </c>
      <c r="Q804" s="9" t="s">
        <v>117</v>
      </c>
      <c r="R804" s="4" t="s">
        <v>118</v>
      </c>
      <c r="S804" s="4"/>
      <c r="T804" s="4"/>
      <c r="U804" s="6"/>
      <c r="V804" s="6"/>
      <c r="W804" s="6"/>
      <c r="X804" s="6"/>
      <c r="Y804" s="6"/>
      <c r="Z804" s="6"/>
      <c r="AX804" s="6" t="str">
        <v>Quarter 4</v>
      </c>
    </row>
    <row r="805" spans="1:50" ht="31.4" customHeight="1" x14ac:dyDescent="0.35">
      <c r="A805" s="162">
        <v>804</v>
      </c>
      <c r="B805" s="7" t="s">
        <v>1414</v>
      </c>
      <c r="C805" s="7" t="s">
        <v>13</v>
      </c>
      <c r="D805" s="4" t="s">
        <v>1415</v>
      </c>
      <c r="E805" s="157">
        <v>45672</v>
      </c>
      <c r="F805" s="9">
        <f>IF($E805="","",WORKDAY($E805,1,$V$33:$V$41))</f>
        <v>45673</v>
      </c>
      <c r="G805" s="9">
        <f>IF($E805="","",WORKDAY($E805,10,$V$33:$V$41))</f>
        <v>45686</v>
      </c>
      <c r="H805" s="9">
        <f>IF($E805="","",WORKDAY($E805,20,$V$33:$V$41))</f>
        <v>45700</v>
      </c>
      <c r="I805" s="157" t="str">
        <f t="shared" si="16"/>
        <v>Jan</v>
      </c>
      <c r="J805" s="142" t="str">
        <f ca="1">IF(E805="","",IF(N805="",H805-TODAY(),""))</f>
        <v/>
      </c>
      <c r="K805" s="157" t="s">
        <v>124</v>
      </c>
      <c r="L805" s="157" t="s">
        <v>14</v>
      </c>
      <c r="M805" s="157" t="s">
        <v>83</v>
      </c>
      <c r="N805" s="9">
        <v>45700</v>
      </c>
      <c r="O805" s="159">
        <f>IF($N805="","",NETWORKDAYS($E805,$N805,$V$33:$V$47)-1)</f>
        <v>20</v>
      </c>
      <c r="P805" s="10" t="str">
        <f>IF(ISBLANK(N805),"",IF(N805&gt;H805,"No","Yes"))</f>
        <v>Yes</v>
      </c>
      <c r="Q805" s="9" t="s">
        <v>117</v>
      </c>
      <c r="R805" s="4" t="s">
        <v>126</v>
      </c>
      <c r="S805" s="4" t="s">
        <v>178</v>
      </c>
      <c r="T805" s="4"/>
      <c r="U805" s="6"/>
      <c r="V805" s="6"/>
      <c r="W805" s="6"/>
      <c r="X805" s="6"/>
      <c r="Y805" s="6"/>
      <c r="Z805" s="6"/>
      <c r="AX805" s="6" t="str">
        <v>Quarter 4</v>
      </c>
    </row>
    <row r="806" spans="1:50" ht="31.4" customHeight="1" x14ac:dyDescent="0.35">
      <c r="A806" s="162">
        <v>805</v>
      </c>
      <c r="B806" s="10" t="s">
        <v>857</v>
      </c>
      <c r="C806" s="10" t="s">
        <v>13</v>
      </c>
      <c r="D806" s="4" t="s">
        <v>1416</v>
      </c>
      <c r="E806" s="157">
        <v>45671</v>
      </c>
      <c r="F806" s="9">
        <f>IF($E806="","",WORKDAY($E806,1,$V$33:$V$41))</f>
        <v>45672</v>
      </c>
      <c r="G806" s="9">
        <f>IF($E806="","",WORKDAY($E806,10,$V$33:$V$41))</f>
        <v>45685</v>
      </c>
      <c r="H806" s="9">
        <f>IF($E806="","",WORKDAY($E806,20,$V$33:$V$41))</f>
        <v>45699</v>
      </c>
      <c r="I806" s="157" t="str">
        <f t="shared" si="16"/>
        <v>Jan</v>
      </c>
      <c r="J806" s="142" t="str">
        <f ca="1">IF(E806="","",IF(N806="",H806-TODAY(),""))</f>
        <v/>
      </c>
      <c r="K806" s="157" t="s">
        <v>5</v>
      </c>
      <c r="L806" s="157" t="s">
        <v>18</v>
      </c>
      <c r="M806" s="157" t="s">
        <v>80</v>
      </c>
      <c r="N806" s="9">
        <v>45672</v>
      </c>
      <c r="O806" s="159">
        <f>IF($N806="","",NETWORKDAYS($E806,$N806,$V$33:$V$47)-1)</f>
        <v>1</v>
      </c>
      <c r="P806" s="10" t="str">
        <f>IF(ISBLANK(N806),"",IF(N806&gt;H806,"No","Yes"))</f>
        <v>Yes</v>
      </c>
      <c r="Q806" s="9" t="s">
        <v>117</v>
      </c>
      <c r="R806" s="4" t="s">
        <v>118</v>
      </c>
      <c r="S806" s="4"/>
      <c r="T806" s="4"/>
      <c r="U806" s="6"/>
      <c r="V806" s="6"/>
      <c r="W806" s="6"/>
      <c r="X806" s="6"/>
      <c r="Y806" s="6"/>
      <c r="Z806" s="6"/>
      <c r="AX806" s="6" t="str">
        <v>Quarter 4</v>
      </c>
    </row>
    <row r="807" spans="1:50" ht="31.4" customHeight="1" x14ac:dyDescent="0.35">
      <c r="A807" s="162">
        <v>806</v>
      </c>
      <c r="B807" s="4" t="s">
        <v>8</v>
      </c>
      <c r="C807" s="4" t="s">
        <v>8</v>
      </c>
      <c r="D807" s="4" t="s">
        <v>1417</v>
      </c>
      <c r="E807" s="157">
        <v>45672</v>
      </c>
      <c r="F807" s="9">
        <f>IF($E807="","",WORKDAY($E807,1,$V$33:$V$41))</f>
        <v>45673</v>
      </c>
      <c r="G807" s="9">
        <f>IF($E807="","",WORKDAY($E807,10,$V$33:$V$41))</f>
        <v>45686</v>
      </c>
      <c r="H807" s="9">
        <f>IF($E807="","",WORKDAY($E807,20,$V$33:$V$41))</f>
        <v>45700</v>
      </c>
      <c r="I807" s="157" t="str">
        <f t="shared" si="16"/>
        <v>Jan</v>
      </c>
      <c r="J807" s="142" t="str">
        <f ca="1">IF(E807="","",IF(N807="",H807-TODAY(),""))</f>
        <v/>
      </c>
      <c r="K807" s="157" t="s">
        <v>10</v>
      </c>
      <c r="L807" s="157" t="s">
        <v>12</v>
      </c>
      <c r="M807" s="157" t="s">
        <v>91</v>
      </c>
      <c r="N807" s="9">
        <v>45673</v>
      </c>
      <c r="O807" s="159">
        <f>IF($N807="","",NETWORKDAYS($E807,$N807,$V$33:$V$47)-1)</f>
        <v>1</v>
      </c>
      <c r="P807" s="10" t="str">
        <f>IF(ISBLANK(N807),"",IF(N807&gt;H807,"No","Yes"))</f>
        <v>Yes</v>
      </c>
      <c r="Q807" s="9" t="s">
        <v>117</v>
      </c>
      <c r="R807" s="4" t="s">
        <v>132</v>
      </c>
      <c r="S807" s="4" t="s">
        <v>119</v>
      </c>
      <c r="T807" s="22"/>
      <c r="U807" s="6"/>
      <c r="V807" s="6"/>
      <c r="W807" s="6"/>
      <c r="X807" s="6"/>
      <c r="Y807" s="6"/>
      <c r="Z807" s="6"/>
      <c r="AX807" s="6" t="str">
        <v>Quarter 4</v>
      </c>
    </row>
    <row r="808" spans="1:50" ht="31.4" customHeight="1" x14ac:dyDescent="0.35">
      <c r="A808" s="162">
        <v>807</v>
      </c>
      <c r="B808" s="4" t="s">
        <v>138</v>
      </c>
      <c r="C808" s="4" t="s">
        <v>19</v>
      </c>
      <c r="D808" s="4" t="s">
        <v>1418</v>
      </c>
      <c r="E808" s="157">
        <v>45672</v>
      </c>
      <c r="F808" s="9">
        <f>IF($E808="","",WORKDAY($E808,1,$V$33:$V$41))</f>
        <v>45673</v>
      </c>
      <c r="G808" s="9">
        <f>IF($E808="","",WORKDAY($E808,10,$V$33:$V$41))</f>
        <v>45686</v>
      </c>
      <c r="H808" s="9">
        <f>IF($E808="","",WORKDAY($E808,20,$V$33:$V$41))</f>
        <v>45700</v>
      </c>
      <c r="I808" s="157" t="str">
        <f t="shared" si="16"/>
        <v>Jan</v>
      </c>
      <c r="J808" s="142" t="str">
        <f ca="1">IF(E808="","",IF(N808="",H808-TODAY(),""))</f>
        <v/>
      </c>
      <c r="K808" s="157" t="s">
        <v>5</v>
      </c>
      <c r="L808" s="157" t="s">
        <v>18</v>
      </c>
      <c r="M808" s="157" t="s">
        <v>41</v>
      </c>
      <c r="N808" s="9">
        <v>45672</v>
      </c>
      <c r="O808" s="159">
        <f>IF($N808="","",NETWORKDAYS($E808,$N808,$V$33:$V$47)-1)</f>
        <v>0</v>
      </c>
      <c r="P808" s="10" t="str">
        <f>IF(ISBLANK(N808),"",IF(N808&gt;H808,"No","Yes"))</f>
        <v>Yes</v>
      </c>
      <c r="Q808" s="9" t="s">
        <v>117</v>
      </c>
      <c r="R808" s="4" t="s">
        <v>118</v>
      </c>
      <c r="S808" s="4" t="s">
        <v>135</v>
      </c>
      <c r="T808" s="4"/>
      <c r="U808" s="6"/>
      <c r="V808" s="6"/>
      <c r="W808" s="6"/>
      <c r="X808" s="6"/>
      <c r="Y808" s="6"/>
      <c r="Z808" s="6"/>
      <c r="AX808" s="6" t="str">
        <v>Quarter 4</v>
      </c>
    </row>
    <row r="809" spans="1:50" ht="31.4" customHeight="1" x14ac:dyDescent="0.35">
      <c r="A809" s="162">
        <v>808</v>
      </c>
      <c r="B809" s="4" t="s">
        <v>360</v>
      </c>
      <c r="C809" s="4" t="s">
        <v>13</v>
      </c>
      <c r="D809" s="4" t="s">
        <v>1419</v>
      </c>
      <c r="E809" s="157">
        <v>45672</v>
      </c>
      <c r="F809" s="9">
        <f>IF($E809="","",WORKDAY($E809,1,$V$33:$V$41))</f>
        <v>45673</v>
      </c>
      <c r="G809" s="9">
        <f>IF($E809="","",WORKDAY($E809,10,$V$33:$V$41))</f>
        <v>45686</v>
      </c>
      <c r="H809" s="9">
        <f>IF($E809="","",WORKDAY($E809,20,$V$33:$V$41))</f>
        <v>45700</v>
      </c>
      <c r="I809" s="157" t="str">
        <f t="shared" si="16"/>
        <v>Jan</v>
      </c>
      <c r="J809" s="142" t="str">
        <f ca="1">IF(E809="","",IF(N809="",H809-TODAY(),""))</f>
        <v/>
      </c>
      <c r="K809" s="157" t="s">
        <v>5</v>
      </c>
      <c r="L809" s="157" t="s">
        <v>16</v>
      </c>
      <c r="M809" s="157" t="s">
        <v>67</v>
      </c>
      <c r="N809" s="9">
        <v>45679</v>
      </c>
      <c r="O809" s="159">
        <f>IF($N809="","",NETWORKDAYS($E809,$N809,$V$33:$V$47)-1)</f>
        <v>5</v>
      </c>
      <c r="P809" s="10" t="str">
        <f>IF(ISBLANK(N809),"",IF(N809&gt;H809,"No","Yes"))</f>
        <v>Yes</v>
      </c>
      <c r="Q809" s="9" t="s">
        <v>117</v>
      </c>
      <c r="R809" s="4" t="s">
        <v>118</v>
      </c>
      <c r="S809" s="4"/>
      <c r="T809" s="4"/>
      <c r="U809" s="6"/>
      <c r="V809" s="6"/>
      <c r="W809" s="6"/>
      <c r="X809" s="6"/>
      <c r="Y809" s="6"/>
      <c r="Z809" s="6"/>
      <c r="AX809" s="6" t="str">
        <v>Quarter 4</v>
      </c>
    </row>
    <row r="810" spans="1:50" ht="31.4" customHeight="1" x14ac:dyDescent="0.35">
      <c r="A810" s="162">
        <v>809</v>
      </c>
      <c r="B810" s="4" t="s">
        <v>8</v>
      </c>
      <c r="C810" s="4" t="s">
        <v>8</v>
      </c>
      <c r="D810" s="4" t="s">
        <v>1420</v>
      </c>
      <c r="E810" s="157">
        <v>45672</v>
      </c>
      <c r="F810" s="9">
        <f>IF($E810="","",WORKDAY($E810,1,$V$33:$V$41))</f>
        <v>45673</v>
      </c>
      <c r="G810" s="9">
        <f>IF($E810="","",WORKDAY($E810,10,$V$33:$V$41))</f>
        <v>45686</v>
      </c>
      <c r="H810" s="9">
        <f>IF($E810="","",WORKDAY($E810,20,$V$33:$V$41))</f>
        <v>45700</v>
      </c>
      <c r="I810" s="157" t="str">
        <f t="shared" si="16"/>
        <v>Jan</v>
      </c>
      <c r="J810" s="142" t="str">
        <f ca="1">IF(E810="","",IF(N810="",H810-TODAY(),""))</f>
        <v/>
      </c>
      <c r="K810" s="157" t="s">
        <v>5</v>
      </c>
      <c r="L810" s="157" t="s">
        <v>22</v>
      </c>
      <c r="M810" s="157" t="s">
        <v>64</v>
      </c>
      <c r="N810" s="9">
        <v>45674</v>
      </c>
      <c r="O810" s="159">
        <f>IF($N810="","",NETWORKDAYS($E810,$N810,$V$33:$V$47)-1)</f>
        <v>2</v>
      </c>
      <c r="P810" s="10" t="str">
        <f>IF(ISBLANK(N810),"",IF(N810&gt;H810,"No","Yes"))</f>
        <v>Yes</v>
      </c>
      <c r="Q810" s="9" t="s">
        <v>117</v>
      </c>
      <c r="R810" s="4" t="s">
        <v>118</v>
      </c>
      <c r="S810" s="4"/>
      <c r="T810" s="4"/>
      <c r="U810" s="6"/>
      <c r="V810" s="6"/>
      <c r="W810" s="6"/>
      <c r="X810" s="6"/>
      <c r="Y810" s="6"/>
      <c r="Z810" s="6"/>
      <c r="AX810" s="6" t="str">
        <v>Quarter 4</v>
      </c>
    </row>
    <row r="811" spans="1:50" ht="31.4" customHeight="1" x14ac:dyDescent="0.35">
      <c r="A811" s="162">
        <v>810</v>
      </c>
      <c r="B811" s="4" t="s">
        <v>1421</v>
      </c>
      <c r="C811" s="4" t="s">
        <v>13</v>
      </c>
      <c r="D811" s="4" t="s">
        <v>1422</v>
      </c>
      <c r="E811" s="157">
        <v>45673</v>
      </c>
      <c r="F811" s="9">
        <f>IF($E811="","",WORKDAY($E811,1,$V$33:$V$41))</f>
        <v>45674</v>
      </c>
      <c r="G811" s="9">
        <f>IF($E811="","",WORKDAY($E811,10,$V$33:$V$41))</f>
        <v>45687</v>
      </c>
      <c r="H811" s="9">
        <f>IF($E811="","",WORKDAY($E811,20,$V$33:$V$41))</f>
        <v>45701</v>
      </c>
      <c r="I811" s="157" t="str">
        <f t="shared" si="16"/>
        <v>Jan</v>
      </c>
      <c r="J811" s="142" t="str">
        <f ca="1">IF(E811="","",IF(N811="",H811-TODAY(),""))</f>
        <v/>
      </c>
      <c r="K811" s="157" t="s">
        <v>5</v>
      </c>
      <c r="L811" s="157" t="s">
        <v>16</v>
      </c>
      <c r="M811" s="157" t="s">
        <v>67</v>
      </c>
      <c r="N811" s="9">
        <v>45674</v>
      </c>
      <c r="O811" s="159">
        <f>IF($N811="","",NETWORKDAYS($E811,$N811,$V$33:$V$47)-1)</f>
        <v>1</v>
      </c>
      <c r="P811" s="10" t="str">
        <f>IF(ISBLANK(N811),"",IF(N811&gt;H811,"No","Yes"))</f>
        <v>Yes</v>
      </c>
      <c r="Q811" s="9" t="s">
        <v>117</v>
      </c>
      <c r="R811" s="4" t="s">
        <v>126</v>
      </c>
      <c r="S811" s="4" t="s">
        <v>119</v>
      </c>
      <c r="T811" s="4"/>
      <c r="U811" s="6"/>
      <c r="V811" s="6"/>
      <c r="W811" s="6"/>
      <c r="X811" s="6"/>
      <c r="Y811" s="6"/>
      <c r="Z811" s="6"/>
      <c r="AX811" s="6" t="str">
        <v>Quarter 4</v>
      </c>
    </row>
    <row r="812" spans="1:50" ht="31.4" customHeight="1" x14ac:dyDescent="0.35">
      <c r="A812" s="162">
        <v>811</v>
      </c>
      <c r="B812" s="4" t="s">
        <v>138</v>
      </c>
      <c r="C812" s="4" t="s">
        <v>19</v>
      </c>
      <c r="D812" s="4" t="s">
        <v>1423</v>
      </c>
      <c r="E812" s="157">
        <v>45673</v>
      </c>
      <c r="F812" s="9">
        <f>IF($E812="","",WORKDAY($E812,1,$V$33:$V$41))</f>
        <v>45674</v>
      </c>
      <c r="G812" s="9">
        <f>IF($E812="","",WORKDAY($E812,10,$V$33:$V$41))</f>
        <v>45687</v>
      </c>
      <c r="H812" s="9">
        <f>IF($E812="","",WORKDAY($E812,20,$V$33:$V$41))</f>
        <v>45701</v>
      </c>
      <c r="I812" s="157" t="str">
        <f t="shared" si="16"/>
        <v>Jan</v>
      </c>
      <c r="J812" s="142" t="str">
        <f ca="1">IF(E812="","",IF(N812="",H812-TODAY(),""))</f>
        <v/>
      </c>
      <c r="K812" s="157" t="s">
        <v>124</v>
      </c>
      <c r="L812" s="157" t="s">
        <v>24</v>
      </c>
      <c r="M812" s="157" t="s">
        <v>61</v>
      </c>
      <c r="N812" s="9">
        <v>45685</v>
      </c>
      <c r="O812" s="159">
        <f>IF($N812="","",NETWORKDAYS($E812,$N812,$V$33:$V$47)-1)</f>
        <v>8</v>
      </c>
      <c r="P812" s="10" t="str">
        <f>IF(ISBLANK(N812),"",IF(N812&gt;H812,"No","Yes"))</f>
        <v>Yes</v>
      </c>
      <c r="Q812" s="9" t="s">
        <v>117</v>
      </c>
      <c r="R812" s="4" t="s">
        <v>118</v>
      </c>
      <c r="S812" s="4" t="s">
        <v>135</v>
      </c>
      <c r="T812" s="4" t="s">
        <v>1424</v>
      </c>
      <c r="U812" s="6"/>
      <c r="V812" s="6"/>
      <c r="W812" s="6"/>
      <c r="X812" s="6"/>
      <c r="Y812" s="6"/>
      <c r="Z812" s="6"/>
      <c r="AX812" s="6" t="str">
        <v>Quarter 4</v>
      </c>
    </row>
    <row r="813" spans="1:50" ht="31.4" customHeight="1" x14ac:dyDescent="0.35">
      <c r="A813" s="162">
        <v>812</v>
      </c>
      <c r="B813" s="4" t="s">
        <v>1425</v>
      </c>
      <c r="C813" s="4" t="s">
        <v>13</v>
      </c>
      <c r="D813" s="4" t="s">
        <v>1426</v>
      </c>
      <c r="E813" s="157"/>
      <c r="F813" s="9"/>
      <c r="G813" s="9"/>
      <c r="H813" s="9"/>
      <c r="I813" s="157" t="s">
        <v>1427</v>
      </c>
      <c r="J813" s="142" t="str">
        <f ca="1">IF(E813="","",IF(N813="",H813-TODAY(),""))</f>
        <v/>
      </c>
      <c r="K813" s="157" t="s">
        <v>4</v>
      </c>
      <c r="L813" s="157" t="s">
        <v>7</v>
      </c>
      <c r="M813" s="157" t="s">
        <v>31</v>
      </c>
      <c r="N813" s="9"/>
      <c r="O813" s="159" t="str">
        <f>IF($N813="","",NETWORKDAYS($E813,$N813,$V$33:$V$47)-1)</f>
        <v/>
      </c>
      <c r="P813" s="10" t="str">
        <f>IF(ISBLANK(N813),"",IF(N813&gt;H813,"No","Yes"))</f>
        <v/>
      </c>
      <c r="Q813" s="9" t="s">
        <v>133</v>
      </c>
      <c r="R813" s="4" t="s">
        <v>133</v>
      </c>
      <c r="S813" s="4"/>
      <c r="T813" s="4" t="s">
        <v>1428</v>
      </c>
      <c r="U813" s="6"/>
      <c r="V813" s="6"/>
      <c r="W813" s="6"/>
      <c r="X813" s="6"/>
      <c r="Y813" s="6"/>
      <c r="Z813" s="6"/>
      <c r="AX813" s="6" t="str">
        <v>Quarter 4</v>
      </c>
    </row>
    <row r="814" spans="1:50" ht="31.4" customHeight="1" x14ac:dyDescent="0.35">
      <c r="A814" s="162">
        <v>813</v>
      </c>
      <c r="B814" s="4" t="s">
        <v>8</v>
      </c>
      <c r="C814" s="4" t="s">
        <v>8</v>
      </c>
      <c r="D814" s="4" t="s">
        <v>1429</v>
      </c>
      <c r="E814" s="157">
        <v>45674</v>
      </c>
      <c r="F814" s="9">
        <f>IF($E814="","",WORKDAY($E814,1,$V$33:$V$41))</f>
        <v>45677</v>
      </c>
      <c r="G814" s="9">
        <f>IF($E814="","",WORKDAY($E814,10,$V$33:$V$41))</f>
        <v>45688</v>
      </c>
      <c r="H814" s="9">
        <f>IF($E814="","",WORKDAY($E814,20,$V$33:$V$41))</f>
        <v>45702</v>
      </c>
      <c r="I814" s="157" t="str">
        <f t="shared" si="16"/>
        <v>Jan</v>
      </c>
      <c r="J814" s="142" t="str">
        <f ca="1">IF(E814="","",IF(N814="",H814-TODAY(),""))</f>
        <v/>
      </c>
      <c r="K814" s="157" t="s">
        <v>5</v>
      </c>
      <c r="L814" s="157" t="s">
        <v>22</v>
      </c>
      <c r="M814" s="157" t="s">
        <v>75</v>
      </c>
      <c r="N814" s="9">
        <v>45677</v>
      </c>
      <c r="O814" s="159">
        <f>IF($N814="","",NETWORKDAYS($E814,$N814,$V$33:$V$47)-1)</f>
        <v>1</v>
      </c>
      <c r="P814" s="10" t="str">
        <f>IF(ISBLANK(N814),"",IF(N814&gt;H814,"No","Yes"))</f>
        <v>Yes</v>
      </c>
      <c r="Q814" s="9" t="s">
        <v>117</v>
      </c>
      <c r="R814" s="4" t="s">
        <v>150</v>
      </c>
      <c r="S814" s="4"/>
      <c r="T814" s="4"/>
      <c r="U814" s="6"/>
      <c r="V814" s="6"/>
      <c r="W814" s="6"/>
      <c r="X814" s="6"/>
      <c r="Y814" s="6"/>
      <c r="Z814" s="6"/>
      <c r="AX814" s="6" t="str">
        <v>Quarter 4</v>
      </c>
    </row>
    <row r="815" spans="1:50" ht="31.4" customHeight="1" x14ac:dyDescent="0.35">
      <c r="A815" s="162">
        <v>814</v>
      </c>
      <c r="B815" s="4" t="s">
        <v>138</v>
      </c>
      <c r="C815" s="4" t="s">
        <v>19</v>
      </c>
      <c r="D815" s="4" t="s">
        <v>1430</v>
      </c>
      <c r="E815" s="157">
        <v>45674</v>
      </c>
      <c r="F815" s="9">
        <f>IF($E815="","",WORKDAY($E815,1,$V$33:$V$41))</f>
        <v>45677</v>
      </c>
      <c r="G815" s="9">
        <f>IF($E815="","",WORKDAY($E815,10,$V$33:$V$41))</f>
        <v>45688</v>
      </c>
      <c r="H815" s="9">
        <f>IF($E815="","",WORKDAY($E815,20,$V$33:$V$41))</f>
        <v>45702</v>
      </c>
      <c r="I815" s="157" t="str">
        <f t="shared" si="16"/>
        <v>Jan</v>
      </c>
      <c r="J815" s="142" t="str">
        <f ca="1">IF(E815="","",IF(N815="",H815-TODAY(),""))</f>
        <v/>
      </c>
      <c r="K815" s="157" t="s">
        <v>5</v>
      </c>
      <c r="L815" s="157" t="s">
        <v>22</v>
      </c>
      <c r="M815" s="157" t="s">
        <v>55</v>
      </c>
      <c r="N815" s="9">
        <v>45695</v>
      </c>
      <c r="O815" s="159">
        <f>IF($N815="","",NETWORKDAYS($E815,$N815,$V$33:$V$47)-1)</f>
        <v>15</v>
      </c>
      <c r="P815" s="10" t="str">
        <f>IF(ISBLANK(N815),"",IF(N815&gt;H815,"No","Yes"))</f>
        <v>Yes</v>
      </c>
      <c r="Q815" s="9" t="s">
        <v>117</v>
      </c>
      <c r="R815" s="4" t="s">
        <v>118</v>
      </c>
      <c r="S815" s="4" t="s">
        <v>135</v>
      </c>
      <c r="T815" s="4"/>
      <c r="U815" s="6"/>
      <c r="V815" s="6"/>
      <c r="W815" s="6"/>
      <c r="X815" s="6"/>
      <c r="Y815" s="6"/>
      <c r="Z815" s="6"/>
      <c r="AX815" s="6" t="str">
        <v>Quarter 4</v>
      </c>
    </row>
    <row r="816" spans="1:50" ht="31.4" customHeight="1" x14ac:dyDescent="0.35">
      <c r="A816" s="162">
        <v>815</v>
      </c>
      <c r="B816" s="4" t="s">
        <v>887</v>
      </c>
      <c r="C816" s="4" t="s">
        <v>15</v>
      </c>
      <c r="D816" s="4" t="s">
        <v>1431</v>
      </c>
      <c r="E816" s="157">
        <v>45674</v>
      </c>
      <c r="F816" s="9">
        <f>IF($E816="","",WORKDAY($E816,1,$V$33:$V$41))</f>
        <v>45677</v>
      </c>
      <c r="G816" s="9">
        <f>IF($E816="","",WORKDAY($E816,10,$V$33:$V$41))</f>
        <v>45688</v>
      </c>
      <c r="H816" s="9">
        <f>IF($E816="","",WORKDAY($E816,20,$V$33:$V$41))</f>
        <v>45702</v>
      </c>
      <c r="I816" s="157" t="str">
        <f t="shared" si="16"/>
        <v>Jan</v>
      </c>
      <c r="J816" s="142" t="str">
        <f ca="1">IF(E816="","",IF(N816="",H816-TODAY(),""))</f>
        <v/>
      </c>
      <c r="K816" s="157" t="s">
        <v>10</v>
      </c>
      <c r="L816" s="157" t="s">
        <v>27</v>
      </c>
      <c r="M816" s="157" t="s">
        <v>37</v>
      </c>
      <c r="N816" s="9">
        <v>45680</v>
      </c>
      <c r="O816" s="159">
        <f>IF($N816="","",NETWORKDAYS($E816,$N816,$V$33:$V$47)-1)</f>
        <v>4</v>
      </c>
      <c r="P816" s="10" t="s">
        <v>116</v>
      </c>
      <c r="Q816" s="9" t="s">
        <v>117</v>
      </c>
      <c r="R816" s="4" t="s">
        <v>118</v>
      </c>
      <c r="S816" s="4"/>
      <c r="T816" s="4"/>
      <c r="U816" s="6"/>
      <c r="V816" s="6"/>
      <c r="W816" s="6"/>
      <c r="X816" s="6"/>
      <c r="Y816" s="6"/>
      <c r="Z816" s="6"/>
      <c r="AX816" s="6" t="str">
        <v>Quarter 4</v>
      </c>
    </row>
    <row r="817" spans="1:50" ht="31.4" customHeight="1" x14ac:dyDescent="0.35">
      <c r="A817" s="162">
        <v>816</v>
      </c>
      <c r="B817" s="4" t="s">
        <v>138</v>
      </c>
      <c r="C817" s="4" t="s">
        <v>19</v>
      </c>
      <c r="D817" s="4" t="s">
        <v>1432</v>
      </c>
      <c r="E817" s="157">
        <v>45677</v>
      </c>
      <c r="F817" s="9">
        <f>IF($E817="","",WORKDAY($E817,1,$V$33:$V$41))</f>
        <v>45678</v>
      </c>
      <c r="G817" s="9">
        <f>IF($E817="","",WORKDAY($E817,10,$V$33:$V$41))</f>
        <v>45691</v>
      </c>
      <c r="H817" s="9">
        <f>IF($E817="","",WORKDAY($E817,20,$V$33:$V$41))</f>
        <v>45705</v>
      </c>
      <c r="I817" s="157" t="str">
        <f t="shared" si="16"/>
        <v>Jan</v>
      </c>
      <c r="J817" s="142" t="str">
        <f ca="1">IF(E817="","",IF(N817="",H817-TODAY(),""))</f>
        <v/>
      </c>
      <c r="K817" s="157" t="s">
        <v>5</v>
      </c>
      <c r="L817" s="157" t="s">
        <v>18</v>
      </c>
      <c r="M817" s="157" t="s">
        <v>80</v>
      </c>
      <c r="N817" s="9">
        <v>45691</v>
      </c>
      <c r="O817" s="159">
        <f>IF($N817="","",NETWORKDAYS($E817,$N817,$V$33:$V$47)-1)</f>
        <v>10</v>
      </c>
      <c r="P817" s="10" t="str">
        <f>IF(ISBLANK(N817),"",IF(N817&gt;H817,"No","Yes"))</f>
        <v>Yes</v>
      </c>
      <c r="Q817" s="9" t="s">
        <v>117</v>
      </c>
      <c r="R817" s="4" t="s">
        <v>118</v>
      </c>
      <c r="S817" s="4" t="s">
        <v>135</v>
      </c>
      <c r="T817" s="4"/>
      <c r="U817" s="6"/>
      <c r="V817" s="6"/>
      <c r="W817" s="6"/>
      <c r="X817" s="6"/>
      <c r="Y817" s="6"/>
      <c r="Z817" s="6"/>
      <c r="AX817" s="6" t="str">
        <v>Quarter 4</v>
      </c>
    </row>
    <row r="818" spans="1:50" ht="31.4" customHeight="1" x14ac:dyDescent="0.35">
      <c r="A818" s="162">
        <v>817</v>
      </c>
      <c r="B818" s="4" t="s">
        <v>8</v>
      </c>
      <c r="C818" s="4" t="s">
        <v>8</v>
      </c>
      <c r="D818" s="4" t="s">
        <v>1433</v>
      </c>
      <c r="E818" s="157">
        <v>45677</v>
      </c>
      <c r="F818" s="9">
        <f>IF($E818="","",WORKDAY($E818,1,$V$33:$V$41))</f>
        <v>45678</v>
      </c>
      <c r="G818" s="9">
        <f>IF($E818="","",WORKDAY($E818,10,$V$33:$V$41))</f>
        <v>45691</v>
      </c>
      <c r="H818" s="9">
        <f>IF($E818="","",WORKDAY($E818,20,$V$33:$V$41))</f>
        <v>45705</v>
      </c>
      <c r="I818" s="157" t="str">
        <f t="shared" si="16"/>
        <v>Jan</v>
      </c>
      <c r="J818" s="142" t="str">
        <f ca="1">IF(E818="","",IF(N818="",H818-TODAY(),""))</f>
        <v/>
      </c>
      <c r="K818" s="157" t="s">
        <v>5</v>
      </c>
      <c r="L818" s="157" t="s">
        <v>16</v>
      </c>
      <c r="M818" s="157" t="s">
        <v>52</v>
      </c>
      <c r="N818" s="9">
        <v>45678</v>
      </c>
      <c r="O818" s="159">
        <f>IF($N818="","",NETWORKDAYS($E818,$N818,$V$33:$V$47)-1)</f>
        <v>1</v>
      </c>
      <c r="P818" s="10" t="str">
        <f>IF(ISBLANK(N818),"",IF(N818&gt;H818,"No","Yes"))</f>
        <v>Yes</v>
      </c>
      <c r="Q818" s="9" t="s">
        <v>117</v>
      </c>
      <c r="R818" s="4" t="s">
        <v>118</v>
      </c>
      <c r="S818" s="4"/>
      <c r="T818" s="4"/>
      <c r="U818" s="6"/>
      <c r="V818" s="6"/>
      <c r="W818" s="6"/>
      <c r="X818" s="6"/>
      <c r="Y818" s="6"/>
      <c r="Z818" s="6"/>
      <c r="AX818" s="6" t="str">
        <v>Quarter 4</v>
      </c>
    </row>
    <row r="819" spans="1:50" ht="31.4" customHeight="1" x14ac:dyDescent="0.35">
      <c r="A819" s="162">
        <v>818</v>
      </c>
      <c r="B819" s="4" t="s">
        <v>138</v>
      </c>
      <c r="C819" s="4" t="s">
        <v>19</v>
      </c>
      <c r="D819" s="4" t="s">
        <v>1434</v>
      </c>
      <c r="E819" s="157">
        <v>45677</v>
      </c>
      <c r="F819" s="9">
        <f>IF($E819="","",WORKDAY($E819,1,$V$33:$V$41))</f>
        <v>45678</v>
      </c>
      <c r="G819" s="9">
        <f>IF($E819="","",WORKDAY($E819,10,$V$33:$V$41))</f>
        <v>45691</v>
      </c>
      <c r="H819" s="9">
        <f>IF($E819="","",WORKDAY($E819,20,$V$33:$V$41))</f>
        <v>45705</v>
      </c>
      <c r="I819" s="157" t="str">
        <f t="shared" si="16"/>
        <v>Jan</v>
      </c>
      <c r="J819" s="142" t="str">
        <f ca="1">IF(E819="","",IF(N819="",H819-TODAY(),""))</f>
        <v/>
      </c>
      <c r="K819" s="157" t="s">
        <v>10</v>
      </c>
      <c r="L819" s="157" t="s">
        <v>12</v>
      </c>
      <c r="M819" s="157" t="s">
        <v>65</v>
      </c>
      <c r="N819" s="9">
        <v>45684</v>
      </c>
      <c r="O819" s="159">
        <f>IF($N819="","",NETWORKDAYS($E819,$N819,$V$33:$V$47)-1)</f>
        <v>5</v>
      </c>
      <c r="P819" s="10" t="str">
        <f>IF(ISBLANK(N819),"",IF(N819&gt;H819,"No","Yes"))</f>
        <v>Yes</v>
      </c>
      <c r="Q819" s="9" t="s">
        <v>117</v>
      </c>
      <c r="R819" s="4" t="s">
        <v>118</v>
      </c>
      <c r="S819" s="4"/>
      <c r="T819" s="4"/>
      <c r="U819" s="6"/>
      <c r="V819" s="6"/>
      <c r="W819" s="6"/>
      <c r="X819" s="6"/>
      <c r="Y819" s="6"/>
      <c r="Z819" s="6"/>
      <c r="AX819" s="6" t="str">
        <v>Quarter 4</v>
      </c>
    </row>
    <row r="820" spans="1:50" ht="31.4" customHeight="1" x14ac:dyDescent="0.35">
      <c r="A820" s="162">
        <v>819</v>
      </c>
      <c r="B820" s="4" t="s">
        <v>8</v>
      </c>
      <c r="C820" s="4" t="s">
        <v>8</v>
      </c>
      <c r="D820" s="4" t="s">
        <v>1435</v>
      </c>
      <c r="E820" s="157">
        <v>45677</v>
      </c>
      <c r="F820" s="9">
        <f>IF($E820="","",WORKDAY($E820,1,$V$33:$V$41))</f>
        <v>45678</v>
      </c>
      <c r="G820" s="9">
        <f>IF($E820="","",WORKDAY($E820,10,$V$33:$V$41))</f>
        <v>45691</v>
      </c>
      <c r="H820" s="9">
        <f>IF($E820="","",WORKDAY($E820,20,$V$33:$V$41))</f>
        <v>45705</v>
      </c>
      <c r="I820" s="157" t="str">
        <f t="shared" si="16"/>
        <v>Jan</v>
      </c>
      <c r="J820" s="142" t="str">
        <f ca="1">IF(E820="","",IF(N820="",H820-TODAY(),""))</f>
        <v/>
      </c>
      <c r="K820" s="157" t="s">
        <v>5</v>
      </c>
      <c r="L820" s="157" t="s">
        <v>18</v>
      </c>
      <c r="M820" s="157" t="s">
        <v>66</v>
      </c>
      <c r="N820" s="9">
        <v>45677</v>
      </c>
      <c r="O820" s="159">
        <f>IF($N820="","",NETWORKDAYS($E820,$N820,$V$33:$V$47)-1)</f>
        <v>0</v>
      </c>
      <c r="P820" s="10" t="str">
        <f>IF(ISBLANK(N820),"",IF(N820&gt;H820,"No","Yes"))</f>
        <v>Yes</v>
      </c>
      <c r="Q820" s="9" t="s">
        <v>117</v>
      </c>
      <c r="R820" s="4" t="s">
        <v>150</v>
      </c>
      <c r="S820" s="4"/>
      <c r="T820" s="4"/>
      <c r="U820" s="6"/>
      <c r="V820" s="6"/>
      <c r="W820" s="6"/>
      <c r="X820" s="6"/>
      <c r="Y820" s="6"/>
      <c r="Z820" s="6"/>
      <c r="AX820" s="6" t="str">
        <v>Quarter 4</v>
      </c>
    </row>
    <row r="821" spans="1:50" ht="31.4" customHeight="1" x14ac:dyDescent="0.35">
      <c r="A821" s="162">
        <v>820</v>
      </c>
      <c r="B821" s="7" t="s">
        <v>1436</v>
      </c>
      <c r="C821" s="7" t="s">
        <v>13</v>
      </c>
      <c r="D821" s="4" t="s">
        <v>1437</v>
      </c>
      <c r="E821" s="157">
        <v>45677</v>
      </c>
      <c r="F821" s="9">
        <f>IF($E821="","",WORKDAY($E821,1,$V$33:$V$41))</f>
        <v>45678</v>
      </c>
      <c r="G821" s="9">
        <f>IF($E821="","",WORKDAY($E821,10,$V$33:$V$41))</f>
        <v>45691</v>
      </c>
      <c r="H821" s="9">
        <f>IF($E821="","",WORKDAY($E821,20,$V$33:$V$41))</f>
        <v>45705</v>
      </c>
      <c r="I821" s="157" t="str">
        <f t="shared" si="16"/>
        <v>Jan</v>
      </c>
      <c r="J821" s="142" t="str">
        <f ca="1">IF(E821="","",IF(N821="",H821-TODAY(),""))</f>
        <v/>
      </c>
      <c r="K821" s="157" t="s">
        <v>10</v>
      </c>
      <c r="L821" s="157" t="s">
        <v>12</v>
      </c>
      <c r="M821" s="157" t="s">
        <v>30</v>
      </c>
      <c r="N821" s="9">
        <v>45680</v>
      </c>
      <c r="O821" s="159">
        <f>IF($N821="","",NETWORKDAYS($E821,$N821,$V$33:$V$47)-1)</f>
        <v>3</v>
      </c>
      <c r="P821" s="10" t="str">
        <f>IF(ISBLANK(N821),"",IF(N821&gt;H821,"No","Yes"))</f>
        <v>Yes</v>
      </c>
      <c r="Q821" s="9" t="s">
        <v>117</v>
      </c>
      <c r="R821" s="4" t="s">
        <v>126</v>
      </c>
      <c r="S821" s="4" t="s">
        <v>119</v>
      </c>
      <c r="T821" s="4"/>
      <c r="U821" s="6"/>
      <c r="V821" s="6"/>
      <c r="W821" s="6"/>
      <c r="X821" s="6"/>
      <c r="Y821" s="6"/>
      <c r="Z821" s="6"/>
      <c r="AX821" s="6" t="str">
        <v>Quarter 4</v>
      </c>
    </row>
    <row r="822" spans="1:50" ht="31.4" customHeight="1" x14ac:dyDescent="0.35">
      <c r="A822" s="162">
        <v>821</v>
      </c>
      <c r="B822" s="4" t="s">
        <v>420</v>
      </c>
      <c r="C822" s="4" t="s">
        <v>6</v>
      </c>
      <c r="D822" s="4" t="s">
        <v>381</v>
      </c>
      <c r="E822" s="157">
        <v>45678</v>
      </c>
      <c r="F822" s="9">
        <f>IF($E822="","",WORKDAY($E822,1,$V$33:$V$41))</f>
        <v>45679</v>
      </c>
      <c r="G822" s="9">
        <f>IF($E822="","",WORKDAY($E822,10,$V$33:$V$41))</f>
        <v>45692</v>
      </c>
      <c r="H822" s="9">
        <f>IF($E822="","",WORKDAY($E822,20,$V$33:$V$41))</f>
        <v>45706</v>
      </c>
      <c r="I822" s="157" t="str">
        <f t="shared" si="16"/>
        <v>Jan</v>
      </c>
      <c r="J822" s="142" t="str">
        <f ca="1">IF(E822="","",IF(N822="",H822-TODAY(),""))</f>
        <v/>
      </c>
      <c r="K822" s="157" t="s">
        <v>124</v>
      </c>
      <c r="L822" s="7" t="s">
        <v>20</v>
      </c>
      <c r="M822" s="7" t="s">
        <v>62</v>
      </c>
      <c r="N822" s="9">
        <v>45680</v>
      </c>
      <c r="O822" s="159">
        <f>IF($N822="","",NETWORKDAYS($E822,$N822,$V$33:$V$47)-1)</f>
        <v>2</v>
      </c>
      <c r="P822" s="10" t="s">
        <v>116</v>
      </c>
      <c r="Q822" s="9" t="s">
        <v>117</v>
      </c>
      <c r="R822" s="4" t="s">
        <v>118</v>
      </c>
      <c r="S822" s="4" t="s">
        <v>135</v>
      </c>
      <c r="T822" s="4"/>
      <c r="U822" s="6"/>
      <c r="V822" s="6"/>
      <c r="W822" s="6"/>
      <c r="X822" s="6"/>
      <c r="Y822" s="6"/>
      <c r="Z822" s="6"/>
      <c r="AX822" s="6" t="str">
        <v>Quarter 4</v>
      </c>
    </row>
    <row r="823" spans="1:50" ht="31.4" customHeight="1" x14ac:dyDescent="0.35">
      <c r="A823" s="162">
        <v>822</v>
      </c>
      <c r="B823" s="4" t="s">
        <v>138</v>
      </c>
      <c r="C823" s="4" t="s">
        <v>19</v>
      </c>
      <c r="D823" s="4" t="s">
        <v>1438</v>
      </c>
      <c r="E823" s="157">
        <v>45679</v>
      </c>
      <c r="F823" s="9">
        <f>IF($E823="","",WORKDAY($E823,1,$V$33:$V$41))</f>
        <v>45680</v>
      </c>
      <c r="G823" s="9">
        <f>IF($E823="","",WORKDAY($E823,10,$V$33:$V$41))</f>
        <v>45693</v>
      </c>
      <c r="H823" s="9">
        <f>IF($E823="","",WORKDAY($E823,20,$V$33:$V$41))</f>
        <v>45707</v>
      </c>
      <c r="I823" s="157" t="str">
        <f t="shared" si="16"/>
        <v>Jan</v>
      </c>
      <c r="J823" s="142" t="str">
        <f ca="1">IF(E823="","",IF(N823="",H823-TODAY(),""))</f>
        <v/>
      </c>
      <c r="K823" s="157" t="s">
        <v>10</v>
      </c>
      <c r="L823" s="7" t="s">
        <v>27</v>
      </c>
      <c r="M823" s="7" t="s">
        <v>86</v>
      </c>
      <c r="N823" s="9">
        <v>45693</v>
      </c>
      <c r="O823" s="159">
        <f>IF($N823="","",NETWORKDAYS($E823,$N823,$V$33:$V$47)-1)</f>
        <v>10</v>
      </c>
      <c r="P823" s="10" t="s">
        <v>116</v>
      </c>
      <c r="Q823" s="9" t="s">
        <v>117</v>
      </c>
      <c r="R823" s="4" t="s">
        <v>150</v>
      </c>
      <c r="S823" s="4"/>
      <c r="T823" s="4"/>
      <c r="U823" s="6"/>
      <c r="V823" s="6"/>
      <c r="W823" s="6"/>
      <c r="X823" s="6"/>
      <c r="Y823" s="6"/>
      <c r="Z823" s="6"/>
      <c r="AX823" s="6" t="str">
        <v>Quarter 4</v>
      </c>
    </row>
    <row r="824" spans="1:50" ht="31.4" customHeight="1" x14ac:dyDescent="0.35">
      <c r="A824" s="162">
        <v>823</v>
      </c>
      <c r="B824" s="4" t="s">
        <v>8</v>
      </c>
      <c r="C824" s="4" t="s">
        <v>8</v>
      </c>
      <c r="D824" s="4" t="s">
        <v>1439</v>
      </c>
      <c r="E824" s="157">
        <v>45679</v>
      </c>
      <c r="F824" s="9">
        <f>IF($E824="","",WORKDAY($E824,1,$V$33:$V$41))</f>
        <v>45680</v>
      </c>
      <c r="G824" s="9">
        <f>IF($E824="","",WORKDAY($E824,10,$V$33:$V$41))</f>
        <v>45693</v>
      </c>
      <c r="H824" s="9">
        <f>IF($E824="","",WORKDAY($E824,20,$V$33:$V$41))</f>
        <v>45707</v>
      </c>
      <c r="I824" s="157" t="str">
        <f t="shared" si="16"/>
        <v>Jan</v>
      </c>
      <c r="J824" s="142" t="str">
        <f ca="1">IF(E824="","",IF(N824="",H824-TODAY(),""))</f>
        <v/>
      </c>
      <c r="K824" s="157" t="s">
        <v>10</v>
      </c>
      <c r="L824" s="157" t="s">
        <v>12</v>
      </c>
      <c r="M824" s="157" t="s">
        <v>91</v>
      </c>
      <c r="N824" s="9">
        <v>45681</v>
      </c>
      <c r="O824" s="159">
        <f>IF($N824="","",NETWORKDAYS($E824,$N824,$V$33:$V$47)-1)</f>
        <v>2</v>
      </c>
      <c r="P824" s="10" t="str">
        <f>IF(ISBLANK(N824),"",IF(N824&gt;H824,"No","Yes"))</f>
        <v>Yes</v>
      </c>
      <c r="Q824" s="9" t="s">
        <v>117</v>
      </c>
      <c r="R824" s="4" t="s">
        <v>118</v>
      </c>
      <c r="S824" s="4"/>
      <c r="T824" s="165"/>
      <c r="U824" s="6"/>
      <c r="V824" s="6"/>
      <c r="W824" s="6"/>
      <c r="X824" s="6"/>
      <c r="Y824" s="6"/>
      <c r="Z824" s="6"/>
      <c r="AX824" s="6" t="str">
        <v>Quarter 4</v>
      </c>
    </row>
    <row r="825" spans="1:50" ht="31.4" customHeight="1" x14ac:dyDescent="0.35">
      <c r="A825" s="162">
        <v>824</v>
      </c>
      <c r="B825" s="4" t="s">
        <v>138</v>
      </c>
      <c r="C825" s="4" t="s">
        <v>19</v>
      </c>
      <c r="D825" s="4" t="s">
        <v>1440</v>
      </c>
      <c r="E825" s="157">
        <v>45679</v>
      </c>
      <c r="F825" s="9">
        <f>IF($E825="","",WORKDAY($E825,1,$V$33:$V$41))</f>
        <v>45680</v>
      </c>
      <c r="G825" s="9">
        <f>IF($E825="","",WORKDAY($E825,10,$V$33:$V$41))</f>
        <v>45693</v>
      </c>
      <c r="H825" s="9">
        <f>IF($E825="","",WORKDAY($E825,20,$V$33:$V$41))</f>
        <v>45707</v>
      </c>
      <c r="I825" s="157" t="str">
        <f t="shared" si="16"/>
        <v>Jan</v>
      </c>
      <c r="J825" s="142" t="str">
        <f ca="1">IF(E825="","",IF(N825="",H825-TODAY(),""))</f>
        <v/>
      </c>
      <c r="K825" s="157" t="s">
        <v>124</v>
      </c>
      <c r="L825" s="157" t="s">
        <v>20</v>
      </c>
      <c r="M825" s="157" t="s">
        <v>62</v>
      </c>
      <c r="N825" s="9">
        <v>45679</v>
      </c>
      <c r="O825" s="159">
        <f>IF($N825="","",NETWORKDAYS($E825,$N825,$V$33:$V$47)-1)</f>
        <v>0</v>
      </c>
      <c r="P825" s="10" t="str">
        <f>IF(ISBLANK(N825),"",IF(N825&gt;H825,"No","Yes"))</f>
        <v>Yes</v>
      </c>
      <c r="Q825" s="9" t="s">
        <v>117</v>
      </c>
      <c r="R825" s="4" t="s">
        <v>118</v>
      </c>
      <c r="S825" s="4"/>
      <c r="T825" s="4"/>
      <c r="U825" s="6"/>
      <c r="V825" s="6"/>
      <c r="W825" s="6"/>
      <c r="X825" s="6"/>
      <c r="Y825" s="6"/>
      <c r="Z825" s="6"/>
      <c r="AX825" s="6" t="str">
        <v>Quarter 4</v>
      </c>
    </row>
    <row r="826" spans="1:50" ht="31.4" customHeight="1" x14ac:dyDescent="0.35">
      <c r="A826" s="162">
        <v>825</v>
      </c>
      <c r="B826" s="4" t="s">
        <v>138</v>
      </c>
      <c r="C826" s="4" t="s">
        <v>19</v>
      </c>
      <c r="D826" s="4" t="s">
        <v>1441</v>
      </c>
      <c r="E826" s="157">
        <v>45679</v>
      </c>
      <c r="F826" s="9">
        <f>IF($E826="","",WORKDAY($E826,1,$V$33:$V$41))</f>
        <v>45680</v>
      </c>
      <c r="G826" s="9">
        <f>IF($E826="","",WORKDAY($E826,10,$V$33:$V$41))</f>
        <v>45693</v>
      </c>
      <c r="H826" s="9">
        <f>IF($E826="","",WORKDAY($E826,20,$V$33:$V$41))</f>
        <v>45707</v>
      </c>
      <c r="I826" s="157" t="str">
        <f t="shared" si="16"/>
        <v>Jan</v>
      </c>
      <c r="J826" s="142" t="str">
        <f ca="1">IF(E826="","",IF(N826="",H826-TODAY(),""))</f>
        <v/>
      </c>
      <c r="K826" s="157" t="s">
        <v>5</v>
      </c>
      <c r="L826" s="157" t="s">
        <v>22</v>
      </c>
      <c r="M826" s="157" t="s">
        <v>64</v>
      </c>
      <c r="N826" s="9">
        <v>45693</v>
      </c>
      <c r="O826" s="159">
        <f>IF($N826="","",NETWORKDAYS($E826,$N826,$V$33:$V$47)-1)</f>
        <v>10</v>
      </c>
      <c r="P826" s="10" t="str">
        <f>IF(ISBLANK(N826),"",IF(N826&gt;H826,"No","Yes"))</f>
        <v>Yes</v>
      </c>
      <c r="Q826" s="9" t="s">
        <v>117</v>
      </c>
      <c r="R826" s="4" t="s">
        <v>118</v>
      </c>
      <c r="S826" s="4"/>
      <c r="T826" s="4"/>
      <c r="U826" s="6"/>
      <c r="V826" s="6"/>
      <c r="W826" s="6"/>
      <c r="X826" s="6"/>
      <c r="Y826" s="6"/>
      <c r="Z826" s="6"/>
      <c r="AX826" s="6" t="str">
        <v>Quarter 4</v>
      </c>
    </row>
    <row r="827" spans="1:50" ht="31.4" customHeight="1" x14ac:dyDescent="0.35">
      <c r="A827" s="162">
        <v>826</v>
      </c>
      <c r="B827" s="4" t="s">
        <v>138</v>
      </c>
      <c r="C827" s="4" t="s">
        <v>19</v>
      </c>
      <c r="D827" s="4" t="s">
        <v>229</v>
      </c>
      <c r="E827" s="157">
        <v>45680</v>
      </c>
      <c r="F827" s="9">
        <f>IF($E827="","",WORKDAY($E827,1,$V$33:$V$41))</f>
        <v>45681</v>
      </c>
      <c r="G827" s="9">
        <f>IF($E827="","",WORKDAY($E827,10,$V$33:$V$41))</f>
        <v>45694</v>
      </c>
      <c r="H827" s="9">
        <f>IF($E827="","",WORKDAY($E827,20,$V$33:$V$41))</f>
        <v>45708</v>
      </c>
      <c r="I827" s="157" t="str">
        <f t="shared" si="16"/>
        <v>Jan</v>
      </c>
      <c r="J827" s="142" t="str">
        <f ca="1">IF(E827="","",IF(N827="",H827-TODAY(),""))</f>
        <v/>
      </c>
      <c r="K827" s="157" t="s">
        <v>5</v>
      </c>
      <c r="L827" s="157" t="s">
        <v>16</v>
      </c>
      <c r="M827" s="157" t="s">
        <v>71</v>
      </c>
      <c r="N827" s="9">
        <v>45694</v>
      </c>
      <c r="O827" s="159">
        <f>IF($N827="","",NETWORKDAYS($E827,$N827,$V$33:$V$47)-1)</f>
        <v>10</v>
      </c>
      <c r="P827" s="10" t="str">
        <f>IF(ISBLANK(N827),"",IF(N827&gt;H827,"No","Yes"))</f>
        <v>Yes</v>
      </c>
      <c r="Q827" s="9" t="s">
        <v>117</v>
      </c>
      <c r="R827" s="4" t="s">
        <v>118</v>
      </c>
      <c r="S827" s="4" t="s">
        <v>119</v>
      </c>
      <c r="T827" s="4"/>
      <c r="U827" s="6"/>
      <c r="V827" s="6"/>
      <c r="W827" s="6"/>
      <c r="X827" s="6"/>
      <c r="Y827" s="6"/>
      <c r="Z827" s="6"/>
      <c r="AX827" s="6" t="str">
        <v>Quarter 4</v>
      </c>
    </row>
    <row r="828" spans="1:50" ht="31.4" customHeight="1" x14ac:dyDescent="0.35">
      <c r="A828" s="162">
        <v>827</v>
      </c>
      <c r="B828" s="4" t="s">
        <v>8</v>
      </c>
      <c r="C828" s="4" t="s">
        <v>8</v>
      </c>
      <c r="D828" s="4" t="s">
        <v>1442</v>
      </c>
      <c r="E828" s="157">
        <v>45680</v>
      </c>
      <c r="F828" s="9">
        <f>IF($E828="","",WORKDAY($E828,1,$V$33:$V$41))</f>
        <v>45681</v>
      </c>
      <c r="G828" s="9">
        <f>IF($E828="","",WORKDAY($E828,10,$V$33:$V$41))</f>
        <v>45694</v>
      </c>
      <c r="H828" s="9">
        <f>IF($E828="","",WORKDAY($E828,20,$V$33:$V$41))</f>
        <v>45708</v>
      </c>
      <c r="I828" s="157" t="str">
        <f t="shared" si="16"/>
        <v>Jan</v>
      </c>
      <c r="J828" s="142" t="str">
        <f ca="1">IF(E828="","",IF(N828="",H828-TODAY(),""))</f>
        <v/>
      </c>
      <c r="K828" s="157" t="s">
        <v>5</v>
      </c>
      <c r="L828" s="157" t="s">
        <v>16</v>
      </c>
      <c r="M828" s="157" t="s">
        <v>67</v>
      </c>
      <c r="N828" s="9">
        <v>45684</v>
      </c>
      <c r="O828" s="159">
        <f>IF($N828="","",NETWORKDAYS($E828,$N828,$V$33:$V$47)-1)</f>
        <v>2</v>
      </c>
      <c r="P828" s="10" t="str">
        <f>IF(ISBLANK(N828),"",IF(N828&gt;H828,"No","Yes"))</f>
        <v>Yes</v>
      </c>
      <c r="Q828" s="9" t="s">
        <v>117</v>
      </c>
      <c r="R828" s="4" t="s">
        <v>118</v>
      </c>
      <c r="S828" s="4" t="s">
        <v>135</v>
      </c>
      <c r="T828" s="4"/>
      <c r="U828" s="6"/>
      <c r="V828" s="6"/>
      <c r="W828" s="6"/>
      <c r="X828" s="6"/>
      <c r="Y828" s="6"/>
      <c r="Z828" s="6"/>
      <c r="AX828" s="6" t="str">
        <v>Quarter 4</v>
      </c>
    </row>
    <row r="829" spans="1:50" ht="31.4" customHeight="1" x14ac:dyDescent="0.35">
      <c r="A829" s="162">
        <v>828</v>
      </c>
      <c r="B829" s="4" t="s">
        <v>8</v>
      </c>
      <c r="C829" s="4" t="s">
        <v>8</v>
      </c>
      <c r="D829" s="4" t="s">
        <v>1443</v>
      </c>
      <c r="E829" s="157">
        <v>45680</v>
      </c>
      <c r="F829" s="9">
        <f>IF($E829="","",WORKDAY($E829,1,$V$33:$V$41))</f>
        <v>45681</v>
      </c>
      <c r="G829" s="9">
        <f>IF($E829="","",WORKDAY($E829,10,$V$33:$V$41))</f>
        <v>45694</v>
      </c>
      <c r="H829" s="9">
        <f>IF($E829="","",WORKDAY($E829,20,$V$33:$V$41))</f>
        <v>45708</v>
      </c>
      <c r="I829" s="157" t="str">
        <f t="shared" si="16"/>
        <v>Jan</v>
      </c>
      <c r="J829" s="142" t="str">
        <f ca="1">IF(E829="","",IF(N829="",H829-TODAY(),""))</f>
        <v/>
      </c>
      <c r="K829" s="157" t="s">
        <v>10</v>
      </c>
      <c r="L829" s="157" t="s">
        <v>12</v>
      </c>
      <c r="M829" s="157" t="s">
        <v>30</v>
      </c>
      <c r="N829" s="9">
        <v>45695</v>
      </c>
      <c r="O829" s="159">
        <f>IF($N829="","",NETWORKDAYS($E829,$N829,$V$33:$V$47)-1)</f>
        <v>11</v>
      </c>
      <c r="P829" s="10" t="str">
        <f>IF(ISBLANK(N829),"",IF(N829&gt;H829,"No","Yes"))</f>
        <v>Yes</v>
      </c>
      <c r="Q829" s="9" t="s">
        <v>117</v>
      </c>
      <c r="R829" s="4" t="s">
        <v>118</v>
      </c>
      <c r="S829" s="4"/>
      <c r="T829" s="4"/>
      <c r="U829" s="6"/>
      <c r="V829" s="6"/>
      <c r="W829" s="6"/>
      <c r="X829" s="6"/>
      <c r="Y829" s="6"/>
      <c r="Z829" s="6"/>
      <c r="AX829" s="6" t="str">
        <v>Quarter 4</v>
      </c>
    </row>
    <row r="830" spans="1:50" ht="31.4" customHeight="1" x14ac:dyDescent="0.35">
      <c r="A830" s="162">
        <v>829</v>
      </c>
      <c r="B830" s="4" t="s">
        <v>8</v>
      </c>
      <c r="C830" s="4" t="s">
        <v>8</v>
      </c>
      <c r="D830" s="4" t="s">
        <v>1444</v>
      </c>
      <c r="E830" s="157">
        <v>45680</v>
      </c>
      <c r="F830" s="9">
        <f>IF($E830="","",WORKDAY($E830,1,$V$33:$V$41))</f>
        <v>45681</v>
      </c>
      <c r="G830" s="9">
        <f>IF($E830="","",WORKDAY($E830,10,$V$33:$V$41))</f>
        <v>45694</v>
      </c>
      <c r="H830" s="9">
        <f>IF($E830="","",WORKDAY($E830,20,$V$33:$V$41))</f>
        <v>45708</v>
      </c>
      <c r="I830" s="157" t="str">
        <f t="shared" si="16"/>
        <v>Jan</v>
      </c>
      <c r="J830" s="142" t="str">
        <f ca="1">IF(E830="","",IF(N830="",H830-TODAY(),""))</f>
        <v/>
      </c>
      <c r="K830" s="157" t="s">
        <v>5</v>
      </c>
      <c r="L830" s="157" t="s">
        <v>22</v>
      </c>
      <c r="M830" s="157" t="s">
        <v>75</v>
      </c>
      <c r="N830" s="9">
        <v>45694</v>
      </c>
      <c r="O830" s="159">
        <f>IF($N830="","",NETWORKDAYS($E830,$N830,$V$33:$V$47)-1)</f>
        <v>10</v>
      </c>
      <c r="P830" s="10" t="str">
        <f>IF(ISBLANK(N830),"",IF(N830&gt;H830,"No","Yes"))</f>
        <v>Yes</v>
      </c>
      <c r="Q830" s="9" t="s">
        <v>117</v>
      </c>
      <c r="R830" s="4" t="s">
        <v>118</v>
      </c>
      <c r="S830" s="4" t="s">
        <v>135</v>
      </c>
      <c r="T830" s="4"/>
      <c r="U830" s="6"/>
      <c r="V830" s="6"/>
      <c r="W830" s="6"/>
      <c r="X830" s="6"/>
      <c r="Y830" s="6"/>
      <c r="Z830" s="6"/>
      <c r="AX830" s="6" t="str">
        <v>Quarter 4</v>
      </c>
    </row>
    <row r="831" spans="1:50" ht="31.4" customHeight="1" x14ac:dyDescent="0.35">
      <c r="A831" s="162">
        <v>830</v>
      </c>
      <c r="B831" s="4" t="s">
        <v>1249</v>
      </c>
      <c r="C831" s="4" t="s">
        <v>6</v>
      </c>
      <c r="D831" s="4" t="s">
        <v>1445</v>
      </c>
      <c r="E831" s="157">
        <v>45681</v>
      </c>
      <c r="F831" s="9">
        <f>IF($E831="","",WORKDAY($E831,1,$V$33:$V$41))</f>
        <v>45684</v>
      </c>
      <c r="G831" s="9">
        <f>IF($E831="","",WORKDAY($E831,10,$V$33:$V$41))</f>
        <v>45695</v>
      </c>
      <c r="H831" s="9">
        <f>IF($E831="","",WORKDAY($E831,20,$V$33:$V$41))</f>
        <v>45709</v>
      </c>
      <c r="I831" s="157" t="str">
        <f t="shared" si="16"/>
        <v>Jan</v>
      </c>
      <c r="J831" s="142" t="str">
        <f ca="1">IF(E831="","",IF(N831="",H831-TODAY(),""))</f>
        <v/>
      </c>
      <c r="K831" s="157" t="s">
        <v>10</v>
      </c>
      <c r="L831" s="157" t="s">
        <v>12</v>
      </c>
      <c r="M831" s="157" t="s">
        <v>30</v>
      </c>
      <c r="N831" s="9">
        <v>45698</v>
      </c>
      <c r="O831" s="159">
        <f>IF($N831="","",NETWORKDAYS($E831,$N831,$V$33:$V$47)-1)</f>
        <v>11</v>
      </c>
      <c r="P831" s="10" t="str">
        <f>IF(ISBLANK(N831),"",IF(N831&gt;H831,"No","Yes"))</f>
        <v>Yes</v>
      </c>
      <c r="Q831" s="9" t="s">
        <v>117</v>
      </c>
      <c r="R831" s="4" t="s">
        <v>118</v>
      </c>
      <c r="S831" s="4"/>
      <c r="T831" s="4"/>
      <c r="U831" s="6"/>
      <c r="V831" s="6"/>
      <c r="W831" s="6"/>
      <c r="X831" s="6"/>
      <c r="Y831" s="6"/>
      <c r="Z831" s="6"/>
      <c r="AX831" s="6" t="str">
        <v>Quarter 4</v>
      </c>
    </row>
    <row r="832" spans="1:50" ht="31.4" customHeight="1" x14ac:dyDescent="0.35">
      <c r="A832" s="162">
        <v>831</v>
      </c>
      <c r="B832" s="4" t="s">
        <v>8</v>
      </c>
      <c r="C832" s="4" t="s">
        <v>8</v>
      </c>
      <c r="D832" s="4" t="s">
        <v>1435</v>
      </c>
      <c r="E832" s="157">
        <v>45681</v>
      </c>
      <c r="F832" s="9">
        <f>IF($E832="","",WORKDAY($E832,1,$V$33:$V$41))</f>
        <v>45684</v>
      </c>
      <c r="G832" s="9">
        <f>IF($E832="","",WORKDAY($E832,10,$V$33:$V$41))</f>
        <v>45695</v>
      </c>
      <c r="H832" s="9">
        <f>IF($E832="","",WORKDAY($E832,20,$V$33:$V$41))</f>
        <v>45709</v>
      </c>
      <c r="I832" s="157" t="str">
        <f t="shared" si="16"/>
        <v>Jan</v>
      </c>
      <c r="J832" s="142" t="str">
        <f ca="1">IF(E832="","",IF(N832="",H832-TODAY(),""))</f>
        <v/>
      </c>
      <c r="K832" s="157" t="s">
        <v>5</v>
      </c>
      <c r="L832" s="157" t="s">
        <v>18</v>
      </c>
      <c r="M832" s="157" t="s">
        <v>66</v>
      </c>
      <c r="N832" s="9">
        <v>45681</v>
      </c>
      <c r="O832" s="159">
        <f>IF($N832="","",NETWORKDAYS($E832,$N832,$V$33:$V$47)-1)</f>
        <v>0</v>
      </c>
      <c r="P832" s="10" t="str">
        <f>IF(ISBLANK(N832),"",IF(N832&gt;H832,"No","Yes"))</f>
        <v>Yes</v>
      </c>
      <c r="Q832" s="9" t="s">
        <v>117</v>
      </c>
      <c r="R832" s="4" t="s">
        <v>118</v>
      </c>
      <c r="S832" s="4"/>
      <c r="T832" s="4" t="s">
        <v>141</v>
      </c>
      <c r="U832" s="6"/>
      <c r="V832" s="6"/>
      <c r="W832" s="6"/>
      <c r="X832" s="6"/>
      <c r="Y832" s="6"/>
      <c r="Z832" s="6"/>
      <c r="AX832" s="6" t="str">
        <v>Quarter 4</v>
      </c>
    </row>
    <row r="833" spans="1:50" ht="31.4" customHeight="1" x14ac:dyDescent="0.35">
      <c r="A833" s="162">
        <v>832</v>
      </c>
      <c r="B833" s="4" t="s">
        <v>1446</v>
      </c>
      <c r="C833" s="4" t="s">
        <v>13</v>
      </c>
      <c r="D833" s="4" t="s">
        <v>1447</v>
      </c>
      <c r="E833" s="157">
        <v>45681</v>
      </c>
      <c r="F833" s="9">
        <f>IF($E833="","",WORKDAY($E833,1,$V$33:$V$41))</f>
        <v>45684</v>
      </c>
      <c r="G833" s="9">
        <f>IF($E833="","",WORKDAY($E833,10,$V$33:$V$41))</f>
        <v>45695</v>
      </c>
      <c r="H833" s="9">
        <f>IF($E833="","",WORKDAY($E833,20,$V$33:$V$41))</f>
        <v>45709</v>
      </c>
      <c r="I833" s="157" t="str">
        <f t="shared" si="16"/>
        <v>Jan</v>
      </c>
      <c r="J833" s="142" t="str">
        <f ca="1">IF(E833="","",IF(N833="",H833-TODAY(),""))</f>
        <v/>
      </c>
      <c r="K833" s="157" t="s">
        <v>5</v>
      </c>
      <c r="L833" s="157" t="s">
        <v>16</v>
      </c>
      <c r="M833" s="157" t="s">
        <v>67</v>
      </c>
      <c r="N833" s="9">
        <v>45684</v>
      </c>
      <c r="O833" s="159">
        <f>IF($N833="","",NETWORKDAYS($E833,$N833,$V$33:$V$47)-1)</f>
        <v>1</v>
      </c>
      <c r="P833" s="10" t="str">
        <f>IF(ISBLANK(N833),"",IF(N833&gt;H833,"No","Yes"))</f>
        <v>Yes</v>
      </c>
      <c r="Q833" s="9" t="s">
        <v>117</v>
      </c>
      <c r="R833" s="4" t="s">
        <v>118</v>
      </c>
      <c r="S833" s="4" t="s">
        <v>135</v>
      </c>
      <c r="T833" s="4"/>
      <c r="U833" s="6"/>
      <c r="V833" s="6"/>
      <c r="W833" s="6"/>
      <c r="X833" s="6"/>
      <c r="Y833" s="6"/>
      <c r="Z833" s="6"/>
      <c r="AX833" s="6" t="str">
        <v>Quarter 4</v>
      </c>
    </row>
    <row r="834" spans="1:50" ht="31.4" customHeight="1" x14ac:dyDescent="0.35">
      <c r="A834" s="162">
        <v>833</v>
      </c>
      <c r="B834" s="4" t="s">
        <v>8</v>
      </c>
      <c r="C834" s="4" t="s">
        <v>8</v>
      </c>
      <c r="D834" s="4" t="s">
        <v>1448</v>
      </c>
      <c r="E834" s="157">
        <v>45681</v>
      </c>
      <c r="F834" s="9">
        <f>IF($E834="","",WORKDAY($E834,1,$V$33:$V$41))</f>
        <v>45684</v>
      </c>
      <c r="G834" s="9">
        <f>IF($E834="","",WORKDAY($E834,10,$V$33:$V$41))</f>
        <v>45695</v>
      </c>
      <c r="H834" s="9">
        <f>IF($E834="","",WORKDAY($E834,20,$V$33:$V$41))</f>
        <v>45709</v>
      </c>
      <c r="I834" s="157" t="str">
        <f t="shared" ref="I834:I896" si="17">IF(ISBLANK(E834),"",TEXT(E834,"mmm"))</f>
        <v>Jan</v>
      </c>
      <c r="J834" s="142" t="str">
        <f ca="1">IF(E834="","",IF(N834="",H834-TODAY(),""))</f>
        <v/>
      </c>
      <c r="K834" s="157" t="s">
        <v>5</v>
      </c>
      <c r="L834" s="157" t="s">
        <v>16</v>
      </c>
      <c r="M834" s="157" t="s">
        <v>52</v>
      </c>
      <c r="N834" s="9">
        <v>45684</v>
      </c>
      <c r="O834" s="159">
        <f>IF($N834="","",NETWORKDAYS($E834,$N834,$V$33:$V$47)-1)</f>
        <v>1</v>
      </c>
      <c r="P834" s="10" t="str">
        <f>IF(ISBLANK(N834),"",IF(N834&gt;H834,"No","Yes"))</f>
        <v>Yes</v>
      </c>
      <c r="Q834" s="9" t="s">
        <v>117</v>
      </c>
      <c r="R834" s="4" t="s">
        <v>118</v>
      </c>
      <c r="S834" s="4" t="s">
        <v>135</v>
      </c>
      <c r="T834" s="4"/>
      <c r="U834" s="6"/>
      <c r="V834" s="6"/>
      <c r="W834" s="6"/>
      <c r="X834" s="6"/>
      <c r="Y834" s="6"/>
      <c r="Z834" s="6"/>
      <c r="AX834" s="6" t="str">
        <v>Quarter 4</v>
      </c>
    </row>
    <row r="835" spans="1:50" ht="31.4" customHeight="1" x14ac:dyDescent="0.35">
      <c r="A835" s="162">
        <v>834</v>
      </c>
      <c r="B835" s="4" t="s">
        <v>8</v>
      </c>
      <c r="C835" s="4" t="s">
        <v>8</v>
      </c>
      <c r="D835" s="4" t="s">
        <v>1449</v>
      </c>
      <c r="E835" s="157">
        <v>45684</v>
      </c>
      <c r="F835" s="9">
        <f>IF($E835="","",WORKDAY($E835,1,$V$33:$V$41))</f>
        <v>45685</v>
      </c>
      <c r="G835" s="9">
        <f>IF($E835="","",WORKDAY($E835,10,$V$33:$V$41))</f>
        <v>45698</v>
      </c>
      <c r="H835" s="9">
        <f>IF($E835="","",WORKDAY($E835,20,$V$33:$V$41))</f>
        <v>45712</v>
      </c>
      <c r="I835" s="157" t="str">
        <f t="shared" si="17"/>
        <v>Jan</v>
      </c>
      <c r="J835" s="142" t="str">
        <f ca="1">IF(E835="","",IF(N835="",H835-TODAY(),""))</f>
        <v/>
      </c>
      <c r="K835" s="157" t="s">
        <v>5</v>
      </c>
      <c r="L835" s="157" t="s">
        <v>16</v>
      </c>
      <c r="M835" s="157" t="s">
        <v>71</v>
      </c>
      <c r="N835" s="9">
        <v>45713</v>
      </c>
      <c r="O835" s="159">
        <f>IF($N835="","",NETWORKDAYS($E835,$N835,$V$33:$V$47)-1)</f>
        <v>21</v>
      </c>
      <c r="P835" s="10" t="str">
        <f>IF(ISBLANK(N835),"",IF(N835&gt;H835,"No","Yes"))</f>
        <v>No</v>
      </c>
      <c r="Q835" s="9" t="s">
        <v>117</v>
      </c>
      <c r="R835" s="4" t="s">
        <v>118</v>
      </c>
      <c r="S835" s="4" t="s">
        <v>119</v>
      </c>
      <c r="T835" s="4"/>
      <c r="U835" s="6"/>
      <c r="V835" s="6"/>
      <c r="W835" s="6"/>
      <c r="X835" s="6"/>
      <c r="Y835" s="6"/>
      <c r="Z835" s="6"/>
      <c r="AX835" s="6" t="str">
        <v>Quarter 4</v>
      </c>
    </row>
    <row r="836" spans="1:50" ht="31.4" customHeight="1" x14ac:dyDescent="0.35">
      <c r="A836" s="162">
        <v>835</v>
      </c>
      <c r="B836" s="4" t="s">
        <v>8</v>
      </c>
      <c r="C836" s="4" t="s">
        <v>8</v>
      </c>
      <c r="D836" s="4" t="s">
        <v>523</v>
      </c>
      <c r="E836" s="157">
        <v>45684</v>
      </c>
      <c r="F836" s="9">
        <f>IF($E836="","",WORKDAY($E836,1,$V$33:$V$41))</f>
        <v>45685</v>
      </c>
      <c r="G836" s="9">
        <f>IF($E836="","",WORKDAY($E836,10,$V$33:$V$41))</f>
        <v>45698</v>
      </c>
      <c r="H836" s="9">
        <f>IF($E836="","",WORKDAY($E836,20,$V$33:$V$41))</f>
        <v>45712</v>
      </c>
      <c r="I836" s="157" t="str">
        <f t="shared" si="17"/>
        <v>Jan</v>
      </c>
      <c r="J836" s="142" t="str">
        <f ca="1">IF(E836="","",IF(N836="",H836-TODAY(),""))</f>
        <v/>
      </c>
      <c r="K836" s="157" t="s">
        <v>10</v>
      </c>
      <c r="L836" s="157" t="s">
        <v>27</v>
      </c>
      <c r="M836" s="157" t="s">
        <v>37</v>
      </c>
      <c r="N836" s="9">
        <v>45695</v>
      </c>
      <c r="O836" s="159">
        <f>IF($N836="","",NETWORKDAYS($E836,$N836,$V$33:$V$47)-1)</f>
        <v>9</v>
      </c>
      <c r="P836" s="10" t="str">
        <f>IF(ISBLANK(N836),"",IF(N836&gt;H836,"No","Yes"))</f>
        <v>Yes</v>
      </c>
      <c r="Q836" s="9" t="s">
        <v>117</v>
      </c>
      <c r="R836" s="4" t="s">
        <v>118</v>
      </c>
      <c r="S836" s="4"/>
      <c r="T836" s="4"/>
      <c r="U836" s="6"/>
      <c r="V836" s="6"/>
      <c r="W836" s="6"/>
      <c r="X836" s="6"/>
      <c r="Y836" s="6"/>
      <c r="Z836" s="6"/>
      <c r="AX836" s="6" t="str">
        <v>Quarter 4</v>
      </c>
    </row>
    <row r="837" spans="1:50" ht="31.4" customHeight="1" x14ac:dyDescent="0.35">
      <c r="A837" s="162">
        <v>836</v>
      </c>
      <c r="B837" s="4" t="s">
        <v>1450</v>
      </c>
      <c r="C837" s="4" t="s">
        <v>13</v>
      </c>
      <c r="D837" s="4" t="s">
        <v>1451</v>
      </c>
      <c r="E837" s="157">
        <v>45684</v>
      </c>
      <c r="F837" s="9">
        <f>IF($E837="","",WORKDAY($E837,1,$V$33:$V$41))</f>
        <v>45685</v>
      </c>
      <c r="G837" s="9">
        <f>IF($E837="","",WORKDAY($E837,10,$V$33:$V$41))</f>
        <v>45698</v>
      </c>
      <c r="H837" s="9">
        <f>IF($E837="","",WORKDAY($E837,20,$V$33:$V$41))</f>
        <v>45712</v>
      </c>
      <c r="I837" s="157" t="str">
        <f t="shared" si="17"/>
        <v>Jan</v>
      </c>
      <c r="J837" s="142" t="str">
        <f ca="1">IF(E837="","",IF(N837="",H837-TODAY(),""))</f>
        <v/>
      </c>
      <c r="K837" s="157" t="s">
        <v>5</v>
      </c>
      <c r="L837" s="157" t="s">
        <v>16</v>
      </c>
      <c r="M837" s="157" t="s">
        <v>67</v>
      </c>
      <c r="N837" s="9">
        <v>45692</v>
      </c>
      <c r="O837" s="159">
        <f>IF($N837="","",NETWORKDAYS($E837,$N837,$V$33:$V$47)-1)</f>
        <v>6</v>
      </c>
      <c r="P837" s="10" t="str">
        <f>IF(ISBLANK(N837),"",IF(N837&gt;H837,"No","Yes"))</f>
        <v>Yes</v>
      </c>
      <c r="Q837" s="9" t="s">
        <v>117</v>
      </c>
      <c r="R837" s="4" t="s">
        <v>118</v>
      </c>
      <c r="S837" s="4"/>
      <c r="T837" s="4"/>
      <c r="U837" s="6"/>
      <c r="V837" s="6"/>
      <c r="W837" s="6"/>
      <c r="X837" s="6"/>
      <c r="Y837" s="6"/>
      <c r="Z837" s="6"/>
      <c r="AX837" s="6" t="str">
        <v>Quarter 4</v>
      </c>
    </row>
    <row r="838" spans="1:50" ht="31.4" customHeight="1" x14ac:dyDescent="0.35">
      <c r="A838" s="162">
        <v>837</v>
      </c>
      <c r="B838" s="4" t="s">
        <v>8</v>
      </c>
      <c r="C838" s="4" t="s">
        <v>8</v>
      </c>
      <c r="D838" s="4" t="s">
        <v>1452</v>
      </c>
      <c r="E838" s="157">
        <v>45684</v>
      </c>
      <c r="F838" s="9">
        <f>IF($E838="","",WORKDAY($E838,1,$V$33:$V$41))</f>
        <v>45685</v>
      </c>
      <c r="G838" s="9">
        <f>IF($E838="","",WORKDAY($E838,10,$V$33:$V$41))</f>
        <v>45698</v>
      </c>
      <c r="H838" s="9">
        <f>IF($E838="","",WORKDAY($E838,20,$V$33:$V$41))</f>
        <v>45712</v>
      </c>
      <c r="I838" s="157" t="str">
        <f t="shared" si="17"/>
        <v>Jan</v>
      </c>
      <c r="J838" s="142" t="str">
        <f ca="1">IF(E838="","",IF(N838="",H838-TODAY(),""))</f>
        <v/>
      </c>
      <c r="K838" s="157" t="s">
        <v>5</v>
      </c>
      <c r="L838" s="157" t="s">
        <v>16</v>
      </c>
      <c r="M838" s="157" t="s">
        <v>52</v>
      </c>
      <c r="N838" s="9">
        <v>45685</v>
      </c>
      <c r="O838" s="159">
        <f>IF($N838="","",NETWORKDAYS($E838,$N838,$V$33:$V$47)-1)</f>
        <v>1</v>
      </c>
      <c r="P838" s="10" t="str">
        <f>IF(ISBLANK(N838),"",IF(N838&gt;H838,"No","Yes"))</f>
        <v>Yes</v>
      </c>
      <c r="Q838" s="9" t="s">
        <v>117</v>
      </c>
      <c r="R838" s="4" t="s">
        <v>118</v>
      </c>
      <c r="S838" s="4" t="s">
        <v>135</v>
      </c>
      <c r="T838" s="4"/>
      <c r="U838" s="6"/>
      <c r="V838" s="6"/>
      <c r="W838" s="6"/>
      <c r="X838" s="6"/>
      <c r="Y838" s="6"/>
      <c r="Z838" s="6"/>
      <c r="AX838" s="6" t="str">
        <v>Quarter 4</v>
      </c>
    </row>
    <row r="839" spans="1:50" ht="31.4" customHeight="1" x14ac:dyDescent="0.35">
      <c r="A839" s="162">
        <v>838</v>
      </c>
      <c r="B839" s="4" t="s">
        <v>1453</v>
      </c>
      <c r="C839" s="4" t="s">
        <v>6</v>
      </c>
      <c r="D839" s="4" t="s">
        <v>1454</v>
      </c>
      <c r="E839" s="157">
        <v>45684</v>
      </c>
      <c r="F839" s="9">
        <f>IF($E839="","",WORKDAY($E839,1,$V$33:$V$41))</f>
        <v>45685</v>
      </c>
      <c r="G839" s="9">
        <f>IF($E839="","",WORKDAY($E839,10,$V$33:$V$41))</f>
        <v>45698</v>
      </c>
      <c r="H839" s="9">
        <f>IF($E839="","",WORKDAY($E839,20,$V$33:$V$41))</f>
        <v>45712</v>
      </c>
      <c r="I839" s="157" t="str">
        <f t="shared" si="17"/>
        <v>Jan</v>
      </c>
      <c r="J839" s="142" t="str">
        <f ca="1">IF(E839="","",IF(N839="",H839-TODAY(),""))</f>
        <v/>
      </c>
      <c r="K839" s="157" t="s">
        <v>124</v>
      </c>
      <c r="L839" s="157" t="s">
        <v>14</v>
      </c>
      <c r="M839" s="157" t="s">
        <v>69</v>
      </c>
      <c r="N839" s="9">
        <v>45687</v>
      </c>
      <c r="O839" s="159">
        <f>IF($N839="","",NETWORKDAYS($E839,$N839,$V$33:$V$47)-1)</f>
        <v>3</v>
      </c>
      <c r="P839" s="10" t="str">
        <f>IF(ISBLANK(N839),"",IF(N839&gt;H839,"No","Yes"))</f>
        <v>Yes</v>
      </c>
      <c r="Q839" s="9" t="s">
        <v>117</v>
      </c>
      <c r="R839" s="4" t="s">
        <v>118</v>
      </c>
      <c r="S839" s="4"/>
      <c r="T839" s="4"/>
      <c r="U839" s="6"/>
      <c r="V839" s="6"/>
      <c r="W839" s="6"/>
      <c r="X839" s="6"/>
      <c r="Y839" s="6"/>
      <c r="Z839" s="6"/>
      <c r="AX839" s="6" t="str">
        <v>Quarter 4</v>
      </c>
    </row>
    <row r="840" spans="1:50" ht="31.4" customHeight="1" x14ac:dyDescent="0.35">
      <c r="A840" s="162">
        <v>839</v>
      </c>
      <c r="B840" s="4" t="s">
        <v>8</v>
      </c>
      <c r="C840" s="4" t="s">
        <v>8</v>
      </c>
      <c r="D840" s="4" t="s">
        <v>1455</v>
      </c>
      <c r="E840" s="157">
        <v>45684</v>
      </c>
      <c r="F840" s="9">
        <f>IF($E840="","",WORKDAY($E840,1,$V$33:$V$41))</f>
        <v>45685</v>
      </c>
      <c r="G840" s="9">
        <f>IF($E840="","",WORKDAY($E840,10,$V$33:$V$41))</f>
        <v>45698</v>
      </c>
      <c r="H840" s="9">
        <f>IF($E840="","",WORKDAY($E840,20,$V$33:$V$41))</f>
        <v>45712</v>
      </c>
      <c r="I840" s="157" t="str">
        <f t="shared" si="17"/>
        <v>Jan</v>
      </c>
      <c r="J840" s="142" t="str">
        <f ca="1">IF(E840="","",IF(N840="",H840-TODAY(),""))</f>
        <v/>
      </c>
      <c r="K840" s="157" t="s">
        <v>5</v>
      </c>
      <c r="L840" s="157" t="s">
        <v>16</v>
      </c>
      <c r="M840" s="157" t="s">
        <v>67</v>
      </c>
      <c r="N840" s="9">
        <v>45687</v>
      </c>
      <c r="O840" s="159">
        <f>IF($N840="","",NETWORKDAYS($E840,$N840,$V$33:$V$47)-1)</f>
        <v>3</v>
      </c>
      <c r="P840" s="10" t="str">
        <f>IF(ISBLANK(N840),"",IF(N840&gt;H840,"No","Yes"))</f>
        <v>Yes</v>
      </c>
      <c r="Q840" s="9" t="s">
        <v>117</v>
      </c>
      <c r="R840" s="4" t="s">
        <v>126</v>
      </c>
      <c r="S840" s="4" t="s">
        <v>119</v>
      </c>
      <c r="T840" s="4"/>
      <c r="U840" s="6"/>
      <c r="V840" s="6"/>
      <c r="W840" s="6"/>
      <c r="X840" s="6"/>
      <c r="Y840" s="6"/>
      <c r="Z840" s="6"/>
      <c r="AX840" s="6" t="str">
        <v>Quarter 4</v>
      </c>
    </row>
    <row r="841" spans="1:50" ht="31.4" customHeight="1" x14ac:dyDescent="0.35">
      <c r="A841" s="162">
        <v>840</v>
      </c>
      <c r="B841" s="4" t="s">
        <v>8</v>
      </c>
      <c r="C841" s="4" t="s">
        <v>8</v>
      </c>
      <c r="D841" s="4" t="s">
        <v>1456</v>
      </c>
      <c r="E841" s="157">
        <v>45684</v>
      </c>
      <c r="F841" s="9">
        <f>IF($E841="","",WORKDAY($E841,1,$V$33:$V$41))</f>
        <v>45685</v>
      </c>
      <c r="G841" s="9">
        <f>IF($E841="","",WORKDAY($E841,10,$V$33:$V$41))</f>
        <v>45698</v>
      </c>
      <c r="H841" s="9">
        <f>IF($E841="","",WORKDAY($E841,20,$V$33:$V$41))</f>
        <v>45712</v>
      </c>
      <c r="I841" s="157" t="str">
        <f t="shared" si="17"/>
        <v>Jan</v>
      </c>
      <c r="J841" s="142" t="str">
        <f ca="1">IF(E841="","",IF(N841="",H841-TODAY(),""))</f>
        <v/>
      </c>
      <c r="K841" s="157" t="s">
        <v>4</v>
      </c>
      <c r="L841" s="157" t="s">
        <v>3</v>
      </c>
      <c r="M841" s="157" t="s">
        <v>89</v>
      </c>
      <c r="N841" s="9">
        <v>45698</v>
      </c>
      <c r="O841" s="159">
        <f>IF($N841="","",NETWORKDAYS($E841,$N841,$V$33:$V$47)-1)</f>
        <v>10</v>
      </c>
      <c r="P841" s="10" t="str">
        <f>IF(ISBLANK(N841),"",IF(N841&gt;H841,"No","Yes"))</f>
        <v>Yes</v>
      </c>
      <c r="Q841" s="9" t="s">
        <v>117</v>
      </c>
      <c r="R841" s="4" t="s">
        <v>118</v>
      </c>
      <c r="S841" s="4" t="s">
        <v>135</v>
      </c>
      <c r="T841" s="4" t="s">
        <v>2117</v>
      </c>
      <c r="U841" s="6"/>
      <c r="V841" s="6"/>
      <c r="W841" s="6"/>
      <c r="X841" s="6"/>
      <c r="Y841" s="6"/>
      <c r="Z841" s="6"/>
      <c r="AX841" s="6" t="str">
        <v>Quarter 4</v>
      </c>
    </row>
    <row r="842" spans="1:50" ht="31.4" customHeight="1" x14ac:dyDescent="0.35">
      <c r="A842" s="162">
        <v>841</v>
      </c>
      <c r="B842" s="4" t="s">
        <v>1457</v>
      </c>
      <c r="C842" s="4" t="s">
        <v>13</v>
      </c>
      <c r="D842" s="4" t="s">
        <v>275</v>
      </c>
      <c r="E842" s="157">
        <v>45684</v>
      </c>
      <c r="F842" s="9">
        <f>IF($E842="","",WORKDAY($E842,1,$V$33:$V$41))</f>
        <v>45685</v>
      </c>
      <c r="G842" s="9">
        <f>IF($E842="","",WORKDAY($E842,10,$V$33:$V$41))</f>
        <v>45698</v>
      </c>
      <c r="H842" s="9">
        <f>IF($E842="","",WORKDAY($E842,20,$V$33:$V$41))</f>
        <v>45712</v>
      </c>
      <c r="I842" s="157" t="str">
        <f t="shared" si="17"/>
        <v>Jan</v>
      </c>
      <c r="J842" s="142" t="str">
        <f ca="1">IF(E842="","",IF(N842="",H842-TODAY(),""))</f>
        <v/>
      </c>
      <c r="K842" s="157" t="s">
        <v>124</v>
      </c>
      <c r="L842" s="157" t="s">
        <v>20</v>
      </c>
      <c r="M842" s="157" t="s">
        <v>70</v>
      </c>
      <c r="N842" s="9">
        <v>45685</v>
      </c>
      <c r="O842" s="159">
        <f>IF($N842="","",NETWORKDAYS($E842,$N842,$V$33:$V$47)-1)</f>
        <v>1</v>
      </c>
      <c r="P842" s="10" t="str">
        <f>IF(ISBLANK(N842),"",IF(N842&gt;H842,"No","Yes"))</f>
        <v>Yes</v>
      </c>
      <c r="Q842" s="9" t="s">
        <v>117</v>
      </c>
      <c r="R842" s="4" t="s">
        <v>126</v>
      </c>
      <c r="S842" s="4" t="s">
        <v>134</v>
      </c>
      <c r="T842" s="4"/>
      <c r="U842" s="6"/>
      <c r="V842" s="6"/>
      <c r="W842" s="6"/>
      <c r="X842" s="6"/>
      <c r="Y842" s="6"/>
      <c r="Z842" s="6"/>
      <c r="AX842" s="6" t="str">
        <v>Quarter 4</v>
      </c>
    </row>
    <row r="843" spans="1:50" ht="31.4" customHeight="1" x14ac:dyDescent="0.35">
      <c r="A843" s="162">
        <v>842</v>
      </c>
      <c r="B843" s="4" t="s">
        <v>1458</v>
      </c>
      <c r="C843" s="4" t="s">
        <v>13</v>
      </c>
      <c r="D843" s="4" t="s">
        <v>1459</v>
      </c>
      <c r="E843" s="157">
        <v>45685</v>
      </c>
      <c r="F843" s="9">
        <f>IF($E843="","",WORKDAY($E843,1,$V$33:$V$41))</f>
        <v>45686</v>
      </c>
      <c r="G843" s="9">
        <f>IF($E843="","",WORKDAY($E843,10,$V$33:$V$41))</f>
        <v>45699</v>
      </c>
      <c r="H843" s="9">
        <f>IF($E843="","",WORKDAY($E843,20,$V$33:$V$41))</f>
        <v>45713</v>
      </c>
      <c r="I843" s="157" t="str">
        <f t="shared" si="17"/>
        <v>Jan</v>
      </c>
      <c r="J843" s="142" t="str">
        <f ca="1">IF(E843="","",IF(N843="",H843-TODAY(),""))</f>
        <v/>
      </c>
      <c r="K843" s="157" t="s">
        <v>10</v>
      </c>
      <c r="L843" s="157" t="s">
        <v>9</v>
      </c>
      <c r="M843" s="157" t="s">
        <v>38</v>
      </c>
      <c r="N843" s="9">
        <v>45702</v>
      </c>
      <c r="O843" s="159">
        <f>IF($N843="","",NETWORKDAYS($E843,$N843,$V$33:$V$47)-1)</f>
        <v>13</v>
      </c>
      <c r="P843" s="10" t="str">
        <f>IF(ISBLANK(N843),"",IF(N843&gt;H843,"No","Yes"))</f>
        <v>Yes</v>
      </c>
      <c r="Q843" s="9" t="s">
        <v>117</v>
      </c>
      <c r="R843" s="4" t="s">
        <v>118</v>
      </c>
      <c r="S843" s="4"/>
      <c r="T843" s="4"/>
      <c r="U843" s="6"/>
      <c r="V843" s="6"/>
      <c r="W843" s="6"/>
      <c r="X843" s="6"/>
      <c r="Y843" s="6"/>
      <c r="Z843" s="6"/>
      <c r="AX843" s="6" t="str">
        <v>Quarter 4</v>
      </c>
    </row>
    <row r="844" spans="1:50" ht="31.4" customHeight="1" x14ac:dyDescent="0.35">
      <c r="A844" s="162">
        <v>843</v>
      </c>
      <c r="B844" s="4" t="s">
        <v>8</v>
      </c>
      <c r="C844" s="4" t="s">
        <v>8</v>
      </c>
      <c r="D844" s="4" t="s">
        <v>1460</v>
      </c>
      <c r="E844" s="157">
        <v>45685</v>
      </c>
      <c r="F844" s="9">
        <f>IF($E844="","",WORKDAY($E844,1,$V$33:$V$41))</f>
        <v>45686</v>
      </c>
      <c r="G844" s="9">
        <f>IF($E844="","",WORKDAY($E844,10,$V$33:$V$41))</f>
        <v>45699</v>
      </c>
      <c r="H844" s="9">
        <f>IF($E844="","",WORKDAY($E844,20,$V$33:$V$41))</f>
        <v>45713</v>
      </c>
      <c r="I844" s="157" t="str">
        <f t="shared" si="17"/>
        <v>Jan</v>
      </c>
      <c r="J844" s="142" t="str">
        <f ca="1">IF(E844="","",IF(N844="",H844-TODAY(),""))</f>
        <v/>
      </c>
      <c r="K844" s="157" t="s">
        <v>10</v>
      </c>
      <c r="L844" s="157" t="s">
        <v>12</v>
      </c>
      <c r="M844" s="157" t="s">
        <v>91</v>
      </c>
      <c r="N844" s="9">
        <v>45698</v>
      </c>
      <c r="O844" s="159">
        <f>IF($N844="","",NETWORKDAYS($E844,$N844,$V$33:$V$47)-1)</f>
        <v>9</v>
      </c>
      <c r="P844" s="10" t="str">
        <f>IF(ISBLANK(N844),"",IF(N844&gt;H844,"No","Yes"))</f>
        <v>Yes</v>
      </c>
      <c r="Q844" s="9" t="s">
        <v>117</v>
      </c>
      <c r="R844" s="4" t="s">
        <v>118</v>
      </c>
      <c r="S844" s="4"/>
      <c r="T844" s="4"/>
      <c r="U844" s="6"/>
      <c r="V844" s="6"/>
      <c r="W844" s="6"/>
      <c r="X844" s="6"/>
      <c r="Y844" s="6"/>
      <c r="Z844" s="6"/>
      <c r="AX844" s="6" t="str">
        <v>Quarter 4</v>
      </c>
    </row>
    <row r="845" spans="1:50" ht="31.4" customHeight="1" x14ac:dyDescent="0.35">
      <c r="A845" s="162">
        <v>844</v>
      </c>
      <c r="B845" s="4" t="s">
        <v>481</v>
      </c>
      <c r="C845" s="4" t="s">
        <v>6</v>
      </c>
      <c r="D845" s="4" t="s">
        <v>1461</v>
      </c>
      <c r="E845" s="157">
        <v>45685</v>
      </c>
      <c r="F845" s="9">
        <f>IF($E845="","",WORKDAY($E845,1,$V$33:$V$41))</f>
        <v>45686</v>
      </c>
      <c r="G845" s="9">
        <f>IF($E845="","",WORKDAY($E845,10,$V$33:$V$41))</f>
        <v>45699</v>
      </c>
      <c r="H845" s="9">
        <f>IF($E845="","",WORKDAY($E845,20,$V$33:$V$41))</f>
        <v>45713</v>
      </c>
      <c r="I845" s="157" t="str">
        <f t="shared" si="17"/>
        <v>Jan</v>
      </c>
      <c r="J845" s="142" t="str">
        <f ca="1">IF(E845="","",IF(N845="",H845-TODAY(),""))</f>
        <v/>
      </c>
      <c r="K845" s="157" t="s">
        <v>124</v>
      </c>
      <c r="L845" s="157" t="s">
        <v>20</v>
      </c>
      <c r="M845" s="157" t="s">
        <v>63</v>
      </c>
      <c r="N845" s="9">
        <v>45719</v>
      </c>
      <c r="O845" s="159">
        <f>IF($N845="","",NETWORKDAYS($E845,$N845,$V$33:$V$47)-1)</f>
        <v>24</v>
      </c>
      <c r="P845" s="10" t="str">
        <f>IF(ISBLANK(N845),"",IF(N845&gt;H845,"No","Yes"))</f>
        <v>No</v>
      </c>
      <c r="Q845" s="9" t="s">
        <v>117</v>
      </c>
      <c r="R845" s="4" t="s">
        <v>118</v>
      </c>
      <c r="S845" s="4"/>
      <c r="T845" s="4" t="s">
        <v>141</v>
      </c>
      <c r="U845" s="6"/>
      <c r="V845" s="6"/>
      <c r="W845" s="6"/>
      <c r="X845" s="6"/>
      <c r="Y845" s="6"/>
      <c r="Z845" s="6"/>
      <c r="AX845" s="6" t="str">
        <v>Quarter 4</v>
      </c>
    </row>
    <row r="846" spans="1:50" ht="31.4" customHeight="1" x14ac:dyDescent="0.35">
      <c r="A846" s="162">
        <v>845</v>
      </c>
      <c r="B846" s="4" t="s">
        <v>8</v>
      </c>
      <c r="C846" s="4" t="s">
        <v>8</v>
      </c>
      <c r="D846" s="4" t="s">
        <v>234</v>
      </c>
      <c r="E846" s="157">
        <v>45685</v>
      </c>
      <c r="F846" s="9">
        <f>IF($E846="","",WORKDAY($E846,1,$V$33:$V$41))</f>
        <v>45686</v>
      </c>
      <c r="G846" s="9">
        <f>IF($E846="","",WORKDAY($E846,10,$V$33:$V$41))</f>
        <v>45699</v>
      </c>
      <c r="H846" s="9">
        <f>IF($E846="","",WORKDAY($E846,20,$V$33:$V$41))</f>
        <v>45713</v>
      </c>
      <c r="I846" s="157" t="str">
        <f t="shared" si="17"/>
        <v>Jan</v>
      </c>
      <c r="J846" s="142" t="str">
        <f ca="1">IF(E846="","",IF(N846="",H846-TODAY(),""))</f>
        <v/>
      </c>
      <c r="K846" s="157" t="s">
        <v>124</v>
      </c>
      <c r="L846" s="157" t="s">
        <v>14</v>
      </c>
      <c r="M846" s="157" t="s">
        <v>44</v>
      </c>
      <c r="N846" s="9">
        <v>45702</v>
      </c>
      <c r="O846" s="159">
        <f>IF($N846="","",NETWORKDAYS($E846,$N846,$V$33:$V$47)-1)</f>
        <v>13</v>
      </c>
      <c r="P846" s="10" t="str">
        <f>IF(ISBLANK(N846),"",IF(N846&gt;H846,"No","Yes"))</f>
        <v>Yes</v>
      </c>
      <c r="Q846" s="9" t="s">
        <v>117</v>
      </c>
      <c r="R846" s="4" t="s">
        <v>118</v>
      </c>
      <c r="S846" s="4"/>
      <c r="T846" s="4"/>
      <c r="U846" s="6"/>
      <c r="V846" s="6"/>
      <c r="W846" s="6"/>
      <c r="X846" s="6"/>
      <c r="Y846" s="6"/>
      <c r="Z846" s="6"/>
      <c r="AX846" s="6" t="str">
        <v>Quarter 4</v>
      </c>
    </row>
    <row r="847" spans="1:50" ht="31.4" customHeight="1" x14ac:dyDescent="0.35">
      <c r="A847" s="162">
        <v>846</v>
      </c>
      <c r="B847" s="4" t="s">
        <v>8</v>
      </c>
      <c r="C847" s="4" t="s">
        <v>8</v>
      </c>
      <c r="D847" s="4" t="s">
        <v>1462</v>
      </c>
      <c r="E847" s="157">
        <v>45685</v>
      </c>
      <c r="F847" s="9">
        <f>IF($E847="","",WORKDAY($E847,1,$V$33:$V$41))</f>
        <v>45686</v>
      </c>
      <c r="G847" s="9">
        <f>IF($E847="","",WORKDAY($E847,10,$V$33:$V$41))</f>
        <v>45699</v>
      </c>
      <c r="H847" s="9">
        <f>IF($E847="","",WORKDAY($E847,20,$V$33:$V$41))</f>
        <v>45713</v>
      </c>
      <c r="I847" s="157" t="str">
        <f t="shared" si="17"/>
        <v>Jan</v>
      </c>
      <c r="J847" s="142" t="str">
        <f ca="1">IF(E847="","",IF(N847="",H847-TODAY(),""))</f>
        <v/>
      </c>
      <c r="K847" s="157" t="s">
        <v>124</v>
      </c>
      <c r="L847" s="157" t="s">
        <v>14</v>
      </c>
      <c r="M847" s="157" t="s">
        <v>44</v>
      </c>
      <c r="N847" s="9">
        <v>45714</v>
      </c>
      <c r="O847" s="159">
        <f>IF($N847="","",NETWORKDAYS($E847,$N847,$V$33:$V$47)-1)</f>
        <v>21</v>
      </c>
      <c r="P847" s="10" t="str">
        <f>IF(ISBLANK(N847),"",IF(N847&gt;H847,"No","Yes"))</f>
        <v>No</v>
      </c>
      <c r="Q847" s="9" t="s">
        <v>117</v>
      </c>
      <c r="R847" s="4" t="s">
        <v>118</v>
      </c>
      <c r="S847" s="4" t="s">
        <v>135</v>
      </c>
      <c r="T847" s="4" t="s">
        <v>141</v>
      </c>
      <c r="U847" s="6"/>
      <c r="V847" s="6"/>
      <c r="W847" s="6"/>
      <c r="X847" s="6"/>
      <c r="Y847" s="6"/>
      <c r="Z847" s="6"/>
      <c r="AX847" s="6" t="str">
        <v>Quarter 4</v>
      </c>
    </row>
    <row r="848" spans="1:50" ht="31.4" customHeight="1" x14ac:dyDescent="0.35">
      <c r="A848" s="162">
        <v>847</v>
      </c>
      <c r="B848" s="4" t="s">
        <v>138</v>
      </c>
      <c r="C848" s="4" t="s">
        <v>19</v>
      </c>
      <c r="D848" s="4" t="s">
        <v>1463</v>
      </c>
      <c r="E848" s="157">
        <v>45685</v>
      </c>
      <c r="F848" s="9">
        <f>IF($E848="","",WORKDAY($E848,1,$V$33:$V$41))</f>
        <v>45686</v>
      </c>
      <c r="G848" s="9">
        <f>IF($E848="","",WORKDAY($E848,10,$V$33:$V$41))</f>
        <v>45699</v>
      </c>
      <c r="H848" s="9">
        <f>IF($E848="","",WORKDAY($E848,20,$V$33:$V$41))</f>
        <v>45713</v>
      </c>
      <c r="I848" s="157" t="str">
        <f t="shared" si="17"/>
        <v>Jan</v>
      </c>
      <c r="J848" s="142" t="str">
        <f ca="1">IF(E848="","",IF(N848="",H848-TODAY(),""))</f>
        <v/>
      </c>
      <c r="K848" s="157" t="s">
        <v>124</v>
      </c>
      <c r="L848" s="157" t="s">
        <v>14</v>
      </c>
      <c r="M848" s="157" t="s">
        <v>44</v>
      </c>
      <c r="N848" s="9">
        <v>45713</v>
      </c>
      <c r="O848" s="159">
        <f>IF($N848="","",NETWORKDAYS($E848,$N848,$V$33:$V$47)-1)</f>
        <v>20</v>
      </c>
      <c r="P848" s="10" t="str">
        <f>IF(ISBLANK(N848),"",IF(N848&gt;H848,"No","Yes"))</f>
        <v>Yes</v>
      </c>
      <c r="Q848" s="9" t="s">
        <v>117</v>
      </c>
      <c r="R848" s="4" t="s">
        <v>118</v>
      </c>
      <c r="S848" s="4"/>
      <c r="T848" s="4"/>
      <c r="U848" s="6"/>
      <c r="V848" s="6"/>
      <c r="W848" s="6"/>
      <c r="X848" s="6"/>
      <c r="Y848" s="6"/>
      <c r="Z848" s="6"/>
      <c r="AX848" s="6" t="str">
        <v>Quarter 4</v>
      </c>
    </row>
    <row r="849" spans="1:50" ht="31.4" customHeight="1" x14ac:dyDescent="0.35">
      <c r="A849" s="162">
        <v>848</v>
      </c>
      <c r="B849" s="4" t="s">
        <v>8</v>
      </c>
      <c r="C849" s="4" t="s">
        <v>8</v>
      </c>
      <c r="D849" s="4" t="s">
        <v>1464</v>
      </c>
      <c r="E849" s="157">
        <v>45685</v>
      </c>
      <c r="F849" s="9">
        <f>IF($E849="","",WORKDAY($E849,1,$V$33:$V$41))</f>
        <v>45686</v>
      </c>
      <c r="G849" s="9">
        <f>IF($E849="","",WORKDAY($E849,10,$V$33:$V$41))</f>
        <v>45699</v>
      </c>
      <c r="H849" s="9">
        <f>IF($E849="","",WORKDAY($E849,20,$V$33:$V$41))</f>
        <v>45713</v>
      </c>
      <c r="I849" s="157" t="str">
        <f t="shared" si="17"/>
        <v>Jan</v>
      </c>
      <c r="J849" s="142" t="str">
        <f ca="1">IF(E849="","",IF(N849="",H849-TODAY(),""))</f>
        <v/>
      </c>
      <c r="K849" s="157" t="s">
        <v>10</v>
      </c>
      <c r="L849" s="157" t="s">
        <v>12</v>
      </c>
      <c r="M849" s="157" t="s">
        <v>91</v>
      </c>
      <c r="N849" s="9">
        <v>45699</v>
      </c>
      <c r="O849" s="159">
        <f>IF($N849="","",NETWORKDAYS($E849,$N849,$V$33:$V$47)-1)</f>
        <v>10</v>
      </c>
      <c r="P849" s="10" t="str">
        <f>IF(ISBLANK(N849),"",IF(N849&gt;H849,"No","Yes"))</f>
        <v>Yes</v>
      </c>
      <c r="Q849" s="9" t="s">
        <v>117</v>
      </c>
      <c r="R849" s="4" t="s">
        <v>118</v>
      </c>
      <c r="S849" s="4"/>
      <c r="T849" s="4" t="s">
        <v>141</v>
      </c>
      <c r="U849" s="6"/>
      <c r="V849" s="6"/>
      <c r="W849" s="6"/>
      <c r="X849" s="6"/>
      <c r="Y849" s="6"/>
      <c r="Z849" s="6"/>
      <c r="AX849" s="6" t="str">
        <v>Quarter 4</v>
      </c>
    </row>
    <row r="850" spans="1:50" ht="31.4" customHeight="1" x14ac:dyDescent="0.35">
      <c r="A850" s="162">
        <v>849</v>
      </c>
      <c r="B850" s="4" t="s">
        <v>8</v>
      </c>
      <c r="C850" s="4" t="s">
        <v>8</v>
      </c>
      <c r="D850" s="4" t="s">
        <v>1465</v>
      </c>
      <c r="E850" s="157">
        <v>45686</v>
      </c>
      <c r="F850" s="9">
        <f>IF($E850="","",WORKDAY($E850,1,$V$33:$V$41))</f>
        <v>45687</v>
      </c>
      <c r="G850" s="9">
        <f>IF($E850="","",WORKDAY($E850,10,$V$33:$V$41))</f>
        <v>45700</v>
      </c>
      <c r="H850" s="9">
        <f>IF($E850="","",WORKDAY($E850,20,$V$33:$V$41))</f>
        <v>45714</v>
      </c>
      <c r="I850" s="157" t="str">
        <f t="shared" si="17"/>
        <v>Jan</v>
      </c>
      <c r="J850" s="142" t="str">
        <f ca="1">IF(E850="","",IF(N850="",H850-TODAY(),""))</f>
        <v/>
      </c>
      <c r="K850" s="157" t="s">
        <v>124</v>
      </c>
      <c r="L850" s="157" t="s">
        <v>20</v>
      </c>
      <c r="M850" s="157" t="s">
        <v>62</v>
      </c>
      <c r="N850" s="9">
        <v>45702</v>
      </c>
      <c r="O850" s="159">
        <f>IF($N850="","",NETWORKDAYS($E850,$N850,$V$33:$V$47)-1)</f>
        <v>12</v>
      </c>
      <c r="P850" s="10" t="str">
        <f>IF(ISBLANK(N850),"",IF(N850&gt;H850,"No","Yes"))</f>
        <v>Yes</v>
      </c>
      <c r="Q850" s="9" t="s">
        <v>117</v>
      </c>
      <c r="R850" s="4" t="s">
        <v>118</v>
      </c>
      <c r="S850" s="4"/>
      <c r="T850" s="4"/>
      <c r="U850" s="6"/>
      <c r="V850" s="6"/>
      <c r="W850" s="6"/>
      <c r="X850" s="6"/>
      <c r="Y850" s="6"/>
      <c r="Z850" s="6"/>
      <c r="AX850" s="6" t="str">
        <v>Quarter 4</v>
      </c>
    </row>
    <row r="851" spans="1:50" ht="31.4" customHeight="1" x14ac:dyDescent="0.35">
      <c r="A851" s="162">
        <v>850</v>
      </c>
      <c r="B851" s="4" t="s">
        <v>1466</v>
      </c>
      <c r="C851" s="4" t="s">
        <v>15</v>
      </c>
      <c r="D851" s="4" t="s">
        <v>1467</v>
      </c>
      <c r="E851" s="157">
        <v>45686</v>
      </c>
      <c r="F851" s="9">
        <f>IF($E851="","",WORKDAY($E851,1,$V$33:$V$41))</f>
        <v>45687</v>
      </c>
      <c r="G851" s="9">
        <f>IF($E851="","",WORKDAY($E851,10,$V$33:$V$41))</f>
        <v>45700</v>
      </c>
      <c r="H851" s="9">
        <f>IF($E851="","",WORKDAY($E851,20,$V$33:$V$41))</f>
        <v>45714</v>
      </c>
      <c r="I851" s="157" t="str">
        <f t="shared" si="17"/>
        <v>Jan</v>
      </c>
      <c r="J851" s="142" t="str">
        <f ca="1">IF(E851="","",IF(N851="",H851-TODAY(),""))</f>
        <v/>
      </c>
      <c r="K851" s="157" t="s">
        <v>10</v>
      </c>
      <c r="L851" s="157" t="s">
        <v>12</v>
      </c>
      <c r="M851" s="157" t="s">
        <v>91</v>
      </c>
      <c r="N851" s="9">
        <v>45698</v>
      </c>
      <c r="O851" s="159">
        <f>IF($N851="","",NETWORKDAYS($E851,$N851,$V$33:$V$47)-1)</f>
        <v>8</v>
      </c>
      <c r="P851" s="10" t="str">
        <f>IF(ISBLANK(N851),"",IF(N851&gt;H851,"No","Yes"))</f>
        <v>Yes</v>
      </c>
      <c r="Q851" s="9" t="s">
        <v>117</v>
      </c>
      <c r="R851" s="4" t="s">
        <v>118</v>
      </c>
      <c r="S851" s="4"/>
      <c r="T851" s="4"/>
      <c r="U851" s="6"/>
      <c r="V851" s="6"/>
      <c r="W851" s="6"/>
      <c r="X851" s="6"/>
      <c r="Y851" s="6"/>
      <c r="Z851" s="6"/>
      <c r="AX851" s="6" t="str">
        <v>Quarter 4</v>
      </c>
    </row>
    <row r="852" spans="1:50" ht="31.4" customHeight="1" x14ac:dyDescent="0.35">
      <c r="A852" s="162">
        <v>851</v>
      </c>
      <c r="B852" s="4" t="s">
        <v>8</v>
      </c>
      <c r="C852" s="4" t="s">
        <v>8</v>
      </c>
      <c r="D852" s="4" t="s">
        <v>1468</v>
      </c>
      <c r="E852" s="157">
        <v>45687</v>
      </c>
      <c r="F852" s="9">
        <f>IF($E852="","",WORKDAY($E852,1,$V$33:$V$41))</f>
        <v>45688</v>
      </c>
      <c r="G852" s="9">
        <f>IF($E852="","",WORKDAY($E852,10,$V$33:$V$41))</f>
        <v>45701</v>
      </c>
      <c r="H852" s="9">
        <f>IF($E852="","",WORKDAY($E852,20,$V$33:$V$41))</f>
        <v>45715</v>
      </c>
      <c r="I852" s="157" t="str">
        <f t="shared" si="17"/>
        <v>Jan</v>
      </c>
      <c r="J852" s="142" t="str">
        <f ca="1">IF(E852="","",IF(N852="",H852-TODAY(),""))</f>
        <v/>
      </c>
      <c r="K852" s="157" t="s">
        <v>5</v>
      </c>
      <c r="L852" s="157" t="s">
        <v>16</v>
      </c>
      <c r="M852" s="157" t="s">
        <v>52</v>
      </c>
      <c r="N852" s="9">
        <v>45705</v>
      </c>
      <c r="O852" s="159">
        <f>IF($N852="","",NETWORKDAYS($E852,$N852,$V$33:$V$47)-1)</f>
        <v>12</v>
      </c>
      <c r="P852" s="10" t="str">
        <f>IF(ISBLANK(N852),"",IF(N852&gt;H852,"No","Yes"))</f>
        <v>Yes</v>
      </c>
      <c r="Q852" s="9" t="s">
        <v>117</v>
      </c>
      <c r="R852" s="4" t="s">
        <v>118</v>
      </c>
      <c r="S852" s="4" t="s">
        <v>135</v>
      </c>
      <c r="T852" s="4" t="s">
        <v>141</v>
      </c>
      <c r="U852" s="6"/>
      <c r="V852" s="6"/>
      <c r="W852" s="6"/>
      <c r="X852" s="6"/>
      <c r="Y852" s="6"/>
      <c r="Z852" s="6"/>
      <c r="AX852" s="6" t="str">
        <v>Quarter 4</v>
      </c>
    </row>
    <row r="853" spans="1:50" ht="31.4" customHeight="1" x14ac:dyDescent="0.35">
      <c r="A853" s="162">
        <v>852</v>
      </c>
      <c r="B853" s="4" t="s">
        <v>1469</v>
      </c>
      <c r="C853" s="4" t="s">
        <v>13</v>
      </c>
      <c r="D853" s="4" t="s">
        <v>1470</v>
      </c>
      <c r="E853" s="157">
        <v>45687</v>
      </c>
      <c r="F853" s="9">
        <f>IF($E853="","",WORKDAY($E853,1,$V$33:$V$41))</f>
        <v>45688</v>
      </c>
      <c r="G853" s="9">
        <f>IF($E853="","",WORKDAY($E853,10,$V$33:$V$41))</f>
        <v>45701</v>
      </c>
      <c r="H853" s="9">
        <f>IF($E853="","",WORKDAY($E853,20,$V$33:$V$41))</f>
        <v>45715</v>
      </c>
      <c r="I853" s="157" t="str">
        <f t="shared" si="17"/>
        <v>Jan</v>
      </c>
      <c r="J853" s="142" t="str">
        <f ca="1">IF(E853="","",IF(N853="",H853-TODAY(),""))</f>
        <v/>
      </c>
      <c r="K853" s="157" t="s">
        <v>5</v>
      </c>
      <c r="L853" s="157" t="s">
        <v>16</v>
      </c>
      <c r="M853" s="157" t="s">
        <v>67</v>
      </c>
      <c r="N853" s="9">
        <v>45713</v>
      </c>
      <c r="O853" s="159">
        <f>IF($N853="","",NETWORKDAYS($E853,$N853,$V$33:$V$47)-1)</f>
        <v>18</v>
      </c>
      <c r="P853" s="10" t="str">
        <f>IF(ISBLANK(N853),"",IF(N853&gt;H853,"No","Yes"))</f>
        <v>Yes</v>
      </c>
      <c r="Q853" s="9" t="s">
        <v>117</v>
      </c>
      <c r="R853" s="4" t="s">
        <v>118</v>
      </c>
      <c r="S853" s="4"/>
      <c r="T853" s="4"/>
      <c r="U853" s="6"/>
      <c r="V853" s="6"/>
      <c r="W853" s="6"/>
      <c r="X853" s="6"/>
      <c r="Y853" s="6"/>
      <c r="Z853" s="6"/>
      <c r="AX853" s="6" t="str">
        <v>Quarter 4</v>
      </c>
    </row>
    <row r="854" spans="1:50" ht="31.4" customHeight="1" x14ac:dyDescent="0.35">
      <c r="A854" s="162">
        <v>853</v>
      </c>
      <c r="B854" s="4" t="s">
        <v>1471</v>
      </c>
      <c r="C854" s="4" t="s">
        <v>13</v>
      </c>
      <c r="D854" s="4" t="s">
        <v>1472</v>
      </c>
      <c r="E854" s="157">
        <v>45687</v>
      </c>
      <c r="F854" s="9">
        <f>IF($E854="","",WORKDAY($E854,1,$V$33:$V$41))</f>
        <v>45688</v>
      </c>
      <c r="G854" s="9">
        <f>IF($E854="","",WORKDAY($E854,10,$V$33:$V$41))</f>
        <v>45701</v>
      </c>
      <c r="H854" s="9">
        <f>IF($E854="","",WORKDAY($E854,20,$V$33:$V$41))</f>
        <v>45715</v>
      </c>
      <c r="I854" s="157" t="str">
        <f t="shared" si="17"/>
        <v>Jan</v>
      </c>
      <c r="J854" s="142" t="str">
        <f ca="1">IF(E854="","",IF(N854="",H854-TODAY(),""))</f>
        <v/>
      </c>
      <c r="K854" s="157" t="s">
        <v>10</v>
      </c>
      <c r="L854" s="157" t="s">
        <v>12</v>
      </c>
      <c r="M854" s="157" t="s">
        <v>30</v>
      </c>
      <c r="N854" s="9">
        <v>45694</v>
      </c>
      <c r="O854" s="159">
        <f>IF($N854="","",NETWORKDAYS($E854,$N854,$V$33:$V$47)-1)</f>
        <v>5</v>
      </c>
      <c r="P854" s="10" t="str">
        <f>IF(ISBLANK(N854),"",IF(N854&gt;H854,"No","Yes"))</f>
        <v>Yes</v>
      </c>
      <c r="Q854" s="9" t="s">
        <v>117</v>
      </c>
      <c r="R854" s="4" t="s">
        <v>118</v>
      </c>
      <c r="S854" s="4"/>
      <c r="T854" s="4"/>
      <c r="U854" s="6"/>
      <c r="V854" s="6"/>
      <c r="W854" s="6"/>
      <c r="X854" s="6"/>
      <c r="Y854" s="6"/>
      <c r="Z854" s="6"/>
      <c r="AX854" s="6" t="str">
        <v>Quarter 4</v>
      </c>
    </row>
    <row r="855" spans="1:50" ht="31.4" customHeight="1" x14ac:dyDescent="0.35">
      <c r="A855" s="162">
        <v>854</v>
      </c>
      <c r="B855" s="4" t="s">
        <v>420</v>
      </c>
      <c r="C855" s="4" t="s">
        <v>6</v>
      </c>
      <c r="D855" s="4" t="s">
        <v>1473</v>
      </c>
      <c r="E855" s="157">
        <v>45688</v>
      </c>
      <c r="F855" s="9">
        <f>IF($E855="","",WORKDAY($E855,1,$V$33:$V$41))</f>
        <v>45691</v>
      </c>
      <c r="G855" s="9">
        <f>IF($E855="","",WORKDAY($E855,10,$V$33:$V$41))</f>
        <v>45702</v>
      </c>
      <c r="H855" s="9">
        <f>IF($E855="","",WORKDAY($E855,20,$V$33:$V$41))</f>
        <v>45716</v>
      </c>
      <c r="I855" s="157" t="str">
        <f t="shared" si="17"/>
        <v>Jan</v>
      </c>
      <c r="J855" s="142" t="str">
        <f ca="1">IF(E855="","",IF(N855="",H855-TODAY(),""))</f>
        <v/>
      </c>
      <c r="K855" s="157" t="s">
        <v>5</v>
      </c>
      <c r="L855" s="157" t="s">
        <v>16</v>
      </c>
      <c r="M855" s="157" t="s">
        <v>52</v>
      </c>
      <c r="N855" s="9">
        <v>45698</v>
      </c>
      <c r="O855" s="159">
        <f>IF($N855="","",NETWORKDAYS($E855,$N855,$V$33:$V$47)-1)</f>
        <v>6</v>
      </c>
      <c r="P855" s="10" t="str">
        <f>IF(ISBLANK(N855),"",IF(N855&gt;H855,"No","Yes"))</f>
        <v>Yes</v>
      </c>
      <c r="Q855" s="9" t="s">
        <v>117</v>
      </c>
      <c r="R855" s="4" t="s">
        <v>118</v>
      </c>
      <c r="S855" s="4"/>
      <c r="T855" s="4"/>
      <c r="U855" s="6"/>
      <c r="V855" s="6"/>
      <c r="W855" s="6"/>
      <c r="X855" s="6"/>
      <c r="Y855" s="6"/>
      <c r="Z855" s="6"/>
      <c r="AX855" s="6" t="str">
        <v>Quarter 4</v>
      </c>
    </row>
    <row r="856" spans="1:50" ht="31.4" customHeight="1" x14ac:dyDescent="0.35">
      <c r="A856" s="162">
        <v>855</v>
      </c>
      <c r="B856" s="4" t="s">
        <v>909</v>
      </c>
      <c r="C856" s="4" t="s">
        <v>13</v>
      </c>
      <c r="D856" s="4" t="s">
        <v>1474</v>
      </c>
      <c r="E856" s="157">
        <v>45691</v>
      </c>
      <c r="F856" s="9">
        <f>IF($E856="","",WORKDAY($E856,1,$V$33:$V$41))</f>
        <v>45692</v>
      </c>
      <c r="G856" s="9">
        <f>IF($E856="","",WORKDAY($E856,10,$V$33:$V$41))</f>
        <v>45705</v>
      </c>
      <c r="H856" s="9">
        <f>IF($E856="","",WORKDAY($E856,20,$V$33:$V$41))</f>
        <v>45719</v>
      </c>
      <c r="I856" s="157" t="str">
        <f t="shared" si="17"/>
        <v>Feb</v>
      </c>
      <c r="J856" s="142" t="str">
        <f ca="1">IF(E856="","",IF(N856="",H856-TODAY(),""))</f>
        <v/>
      </c>
      <c r="K856" s="157" t="s">
        <v>5</v>
      </c>
      <c r="L856" s="157" t="s">
        <v>16</v>
      </c>
      <c r="M856" s="157" t="s">
        <v>71</v>
      </c>
      <c r="N856" s="9">
        <v>45691</v>
      </c>
      <c r="O856" s="159">
        <f>IF($N856="","",NETWORKDAYS($E856,$N856,$V$33:$V$47)-1)</f>
        <v>0</v>
      </c>
      <c r="P856" s="10" t="str">
        <f>IF(ISBLANK(N856),"",IF(N856&gt;H856,"No","Yes"))</f>
        <v>Yes</v>
      </c>
      <c r="Q856" s="9" t="s">
        <v>117</v>
      </c>
      <c r="R856" s="4" t="s">
        <v>118</v>
      </c>
      <c r="S856" s="4"/>
      <c r="T856" s="4"/>
      <c r="U856" s="6"/>
      <c r="V856" s="6"/>
      <c r="W856" s="6"/>
      <c r="X856" s="6"/>
      <c r="Y856" s="6"/>
      <c r="Z856" s="6"/>
      <c r="AX856" s="6" t="str">
        <v>Quarter 4</v>
      </c>
    </row>
    <row r="857" spans="1:50" ht="31.4" customHeight="1" x14ac:dyDescent="0.35">
      <c r="A857" s="162">
        <v>856</v>
      </c>
      <c r="B857" s="4" t="s">
        <v>138</v>
      </c>
      <c r="C857" s="4" t="s">
        <v>19</v>
      </c>
      <c r="D857" s="4" t="s">
        <v>1324</v>
      </c>
      <c r="E857" s="157">
        <v>45691</v>
      </c>
      <c r="F857" s="9">
        <f>IF($E857="","",WORKDAY($E857,1,$V$33:$V$41))</f>
        <v>45692</v>
      </c>
      <c r="G857" s="9">
        <f>IF($E857="","",WORKDAY($E857,10,$V$33:$V$41))</f>
        <v>45705</v>
      </c>
      <c r="H857" s="9">
        <f>IF($E857="","",WORKDAY($E857,20,$V$33:$V$41))</f>
        <v>45719</v>
      </c>
      <c r="I857" s="157" t="str">
        <f t="shared" si="17"/>
        <v>Feb</v>
      </c>
      <c r="J857" s="142" t="str">
        <f ca="1">IF(E857="","",IF(N857="",H857-TODAY(),""))</f>
        <v/>
      </c>
      <c r="K857" s="157" t="s">
        <v>5</v>
      </c>
      <c r="L857" s="157" t="s">
        <v>18</v>
      </c>
      <c r="M857" s="157" t="s">
        <v>80</v>
      </c>
      <c r="N857" s="9">
        <v>45705</v>
      </c>
      <c r="O857" s="159">
        <f>IF($N857="","",NETWORKDAYS($E857,$N857,$V$33:$V$47)-1)</f>
        <v>10</v>
      </c>
      <c r="P857" s="10" t="str">
        <f>IF(ISBLANK(N857),"",IF(N857&gt;H857,"No","Yes"))</f>
        <v>Yes</v>
      </c>
      <c r="Q857" s="9" t="s">
        <v>117</v>
      </c>
      <c r="R857" s="4" t="s">
        <v>118</v>
      </c>
      <c r="S857" s="4" t="s">
        <v>135</v>
      </c>
      <c r="T857" s="4" t="s">
        <v>141</v>
      </c>
      <c r="U857" s="6"/>
      <c r="V857" s="6"/>
      <c r="W857" s="6"/>
      <c r="X857" s="6"/>
      <c r="Y857" s="6"/>
      <c r="Z857" s="6"/>
      <c r="AX857" s="6" t="str">
        <v>Quarter 4</v>
      </c>
    </row>
    <row r="858" spans="1:50" ht="31.4" customHeight="1" x14ac:dyDescent="0.35">
      <c r="A858" s="162">
        <v>857</v>
      </c>
      <c r="B858" s="4" t="s">
        <v>293</v>
      </c>
      <c r="C858" s="4" t="s">
        <v>6</v>
      </c>
      <c r="D858" s="4" t="s">
        <v>381</v>
      </c>
      <c r="E858" s="157">
        <v>45691</v>
      </c>
      <c r="F858" s="9">
        <f>IF($E858="","",WORKDAY($E858,1,$V$33:$V$41))</f>
        <v>45692</v>
      </c>
      <c r="G858" s="9">
        <f>IF($E858="","",WORKDAY($E858,10,$V$33:$V$41))</f>
        <v>45705</v>
      </c>
      <c r="H858" s="9">
        <f>IF($E858="","",WORKDAY($E858,20,$V$33:$V$41))</f>
        <v>45719</v>
      </c>
      <c r="I858" s="157" t="str">
        <f t="shared" si="17"/>
        <v>Feb</v>
      </c>
      <c r="J858" s="142" t="str">
        <f ca="1">IF(E858="","",IF(N858="",H858-TODAY(),""))</f>
        <v/>
      </c>
      <c r="K858" s="157" t="s">
        <v>124</v>
      </c>
      <c r="L858" s="157" t="s">
        <v>20</v>
      </c>
      <c r="M858" s="157" t="s">
        <v>62</v>
      </c>
      <c r="N858" s="9">
        <v>45730</v>
      </c>
      <c r="O858" s="159">
        <f>IF($N858="","",NETWORKDAYS($E858,$N858,$V$33:$V$47)-1)</f>
        <v>29</v>
      </c>
      <c r="P858" s="10" t="str">
        <f>IF(ISBLANK(N858),"",IF(N858&gt;H858,"No","Yes"))</f>
        <v>No</v>
      </c>
      <c r="Q858" s="9" t="s">
        <v>117</v>
      </c>
      <c r="R858" s="4" t="s">
        <v>118</v>
      </c>
      <c r="S858" s="4"/>
      <c r="T858" s="4"/>
      <c r="U858" s="6"/>
      <c r="V858" s="6"/>
      <c r="W858" s="6"/>
      <c r="X858" s="6"/>
      <c r="Y858" s="6"/>
      <c r="Z858" s="6"/>
      <c r="AX858" s="6" t="str">
        <v>Quarter 4</v>
      </c>
    </row>
    <row r="859" spans="1:50" ht="31.4" customHeight="1" x14ac:dyDescent="0.35">
      <c r="A859" s="162">
        <v>858</v>
      </c>
      <c r="B859" s="4" t="s">
        <v>8</v>
      </c>
      <c r="C859" s="4" t="s">
        <v>8</v>
      </c>
      <c r="D859" s="4" t="s">
        <v>1475</v>
      </c>
      <c r="E859" s="157">
        <v>45692</v>
      </c>
      <c r="F859" s="9">
        <f>IF($E859="","",WORKDAY($E859,1,$V$33:$V$41))</f>
        <v>45693</v>
      </c>
      <c r="G859" s="9">
        <f>IF($E859="","",WORKDAY($E859,10,$V$33:$V$41))</f>
        <v>45706</v>
      </c>
      <c r="H859" s="9">
        <f>IF($E859="","",WORKDAY($E859,20,$V$33:$V$41))</f>
        <v>45720</v>
      </c>
      <c r="I859" s="157" t="str">
        <f t="shared" si="17"/>
        <v>Feb</v>
      </c>
      <c r="J859" s="142" t="str">
        <f ca="1">IF(E859="","",IF(N859="",H859-TODAY(),""))</f>
        <v/>
      </c>
      <c r="K859" s="157" t="s">
        <v>4</v>
      </c>
      <c r="L859" s="157" t="s">
        <v>7</v>
      </c>
      <c r="M859" s="157" t="s">
        <v>90</v>
      </c>
      <c r="N859" s="9">
        <v>45708</v>
      </c>
      <c r="O859" s="159">
        <f>IF($N859="","",NETWORKDAYS($E859,$N859,$V$33:$V$47)-1)</f>
        <v>12</v>
      </c>
      <c r="P859" s="10" t="str">
        <f>IF(ISBLANK(N859),"",IF(N859&gt;H859,"No","Yes"))</f>
        <v>Yes</v>
      </c>
      <c r="Q859" s="9" t="s">
        <v>117</v>
      </c>
      <c r="R859" s="4" t="s">
        <v>118</v>
      </c>
      <c r="S859" s="4"/>
      <c r="T859" s="4" t="s">
        <v>141</v>
      </c>
      <c r="U859" s="6"/>
      <c r="V859" s="6"/>
      <c r="W859" s="6"/>
      <c r="X859" s="6"/>
      <c r="Y859" s="6"/>
      <c r="Z859" s="6"/>
      <c r="AX859" s="6" t="str">
        <v>Quarter 4</v>
      </c>
    </row>
    <row r="860" spans="1:50" ht="31.4" customHeight="1" x14ac:dyDescent="0.35">
      <c r="A860" s="162">
        <v>859</v>
      </c>
      <c r="B860" s="4" t="s">
        <v>1402</v>
      </c>
      <c r="C860" s="4" t="s">
        <v>6</v>
      </c>
      <c r="D860" s="4" t="s">
        <v>1476</v>
      </c>
      <c r="E860" s="157">
        <v>45692</v>
      </c>
      <c r="F860" s="9">
        <f>IF($E860="","",WORKDAY($E860,1,$V$33:$V$41))</f>
        <v>45693</v>
      </c>
      <c r="G860" s="9">
        <f>IF($E860="","",WORKDAY($E860,10,$V$33:$V$41))</f>
        <v>45706</v>
      </c>
      <c r="H860" s="9">
        <f>IF($E860="","",WORKDAY($E860,20,$V$33:$V$41))</f>
        <v>45720</v>
      </c>
      <c r="I860" s="157" t="str">
        <f t="shared" si="17"/>
        <v>Feb</v>
      </c>
      <c r="J860" s="142" t="str">
        <f ca="1">IF(E860="","",IF(N860="",H860-TODAY(),""))</f>
        <v/>
      </c>
      <c r="K860" s="157" t="s">
        <v>4</v>
      </c>
      <c r="L860" s="157" t="s">
        <v>26</v>
      </c>
      <c r="M860" s="157" t="s">
        <v>93</v>
      </c>
      <c r="N860" s="9">
        <v>45694</v>
      </c>
      <c r="O860" s="159">
        <f>IF($N860="","",NETWORKDAYS($E860,$N860,$V$33:$V$47)-1)</f>
        <v>2</v>
      </c>
      <c r="P860" s="10" t="str">
        <f>IF(ISBLANK(N860),"",IF(N860&gt;H860,"No","Yes"))</f>
        <v>Yes</v>
      </c>
      <c r="Q860" s="9" t="s">
        <v>117</v>
      </c>
      <c r="R860" s="4" t="s">
        <v>150</v>
      </c>
      <c r="S860" s="4"/>
      <c r="T860" s="4"/>
      <c r="U860" s="6"/>
      <c r="V860" s="6"/>
      <c r="W860" s="6"/>
      <c r="X860" s="6"/>
      <c r="Y860" s="6"/>
      <c r="Z860" s="6"/>
      <c r="AX860" s="6" t="str">
        <v>Quarter 4</v>
      </c>
    </row>
    <row r="861" spans="1:50" ht="31.4" customHeight="1" x14ac:dyDescent="0.35">
      <c r="A861" s="162">
        <v>860</v>
      </c>
      <c r="B861" s="4" t="s">
        <v>1477</v>
      </c>
      <c r="C861" s="4" t="s">
        <v>13</v>
      </c>
      <c r="D861" s="4" t="s">
        <v>1478</v>
      </c>
      <c r="E861" s="157">
        <v>45692</v>
      </c>
      <c r="F861" s="9">
        <f>IF($E861="","",WORKDAY($E861,1,$V$33:$V$41))</f>
        <v>45693</v>
      </c>
      <c r="G861" s="9">
        <f>IF($E861="","",WORKDAY($E861,10,$V$33:$V$41))</f>
        <v>45706</v>
      </c>
      <c r="H861" s="9">
        <f>IF($E861="","",WORKDAY($E861,20,$V$33:$V$41))</f>
        <v>45720</v>
      </c>
      <c r="I861" s="157" t="str">
        <f t="shared" si="17"/>
        <v>Feb</v>
      </c>
      <c r="J861" s="142" t="str">
        <f ca="1">IF(E861="","",IF(N861="",H861-TODAY(),""))</f>
        <v/>
      </c>
      <c r="K861" s="157" t="s">
        <v>5</v>
      </c>
      <c r="L861" s="157" t="s">
        <v>16</v>
      </c>
      <c r="M861" s="157" t="s">
        <v>52</v>
      </c>
      <c r="N861" s="9">
        <v>45694</v>
      </c>
      <c r="O861" s="159">
        <f>IF($N861="","",NETWORKDAYS($E861,$N861,$V$33:$V$47)-1)</f>
        <v>2</v>
      </c>
      <c r="P861" s="10" t="str">
        <f>IF(ISBLANK(N861),"",IF(N861&gt;H861,"No","Yes"))</f>
        <v>Yes</v>
      </c>
      <c r="Q861" s="9" t="s">
        <v>117</v>
      </c>
      <c r="R861" s="4" t="s">
        <v>118</v>
      </c>
      <c r="S861" s="4"/>
      <c r="T861" s="4"/>
      <c r="U861" s="6"/>
      <c r="V861" s="6"/>
      <c r="W861" s="6"/>
      <c r="X861" s="6"/>
      <c r="Y861" s="6"/>
      <c r="Z861" s="6"/>
      <c r="AX861" s="6" t="str">
        <v>Quarter 4</v>
      </c>
    </row>
    <row r="862" spans="1:50" ht="31.4" customHeight="1" x14ac:dyDescent="0.35">
      <c r="A862" s="162">
        <v>861</v>
      </c>
      <c r="B862" s="4" t="s">
        <v>8</v>
      </c>
      <c r="C862" s="4" t="s">
        <v>8</v>
      </c>
      <c r="D862" s="4" t="s">
        <v>1479</v>
      </c>
      <c r="E862" s="157">
        <v>45691</v>
      </c>
      <c r="F862" s="9">
        <f>IF($E862="","",WORKDAY($E862,1,$V$33:$V$41))</f>
        <v>45692</v>
      </c>
      <c r="G862" s="9">
        <f>IF($E862="","",WORKDAY($E862,10,$V$33:$V$41))</f>
        <v>45705</v>
      </c>
      <c r="H862" s="9">
        <f>IF($E862="","",WORKDAY($E862,20,$V$33:$V$41))</f>
        <v>45719</v>
      </c>
      <c r="I862" s="157" t="str">
        <f t="shared" si="17"/>
        <v>Feb</v>
      </c>
      <c r="J862" s="142" t="str">
        <f ca="1">IF(E862="","",IF(N862="",H862-TODAY(),""))</f>
        <v/>
      </c>
      <c r="K862" s="157" t="s">
        <v>5</v>
      </c>
      <c r="L862" s="157" t="s">
        <v>18</v>
      </c>
      <c r="M862" s="157" t="s">
        <v>66</v>
      </c>
      <c r="N862" s="9">
        <v>45700</v>
      </c>
      <c r="O862" s="159">
        <f>IF($N862="","",NETWORKDAYS($E862,$N862,$V$33:$V$47)-1)</f>
        <v>7</v>
      </c>
      <c r="P862" s="10" t="str">
        <f>IF(ISBLANK(N862),"",IF(N862&gt;H862,"No","Yes"))</f>
        <v>Yes</v>
      </c>
      <c r="Q862" s="9" t="s">
        <v>117</v>
      </c>
      <c r="R862" s="4" t="s">
        <v>132</v>
      </c>
      <c r="S862" s="4" t="s">
        <v>206</v>
      </c>
      <c r="T862" s="4"/>
      <c r="U862" s="6"/>
      <c r="V862" s="6"/>
      <c r="W862" s="6"/>
      <c r="X862" s="6"/>
      <c r="Y862" s="6"/>
      <c r="Z862" s="6"/>
      <c r="AX862" s="6" t="str">
        <v>Quarter 4</v>
      </c>
    </row>
    <row r="863" spans="1:50" ht="31.4" customHeight="1" x14ac:dyDescent="0.35">
      <c r="A863" s="162">
        <v>862</v>
      </c>
      <c r="B863" s="4" t="s">
        <v>8</v>
      </c>
      <c r="C863" s="4" t="s">
        <v>8</v>
      </c>
      <c r="D863" s="4" t="s">
        <v>1358</v>
      </c>
      <c r="E863" s="157">
        <v>45693</v>
      </c>
      <c r="F863" s="9">
        <f>IF($E863="","",WORKDAY($E863,1,$V$33:$V$41))</f>
        <v>45694</v>
      </c>
      <c r="G863" s="9">
        <f>IF($E863="","",WORKDAY($E863,10,$V$33:$V$41))</f>
        <v>45707</v>
      </c>
      <c r="H863" s="9">
        <f>IF($E863="","",WORKDAY($E863,20,$V$33:$V$41))</f>
        <v>45721</v>
      </c>
      <c r="I863" s="157" t="str">
        <f t="shared" si="17"/>
        <v>Feb</v>
      </c>
      <c r="J863" s="142" t="str">
        <f ca="1">IF(E863="","",IF(N863="",H863-TODAY(),""))</f>
        <v/>
      </c>
      <c r="K863" s="157" t="s">
        <v>124</v>
      </c>
      <c r="L863" s="157" t="s">
        <v>20</v>
      </c>
      <c r="M863" s="157" t="s">
        <v>63</v>
      </c>
      <c r="N863" s="9">
        <v>45707</v>
      </c>
      <c r="O863" s="159">
        <f>IF($N863="","",NETWORKDAYS($E863,$N863,$V$33:$V$47)-1)</f>
        <v>10</v>
      </c>
      <c r="P863" s="10" t="str">
        <f>IF(ISBLANK(N863),"",IF(N863&gt;H863,"No","Yes"))</f>
        <v>Yes</v>
      </c>
      <c r="Q863" s="9" t="s">
        <v>117</v>
      </c>
      <c r="R863" s="4" t="s">
        <v>150</v>
      </c>
      <c r="S863" s="4"/>
      <c r="T863" s="4"/>
      <c r="U863" s="6"/>
      <c r="V863" s="6"/>
      <c r="W863" s="6"/>
      <c r="X863" s="6"/>
      <c r="Y863" s="6"/>
      <c r="Z863" s="6"/>
      <c r="AX863" s="6" t="str">
        <v>Quarter 4</v>
      </c>
    </row>
    <row r="864" spans="1:50" ht="31.4" customHeight="1" x14ac:dyDescent="0.35">
      <c r="A864" s="162">
        <v>863</v>
      </c>
      <c r="B864" s="4" t="s">
        <v>8</v>
      </c>
      <c r="C864" s="4" t="s">
        <v>8</v>
      </c>
      <c r="D864" s="4" t="s">
        <v>1480</v>
      </c>
      <c r="E864" s="157">
        <v>45693</v>
      </c>
      <c r="F864" s="9">
        <f>IF($E864="","",WORKDAY($E864,1,$V$33:$V$41))</f>
        <v>45694</v>
      </c>
      <c r="G864" s="9">
        <f>IF($E864="","",WORKDAY($E864,10,$V$33:$V$41))</f>
        <v>45707</v>
      </c>
      <c r="H864" s="9">
        <f>IF($E864="","",WORKDAY($E864,20,$V$33:$V$41))</f>
        <v>45721</v>
      </c>
      <c r="I864" s="157" t="str">
        <f t="shared" si="17"/>
        <v>Feb</v>
      </c>
      <c r="J864" s="142" t="str">
        <f ca="1">IF(E864="","",IF(N864="",H864-TODAY(),""))</f>
        <v/>
      </c>
      <c r="K864" s="157" t="s">
        <v>5</v>
      </c>
      <c r="L864" s="157" t="s">
        <v>22</v>
      </c>
      <c r="M864" s="157" t="s">
        <v>64</v>
      </c>
      <c r="N864" s="9">
        <v>45720</v>
      </c>
      <c r="O864" s="159">
        <f>IF($N864="","",NETWORKDAYS($E864,$N864,$V$33:$V$47)-1)</f>
        <v>19</v>
      </c>
      <c r="P864" s="10" t="str">
        <f>IF(ISBLANK(N864),"",IF(N864&gt;H864,"No","Yes"))</f>
        <v>Yes</v>
      </c>
      <c r="Q864" s="9" t="s">
        <v>117</v>
      </c>
      <c r="R864" s="4" t="s">
        <v>126</v>
      </c>
      <c r="S864" s="4"/>
      <c r="T864" s="4"/>
      <c r="U864" s="6"/>
      <c r="V864" s="6"/>
      <c r="W864" s="6"/>
      <c r="X864" s="6"/>
      <c r="Y864" s="6"/>
      <c r="Z864" s="6"/>
      <c r="AX864" s="6" t="str">
        <v>Quarter 4</v>
      </c>
    </row>
    <row r="865" spans="1:50" ht="31.4" customHeight="1" x14ac:dyDescent="0.35">
      <c r="A865" s="162">
        <v>864</v>
      </c>
      <c r="B865" s="4" t="s">
        <v>8</v>
      </c>
      <c r="C865" s="4" t="s">
        <v>8</v>
      </c>
      <c r="D865" s="4" t="s">
        <v>1481</v>
      </c>
      <c r="E865" s="157">
        <v>45693</v>
      </c>
      <c r="F865" s="9">
        <f>IF($E865="","",WORKDAY($E865,1,$V$33:$V$41))</f>
        <v>45694</v>
      </c>
      <c r="G865" s="9">
        <f>IF($E865="","",WORKDAY($E865,10,$V$33:$V$41))</f>
        <v>45707</v>
      </c>
      <c r="H865" s="9">
        <f>IF($E865="","",WORKDAY($E865,20,$V$33:$V$41))</f>
        <v>45721</v>
      </c>
      <c r="I865" s="157" t="str">
        <f t="shared" si="17"/>
        <v>Feb</v>
      </c>
      <c r="J865" s="142" t="str">
        <f ca="1">IF(E865="","",IF(N865="",H865-TODAY(),""))</f>
        <v/>
      </c>
      <c r="K865" s="157" t="s">
        <v>5</v>
      </c>
      <c r="L865" s="157" t="s">
        <v>22</v>
      </c>
      <c r="M865" s="157" t="s">
        <v>64</v>
      </c>
      <c r="N865" s="9">
        <v>45713</v>
      </c>
      <c r="O865" s="159">
        <f>IF($N865="","",NETWORKDAYS($E865,$N865,$V$33:$V$47)-1)</f>
        <v>14</v>
      </c>
      <c r="P865" s="10" t="str">
        <f>IF(ISBLANK(N865),"",IF(N865&gt;H865,"No","Yes"))</f>
        <v>Yes</v>
      </c>
      <c r="Q865" s="9" t="s">
        <v>117</v>
      </c>
      <c r="R865" s="4" t="s">
        <v>118</v>
      </c>
      <c r="S865" s="4"/>
      <c r="T865" s="4"/>
      <c r="U865" s="6"/>
      <c r="V865" s="6"/>
      <c r="W865" s="6"/>
      <c r="X865" s="6"/>
      <c r="Y865" s="6"/>
      <c r="Z865" s="6"/>
      <c r="AX865" s="6" t="str">
        <v>Quarter 4</v>
      </c>
    </row>
    <row r="866" spans="1:50" ht="31.4" customHeight="1" x14ac:dyDescent="0.35">
      <c r="A866" s="162">
        <v>865</v>
      </c>
      <c r="B866" s="4" t="s">
        <v>8</v>
      </c>
      <c r="C866" s="4" t="s">
        <v>8</v>
      </c>
      <c r="D866" s="4" t="s">
        <v>1482</v>
      </c>
      <c r="E866" s="157">
        <v>45693</v>
      </c>
      <c r="F866" s="9">
        <f>IF($E866="","",WORKDAY($E866,1,$V$33:$V$41))</f>
        <v>45694</v>
      </c>
      <c r="G866" s="9">
        <f>IF($E866="","",WORKDAY($E866,10,$V$33:$V$41))</f>
        <v>45707</v>
      </c>
      <c r="H866" s="9">
        <f>IF($E866="","",WORKDAY($E866,20,$V$33:$V$41))</f>
        <v>45721</v>
      </c>
      <c r="I866" s="157" t="str">
        <f t="shared" si="17"/>
        <v>Feb</v>
      </c>
      <c r="J866" s="142" t="str">
        <f ca="1">IF(E866="","",IF(N866="",H866-TODAY(),""))</f>
        <v/>
      </c>
      <c r="K866" s="157" t="s">
        <v>5</v>
      </c>
      <c r="L866" s="157" t="s">
        <v>16</v>
      </c>
      <c r="M866" s="157" t="s">
        <v>71</v>
      </c>
      <c r="N866" s="9">
        <v>45694</v>
      </c>
      <c r="O866" s="159">
        <f>IF($N866="","",NETWORKDAYS($E866,$N866,$V$33:$V$47)-1)</f>
        <v>1</v>
      </c>
      <c r="P866" s="10" t="str">
        <f>IF(ISBLANK(N866),"",IF(N866&gt;H866,"No","Yes"))</f>
        <v>Yes</v>
      </c>
      <c r="Q866" s="9" t="s">
        <v>117</v>
      </c>
      <c r="R866" s="4" t="s">
        <v>132</v>
      </c>
      <c r="S866" s="4" t="s">
        <v>120</v>
      </c>
      <c r="T866" s="4"/>
      <c r="U866" s="6"/>
      <c r="V866" s="6"/>
      <c r="W866" s="6"/>
      <c r="X866" s="6"/>
      <c r="Y866" s="6"/>
      <c r="Z866" s="6"/>
      <c r="AX866" s="6" t="str">
        <v>Quarter 4</v>
      </c>
    </row>
    <row r="867" spans="1:50" ht="31.4" customHeight="1" x14ac:dyDescent="0.35">
      <c r="A867" s="162">
        <v>866</v>
      </c>
      <c r="B867" s="4" t="s">
        <v>310</v>
      </c>
      <c r="C867" s="4" t="s">
        <v>6</v>
      </c>
      <c r="D867" s="4" t="s">
        <v>1483</v>
      </c>
      <c r="E867" s="157">
        <v>45694</v>
      </c>
      <c r="F867" s="9">
        <f>IF($E867="","",WORKDAY($E867,1,$V$33:$V$41))</f>
        <v>45695</v>
      </c>
      <c r="G867" s="9">
        <f>IF($E867="","",WORKDAY($E867,10,$V$33:$V$41))</f>
        <v>45708</v>
      </c>
      <c r="H867" s="9">
        <f>IF($E867="","",WORKDAY($E867,20,$V$33:$V$41))</f>
        <v>45722</v>
      </c>
      <c r="I867" s="157" t="str">
        <f t="shared" si="17"/>
        <v>Feb</v>
      </c>
      <c r="J867" s="142" t="str">
        <f ca="1">IF(E867="","",IF(N867="",H867-TODAY(),""))</f>
        <v/>
      </c>
      <c r="K867" s="157" t="s">
        <v>124</v>
      </c>
      <c r="L867" s="157" t="s">
        <v>20</v>
      </c>
      <c r="M867" s="157" t="s">
        <v>70</v>
      </c>
      <c r="N867" s="9">
        <v>45695</v>
      </c>
      <c r="O867" s="159">
        <f>IF($N867="","",NETWORKDAYS($E867,$N867,$V$33:$V$47)-1)</f>
        <v>1</v>
      </c>
      <c r="P867" s="10" t="str">
        <f>IF(ISBLANK(N867),"",IF(N867&gt;H867,"No","Yes"))</f>
        <v>Yes</v>
      </c>
      <c r="Q867" s="9" t="s">
        <v>117</v>
      </c>
      <c r="R867" s="4" t="s">
        <v>118</v>
      </c>
      <c r="S867" s="4"/>
      <c r="T867" s="4"/>
      <c r="U867" s="6"/>
      <c r="V867" s="6"/>
      <c r="W867" s="6"/>
      <c r="X867" s="6"/>
      <c r="Y867" s="6"/>
      <c r="Z867" s="6"/>
      <c r="AX867" s="6" t="str">
        <v>Quarter 4</v>
      </c>
    </row>
    <row r="868" spans="1:50" ht="31.4" customHeight="1" x14ac:dyDescent="0.35">
      <c r="A868" s="162">
        <v>867</v>
      </c>
      <c r="B868" s="4" t="s">
        <v>1484</v>
      </c>
      <c r="C868" s="4" t="s">
        <v>15</v>
      </c>
      <c r="D868" s="4" t="s">
        <v>1485</v>
      </c>
      <c r="E868" s="157">
        <v>45694</v>
      </c>
      <c r="F868" s="9">
        <f>IF($E868="","",WORKDAY($E868,1,$V$33:$V$41))</f>
        <v>45695</v>
      </c>
      <c r="G868" s="9">
        <f>IF($E868="","",WORKDAY($E868,10,$V$33:$V$41))</f>
        <v>45708</v>
      </c>
      <c r="H868" s="9">
        <f>IF($E868="","",WORKDAY($E868,20,$V$33:$V$41))</f>
        <v>45722</v>
      </c>
      <c r="I868" s="157" t="str">
        <f t="shared" si="17"/>
        <v>Feb</v>
      </c>
      <c r="J868" s="142" t="str">
        <f ca="1">IF(E868="","",IF(N868="",H868-TODAY(),""))</f>
        <v/>
      </c>
      <c r="K868" s="157" t="s">
        <v>10</v>
      </c>
      <c r="L868" s="157" t="s">
        <v>27</v>
      </c>
      <c r="M868" s="157" t="s">
        <v>37</v>
      </c>
      <c r="N868" s="9">
        <v>45694</v>
      </c>
      <c r="O868" s="159">
        <f>IF($N868="","",NETWORKDAYS($E868,$N868,$V$33:$V$47)-1)</f>
        <v>0</v>
      </c>
      <c r="P868" s="10" t="str">
        <f>IF(ISBLANK(N868),"",IF(N868&gt;H868,"No","Yes"))</f>
        <v>Yes</v>
      </c>
      <c r="Q868" s="9" t="s">
        <v>117</v>
      </c>
      <c r="R868" s="4" t="s">
        <v>118</v>
      </c>
      <c r="S868" s="4"/>
      <c r="T868" s="4"/>
      <c r="U868" s="6"/>
      <c r="V868" s="6"/>
      <c r="W868" s="6"/>
      <c r="X868" s="6"/>
      <c r="Y868" s="6"/>
      <c r="Z868" s="6"/>
      <c r="AX868" s="6" t="str">
        <v>Quarter 4</v>
      </c>
    </row>
    <row r="869" spans="1:50" ht="31.4" customHeight="1" x14ac:dyDescent="0.35">
      <c r="A869" s="162">
        <v>868</v>
      </c>
      <c r="B869" s="4" t="s">
        <v>8</v>
      </c>
      <c r="C869" s="4" t="s">
        <v>8</v>
      </c>
      <c r="D869" s="4" t="s">
        <v>1486</v>
      </c>
      <c r="E869" s="157">
        <v>45694</v>
      </c>
      <c r="F869" s="9">
        <f>IF($E869="","",WORKDAY($E869,1,$V$33:$V$41))</f>
        <v>45695</v>
      </c>
      <c r="G869" s="9">
        <f>IF($E869="","",WORKDAY($E869,10,$V$33:$V$41))</f>
        <v>45708</v>
      </c>
      <c r="H869" s="9">
        <f>IF($E869="","",WORKDAY($E869,20,$V$33:$V$41))</f>
        <v>45722</v>
      </c>
      <c r="I869" s="157" t="str">
        <f t="shared" si="17"/>
        <v>Feb</v>
      </c>
      <c r="J869" s="142" t="str">
        <f ca="1">IF(E869="","",IF(N869="",H869-TODAY(),""))</f>
        <v/>
      </c>
      <c r="K869" s="157" t="s">
        <v>5</v>
      </c>
      <c r="L869" s="157" t="s">
        <v>16</v>
      </c>
      <c r="M869" s="157" t="s">
        <v>52</v>
      </c>
      <c r="N869" s="9">
        <v>45695</v>
      </c>
      <c r="O869" s="159">
        <f>IF($N869="","",NETWORKDAYS($E869,$N869,$V$33:$V$47)-1)</f>
        <v>1</v>
      </c>
      <c r="P869" s="10" t="str">
        <f>IF(ISBLANK(N869),"",IF(N869&gt;H869,"No","Yes"))</f>
        <v>Yes</v>
      </c>
      <c r="Q869" s="9" t="s">
        <v>117</v>
      </c>
      <c r="R869" s="4" t="s">
        <v>126</v>
      </c>
      <c r="S869" s="4" t="s">
        <v>119</v>
      </c>
      <c r="T869" s="4" t="s">
        <v>2120</v>
      </c>
      <c r="U869" s="6"/>
      <c r="V869" s="6"/>
      <c r="W869" s="6"/>
      <c r="X869" s="6"/>
      <c r="Y869" s="6"/>
      <c r="Z869" s="6"/>
      <c r="AX869" s="6" t="str">
        <v>Quarter 4</v>
      </c>
    </row>
    <row r="870" spans="1:50" ht="31.4" customHeight="1" x14ac:dyDescent="0.35">
      <c r="A870" s="162">
        <v>869</v>
      </c>
      <c r="B870" s="4" t="s">
        <v>8</v>
      </c>
      <c r="C870" s="4" t="s">
        <v>8</v>
      </c>
      <c r="D870" s="4" t="s">
        <v>1487</v>
      </c>
      <c r="E870" s="157">
        <v>45694</v>
      </c>
      <c r="F870" s="9">
        <f>IF($E870="","",WORKDAY($E870,1,$V$33:$V$41))</f>
        <v>45695</v>
      </c>
      <c r="G870" s="9">
        <f>IF($E870="","",WORKDAY($E870,10,$V$33:$V$41))</f>
        <v>45708</v>
      </c>
      <c r="H870" s="9">
        <f>IF($E870="","",WORKDAY($E870,20,$V$33:$V$41))</f>
        <v>45722</v>
      </c>
      <c r="I870" s="157" t="str">
        <f t="shared" si="17"/>
        <v>Feb</v>
      </c>
      <c r="J870" s="142" t="str">
        <f ca="1">IF(E870="","",IF(N870="",H870-TODAY(),""))</f>
        <v/>
      </c>
      <c r="K870" s="157" t="s">
        <v>10</v>
      </c>
      <c r="L870" s="157" t="s">
        <v>12</v>
      </c>
      <c r="M870" s="157" t="s">
        <v>91</v>
      </c>
      <c r="N870" s="9">
        <v>45708</v>
      </c>
      <c r="O870" s="159">
        <f>IF($N870="","",NETWORKDAYS($E870,$N870,$V$33:$V$47)-1)</f>
        <v>10</v>
      </c>
      <c r="P870" s="10" t="str">
        <f>IF(ISBLANK(N870),"",IF(N870&gt;H870,"No","Yes"))</f>
        <v>Yes</v>
      </c>
      <c r="Q870" s="9" t="s">
        <v>117</v>
      </c>
      <c r="R870" s="4" t="s">
        <v>118</v>
      </c>
      <c r="S870" s="4"/>
      <c r="T870" s="4"/>
      <c r="U870" s="6"/>
      <c r="V870" s="6"/>
      <c r="W870" s="6"/>
      <c r="X870" s="6"/>
      <c r="Y870" s="6"/>
      <c r="Z870" s="6"/>
      <c r="AX870" s="6" t="str">
        <v>Quarter 4</v>
      </c>
    </row>
    <row r="871" spans="1:50" ht="31.4" customHeight="1" x14ac:dyDescent="0.35">
      <c r="A871" s="162">
        <v>870</v>
      </c>
      <c r="B871" s="4" t="s">
        <v>8</v>
      </c>
      <c r="C871" s="4" t="s">
        <v>8</v>
      </c>
      <c r="D871" s="4" t="s">
        <v>1488</v>
      </c>
      <c r="E871" s="157">
        <v>45694</v>
      </c>
      <c r="F871" s="9">
        <f>IF($E871="","",WORKDAY($E871,1,$V$33:$V$41))</f>
        <v>45695</v>
      </c>
      <c r="G871" s="9">
        <f>IF($E871="","",WORKDAY($E871,10,$V$33:$V$41))</f>
        <v>45708</v>
      </c>
      <c r="H871" s="9">
        <f>IF($E871="","",WORKDAY($E871,20,$V$33:$V$41))</f>
        <v>45722</v>
      </c>
      <c r="I871" s="157" t="str">
        <f t="shared" si="17"/>
        <v>Feb</v>
      </c>
      <c r="J871" s="142" t="str">
        <f ca="1">IF(E871="","",IF(N871="",H871-TODAY(),""))</f>
        <v/>
      </c>
      <c r="K871" s="157" t="s">
        <v>10</v>
      </c>
      <c r="L871" s="157" t="s">
        <v>12</v>
      </c>
      <c r="M871" s="157" t="s">
        <v>91</v>
      </c>
      <c r="N871" s="9">
        <v>45699</v>
      </c>
      <c r="O871" s="159">
        <f>IF($N871="","",NETWORKDAYS($E871,$N871,$V$33:$V$47)-1)</f>
        <v>3</v>
      </c>
      <c r="P871" s="10" t="str">
        <f>IF(ISBLANK(N871),"",IF(N871&gt;H871,"No","Yes"))</f>
        <v>Yes</v>
      </c>
      <c r="Q871" s="9" t="s">
        <v>117</v>
      </c>
      <c r="R871" s="4" t="s">
        <v>118</v>
      </c>
      <c r="S871" s="4" t="s">
        <v>135</v>
      </c>
      <c r="T871" s="4" t="s">
        <v>141</v>
      </c>
      <c r="U871" s="6"/>
      <c r="V871" s="6"/>
      <c r="W871" s="6"/>
      <c r="X871" s="6"/>
      <c r="Y871" s="6"/>
      <c r="Z871" s="6"/>
      <c r="AX871" s="6" t="str">
        <v>Quarter 4</v>
      </c>
    </row>
    <row r="872" spans="1:50" ht="31.4" customHeight="1" x14ac:dyDescent="0.35">
      <c r="A872" s="162">
        <v>871</v>
      </c>
      <c r="B872" s="4" t="s">
        <v>1166</v>
      </c>
      <c r="C872" s="4" t="s">
        <v>6</v>
      </c>
      <c r="D872" s="4" t="s">
        <v>1489</v>
      </c>
      <c r="E872" s="157">
        <v>45694</v>
      </c>
      <c r="F872" s="9">
        <f>IF($E872="","",WORKDAY($E872,1,$V$33:$V$41))</f>
        <v>45695</v>
      </c>
      <c r="G872" s="9">
        <f>IF($E872="","",WORKDAY($E872,10,$V$33:$V$41))</f>
        <v>45708</v>
      </c>
      <c r="H872" s="9">
        <f>IF($E872="","",WORKDAY($E872,20,$V$33:$V$41))</f>
        <v>45722</v>
      </c>
      <c r="I872" s="157" t="str">
        <f t="shared" si="17"/>
        <v>Feb</v>
      </c>
      <c r="J872" s="142" t="str">
        <f ca="1">IF(E872="","",IF(N872="",H872-TODAY(),""))</f>
        <v/>
      </c>
      <c r="K872" s="157" t="s">
        <v>124</v>
      </c>
      <c r="L872" s="157" t="s">
        <v>24</v>
      </c>
      <c r="M872" s="157" t="s">
        <v>61</v>
      </c>
      <c r="N872" s="9">
        <v>45695</v>
      </c>
      <c r="O872" s="159">
        <f>IF($N872="","",NETWORKDAYS($E872,$N872,$V$33:$V$47)-1)</f>
        <v>1</v>
      </c>
      <c r="P872" s="10" t="str">
        <f>IF(ISBLANK(N872),"",IF(N872&gt;H872,"No","Yes"))</f>
        <v>Yes</v>
      </c>
      <c r="Q872" s="9" t="s">
        <v>117</v>
      </c>
      <c r="R872" s="4" t="s">
        <v>118</v>
      </c>
      <c r="S872" s="4"/>
      <c r="T872" s="4"/>
      <c r="U872" s="6"/>
      <c r="V872" s="6"/>
      <c r="W872" s="6"/>
      <c r="X872" s="6"/>
      <c r="Y872" s="6"/>
      <c r="Z872" s="6"/>
      <c r="AX872" s="6" t="str">
        <v>Quarter 4</v>
      </c>
    </row>
    <row r="873" spans="1:50" ht="31.4" customHeight="1" x14ac:dyDescent="0.35">
      <c r="A873" s="162">
        <v>872</v>
      </c>
      <c r="B873" s="4" t="s">
        <v>1490</v>
      </c>
      <c r="C873" s="4" t="s">
        <v>15</v>
      </c>
      <c r="D873" s="4" t="s">
        <v>1491</v>
      </c>
      <c r="E873" s="157">
        <v>45694</v>
      </c>
      <c r="F873" s="9">
        <f>IF($E873="","",WORKDAY($E873,1,$V$33:$V$41))</f>
        <v>45695</v>
      </c>
      <c r="G873" s="9">
        <f>IF($E873="","",WORKDAY($E873,10,$V$33:$V$41))</f>
        <v>45708</v>
      </c>
      <c r="H873" s="9">
        <f>IF($E873="","",WORKDAY($E873,20,$V$33:$V$41))</f>
        <v>45722</v>
      </c>
      <c r="I873" s="157" t="str">
        <f t="shared" si="17"/>
        <v>Feb</v>
      </c>
      <c r="J873" s="142" t="str">
        <f ca="1">IF(E873="","",IF(N873="",H873-TODAY(),""))</f>
        <v/>
      </c>
      <c r="K873" s="157" t="s">
        <v>10</v>
      </c>
      <c r="L873" s="157" t="s">
        <v>27</v>
      </c>
      <c r="M873" s="157" t="s">
        <v>37</v>
      </c>
      <c r="N873" s="9">
        <v>45700</v>
      </c>
      <c r="O873" s="159">
        <f>IF($N873="","",NETWORKDAYS($E873,$N873,$V$33:$V$47)-1)</f>
        <v>4</v>
      </c>
      <c r="P873" s="10" t="str">
        <f>IF(ISBLANK(N873),"",IF(N873&gt;H873,"No","Yes"))</f>
        <v>Yes</v>
      </c>
      <c r="Q873" s="9" t="s">
        <v>117</v>
      </c>
      <c r="R873" s="4" t="s">
        <v>118</v>
      </c>
      <c r="S873" s="4"/>
      <c r="T873" s="4"/>
      <c r="U873" s="6"/>
      <c r="V873" s="6"/>
      <c r="W873" s="6"/>
      <c r="X873" s="6"/>
      <c r="Y873" s="6"/>
      <c r="Z873" s="6"/>
      <c r="AX873" s="6" t="str">
        <v>Quarter 4</v>
      </c>
    </row>
    <row r="874" spans="1:50" ht="31.4" customHeight="1" x14ac:dyDescent="0.35">
      <c r="A874" s="162">
        <v>873</v>
      </c>
      <c r="B874" s="4" t="s">
        <v>1492</v>
      </c>
      <c r="C874" s="4" t="s">
        <v>17</v>
      </c>
      <c r="D874" s="4" t="s">
        <v>1493</v>
      </c>
      <c r="E874" s="157">
        <v>45694</v>
      </c>
      <c r="F874" s="9">
        <f>IF($E874="","",WORKDAY($E874,1,$V$33:$V$41))</f>
        <v>45695</v>
      </c>
      <c r="G874" s="9">
        <f>IF($E874="","",WORKDAY($E874,10,$V$33:$V$41))</f>
        <v>45708</v>
      </c>
      <c r="H874" s="9">
        <f>IF($E874="","",WORKDAY($E874,20,$V$33:$V$41))</f>
        <v>45722</v>
      </c>
      <c r="I874" s="157" t="str">
        <f t="shared" si="17"/>
        <v>Feb</v>
      </c>
      <c r="J874" s="142" t="str">
        <f ca="1">IF(E874="","",IF(N874="",H874-TODAY(),""))</f>
        <v/>
      </c>
      <c r="K874" s="157" t="s">
        <v>10</v>
      </c>
      <c r="L874" s="157" t="s">
        <v>27</v>
      </c>
      <c r="M874" s="157" t="s">
        <v>86</v>
      </c>
      <c r="N874" s="9">
        <v>45695</v>
      </c>
      <c r="O874" s="159">
        <f>IF($N874="","",NETWORKDAYS($E874,$N874,$V$33:$V$47)-1)</f>
        <v>1</v>
      </c>
      <c r="P874" s="10" t="str">
        <f>IF(ISBLANK(N874),"",IF(N874&gt;H874,"No","Yes"))</f>
        <v>Yes</v>
      </c>
      <c r="Q874" s="9" t="s">
        <v>117</v>
      </c>
      <c r="R874" s="4" t="s">
        <v>132</v>
      </c>
      <c r="S874" s="4" t="s">
        <v>120</v>
      </c>
      <c r="T874" s="4"/>
      <c r="U874" s="6"/>
      <c r="V874" s="6"/>
      <c r="W874" s="6"/>
      <c r="X874" s="6"/>
      <c r="Y874" s="6"/>
      <c r="Z874" s="6"/>
      <c r="AX874" s="6" t="str">
        <v>Quarter 4</v>
      </c>
    </row>
    <row r="875" spans="1:50" ht="31.4" customHeight="1" x14ac:dyDescent="0.35">
      <c r="A875" s="162">
        <v>874</v>
      </c>
      <c r="B875" s="4" t="s">
        <v>138</v>
      </c>
      <c r="C875" s="4" t="s">
        <v>19</v>
      </c>
      <c r="D875" s="4" t="s">
        <v>1494</v>
      </c>
      <c r="E875" s="157">
        <v>45694</v>
      </c>
      <c r="F875" s="9">
        <f>IF($E875="","",WORKDAY($E875,1,$V$33:$V$41))</f>
        <v>45695</v>
      </c>
      <c r="G875" s="9">
        <f>IF($E875="","",WORKDAY($E875,10,$V$33:$V$41))</f>
        <v>45708</v>
      </c>
      <c r="H875" s="9">
        <f>IF($E875="","",WORKDAY($E875,20,$V$33:$V$41))</f>
        <v>45722</v>
      </c>
      <c r="I875" s="157" t="str">
        <f t="shared" si="17"/>
        <v>Feb</v>
      </c>
      <c r="J875" s="142" t="str">
        <f ca="1">IF(E875="","",IF(N875="",H875-TODAY(),""))</f>
        <v/>
      </c>
      <c r="K875" s="157" t="s">
        <v>124</v>
      </c>
      <c r="L875" s="157" t="s">
        <v>20</v>
      </c>
      <c r="M875" s="157" t="s">
        <v>62</v>
      </c>
      <c r="N875" s="9">
        <v>45730</v>
      </c>
      <c r="O875" s="159">
        <f>IF($N875="","",NETWORKDAYS($E875,$N875,$V$33:$V$47)-1)</f>
        <v>26</v>
      </c>
      <c r="P875" s="10" t="str">
        <f>IF(ISBLANK(N875),"",IF(N875&gt;H875,"No","Yes"))</f>
        <v>No</v>
      </c>
      <c r="Q875" s="9" t="s">
        <v>117</v>
      </c>
      <c r="R875" s="4" t="s">
        <v>118</v>
      </c>
      <c r="S875" s="4"/>
      <c r="T875" s="4" t="s">
        <v>141</v>
      </c>
      <c r="U875" s="6"/>
      <c r="V875" s="6"/>
      <c r="W875" s="6"/>
      <c r="X875" s="6"/>
      <c r="Y875" s="6"/>
      <c r="Z875" s="6"/>
      <c r="AX875" s="6" t="str">
        <v>Quarter 4</v>
      </c>
    </row>
    <row r="876" spans="1:50" ht="31.4" customHeight="1" x14ac:dyDescent="0.35">
      <c r="A876" s="162">
        <v>875</v>
      </c>
      <c r="B876" s="4" t="s">
        <v>8</v>
      </c>
      <c r="C876" s="4" t="s">
        <v>8</v>
      </c>
      <c r="D876" s="4" t="s">
        <v>1495</v>
      </c>
      <c r="E876" s="157">
        <v>45694</v>
      </c>
      <c r="F876" s="9">
        <f>IF($E876="","",WORKDAY($E876,1,$V$33:$V$41))</f>
        <v>45695</v>
      </c>
      <c r="G876" s="9">
        <f>IF($E876="","",WORKDAY($E876,10,$V$33:$V$41))</f>
        <v>45708</v>
      </c>
      <c r="H876" s="9">
        <f>IF($E876="","",WORKDAY($E876,20,$V$33:$V$41))</f>
        <v>45722</v>
      </c>
      <c r="I876" s="157" t="str">
        <f t="shared" si="17"/>
        <v>Feb</v>
      </c>
      <c r="J876" s="142" t="str">
        <f ca="1">IF(E876="","",IF(N876="",H876-TODAY(),""))</f>
        <v/>
      </c>
      <c r="K876" s="157" t="s">
        <v>10</v>
      </c>
      <c r="L876" s="157" t="s">
        <v>12</v>
      </c>
      <c r="M876" s="157" t="s">
        <v>91</v>
      </c>
      <c r="N876" s="9">
        <v>45694</v>
      </c>
      <c r="O876" s="159">
        <f>IF($N876="","",NETWORKDAYS($E876,$N876,$V$33:$V$47)-1)</f>
        <v>0</v>
      </c>
      <c r="P876" s="10" t="str">
        <f>IF(ISBLANK(N876),"",IF(N876&gt;H876,"No","Yes"))</f>
        <v>Yes</v>
      </c>
      <c r="Q876" s="9" t="s">
        <v>117</v>
      </c>
      <c r="R876" s="4" t="s">
        <v>118</v>
      </c>
      <c r="S876" s="4"/>
      <c r="T876" s="4"/>
      <c r="U876" s="6"/>
      <c r="V876" s="6"/>
      <c r="W876" s="6"/>
      <c r="X876" s="6"/>
      <c r="Y876" s="6"/>
      <c r="Z876" s="6"/>
      <c r="AX876" s="6" t="str">
        <v>Quarter 4</v>
      </c>
    </row>
    <row r="877" spans="1:50" ht="31.4" customHeight="1" x14ac:dyDescent="0.35">
      <c r="A877" s="162">
        <v>876</v>
      </c>
      <c r="B877" s="4" t="s">
        <v>8</v>
      </c>
      <c r="C877" s="4" t="s">
        <v>8</v>
      </c>
      <c r="D877" s="4" t="s">
        <v>1496</v>
      </c>
      <c r="E877" s="157">
        <v>45695</v>
      </c>
      <c r="F877" s="9">
        <f>IF($E877="","",WORKDAY($E877,1,$V$33:$V$41))</f>
        <v>45698</v>
      </c>
      <c r="G877" s="9">
        <f>IF($E877="","",WORKDAY($E877,10,$V$33:$V$41))</f>
        <v>45709</v>
      </c>
      <c r="H877" s="9">
        <f>IF($E877="","",WORKDAY($E877,20,$V$33:$V$41))</f>
        <v>45723</v>
      </c>
      <c r="I877" s="157" t="str">
        <f t="shared" si="17"/>
        <v>Feb</v>
      </c>
      <c r="J877" s="142" t="str">
        <f ca="1">IF(E877="","",IF(N877="",H877-TODAY(),""))</f>
        <v/>
      </c>
      <c r="K877" s="157" t="s">
        <v>4</v>
      </c>
      <c r="L877" s="157" t="s">
        <v>26</v>
      </c>
      <c r="M877" s="157" t="s">
        <v>60</v>
      </c>
      <c r="N877" s="9">
        <v>45699</v>
      </c>
      <c r="O877" s="159">
        <f>IF($N877="","",NETWORKDAYS($E877,$N877,$V$33:$V$47)-1)</f>
        <v>2</v>
      </c>
      <c r="P877" s="10" t="str">
        <f>IF(ISBLANK(N877),"",IF(N877&gt;H877,"No","Yes"))</f>
        <v>Yes</v>
      </c>
      <c r="Q877" s="9" t="s">
        <v>117</v>
      </c>
      <c r="R877" s="4" t="s">
        <v>118</v>
      </c>
      <c r="S877" s="4"/>
      <c r="T877" s="4"/>
      <c r="U877" s="6"/>
      <c r="V877" s="6"/>
      <c r="W877" s="6"/>
      <c r="X877" s="6"/>
      <c r="Y877" s="6"/>
      <c r="Z877" s="6"/>
      <c r="AX877" s="6" t="str">
        <v>Quarter 4</v>
      </c>
    </row>
    <row r="878" spans="1:50" ht="31.4" customHeight="1" x14ac:dyDescent="0.35">
      <c r="A878" s="162">
        <v>877</v>
      </c>
      <c r="B878" s="4" t="s">
        <v>8</v>
      </c>
      <c r="C878" s="4" t="s">
        <v>8</v>
      </c>
      <c r="D878" s="4" t="s">
        <v>1497</v>
      </c>
      <c r="E878" s="157">
        <v>45695</v>
      </c>
      <c r="F878" s="9">
        <f>IF($E878="","",WORKDAY($E878,1,$V$33:$V$41))</f>
        <v>45698</v>
      </c>
      <c r="G878" s="9">
        <f>IF($E878="","",WORKDAY($E878,10,$V$33:$V$41))</f>
        <v>45709</v>
      </c>
      <c r="H878" s="9">
        <f>IF($E878="","",WORKDAY($E878,20,$V$33:$V$41))</f>
        <v>45723</v>
      </c>
      <c r="I878" s="157" t="str">
        <f t="shared" si="17"/>
        <v>Feb</v>
      </c>
      <c r="J878" s="142" t="str">
        <f ca="1">IF(E878="","",IF(N878="",H878-TODAY(),""))</f>
        <v/>
      </c>
      <c r="K878" s="157" t="s">
        <v>10</v>
      </c>
      <c r="L878" s="157" t="s">
        <v>12</v>
      </c>
      <c r="M878" s="157" t="s">
        <v>91</v>
      </c>
      <c r="N878" s="9">
        <v>45708</v>
      </c>
      <c r="O878" s="159">
        <f>IF($N878="","",NETWORKDAYS($E878,$N878,$V$33:$V$47)-1)</f>
        <v>9</v>
      </c>
      <c r="P878" s="10" t="str">
        <f>IF(ISBLANK(N878),"",IF(N878&gt;H878,"No","Yes"))</f>
        <v>Yes</v>
      </c>
      <c r="Q878" s="9" t="s">
        <v>117</v>
      </c>
      <c r="R878" s="4" t="s">
        <v>118</v>
      </c>
      <c r="S878" s="4"/>
      <c r="T878" s="4"/>
      <c r="U878" s="6"/>
      <c r="V878" s="6"/>
      <c r="W878" s="6"/>
      <c r="X878" s="6"/>
      <c r="Y878" s="6"/>
      <c r="Z878" s="6"/>
      <c r="AX878" s="6" t="str">
        <v>Quarter 4</v>
      </c>
    </row>
    <row r="879" spans="1:50" ht="31.4" customHeight="1" x14ac:dyDescent="0.35">
      <c r="A879" s="162">
        <v>878</v>
      </c>
      <c r="B879" s="4" t="s">
        <v>138</v>
      </c>
      <c r="C879" s="4" t="s">
        <v>19</v>
      </c>
      <c r="D879" s="4" t="s">
        <v>1498</v>
      </c>
      <c r="E879" s="157">
        <v>45695</v>
      </c>
      <c r="F879" s="9">
        <f>IF($E879="","",WORKDAY($E879,1,$V$33:$V$41))</f>
        <v>45698</v>
      </c>
      <c r="G879" s="9">
        <f>IF($E879="","",WORKDAY($E879,10,$V$33:$V$41))</f>
        <v>45709</v>
      </c>
      <c r="H879" s="9">
        <f>IF($E879="","",WORKDAY($E879,20,$V$33:$V$41))</f>
        <v>45723</v>
      </c>
      <c r="I879" s="157" t="str">
        <f t="shared" si="17"/>
        <v>Feb</v>
      </c>
      <c r="J879" s="142" t="str">
        <f ca="1">IF(E879="","",IF(N879="",H879-TODAY(),""))</f>
        <v/>
      </c>
      <c r="K879" s="157" t="s">
        <v>124</v>
      </c>
      <c r="L879" s="157" t="s">
        <v>20</v>
      </c>
      <c r="M879" s="157" t="s">
        <v>92</v>
      </c>
      <c r="N879" s="9">
        <v>45713</v>
      </c>
      <c r="O879" s="159">
        <f>IF($N879="","",NETWORKDAYS($E879,$N879,$V$33:$V$47)-1)</f>
        <v>12</v>
      </c>
      <c r="P879" s="10" t="str">
        <f>IF(ISBLANK(N879),"",IF(N879&gt;H879,"No","Yes"))</f>
        <v>Yes</v>
      </c>
      <c r="Q879" s="9" t="s">
        <v>117</v>
      </c>
      <c r="R879" s="4" t="s">
        <v>118</v>
      </c>
      <c r="S879" s="4"/>
      <c r="T879" s="4"/>
      <c r="U879" s="6"/>
      <c r="V879" s="6"/>
      <c r="W879" s="6"/>
      <c r="X879" s="6"/>
      <c r="Y879" s="6"/>
      <c r="Z879" s="6"/>
      <c r="AX879" s="6" t="str">
        <v>Quarter 4</v>
      </c>
    </row>
    <row r="880" spans="1:50" ht="31.4" customHeight="1" x14ac:dyDescent="0.35">
      <c r="A880" s="162">
        <v>879</v>
      </c>
      <c r="B880" s="4" t="s">
        <v>138</v>
      </c>
      <c r="C880" s="4" t="s">
        <v>19</v>
      </c>
      <c r="D880" s="4" t="s">
        <v>1499</v>
      </c>
      <c r="E880" s="157">
        <v>45698</v>
      </c>
      <c r="F880" s="9">
        <f>IF($E880="","",WORKDAY($E880,1,$V$33:$V$41))</f>
        <v>45699</v>
      </c>
      <c r="G880" s="9">
        <f>IF($E880="","",WORKDAY($E880,10,$V$33:$V$41))</f>
        <v>45712</v>
      </c>
      <c r="H880" s="9">
        <f>IF($E880="","",WORKDAY($E880,20,$V$33:$V$41))</f>
        <v>45726</v>
      </c>
      <c r="I880" s="157" t="str">
        <f t="shared" si="17"/>
        <v>Feb</v>
      </c>
      <c r="J880" s="142" t="str">
        <f ca="1">IF(E880="","",IF(N880="",H880-TODAY(),""))</f>
        <v/>
      </c>
      <c r="K880" s="157" t="s">
        <v>10</v>
      </c>
      <c r="L880" s="157" t="s">
        <v>12</v>
      </c>
      <c r="M880" s="157" t="s">
        <v>30</v>
      </c>
      <c r="N880" s="9">
        <v>45713</v>
      </c>
      <c r="O880" s="159">
        <f>IF($N880="","",NETWORKDAYS($E880,$N880,$V$33:$V$47)-1)</f>
        <v>11</v>
      </c>
      <c r="P880" s="10" t="str">
        <f>IF(ISBLANK(N880),"",IF(N880&gt;H880,"No","Yes"))</f>
        <v>Yes</v>
      </c>
      <c r="Q880" s="9" t="s">
        <v>117</v>
      </c>
      <c r="R880" s="4" t="s">
        <v>118</v>
      </c>
      <c r="S880" s="4"/>
      <c r="T880" s="4" t="s">
        <v>141</v>
      </c>
      <c r="U880" s="6"/>
      <c r="V880" s="6"/>
      <c r="W880" s="6"/>
      <c r="X880" s="6"/>
      <c r="Y880" s="6"/>
      <c r="Z880" s="6"/>
      <c r="AX880" s="6" t="str">
        <v>Quarter 4</v>
      </c>
    </row>
    <row r="881" spans="1:50" ht="31.4" customHeight="1" x14ac:dyDescent="0.35">
      <c r="A881" s="162">
        <v>880</v>
      </c>
      <c r="B881" s="4" t="s">
        <v>138</v>
      </c>
      <c r="C881" s="4" t="s">
        <v>19</v>
      </c>
      <c r="D881" s="4" t="s">
        <v>1500</v>
      </c>
      <c r="E881" s="157">
        <v>45698</v>
      </c>
      <c r="F881" s="9">
        <f>IF($E881="","",WORKDAY($E881,1,$V$33:$V$41))</f>
        <v>45699</v>
      </c>
      <c r="G881" s="9">
        <f>IF($E881="","",WORKDAY($E881,10,$V$33:$V$41))</f>
        <v>45712</v>
      </c>
      <c r="H881" s="9">
        <f>IF($E881="","",WORKDAY($E881,20,$V$33:$V$41))</f>
        <v>45726</v>
      </c>
      <c r="I881" s="157" t="str">
        <f t="shared" si="17"/>
        <v>Feb</v>
      </c>
      <c r="J881" s="142" t="str">
        <f ca="1">IF(E881="","",IF(N881="",H881-TODAY(),""))</f>
        <v/>
      </c>
      <c r="K881" s="157" t="s">
        <v>5</v>
      </c>
      <c r="L881" s="157" t="s">
        <v>16</v>
      </c>
      <c r="M881" s="157" t="s">
        <v>67</v>
      </c>
      <c r="N881" s="9">
        <v>45707</v>
      </c>
      <c r="O881" s="159">
        <f>IF($N881="","",NETWORKDAYS($E881,$N881,$V$33:$V$47)-1)</f>
        <v>7</v>
      </c>
      <c r="P881" s="10" t="str">
        <f>IF(ISBLANK(N881),"",IF(N881&gt;H881,"No","Yes"))</f>
        <v>Yes</v>
      </c>
      <c r="Q881" s="9" t="s">
        <v>117</v>
      </c>
      <c r="R881" s="4" t="s">
        <v>150</v>
      </c>
      <c r="S881" s="4"/>
      <c r="T881" s="4"/>
      <c r="U881" s="6"/>
      <c r="V881" s="6"/>
      <c r="W881" s="6"/>
      <c r="X881" s="6"/>
      <c r="Y881" s="6"/>
      <c r="Z881" s="6"/>
      <c r="AX881" s="6" t="str">
        <v>Quarter 4</v>
      </c>
    </row>
    <row r="882" spans="1:50" ht="31.4" customHeight="1" x14ac:dyDescent="0.35">
      <c r="A882" s="162">
        <v>881</v>
      </c>
      <c r="B882" s="4" t="s">
        <v>8</v>
      </c>
      <c r="C882" s="4" t="s">
        <v>8</v>
      </c>
      <c r="D882" s="4" t="s">
        <v>1501</v>
      </c>
      <c r="E882" s="157">
        <v>45698</v>
      </c>
      <c r="F882" s="9">
        <f>IF($E882="","",WORKDAY($E882,1,$V$33:$V$41))</f>
        <v>45699</v>
      </c>
      <c r="G882" s="9">
        <f>IF($E882="","",WORKDAY($E882,10,$V$33:$V$41))</f>
        <v>45712</v>
      </c>
      <c r="H882" s="9">
        <f>IF($E882="","",WORKDAY($E882,20,$V$33:$V$41))</f>
        <v>45726</v>
      </c>
      <c r="I882" s="157" t="str">
        <f t="shared" si="17"/>
        <v>Feb</v>
      </c>
      <c r="J882" s="142" t="str">
        <f ca="1">IF(E882="","",IF(N882="",H882-TODAY(),""))</f>
        <v/>
      </c>
      <c r="K882" s="157" t="s">
        <v>4</v>
      </c>
      <c r="L882" s="157" t="s">
        <v>7</v>
      </c>
      <c r="M882" s="157" t="s">
        <v>31</v>
      </c>
      <c r="N882" s="9">
        <v>45705</v>
      </c>
      <c r="O882" s="159">
        <f>IF($N882="","",NETWORKDAYS($E882,$N882,$V$33:$V$47)-1)</f>
        <v>5</v>
      </c>
      <c r="P882" s="10" t="str">
        <f>IF(ISBLANK(N882),"",IF(N882&gt;H882,"No","Yes"))</f>
        <v>Yes</v>
      </c>
      <c r="Q882" s="9" t="s">
        <v>117</v>
      </c>
      <c r="R882" s="4" t="s">
        <v>118</v>
      </c>
      <c r="S882" s="4"/>
      <c r="T882" s="4"/>
      <c r="U882" s="6"/>
      <c r="V882" s="6"/>
      <c r="W882" s="6"/>
      <c r="X882" s="6"/>
      <c r="Y882" s="6"/>
      <c r="Z882" s="6"/>
      <c r="AX882" s="6" t="str">
        <v>Quarter 4</v>
      </c>
    </row>
    <row r="883" spans="1:50" ht="31.4" customHeight="1" x14ac:dyDescent="0.35">
      <c r="A883" s="162">
        <v>882</v>
      </c>
      <c r="B883" s="4" t="s">
        <v>1377</v>
      </c>
      <c r="C883" s="4" t="s">
        <v>13</v>
      </c>
      <c r="D883" s="4" t="s">
        <v>229</v>
      </c>
      <c r="E883" s="157">
        <v>45698</v>
      </c>
      <c r="F883" s="9">
        <f>IF($E883="","",WORKDAY($E883,1,$V$33:$V$41))</f>
        <v>45699</v>
      </c>
      <c r="G883" s="9">
        <f>IF($E883="","",WORKDAY($E883,10,$V$33:$V$41))</f>
        <v>45712</v>
      </c>
      <c r="H883" s="9">
        <f>IF($E883="","",WORKDAY($E883,20,$V$33:$V$41))</f>
        <v>45726</v>
      </c>
      <c r="I883" s="157" t="str">
        <f t="shared" si="17"/>
        <v>Feb</v>
      </c>
      <c r="J883" s="142" t="str">
        <f ca="1">IF(E883="","",IF(N883="",H883-TODAY(),""))</f>
        <v/>
      </c>
      <c r="K883" s="157" t="s">
        <v>5</v>
      </c>
      <c r="L883" s="157" t="s">
        <v>18</v>
      </c>
      <c r="M883" s="157" t="s">
        <v>66</v>
      </c>
      <c r="N883" s="9">
        <v>45698</v>
      </c>
      <c r="O883" s="159">
        <f>IF($N883="","",NETWORKDAYS($E883,$N883,$V$33:$V$47)-1)</f>
        <v>0</v>
      </c>
      <c r="P883" s="10" t="str">
        <f>IF(ISBLANK(N883),"",IF(N883&gt;H883,"No","Yes"))</f>
        <v>Yes</v>
      </c>
      <c r="Q883" s="9" t="s">
        <v>117</v>
      </c>
      <c r="R883" s="4" t="s">
        <v>118</v>
      </c>
      <c r="S883" s="4" t="s">
        <v>119</v>
      </c>
      <c r="T883" s="4"/>
      <c r="U883" s="6"/>
      <c r="V883" s="6"/>
      <c r="W883" s="6"/>
      <c r="X883" s="6"/>
      <c r="Y883" s="6"/>
      <c r="Z883" s="6"/>
      <c r="AX883" s="6" t="str">
        <v>Quarter 4</v>
      </c>
    </row>
    <row r="884" spans="1:50" ht="31.4" customHeight="1" x14ac:dyDescent="0.35">
      <c r="A884" s="162">
        <v>883</v>
      </c>
      <c r="B884" s="4" t="s">
        <v>8</v>
      </c>
      <c r="C884" s="4" t="s">
        <v>8</v>
      </c>
      <c r="D884" s="4" t="s">
        <v>275</v>
      </c>
      <c r="E884" s="157">
        <v>45698</v>
      </c>
      <c r="F884" s="9">
        <f>IF($E884="","",WORKDAY($E884,1,$V$33:$V$41))</f>
        <v>45699</v>
      </c>
      <c r="G884" s="9">
        <f>IF($E884="","",WORKDAY($E884,10,$V$33:$V$41))</f>
        <v>45712</v>
      </c>
      <c r="H884" s="9">
        <f>IF($E884="","",WORKDAY($E884,20,$V$33:$V$41))</f>
        <v>45726</v>
      </c>
      <c r="I884" s="157" t="str">
        <f t="shared" si="17"/>
        <v>Feb</v>
      </c>
      <c r="J884" s="142" t="str">
        <f ca="1">IF(E884="","",IF(N884="",H884-TODAY(),""))</f>
        <v/>
      </c>
      <c r="K884" s="157" t="s">
        <v>124</v>
      </c>
      <c r="L884" s="157" t="s">
        <v>20</v>
      </c>
      <c r="M884" s="157" t="s">
        <v>70</v>
      </c>
      <c r="N884" s="9">
        <v>45699</v>
      </c>
      <c r="O884" s="159">
        <f>IF($N884="","",NETWORKDAYS($E884,$N884,$V$33:$V$47)-1)</f>
        <v>1</v>
      </c>
      <c r="P884" s="10" t="str">
        <f>IF(ISBLANK(N884),"",IF(N884&gt;H884,"No","Yes"))</f>
        <v>Yes</v>
      </c>
      <c r="Q884" s="9" t="s">
        <v>117</v>
      </c>
      <c r="R884" s="4" t="s">
        <v>126</v>
      </c>
      <c r="S884" s="4" t="s">
        <v>134</v>
      </c>
      <c r="T884" s="4"/>
      <c r="U884" s="6"/>
      <c r="V884" s="6"/>
      <c r="W884" s="6"/>
      <c r="X884" s="6"/>
      <c r="Y884" s="6"/>
      <c r="Z884" s="6"/>
      <c r="AX884" s="6" t="str">
        <v>Quarter 4</v>
      </c>
    </row>
    <row r="885" spans="1:50" ht="31.4" customHeight="1" x14ac:dyDescent="0.35">
      <c r="A885" s="162">
        <v>884</v>
      </c>
      <c r="B885" s="4" t="s">
        <v>138</v>
      </c>
      <c r="C885" s="4" t="s">
        <v>19</v>
      </c>
      <c r="D885" s="4" t="s">
        <v>1474</v>
      </c>
      <c r="E885" s="157">
        <v>45698</v>
      </c>
      <c r="F885" s="9">
        <f>IF($E885="","",WORKDAY($E885,1,$V$33:$V$41))</f>
        <v>45699</v>
      </c>
      <c r="G885" s="9">
        <f>IF($E885="","",WORKDAY($E885,10,$V$33:$V$41))</f>
        <v>45712</v>
      </c>
      <c r="H885" s="9">
        <f>IF($E885="","",WORKDAY($E885,20,$V$33:$V$41))</f>
        <v>45726</v>
      </c>
      <c r="I885" s="157" t="str">
        <f t="shared" si="17"/>
        <v>Feb</v>
      </c>
      <c r="J885" s="142" t="str">
        <f ca="1">IF(E885="","",IF(N885="",H885-TODAY(),""))</f>
        <v/>
      </c>
      <c r="K885" s="157" t="s">
        <v>5</v>
      </c>
      <c r="L885" s="157" t="s">
        <v>16</v>
      </c>
      <c r="M885" s="157" t="s">
        <v>71</v>
      </c>
      <c r="N885" s="9">
        <v>45714</v>
      </c>
      <c r="O885" s="159">
        <f>IF($N885="","",NETWORKDAYS($E885,$N885,$V$33:$V$47)-1)</f>
        <v>12</v>
      </c>
      <c r="P885" s="10" t="str">
        <f>IF(ISBLANK(N885),"",IF(N885&gt;H885,"No","Yes"))</f>
        <v>Yes</v>
      </c>
      <c r="Q885" s="9" t="s">
        <v>117</v>
      </c>
      <c r="R885" s="4" t="s">
        <v>118</v>
      </c>
      <c r="S885" s="4"/>
      <c r="T885" s="4"/>
      <c r="U885" s="6"/>
      <c r="V885" s="6"/>
      <c r="W885" s="6"/>
      <c r="X885" s="6"/>
      <c r="Y885" s="6"/>
      <c r="Z885" s="6"/>
      <c r="AX885" s="6" t="str">
        <v>Quarter 4</v>
      </c>
    </row>
    <row r="886" spans="1:50" ht="31.4" customHeight="1" x14ac:dyDescent="0.35">
      <c r="A886" s="162">
        <v>885</v>
      </c>
      <c r="B886" s="4" t="s">
        <v>608</v>
      </c>
      <c r="C886" s="4" t="s">
        <v>6</v>
      </c>
      <c r="D886" s="4" t="s">
        <v>275</v>
      </c>
      <c r="E886" s="157">
        <v>45698</v>
      </c>
      <c r="F886" s="9">
        <f>IF($E886="","",WORKDAY($E886,1,$V$33:$V$41))</f>
        <v>45699</v>
      </c>
      <c r="G886" s="9">
        <f>IF($E886="","",WORKDAY($E886,10,$V$33:$V$41))</f>
        <v>45712</v>
      </c>
      <c r="H886" s="9">
        <f>IF($E886="","",WORKDAY($E886,20,$V$33:$V$41))</f>
        <v>45726</v>
      </c>
      <c r="I886" s="157" t="str">
        <f t="shared" si="17"/>
        <v>Feb</v>
      </c>
      <c r="J886" s="142" t="str">
        <f ca="1">IF(E886="","",IF(N886="",H886-TODAY(),""))</f>
        <v/>
      </c>
      <c r="K886" s="157" t="s">
        <v>124</v>
      </c>
      <c r="L886" s="157" t="s">
        <v>20</v>
      </c>
      <c r="M886" s="157" t="s">
        <v>70</v>
      </c>
      <c r="N886" s="9">
        <v>45699</v>
      </c>
      <c r="O886" s="159">
        <f>IF($N886="","",NETWORKDAYS($E886,$N886,$V$33:$V$47)-1)</f>
        <v>1</v>
      </c>
      <c r="P886" s="10" t="str">
        <f>IF(ISBLANK(N886),"",IF(N886&gt;H886,"No","Yes"))</f>
        <v>Yes</v>
      </c>
      <c r="Q886" s="9" t="s">
        <v>117</v>
      </c>
      <c r="R886" s="4" t="s">
        <v>126</v>
      </c>
      <c r="S886" s="4" t="s">
        <v>134</v>
      </c>
      <c r="T886" s="4"/>
      <c r="U886" s="6"/>
      <c r="V886" s="6"/>
      <c r="W886" s="6"/>
      <c r="X886" s="6"/>
      <c r="Y886" s="6"/>
      <c r="Z886" s="6"/>
      <c r="AX886" s="6" t="str">
        <v>Quarter 4</v>
      </c>
    </row>
    <row r="887" spans="1:50" ht="31.4" customHeight="1" x14ac:dyDescent="0.35">
      <c r="A887" s="162">
        <v>886</v>
      </c>
      <c r="B887" s="4" t="s">
        <v>8</v>
      </c>
      <c r="C887" s="4" t="s">
        <v>8</v>
      </c>
      <c r="D887" s="4" t="s">
        <v>1502</v>
      </c>
      <c r="E887" s="157">
        <v>45699</v>
      </c>
      <c r="F887" s="9">
        <f>IF($E887="","",WORKDAY($E887,1,$V$33:$V$41))</f>
        <v>45700</v>
      </c>
      <c r="G887" s="9">
        <f>IF($E887="","",WORKDAY($E887,10,$V$33:$V$41))</f>
        <v>45713</v>
      </c>
      <c r="H887" s="9">
        <f>IF($E887="","",WORKDAY($E887,20,$V$33:$V$41))</f>
        <v>45727</v>
      </c>
      <c r="I887" s="157" t="str">
        <f t="shared" si="17"/>
        <v>Feb</v>
      </c>
      <c r="J887" s="142" t="str">
        <f ca="1">IF(E887="","",IF(N887="",H887-TODAY(),""))</f>
        <v/>
      </c>
      <c r="K887" s="157" t="s">
        <v>5</v>
      </c>
      <c r="L887" s="157" t="s">
        <v>18</v>
      </c>
      <c r="M887" s="157" t="s">
        <v>66</v>
      </c>
      <c r="N887" s="9">
        <v>45727</v>
      </c>
      <c r="O887" s="159">
        <f>IF($N887="","",NETWORKDAYS($E887,$N887,$V$33:$V$47)-1)</f>
        <v>20</v>
      </c>
      <c r="P887" s="10" t="str">
        <f>IF(ISBLANK(N887),"",IF(N887&gt;H887,"No","Yes"))</f>
        <v>Yes</v>
      </c>
      <c r="Q887" s="9" t="s">
        <v>117</v>
      </c>
      <c r="R887" s="4" t="s">
        <v>118</v>
      </c>
      <c r="S887" s="4" t="s">
        <v>135</v>
      </c>
      <c r="T887" s="4" t="s">
        <v>1424</v>
      </c>
      <c r="U887" s="6"/>
      <c r="V887" s="6"/>
      <c r="W887" s="6"/>
      <c r="X887" s="6"/>
      <c r="Y887" s="6"/>
      <c r="Z887" s="6"/>
      <c r="AX887" s="6" t="str">
        <v>Quarter 4</v>
      </c>
    </row>
    <row r="888" spans="1:50" ht="31.4" customHeight="1" x14ac:dyDescent="0.35">
      <c r="A888" s="162">
        <v>887</v>
      </c>
      <c r="B888" s="4" t="s">
        <v>1336</v>
      </c>
      <c r="C888" s="4" t="s">
        <v>25</v>
      </c>
      <c r="D888" s="4" t="s">
        <v>1503</v>
      </c>
      <c r="E888" s="157">
        <v>45699</v>
      </c>
      <c r="F888" s="9">
        <f>IF($E888="","",WORKDAY($E888,1,$V$33:$V$41))</f>
        <v>45700</v>
      </c>
      <c r="G888" s="9">
        <f>IF($E888="","",WORKDAY($E888,10,$V$33:$V$41))</f>
        <v>45713</v>
      </c>
      <c r="H888" s="9">
        <f>IF($E888="","",WORKDAY($E888,20,$V$33:$V$41))</f>
        <v>45727</v>
      </c>
      <c r="I888" s="157" t="str">
        <f t="shared" si="17"/>
        <v>Feb</v>
      </c>
      <c r="J888" s="142" t="str">
        <f ca="1">IF(E888="","",IF(N888="",H888-TODAY(),""))</f>
        <v/>
      </c>
      <c r="K888" s="157" t="s">
        <v>5</v>
      </c>
      <c r="L888" s="157" t="s">
        <v>16</v>
      </c>
      <c r="M888" s="157" t="s">
        <v>45</v>
      </c>
      <c r="N888" s="9">
        <v>45699</v>
      </c>
      <c r="O888" s="159">
        <f>IF($N888="","",NETWORKDAYS($E888,$N888,$V$33:$V$47)-1)</f>
        <v>0</v>
      </c>
      <c r="P888" s="10" t="str">
        <f>IF(ISBLANK(N888),"",IF(N888&gt;H888,"No","Yes"))</f>
        <v>Yes</v>
      </c>
      <c r="Q888" s="9" t="s">
        <v>117</v>
      </c>
      <c r="R888" s="4" t="s">
        <v>118</v>
      </c>
      <c r="S888" s="4"/>
      <c r="T888" s="4"/>
      <c r="U888" s="6"/>
      <c r="V888" s="6"/>
      <c r="W888" s="6"/>
      <c r="X888" s="6"/>
      <c r="Y888" s="6"/>
      <c r="Z888" s="6"/>
      <c r="AX888" s="6" t="str">
        <v>Quarter 4</v>
      </c>
    </row>
    <row r="889" spans="1:50" ht="31.4" customHeight="1" x14ac:dyDescent="0.35">
      <c r="A889" s="162">
        <v>888</v>
      </c>
      <c r="B889" s="4" t="s">
        <v>1504</v>
      </c>
      <c r="C889" s="4" t="s">
        <v>15</v>
      </c>
      <c r="D889" s="4" t="s">
        <v>1505</v>
      </c>
      <c r="E889" s="157">
        <v>45699</v>
      </c>
      <c r="F889" s="9">
        <f>IF($E889="","",WORKDAY($E889,1,$V$33:$V$41))</f>
        <v>45700</v>
      </c>
      <c r="G889" s="9">
        <f>IF($E889="","",WORKDAY($E889,10,$V$33:$V$41))</f>
        <v>45713</v>
      </c>
      <c r="H889" s="9">
        <f>IF($E889="","",WORKDAY($E889,20,$V$33:$V$41))</f>
        <v>45727</v>
      </c>
      <c r="I889" s="157" t="str">
        <f t="shared" si="17"/>
        <v>Feb</v>
      </c>
      <c r="J889" s="142" t="str">
        <f ca="1">IF(E889="","",IF(N889="",H889-TODAY(),""))</f>
        <v/>
      </c>
      <c r="K889" s="157" t="s">
        <v>5</v>
      </c>
      <c r="L889" s="157" t="s">
        <v>22</v>
      </c>
      <c r="M889" s="157" t="s">
        <v>64</v>
      </c>
      <c r="N889" s="9">
        <v>45707</v>
      </c>
      <c r="O889" s="159">
        <f>IF($N889="","",NETWORKDAYS($E889,$N889,$V$33:$V$47)-1)</f>
        <v>6</v>
      </c>
      <c r="P889" s="10" t="str">
        <f>IF(ISBLANK(N889),"",IF(N889&gt;H889,"No","Yes"))</f>
        <v>Yes</v>
      </c>
      <c r="Q889" s="9" t="s">
        <v>117</v>
      </c>
      <c r="R889" s="4" t="s">
        <v>118</v>
      </c>
      <c r="S889" s="4"/>
      <c r="T889" s="4"/>
      <c r="U889" s="6"/>
      <c r="V889" s="6"/>
      <c r="W889" s="6"/>
      <c r="X889" s="6"/>
      <c r="Y889" s="6"/>
      <c r="Z889" s="6"/>
      <c r="AX889" s="6" t="str">
        <v>Quarter 4</v>
      </c>
    </row>
    <row r="890" spans="1:50" ht="31.4" customHeight="1" x14ac:dyDescent="0.35">
      <c r="A890" s="162">
        <v>889</v>
      </c>
      <c r="B890" s="4" t="s">
        <v>8</v>
      </c>
      <c r="C890" s="4" t="s">
        <v>8</v>
      </c>
      <c r="D890" s="4" t="s">
        <v>1506</v>
      </c>
      <c r="E890" s="157">
        <v>45699</v>
      </c>
      <c r="F890" s="9">
        <f>IF($E890="","",WORKDAY($E890,1,$V$33:$V$41))</f>
        <v>45700</v>
      </c>
      <c r="G890" s="9">
        <f>IF($E890="","",WORKDAY($E890,10,$V$33:$V$41))</f>
        <v>45713</v>
      </c>
      <c r="H890" s="9">
        <f>IF($E890="","",WORKDAY($E890,20,$V$33:$V$41))</f>
        <v>45727</v>
      </c>
      <c r="I890" s="157" t="str">
        <f t="shared" si="17"/>
        <v>Feb</v>
      </c>
      <c r="J890" s="142" t="str">
        <f ca="1">IF(E890="","",IF(N890="",H890-TODAY(),""))</f>
        <v/>
      </c>
      <c r="K890" s="157" t="s">
        <v>5</v>
      </c>
      <c r="L890" s="157" t="s">
        <v>18</v>
      </c>
      <c r="M890" s="157" t="s">
        <v>66</v>
      </c>
      <c r="N890" s="9">
        <v>45699</v>
      </c>
      <c r="O890" s="159">
        <f>IF($N890="","",NETWORKDAYS($E890,$N890,$V$33:$V$47)-1)</f>
        <v>0</v>
      </c>
      <c r="P890" s="10" t="str">
        <f>IF(ISBLANK(N890),"",IF(N890&gt;H890,"No","Yes"))</f>
        <v>Yes</v>
      </c>
      <c r="Q890" s="9" t="s">
        <v>117</v>
      </c>
      <c r="R890" s="4" t="s">
        <v>150</v>
      </c>
      <c r="S890" s="4"/>
      <c r="T890" s="4"/>
      <c r="U890" s="6"/>
      <c r="V890" s="6"/>
      <c r="W890" s="6"/>
      <c r="X890" s="6"/>
      <c r="Y890" s="6"/>
      <c r="Z890" s="6"/>
      <c r="AX890" s="6" t="str">
        <v>Quarter 4</v>
      </c>
    </row>
    <row r="891" spans="1:50" ht="31.4" customHeight="1" x14ac:dyDescent="0.35">
      <c r="A891" s="162">
        <v>890</v>
      </c>
      <c r="B891" s="4" t="s">
        <v>138</v>
      </c>
      <c r="C891" s="4" t="s">
        <v>19</v>
      </c>
      <c r="D891" s="4" t="s">
        <v>1507</v>
      </c>
      <c r="E891" s="157">
        <v>45699</v>
      </c>
      <c r="F891" s="9">
        <f>IF($E891="","",WORKDAY($E891,1,$V$33:$V$41))</f>
        <v>45700</v>
      </c>
      <c r="G891" s="9">
        <f>IF($E891="","",WORKDAY($E891,10,$V$33:$V$41))</f>
        <v>45713</v>
      </c>
      <c r="H891" s="9">
        <f>IF($E891="","",WORKDAY($E891,20,$V$33:$V$41))</f>
        <v>45727</v>
      </c>
      <c r="I891" s="157" t="str">
        <f t="shared" si="17"/>
        <v>Feb</v>
      </c>
      <c r="J891" s="142" t="str">
        <f ca="1">IF(E891="","",IF(N891="",H891-TODAY(),""))</f>
        <v/>
      </c>
      <c r="K891" s="157" t="s">
        <v>5</v>
      </c>
      <c r="L891" s="157" t="s">
        <v>18</v>
      </c>
      <c r="M891" s="157" t="s">
        <v>66</v>
      </c>
      <c r="N891" s="9">
        <v>45699</v>
      </c>
      <c r="O891" s="159">
        <f>IF($N891="","",NETWORKDAYS($E891,$N891,$V$33:$V$47)-1)</f>
        <v>0</v>
      </c>
      <c r="P891" s="10" t="str">
        <f>IF(ISBLANK(N891),"",IF(N891&gt;H891,"No","Yes"))</f>
        <v>Yes</v>
      </c>
      <c r="Q891" s="9" t="s">
        <v>117</v>
      </c>
      <c r="R891" s="4" t="s">
        <v>126</v>
      </c>
      <c r="S891" s="4" t="s">
        <v>119</v>
      </c>
      <c r="T891" s="4"/>
      <c r="U891" s="6"/>
      <c r="V891" s="6"/>
      <c r="W891" s="6"/>
      <c r="X891" s="6"/>
      <c r="Y891" s="6"/>
      <c r="Z891" s="6"/>
      <c r="AX891" s="6" t="str">
        <v>Quarter 4</v>
      </c>
    </row>
    <row r="892" spans="1:50" ht="31.4" customHeight="1" x14ac:dyDescent="0.35">
      <c r="A892" s="162">
        <v>891</v>
      </c>
      <c r="B892" s="4" t="s">
        <v>209</v>
      </c>
      <c r="C892" s="4" t="s">
        <v>13</v>
      </c>
      <c r="D892" s="4" t="s">
        <v>210</v>
      </c>
      <c r="E892" s="157">
        <v>45699</v>
      </c>
      <c r="F892" s="9">
        <f>IF($E892="","",WORKDAY($E892,1,$V$33:$V$41))</f>
        <v>45700</v>
      </c>
      <c r="G892" s="9">
        <f>IF($E892="","",WORKDAY($E892,10,$V$33:$V$41))</f>
        <v>45713</v>
      </c>
      <c r="H892" s="9">
        <f>IF($E892="","",WORKDAY($E892,20,$V$33:$V$41))</f>
        <v>45727</v>
      </c>
      <c r="I892" s="157" t="str">
        <f t="shared" si="17"/>
        <v>Feb</v>
      </c>
      <c r="J892" s="142" t="str">
        <f ca="1">IF(E892="","",IF(N892="",H892-TODAY(),""))</f>
        <v/>
      </c>
      <c r="K892" s="157" t="s">
        <v>5</v>
      </c>
      <c r="L892" s="157" t="s">
        <v>16</v>
      </c>
      <c r="M892" s="157" t="s">
        <v>71</v>
      </c>
      <c r="N892" s="9">
        <v>45699</v>
      </c>
      <c r="O892" s="159">
        <f>IF($N892="","",NETWORKDAYS($E892,$N892,$V$33:$V$47)-1)</f>
        <v>0</v>
      </c>
      <c r="P892" s="10" t="str">
        <f>IF(ISBLANK(N892),"",IF(N892&gt;H892,"No","Yes"))</f>
        <v>Yes</v>
      </c>
      <c r="Q892" s="9" t="s">
        <v>117</v>
      </c>
      <c r="R892" s="4" t="s">
        <v>118</v>
      </c>
      <c r="S892" s="4"/>
      <c r="T892" s="4"/>
      <c r="U892" s="6"/>
      <c r="V892" s="6"/>
      <c r="W892" s="6"/>
      <c r="X892" s="6"/>
      <c r="Y892" s="6"/>
      <c r="Z892" s="6"/>
      <c r="AX892" s="6" t="str">
        <v>Quarter 4</v>
      </c>
    </row>
    <row r="893" spans="1:50" ht="31.4" customHeight="1" x14ac:dyDescent="0.35">
      <c r="A893" s="162">
        <v>892</v>
      </c>
      <c r="B893" s="4" t="s">
        <v>530</v>
      </c>
      <c r="C893" s="4" t="s">
        <v>6</v>
      </c>
      <c r="D893" s="4" t="s">
        <v>1508</v>
      </c>
      <c r="E893" s="157">
        <v>45699</v>
      </c>
      <c r="F893" s="9">
        <f>IF($E893="","",WORKDAY($E893,1,$V$33:$V$41))</f>
        <v>45700</v>
      </c>
      <c r="G893" s="9">
        <f>IF($E893="","",WORKDAY($E893,10,$V$33:$V$41))</f>
        <v>45713</v>
      </c>
      <c r="H893" s="9">
        <f>IF($E893="","",WORKDAY($E893,20,$V$33:$V$41))</f>
        <v>45727</v>
      </c>
      <c r="I893" s="157" t="str">
        <f t="shared" si="17"/>
        <v>Feb</v>
      </c>
      <c r="J893" s="142" t="str">
        <f ca="1">IF(E893="","",IF(N893="",H893-TODAY(),""))</f>
        <v/>
      </c>
      <c r="K893" s="157" t="s">
        <v>124</v>
      </c>
      <c r="L893" s="157" t="s">
        <v>20</v>
      </c>
      <c r="M893" s="157" t="s">
        <v>92</v>
      </c>
      <c r="N893" s="9">
        <v>45706</v>
      </c>
      <c r="O893" s="159">
        <f>IF($N893="","",NETWORKDAYS($E893,$N893,$V$33:$V$47)-1)</f>
        <v>5</v>
      </c>
      <c r="P893" s="10" t="str">
        <f>IF(ISBLANK(N893),"",IF(N893&gt;H893,"No","Yes"))</f>
        <v>Yes</v>
      </c>
      <c r="Q893" s="9" t="s">
        <v>117</v>
      </c>
      <c r="R893" s="4" t="s">
        <v>118</v>
      </c>
      <c r="S893" s="4"/>
      <c r="T893" s="4"/>
      <c r="U893" s="6"/>
      <c r="V893" s="6"/>
      <c r="W893" s="6"/>
      <c r="X893" s="6"/>
      <c r="Y893" s="6"/>
      <c r="Z893" s="6"/>
      <c r="AX893" s="6" t="str">
        <v>Quarter 4</v>
      </c>
    </row>
    <row r="894" spans="1:50" ht="31.4" customHeight="1" x14ac:dyDescent="0.35">
      <c r="A894" s="162">
        <v>893</v>
      </c>
      <c r="B894" s="4" t="s">
        <v>277</v>
      </c>
      <c r="C894" s="4" t="s">
        <v>13</v>
      </c>
      <c r="D894" s="4" t="s">
        <v>1509</v>
      </c>
      <c r="E894" s="157">
        <v>45700</v>
      </c>
      <c r="F894" s="9">
        <f>IF($E894="","",WORKDAY($E894,1,$V$33:$V$41))</f>
        <v>45701</v>
      </c>
      <c r="G894" s="9">
        <f>IF($E894="","",WORKDAY($E894,10,$V$33:$V$41))</f>
        <v>45714</v>
      </c>
      <c r="H894" s="9">
        <f>IF($E894="","",WORKDAY($E894,20,$V$33:$V$41))</f>
        <v>45728</v>
      </c>
      <c r="I894" s="157" t="str">
        <f t="shared" si="17"/>
        <v>Feb</v>
      </c>
      <c r="J894" s="142" t="str">
        <f ca="1">IF(E894="","",IF(N894="",H894-TODAY(),""))</f>
        <v/>
      </c>
      <c r="K894" s="157" t="s">
        <v>124</v>
      </c>
      <c r="L894" s="157" t="s">
        <v>14</v>
      </c>
      <c r="M894" s="157" t="s">
        <v>83</v>
      </c>
      <c r="N894" s="9">
        <v>45700</v>
      </c>
      <c r="O894" s="159">
        <f>IF($N894="","",NETWORKDAYS($E894,$N894,$V$33:$V$47)-1)</f>
        <v>0</v>
      </c>
      <c r="P894" s="10" t="str">
        <f>IF(ISBLANK(N894),"",IF(N894&gt;H894,"No","Yes"))</f>
        <v>Yes</v>
      </c>
      <c r="Q894" s="9" t="s">
        <v>117</v>
      </c>
      <c r="R894" s="4" t="s">
        <v>118</v>
      </c>
      <c r="S894" s="4"/>
      <c r="T894" s="4" t="s">
        <v>141</v>
      </c>
      <c r="U894" s="6"/>
      <c r="V894" s="6"/>
      <c r="W894" s="6"/>
      <c r="X894" s="6"/>
      <c r="Y894" s="6"/>
      <c r="Z894" s="6"/>
      <c r="AX894" s="6" t="str">
        <v>Quarter 4</v>
      </c>
    </row>
    <row r="895" spans="1:50" ht="31.4" customHeight="1" x14ac:dyDescent="0.35">
      <c r="A895" s="162">
        <v>894</v>
      </c>
      <c r="B895" s="4" t="s">
        <v>138</v>
      </c>
      <c r="C895" s="4" t="s">
        <v>19</v>
      </c>
      <c r="D895" s="4" t="s">
        <v>1510</v>
      </c>
      <c r="E895" s="157">
        <v>45700</v>
      </c>
      <c r="F895" s="9">
        <f>IF($E895="","",WORKDAY($E895,1,$V$33:$V$41))</f>
        <v>45701</v>
      </c>
      <c r="G895" s="9">
        <f>IF($E895="","",WORKDAY($E895,10,$V$33:$V$41))</f>
        <v>45714</v>
      </c>
      <c r="H895" s="9">
        <f>IF($E895="","",WORKDAY($E895,20,$V$33:$V$41))</f>
        <v>45728</v>
      </c>
      <c r="I895" s="157" t="str">
        <f t="shared" si="17"/>
        <v>Feb</v>
      </c>
      <c r="J895" s="142" t="str">
        <f ca="1">IF(E895="","",IF(N895="",H895-TODAY(),""))</f>
        <v/>
      </c>
      <c r="K895" s="157" t="s">
        <v>10</v>
      </c>
      <c r="L895" s="157" t="s">
        <v>9</v>
      </c>
      <c r="M895" s="157" t="s">
        <v>38</v>
      </c>
      <c r="N895" s="9">
        <v>45702</v>
      </c>
      <c r="O895" s="159">
        <f>IF($N895="","",NETWORKDAYS($E895,$N895,$V$33:$V$47)-1)</f>
        <v>2</v>
      </c>
      <c r="P895" s="10" t="str">
        <f>IF(ISBLANK(N895),"",IF(N895&gt;H895,"No","Yes"))</f>
        <v>Yes</v>
      </c>
      <c r="Q895" s="9" t="s">
        <v>117</v>
      </c>
      <c r="R895" s="4" t="s">
        <v>118</v>
      </c>
      <c r="S895" s="4"/>
      <c r="T895" s="4"/>
      <c r="U895" s="6"/>
      <c r="V895" s="6"/>
      <c r="W895" s="6"/>
      <c r="X895" s="6"/>
      <c r="Y895" s="6"/>
      <c r="Z895" s="6"/>
      <c r="AX895" s="6" t="str">
        <v>Quarter 4</v>
      </c>
    </row>
    <row r="896" spans="1:50" ht="31.4" customHeight="1" x14ac:dyDescent="0.35">
      <c r="A896" s="162">
        <v>895</v>
      </c>
      <c r="B896" s="4" t="s">
        <v>8</v>
      </c>
      <c r="C896" s="4" t="s">
        <v>8</v>
      </c>
      <c r="D896" s="4" t="s">
        <v>1511</v>
      </c>
      <c r="E896" s="157">
        <v>45700</v>
      </c>
      <c r="F896" s="9">
        <f>IF($E896="","",WORKDAY($E896,1,$V$33:$V$41))</f>
        <v>45701</v>
      </c>
      <c r="G896" s="9">
        <f>IF($E896="","",WORKDAY($E896,10,$V$33:$V$41))</f>
        <v>45714</v>
      </c>
      <c r="H896" s="9">
        <f>IF($E896="","",WORKDAY($E896,20,$V$33:$V$41))</f>
        <v>45728</v>
      </c>
      <c r="I896" s="157" t="str">
        <f t="shared" si="17"/>
        <v>Feb</v>
      </c>
      <c r="J896" s="142" t="str">
        <f ca="1">IF(E896="","",IF(N896="",H896-TODAY(),""))</f>
        <v/>
      </c>
      <c r="K896" s="157" t="s">
        <v>10</v>
      </c>
      <c r="L896" s="157" t="s">
        <v>12</v>
      </c>
      <c r="M896" s="157" t="s">
        <v>30</v>
      </c>
      <c r="N896" s="9">
        <v>45702</v>
      </c>
      <c r="O896" s="159">
        <f>IF($N896="","",NETWORKDAYS($E896,$N896,$V$33:$V$47)-1)</f>
        <v>2</v>
      </c>
      <c r="P896" s="10" t="str">
        <f>IF(ISBLANK(N896),"",IF(N896&gt;H896,"No","Yes"))</f>
        <v>Yes</v>
      </c>
      <c r="Q896" s="9" t="s">
        <v>117</v>
      </c>
      <c r="R896" s="4" t="s">
        <v>150</v>
      </c>
      <c r="S896" s="4"/>
      <c r="T896" s="4"/>
      <c r="U896" s="6"/>
      <c r="V896" s="6"/>
      <c r="W896" s="6"/>
      <c r="X896" s="6"/>
      <c r="Y896" s="6"/>
      <c r="Z896" s="6"/>
      <c r="AX896" s="6" t="str">
        <v>Quarter 4</v>
      </c>
    </row>
    <row r="897" spans="1:50" ht="31.4" customHeight="1" x14ac:dyDescent="0.35">
      <c r="A897" s="162">
        <v>896</v>
      </c>
      <c r="B897" s="4" t="s">
        <v>138</v>
      </c>
      <c r="C897" s="4" t="s">
        <v>19</v>
      </c>
      <c r="D897" s="4" t="s">
        <v>1512</v>
      </c>
      <c r="E897" s="157"/>
      <c r="F897" s="9"/>
      <c r="G897" s="9"/>
      <c r="H897" s="9"/>
      <c r="I897" s="157" t="s">
        <v>1513</v>
      </c>
      <c r="J897" s="142" t="str">
        <f ca="1">IF(E897="","",IF(N897="",H897-TODAY(),""))</f>
        <v/>
      </c>
      <c r="K897" s="157" t="s">
        <v>10</v>
      </c>
      <c r="L897" s="157" t="s">
        <v>27</v>
      </c>
      <c r="M897" s="157" t="s">
        <v>37</v>
      </c>
      <c r="N897" s="9"/>
      <c r="O897" s="159" t="str">
        <f>IF($N897="","",NETWORKDAYS($E897,$N897,$V$33:$V$47)-1)</f>
        <v/>
      </c>
      <c r="P897" s="10" t="str">
        <f>IF(ISBLANK(N897),"",IF(N897&gt;H897,"No","Yes"))</f>
        <v/>
      </c>
      <c r="Q897" s="9" t="s">
        <v>133</v>
      </c>
      <c r="R897" s="4" t="s">
        <v>133</v>
      </c>
      <c r="S897" s="4"/>
      <c r="T897" s="4" t="s">
        <v>1514</v>
      </c>
      <c r="U897" s="6"/>
      <c r="V897" s="6"/>
      <c r="W897" s="6"/>
      <c r="X897" s="6"/>
      <c r="Y897" s="6"/>
      <c r="Z897" s="6"/>
      <c r="AX897" s="6" t="str">
        <v>Quarter 4</v>
      </c>
    </row>
    <row r="898" spans="1:50" ht="31.4" customHeight="1" x14ac:dyDescent="0.35">
      <c r="A898" s="162">
        <v>897</v>
      </c>
      <c r="B898" s="4" t="s">
        <v>188</v>
      </c>
      <c r="C898" s="4" t="s">
        <v>6</v>
      </c>
      <c r="D898" s="4" t="s">
        <v>1515</v>
      </c>
      <c r="E898" s="157">
        <v>45700</v>
      </c>
      <c r="F898" s="9">
        <f>IF($E898="","",WORKDAY($E898,1,$V$33:$V$41))</f>
        <v>45701</v>
      </c>
      <c r="G898" s="9">
        <f>IF($E898="","",WORKDAY($E898,10,$V$33:$V$41))</f>
        <v>45714</v>
      </c>
      <c r="H898" s="9">
        <f>IF($E898="","",WORKDAY($E898,20,$V$33:$V$41))</f>
        <v>45728</v>
      </c>
      <c r="I898" s="157" t="str">
        <f t="shared" ref="I898:I961" si="18">IF(ISBLANK(E898),"",TEXT(E898,"mmm"))</f>
        <v>Feb</v>
      </c>
      <c r="J898" s="142" t="str">
        <f ca="1">IF(E898="","",IF(N898="",H898-TODAY(),""))</f>
        <v/>
      </c>
      <c r="K898" s="157" t="s">
        <v>5</v>
      </c>
      <c r="L898" s="157" t="s">
        <v>16</v>
      </c>
      <c r="M898" s="157" t="s">
        <v>52</v>
      </c>
      <c r="N898" s="9">
        <v>45720</v>
      </c>
      <c r="O898" s="159">
        <f>IF($N898="","",NETWORKDAYS($E898,$N898,$V$33:$V$47)-1)</f>
        <v>14</v>
      </c>
      <c r="P898" s="10" t="str">
        <f>IF(ISBLANK(N898),"",IF(N898&gt;H898,"No","Yes"))</f>
        <v>Yes</v>
      </c>
      <c r="Q898" s="9" t="s">
        <v>117</v>
      </c>
      <c r="R898" s="4" t="s">
        <v>118</v>
      </c>
      <c r="S898" s="4"/>
      <c r="T898" s="4" t="s">
        <v>141</v>
      </c>
      <c r="U898" s="6"/>
      <c r="V898" s="6"/>
      <c r="W898" s="6"/>
      <c r="X898" s="6"/>
      <c r="Y898" s="6"/>
      <c r="Z898" s="6"/>
      <c r="AX898" s="6" t="str">
        <v>Quarter 4</v>
      </c>
    </row>
    <row r="899" spans="1:50" ht="31.4" customHeight="1" x14ac:dyDescent="0.35">
      <c r="A899" s="162">
        <v>898</v>
      </c>
      <c r="B899" s="4" t="s">
        <v>1131</v>
      </c>
      <c r="C899" s="4" t="s">
        <v>13</v>
      </c>
      <c r="D899" s="4" t="s">
        <v>229</v>
      </c>
      <c r="E899" s="157">
        <v>45700</v>
      </c>
      <c r="F899" s="9">
        <f>IF($E899="","",WORKDAY($E899,1,$V$33:$V$41))</f>
        <v>45701</v>
      </c>
      <c r="G899" s="9">
        <f>IF($E899="","",WORKDAY($E899,10,$V$33:$V$41))</f>
        <v>45714</v>
      </c>
      <c r="H899" s="9">
        <f>IF($E899="","",WORKDAY($E899,20,$V$33:$V$41))</f>
        <v>45728</v>
      </c>
      <c r="I899" s="157" t="str">
        <f t="shared" si="18"/>
        <v>Feb</v>
      </c>
      <c r="J899" s="142" t="str">
        <f ca="1">IF(E899="","",IF(N899="",H899-TODAY(),""))</f>
        <v/>
      </c>
      <c r="K899" s="157" t="s">
        <v>5</v>
      </c>
      <c r="L899" s="157" t="s">
        <v>18</v>
      </c>
      <c r="M899" s="157" t="s">
        <v>66</v>
      </c>
      <c r="N899" s="9">
        <v>45700</v>
      </c>
      <c r="O899" s="159">
        <f>IF($N899="","",NETWORKDAYS($E899,$N899,$V$33:$V$47)-1)</f>
        <v>0</v>
      </c>
      <c r="P899" s="10" t="str">
        <f>IF(ISBLANK(N899),"",IF(N899&gt;H899,"No","Yes"))</f>
        <v>Yes</v>
      </c>
      <c r="Q899" s="9" t="s">
        <v>117</v>
      </c>
      <c r="R899" s="4" t="s">
        <v>118</v>
      </c>
      <c r="S899" s="4" t="s">
        <v>119</v>
      </c>
      <c r="T899" s="4"/>
      <c r="U899" s="6"/>
      <c r="V899" s="6"/>
      <c r="W899" s="6"/>
      <c r="X899" s="6"/>
      <c r="Y899" s="6"/>
      <c r="Z899" s="6"/>
      <c r="AX899" s="6" t="str">
        <v>Quarter 4</v>
      </c>
    </row>
    <row r="900" spans="1:50" ht="31.4" customHeight="1" x14ac:dyDescent="0.35">
      <c r="A900" s="162">
        <v>899</v>
      </c>
      <c r="B900" s="4" t="s">
        <v>1516</v>
      </c>
      <c r="C900" s="4" t="s">
        <v>13</v>
      </c>
      <c r="D900" s="4" t="s">
        <v>1517</v>
      </c>
      <c r="E900" s="157">
        <v>45701</v>
      </c>
      <c r="F900" s="9">
        <f>IF($E900="","",WORKDAY($E900,1,$V$33:$V$41))</f>
        <v>45702</v>
      </c>
      <c r="G900" s="9">
        <f>IF($E900="","",WORKDAY($E900,10,$V$33:$V$41))</f>
        <v>45715</v>
      </c>
      <c r="H900" s="9">
        <f>IF($E900="","",WORKDAY($E900,20,$V$33:$V$41))</f>
        <v>45729</v>
      </c>
      <c r="I900" s="157" t="str">
        <f t="shared" si="18"/>
        <v>Feb</v>
      </c>
      <c r="J900" s="142" t="str">
        <f ca="1">IF(E900="","",IF(N900="",H900-TODAY(),""))</f>
        <v/>
      </c>
      <c r="K900" s="157" t="s">
        <v>5</v>
      </c>
      <c r="L900" s="157" t="s">
        <v>18</v>
      </c>
      <c r="M900" s="157" t="s">
        <v>80</v>
      </c>
      <c r="N900" s="9">
        <v>45714</v>
      </c>
      <c r="O900" s="159">
        <f>IF($N900="","",NETWORKDAYS($E900,$N900,$V$33:$V$47)-1)</f>
        <v>9</v>
      </c>
      <c r="P900" s="10" t="str">
        <f>IF(ISBLANK(N900),"",IF(N900&gt;H900,"No","Yes"))</f>
        <v>Yes</v>
      </c>
      <c r="Q900" s="9" t="s">
        <v>117</v>
      </c>
      <c r="R900" s="4" t="s">
        <v>118</v>
      </c>
      <c r="S900" s="4"/>
      <c r="T900" s="4" t="s">
        <v>141</v>
      </c>
      <c r="U900" s="6"/>
      <c r="V900" s="6"/>
      <c r="W900" s="6"/>
      <c r="X900" s="6"/>
      <c r="Y900" s="6"/>
      <c r="Z900" s="6"/>
      <c r="AX900" s="6" t="str">
        <v>Quarter 4</v>
      </c>
    </row>
    <row r="901" spans="1:50" ht="31.4" customHeight="1" x14ac:dyDescent="0.35">
      <c r="A901" s="136">
        <v>900</v>
      </c>
      <c r="B901" s="7" t="s">
        <v>1518</v>
      </c>
      <c r="C901" s="7" t="s">
        <v>13</v>
      </c>
      <c r="D901" s="7" t="s">
        <v>1519</v>
      </c>
      <c r="E901" s="157">
        <v>45701</v>
      </c>
      <c r="F901" s="9">
        <f>IF($E901="","",WORKDAY($E901,1,$V$33:$V$41))</f>
        <v>45702</v>
      </c>
      <c r="G901" s="9">
        <f>IF($E901="","",WORKDAY($E901,10,$V$33:$V$41))</f>
        <v>45715</v>
      </c>
      <c r="H901" s="9">
        <f>IF($E901="","",WORKDAY($E901,20,$V$33:$V$41))</f>
        <v>45729</v>
      </c>
      <c r="I901" s="157" t="str">
        <f t="shared" si="18"/>
        <v>Feb</v>
      </c>
      <c r="J901" s="142" t="str">
        <f ca="1">IF(E901="","",IF(N901="",H901-TODAY(),""))</f>
        <v/>
      </c>
      <c r="K901" s="157" t="s">
        <v>10</v>
      </c>
      <c r="L901" s="157" t="s">
        <v>12</v>
      </c>
      <c r="M901" s="157" t="s">
        <v>65</v>
      </c>
      <c r="N901" s="9">
        <v>45715</v>
      </c>
      <c r="O901" s="159">
        <f>IF($N901="","",NETWORKDAYS($E901,$N901,$V$33:$V$47)-1)</f>
        <v>10</v>
      </c>
      <c r="P901" s="10" t="str">
        <f>IF(ISBLANK(N901),"",IF(N901&gt;H901,"No","Yes"))</f>
        <v>Yes</v>
      </c>
      <c r="Q901" s="9" t="s">
        <v>117</v>
      </c>
      <c r="R901" s="4" t="s">
        <v>118</v>
      </c>
      <c r="S901" s="4"/>
      <c r="T901" s="4"/>
      <c r="U901" s="6"/>
      <c r="V901" s="6"/>
      <c r="W901" s="6"/>
      <c r="X901" s="6"/>
      <c r="Y901" s="6"/>
      <c r="Z901" s="6"/>
      <c r="AX901" s="6" t="str">
        <v>Quarter 4</v>
      </c>
    </row>
    <row r="902" spans="1:50" ht="31.4" customHeight="1" x14ac:dyDescent="0.35">
      <c r="A902" s="136">
        <v>901</v>
      </c>
      <c r="B902" s="7" t="s">
        <v>8</v>
      </c>
      <c r="C902" s="7" t="s">
        <v>8</v>
      </c>
      <c r="D902" s="7" t="s">
        <v>1520</v>
      </c>
      <c r="E902" s="25">
        <v>45701</v>
      </c>
      <c r="F902" s="9">
        <f>IF($E902="","",WORKDAY($E902,1,$V$33:$V$41))</f>
        <v>45702</v>
      </c>
      <c r="G902" s="9">
        <f>IF($E902="","",WORKDAY($E902,10,$V$33:$V$41))</f>
        <v>45715</v>
      </c>
      <c r="H902" s="9">
        <f>IF($E902="","",WORKDAY($E902,20,$V$33:$V$41))</f>
        <v>45729</v>
      </c>
      <c r="I902" s="157" t="str">
        <f t="shared" si="18"/>
        <v>Feb</v>
      </c>
      <c r="J902" s="142" t="str">
        <f ca="1">IF(E902="","",IF(N902="",H902-TODAY(),""))</f>
        <v/>
      </c>
      <c r="K902" s="157" t="s">
        <v>4</v>
      </c>
      <c r="L902" s="7" t="s">
        <v>7</v>
      </c>
      <c r="M902" s="7" t="s">
        <v>82</v>
      </c>
      <c r="N902" s="9">
        <v>45702</v>
      </c>
      <c r="O902" s="159">
        <f>IF($N902="","",NETWORKDAYS($E902,$N902,$V$33:$V$47)-1)</f>
        <v>1</v>
      </c>
      <c r="P902" s="10" t="str">
        <f>IF(ISBLANK(N902),"",IF(N902&gt;H902,"No","Yes"))</f>
        <v>Yes</v>
      </c>
      <c r="Q902" s="9" t="s">
        <v>117</v>
      </c>
      <c r="R902" s="4" t="s">
        <v>118</v>
      </c>
      <c r="S902" s="4"/>
      <c r="T902" s="7"/>
      <c r="U902" s="6"/>
      <c r="V902" s="6"/>
      <c r="W902" s="6"/>
      <c r="X902" s="6"/>
      <c r="Y902" s="6"/>
      <c r="Z902" s="6"/>
      <c r="AX902" s="6" t="str">
        <v>Quarter 4</v>
      </c>
    </row>
    <row r="903" spans="1:50" ht="31.4" customHeight="1" x14ac:dyDescent="0.35">
      <c r="A903" s="136">
        <v>902</v>
      </c>
      <c r="B903" s="7" t="s">
        <v>138</v>
      </c>
      <c r="C903" s="7" t="s">
        <v>19</v>
      </c>
      <c r="D903" s="7" t="s">
        <v>1521</v>
      </c>
      <c r="E903" s="25">
        <v>45701</v>
      </c>
      <c r="F903" s="9">
        <f>IF($E903="","",WORKDAY($E903,1,$V$33:$V$41))</f>
        <v>45702</v>
      </c>
      <c r="G903" s="9">
        <f>IF($E903="","",WORKDAY($E903,10,$V$33:$V$41))</f>
        <v>45715</v>
      </c>
      <c r="H903" s="9">
        <f>IF($E903="","",WORKDAY($E903,20,$V$33:$V$41))</f>
        <v>45729</v>
      </c>
      <c r="I903" s="157" t="str">
        <f t="shared" si="18"/>
        <v>Feb</v>
      </c>
      <c r="J903" s="142" t="str">
        <f ca="1">IF(E903="","",IF(N903="",H903-TODAY(),""))</f>
        <v/>
      </c>
      <c r="K903" s="157" t="s">
        <v>4</v>
      </c>
      <c r="L903" s="7" t="s">
        <v>7</v>
      </c>
      <c r="M903" s="7" t="s">
        <v>31</v>
      </c>
      <c r="N903" s="9">
        <v>45713</v>
      </c>
      <c r="O903" s="159">
        <f>IF($N903="","",NETWORKDAYS($E903,$N903,$V$33:$V$47)-1)</f>
        <v>8</v>
      </c>
      <c r="P903" s="10" t="str">
        <f>IF(ISBLANK(N903),"",IF(N903&gt;H903,"No","Yes"))</f>
        <v>Yes</v>
      </c>
      <c r="Q903" s="9" t="s">
        <v>117</v>
      </c>
      <c r="R903" s="4" t="s">
        <v>118</v>
      </c>
      <c r="S903" s="4"/>
      <c r="T903" s="7"/>
      <c r="U903" s="6"/>
      <c r="V903" s="6"/>
      <c r="W903" s="6"/>
      <c r="X903" s="6"/>
      <c r="Y903" s="6"/>
      <c r="Z903" s="6"/>
      <c r="AX903" s="6" t="str">
        <v>Quarter 4</v>
      </c>
    </row>
    <row r="904" spans="1:50" ht="31.4" customHeight="1" x14ac:dyDescent="0.35">
      <c r="A904" s="136">
        <v>903</v>
      </c>
      <c r="B904" s="7" t="s">
        <v>1279</v>
      </c>
      <c r="C904" s="7" t="s">
        <v>13</v>
      </c>
      <c r="D904" s="7" t="s">
        <v>1522</v>
      </c>
      <c r="E904" s="25">
        <v>45701</v>
      </c>
      <c r="F904" s="9">
        <f>IF($E904="","",WORKDAY($E904,1,$V$33:$V$41))</f>
        <v>45702</v>
      </c>
      <c r="G904" s="9">
        <f>IF($E904="","",WORKDAY($E904,10,$V$33:$V$41))</f>
        <v>45715</v>
      </c>
      <c r="H904" s="9">
        <f>IF($E904="","",WORKDAY($E904,20,$V$33:$V$41))</f>
        <v>45729</v>
      </c>
      <c r="I904" s="157" t="str">
        <f t="shared" si="18"/>
        <v>Feb</v>
      </c>
      <c r="J904" s="142" t="str">
        <f ca="1">IF(E904="","",IF(N904="",H904-TODAY(),""))</f>
        <v/>
      </c>
      <c r="K904" s="157" t="s">
        <v>5</v>
      </c>
      <c r="L904" s="7" t="s">
        <v>18</v>
      </c>
      <c r="M904" s="7" t="s">
        <v>66</v>
      </c>
      <c r="N904" s="9">
        <v>45702</v>
      </c>
      <c r="O904" s="159">
        <f>IF($N904="","",NETWORKDAYS($E904,$N904,$V$33:$V$47)-1)</f>
        <v>1</v>
      </c>
      <c r="P904" s="10" t="str">
        <f>IF(ISBLANK(N904),"",IF(N904&gt;H904,"No","Yes"))</f>
        <v>Yes</v>
      </c>
      <c r="Q904" s="9" t="s">
        <v>117</v>
      </c>
      <c r="R904" s="4" t="s">
        <v>150</v>
      </c>
      <c r="S904" s="4"/>
      <c r="T904" s="7"/>
      <c r="U904" s="6"/>
      <c r="V904" s="6"/>
      <c r="W904" s="6"/>
      <c r="X904" s="6"/>
      <c r="Y904" s="6"/>
      <c r="Z904" s="6"/>
      <c r="AX904" s="6" t="str">
        <v>Quarter 4</v>
      </c>
    </row>
    <row r="905" spans="1:50" ht="31.4" customHeight="1" x14ac:dyDescent="0.35">
      <c r="A905" s="136">
        <v>904</v>
      </c>
      <c r="B905" s="7" t="s">
        <v>1523</v>
      </c>
      <c r="C905" s="7" t="s">
        <v>13</v>
      </c>
      <c r="D905" s="7" t="s">
        <v>1524</v>
      </c>
      <c r="E905" s="25">
        <v>45705</v>
      </c>
      <c r="F905" s="9">
        <f>IF($E905="","",WORKDAY($E905,1,$V$33:$V$41))</f>
        <v>45706</v>
      </c>
      <c r="G905" s="9">
        <f>IF($E905="","",WORKDAY($E905,10,$V$33:$V$41))</f>
        <v>45719</v>
      </c>
      <c r="H905" s="9">
        <f>IF($E905="","",WORKDAY($E905,20,$V$33:$V$41))</f>
        <v>45733</v>
      </c>
      <c r="I905" s="157" t="str">
        <f t="shared" si="18"/>
        <v>Feb</v>
      </c>
      <c r="J905" s="142" t="str">
        <f ca="1">IF(E905="","",IF(N905="",H905-TODAY(),""))</f>
        <v/>
      </c>
      <c r="K905" s="157" t="s">
        <v>4</v>
      </c>
      <c r="L905" s="7" t="s">
        <v>7</v>
      </c>
      <c r="M905" s="7" t="s">
        <v>82</v>
      </c>
      <c r="N905" s="9">
        <v>45709</v>
      </c>
      <c r="O905" s="159">
        <f>IF($N905="","",NETWORKDAYS($E905,$N905,$V$33:$V$47)-1)</f>
        <v>4</v>
      </c>
      <c r="P905" s="10" t="str">
        <f>IF(ISBLANK(N905),"",IF(N905&gt;H905,"No","Yes"))</f>
        <v>Yes</v>
      </c>
      <c r="Q905" s="9" t="s">
        <v>117</v>
      </c>
      <c r="R905" s="4" t="s">
        <v>118</v>
      </c>
      <c r="S905" s="4"/>
      <c r="T905" s="7"/>
      <c r="U905" s="6"/>
      <c r="V905" s="6"/>
      <c r="W905" s="6"/>
      <c r="X905" s="6"/>
      <c r="Y905" s="6"/>
      <c r="Z905" s="6"/>
      <c r="AX905" s="6" t="str">
        <v>Quarter 4</v>
      </c>
    </row>
    <row r="906" spans="1:50" ht="31.4" customHeight="1" x14ac:dyDescent="0.35">
      <c r="A906" s="136">
        <v>905</v>
      </c>
      <c r="B906" s="7" t="s">
        <v>1525</v>
      </c>
      <c r="C906" s="7" t="s">
        <v>6</v>
      </c>
      <c r="D906" s="7" t="s">
        <v>1526</v>
      </c>
      <c r="E906" s="25">
        <v>45705</v>
      </c>
      <c r="F906" s="9">
        <f>IF($E906="","",WORKDAY($E906,1,$V$33:$V$41))</f>
        <v>45706</v>
      </c>
      <c r="G906" s="9">
        <f>IF($E906="","",WORKDAY($E906,10,$V$33:$V$41))</f>
        <v>45719</v>
      </c>
      <c r="H906" s="9">
        <f>IF($E906="","",WORKDAY($E906,20,$V$33:$V$41))</f>
        <v>45733</v>
      </c>
      <c r="I906" s="157" t="str">
        <f t="shared" si="18"/>
        <v>Feb</v>
      </c>
      <c r="J906" s="142" t="str">
        <f ca="1">IF(E906="","",IF(N906="",H906-TODAY(),""))</f>
        <v/>
      </c>
      <c r="K906" s="157" t="s">
        <v>5</v>
      </c>
      <c r="L906" s="7" t="s">
        <v>16</v>
      </c>
      <c r="M906" s="7" t="s">
        <v>52</v>
      </c>
      <c r="N906" s="9">
        <v>45720</v>
      </c>
      <c r="O906" s="159">
        <f>IF($N906="","",NETWORKDAYS($E906,$N906,$V$33:$V$47)-1)</f>
        <v>11</v>
      </c>
      <c r="P906" s="10" t="str">
        <f>IF(ISBLANK(N906),"",IF(N906&gt;H906,"No","Yes"))</f>
        <v>Yes</v>
      </c>
      <c r="Q906" s="9" t="s">
        <v>117</v>
      </c>
      <c r="R906" s="4" t="s">
        <v>118</v>
      </c>
      <c r="S906" s="4"/>
      <c r="T906" s="7"/>
      <c r="U906" s="6"/>
      <c r="V906" s="6"/>
      <c r="W906" s="6"/>
      <c r="X906" s="6"/>
      <c r="Y906" s="6"/>
      <c r="Z906" s="6"/>
      <c r="AX906" s="6" t="str">
        <v>Quarter 4</v>
      </c>
    </row>
    <row r="907" spans="1:50" ht="31.4" customHeight="1" x14ac:dyDescent="0.35">
      <c r="A907" s="136">
        <v>906</v>
      </c>
      <c r="B907" s="7" t="s">
        <v>592</v>
      </c>
      <c r="C907" s="7" t="s">
        <v>13</v>
      </c>
      <c r="D907" s="7" t="s">
        <v>229</v>
      </c>
      <c r="E907" s="25">
        <v>45705</v>
      </c>
      <c r="F907" s="9">
        <f>IF($E907="","",WORKDAY($E907,1,$V$33:$V$41))</f>
        <v>45706</v>
      </c>
      <c r="G907" s="9">
        <f>IF($E907="","",WORKDAY($E907,10,$V$33:$V$41))</f>
        <v>45719</v>
      </c>
      <c r="H907" s="9">
        <f>IF($E907="","",WORKDAY($E907,20,$V$33:$V$41))</f>
        <v>45733</v>
      </c>
      <c r="I907" s="157" t="str">
        <f t="shared" si="18"/>
        <v>Feb</v>
      </c>
      <c r="J907" s="142" t="str">
        <f ca="1">IF(E907="","",IF(N907="",H907-TODAY(),""))</f>
        <v/>
      </c>
      <c r="K907" s="157" t="s">
        <v>5</v>
      </c>
      <c r="L907" s="7" t="s">
        <v>18</v>
      </c>
      <c r="M907" s="7" t="s">
        <v>66</v>
      </c>
      <c r="N907" s="9">
        <v>45705</v>
      </c>
      <c r="O907" s="159">
        <f>IF($N907="","",NETWORKDAYS($E907,$N907,$V$33:$V$47)-1)</f>
        <v>0</v>
      </c>
      <c r="P907" s="10" t="str">
        <f>IF(ISBLANK(N907),"",IF(N907&gt;H907,"No","Yes"))</f>
        <v>Yes</v>
      </c>
      <c r="Q907" s="9" t="s">
        <v>117</v>
      </c>
      <c r="R907" s="4" t="s">
        <v>126</v>
      </c>
      <c r="S907" s="4" t="s">
        <v>134</v>
      </c>
      <c r="T907" s="7"/>
      <c r="U907" s="6"/>
      <c r="V907" s="6"/>
      <c r="W907" s="6"/>
      <c r="X907" s="6"/>
      <c r="Y907" s="6"/>
      <c r="Z907" s="6"/>
      <c r="AX907" s="6" t="str">
        <v>Quarter 4</v>
      </c>
    </row>
    <row r="908" spans="1:50" ht="31.4" customHeight="1" x14ac:dyDescent="0.35">
      <c r="A908" s="136">
        <v>907</v>
      </c>
      <c r="B908" s="7" t="s">
        <v>138</v>
      </c>
      <c r="C908" s="7" t="s">
        <v>19</v>
      </c>
      <c r="D908" s="7" t="s">
        <v>1527</v>
      </c>
      <c r="E908" s="25">
        <v>45706</v>
      </c>
      <c r="F908" s="9">
        <f>IF($E908="","",WORKDAY($E908,1,$V$33:$V$41))</f>
        <v>45707</v>
      </c>
      <c r="G908" s="9">
        <f>IF($E908="","",WORKDAY($E908,10,$V$33:$V$41))</f>
        <v>45720</v>
      </c>
      <c r="H908" s="9">
        <f>IF($E908="","",WORKDAY($E908,20,$V$33:$V$41))</f>
        <v>45734</v>
      </c>
      <c r="I908" s="157" t="str">
        <f t="shared" si="18"/>
        <v>Feb</v>
      </c>
      <c r="J908" s="142" t="str">
        <f ca="1">IF(E908="","",IF(N908="",H908-TODAY(),""))</f>
        <v/>
      </c>
      <c r="K908" s="157" t="s">
        <v>124</v>
      </c>
      <c r="L908" s="7" t="s">
        <v>20</v>
      </c>
      <c r="M908" s="7" t="s">
        <v>70</v>
      </c>
      <c r="N908" s="9">
        <v>45707</v>
      </c>
      <c r="O908" s="159">
        <f>IF($N908="","",NETWORKDAYS($E908,$N908,$V$33:$V$47)-1)</f>
        <v>1</v>
      </c>
      <c r="P908" s="10" t="str">
        <f>IF(ISBLANK(N908),"",IF(N908&gt;H908,"No","Yes"))</f>
        <v>Yes</v>
      </c>
      <c r="Q908" s="9" t="s">
        <v>117</v>
      </c>
      <c r="R908" s="4" t="s">
        <v>126</v>
      </c>
      <c r="S908" s="4" t="s">
        <v>119</v>
      </c>
      <c r="T908" s="7"/>
      <c r="U908" s="6"/>
      <c r="V908" s="6"/>
      <c r="W908" s="6"/>
      <c r="X908" s="6"/>
      <c r="Y908" s="6"/>
      <c r="Z908" s="6"/>
      <c r="AX908" s="6" t="str">
        <v>Quarter 4</v>
      </c>
    </row>
    <row r="909" spans="1:50" ht="31.4" customHeight="1" x14ac:dyDescent="0.35">
      <c r="A909" s="136">
        <v>908</v>
      </c>
      <c r="B909" s="7" t="s">
        <v>8</v>
      </c>
      <c r="C909" s="7" t="s">
        <v>8</v>
      </c>
      <c r="D909" s="7" t="s">
        <v>1508</v>
      </c>
      <c r="E909" s="25">
        <v>45706</v>
      </c>
      <c r="F909" s="9">
        <f>IF($E909="","",WORKDAY($E909,1,$V$33:$V$41))</f>
        <v>45707</v>
      </c>
      <c r="G909" s="9">
        <f>IF($E909="","",WORKDAY($E909,10,$V$33:$V$41))</f>
        <v>45720</v>
      </c>
      <c r="H909" s="9">
        <f>IF($E909="","",WORKDAY($E909,20,$V$33:$V$41))</f>
        <v>45734</v>
      </c>
      <c r="I909" s="157" t="str">
        <f t="shared" si="18"/>
        <v>Feb</v>
      </c>
      <c r="J909" s="142" t="str">
        <f ca="1">IF(E909="","",IF(N909="",H909-TODAY(),""))</f>
        <v/>
      </c>
      <c r="K909" s="157" t="s">
        <v>124</v>
      </c>
      <c r="L909" s="7" t="s">
        <v>20</v>
      </c>
      <c r="M909" s="7" t="s">
        <v>92</v>
      </c>
      <c r="N909" s="9">
        <v>45713</v>
      </c>
      <c r="O909" s="159">
        <f>IF($N909="","",NETWORKDAYS($E909,$N909,$V$33:$V$47)-1)</f>
        <v>5</v>
      </c>
      <c r="P909" s="10" t="str">
        <f>IF(ISBLANK(N909),"",IF(N909&gt;H909,"No","Yes"))</f>
        <v>Yes</v>
      </c>
      <c r="Q909" s="9" t="s">
        <v>117</v>
      </c>
      <c r="R909" s="4" t="s">
        <v>118</v>
      </c>
      <c r="S909" s="4"/>
      <c r="T909" s="7"/>
      <c r="U909" s="6"/>
      <c r="V909" s="6"/>
      <c r="W909" s="6"/>
      <c r="X909" s="6"/>
      <c r="Y909" s="6"/>
      <c r="Z909" s="6"/>
      <c r="AX909" s="6" t="str">
        <v>Quarter 4</v>
      </c>
    </row>
    <row r="910" spans="1:50" ht="31.4" customHeight="1" x14ac:dyDescent="0.35">
      <c r="A910" s="136">
        <v>909</v>
      </c>
      <c r="B910" s="7" t="s">
        <v>8</v>
      </c>
      <c r="C910" s="7" t="s">
        <v>8</v>
      </c>
      <c r="D910" s="7" t="s">
        <v>1528</v>
      </c>
      <c r="E910" s="25">
        <v>45706</v>
      </c>
      <c r="F910" s="9">
        <f>IF($E910="","",WORKDAY($E910,1,$V$33:$V$41))</f>
        <v>45707</v>
      </c>
      <c r="G910" s="9">
        <f>IF($E910="","",WORKDAY($E910,10,$V$33:$V$41))</f>
        <v>45720</v>
      </c>
      <c r="H910" s="9">
        <f>IF($E910="","",WORKDAY($E910,20,$V$33:$V$41))</f>
        <v>45734</v>
      </c>
      <c r="I910" s="157" t="str">
        <f t="shared" si="18"/>
        <v>Feb</v>
      </c>
      <c r="J910" s="142" t="str">
        <f ca="1">IF(E910="","",IF(N910="",H910-TODAY(),""))</f>
        <v/>
      </c>
      <c r="K910" s="157" t="s">
        <v>5</v>
      </c>
      <c r="L910" s="7" t="s">
        <v>16</v>
      </c>
      <c r="M910" s="7" t="s">
        <v>52</v>
      </c>
      <c r="N910" s="9">
        <v>45713</v>
      </c>
      <c r="O910" s="159">
        <f>IF($N910="","",NETWORKDAYS($E910,$N910,$V$33:$V$47)-1)</f>
        <v>5</v>
      </c>
      <c r="P910" s="10" t="str">
        <f>IF(ISBLANK(N910),"",IF(N910&gt;H910,"No","Yes"))</f>
        <v>Yes</v>
      </c>
      <c r="Q910" s="9" t="s">
        <v>117</v>
      </c>
      <c r="R910" s="4" t="s">
        <v>118</v>
      </c>
      <c r="S910" s="4"/>
      <c r="T910" s="7"/>
      <c r="U910" s="6"/>
      <c r="V910" s="6"/>
      <c r="W910" s="6"/>
      <c r="X910" s="6"/>
      <c r="Y910" s="6"/>
      <c r="Z910" s="6"/>
      <c r="AX910" s="6" t="str">
        <v>Quarter 4</v>
      </c>
    </row>
    <row r="911" spans="1:50" ht="31.4" customHeight="1" x14ac:dyDescent="0.35">
      <c r="A911" s="136">
        <v>910</v>
      </c>
      <c r="B911" s="7" t="s">
        <v>8</v>
      </c>
      <c r="C911" s="7" t="s">
        <v>8</v>
      </c>
      <c r="D911" s="7" t="s">
        <v>1529</v>
      </c>
      <c r="E911" s="25">
        <v>45705</v>
      </c>
      <c r="F911" s="9">
        <f>IF($E911="","",WORKDAY($E911,1,$V$33:$V$41))</f>
        <v>45706</v>
      </c>
      <c r="G911" s="9">
        <f>IF($E911="","",WORKDAY($E911,10,$V$33:$V$41))</f>
        <v>45719</v>
      </c>
      <c r="H911" s="9">
        <f>IF($E911="","",WORKDAY($E911,20,$V$33:$V$41))</f>
        <v>45733</v>
      </c>
      <c r="I911" s="157" t="str">
        <f t="shared" si="18"/>
        <v>Feb</v>
      </c>
      <c r="J911" s="142" t="str">
        <f ca="1">IF(E911="","",IF(N911="",H911-TODAY(),""))</f>
        <v/>
      </c>
      <c r="K911" s="157" t="s">
        <v>4</v>
      </c>
      <c r="L911" s="7" t="s">
        <v>7</v>
      </c>
      <c r="M911" s="7" t="s">
        <v>90</v>
      </c>
      <c r="N911" s="9">
        <v>45713</v>
      </c>
      <c r="O911" s="159">
        <f>IF($N911="","",NETWORKDAYS($E911,$N911,$V$33:$V$47)-1)</f>
        <v>6</v>
      </c>
      <c r="P911" s="10" t="str">
        <f>IF(ISBLANK(N911),"",IF(N911&gt;H911,"No","Yes"))</f>
        <v>Yes</v>
      </c>
      <c r="Q911" s="9" t="s">
        <v>117</v>
      </c>
      <c r="R911" s="4" t="s">
        <v>118</v>
      </c>
      <c r="S911" s="4"/>
      <c r="T911" s="7"/>
      <c r="U911" s="6"/>
      <c r="V911" s="6"/>
      <c r="W911" s="6"/>
      <c r="X911" s="6"/>
      <c r="Y911" s="6"/>
      <c r="Z911" s="6"/>
      <c r="AX911" s="6" t="str">
        <v>Quarter 4</v>
      </c>
    </row>
    <row r="912" spans="1:50" ht="31.4" customHeight="1" x14ac:dyDescent="0.35">
      <c r="A912" s="136">
        <v>911</v>
      </c>
      <c r="B912" s="7" t="s">
        <v>1249</v>
      </c>
      <c r="C912" s="7" t="s">
        <v>6</v>
      </c>
      <c r="D912" s="7" t="s">
        <v>1530</v>
      </c>
      <c r="E912" s="25">
        <v>45706</v>
      </c>
      <c r="F912" s="9">
        <f>IF($E912="","",WORKDAY($E912,1,$V$33:$V$41))</f>
        <v>45707</v>
      </c>
      <c r="G912" s="9">
        <f>IF($E912="","",WORKDAY($E912,10,$V$33:$V$41))</f>
        <v>45720</v>
      </c>
      <c r="H912" s="9">
        <f>IF($E912="","",WORKDAY($E912,20,$V$33:$V$41))</f>
        <v>45734</v>
      </c>
      <c r="I912" s="157" t="str">
        <f t="shared" si="18"/>
        <v>Feb</v>
      </c>
      <c r="J912" s="142" t="str">
        <f ca="1">IF(E912="","",IF(N912="",H912-TODAY(),""))</f>
        <v/>
      </c>
      <c r="K912" s="157" t="s">
        <v>10</v>
      </c>
      <c r="L912" s="7" t="s">
        <v>12</v>
      </c>
      <c r="M912" s="7" t="s">
        <v>91</v>
      </c>
      <c r="N912" s="9">
        <v>45707</v>
      </c>
      <c r="O912" s="159">
        <f>IF($N912="","",NETWORKDAYS($E912,$N912,$V$33:$V$47)-1)</f>
        <v>1</v>
      </c>
      <c r="P912" s="10" t="str">
        <f>IF(ISBLANK(N912),"",IF(N912&gt;H912,"No","Yes"))</f>
        <v>Yes</v>
      </c>
      <c r="Q912" s="9" t="s">
        <v>117</v>
      </c>
      <c r="R912" s="4" t="s">
        <v>118</v>
      </c>
      <c r="S912" s="4"/>
      <c r="T912" s="7"/>
      <c r="U912" s="6"/>
      <c r="V912" s="6"/>
      <c r="W912" s="6"/>
      <c r="X912" s="6"/>
      <c r="Y912" s="6"/>
      <c r="Z912" s="6"/>
      <c r="AX912" s="6" t="str">
        <v>Quarter 4</v>
      </c>
    </row>
    <row r="913" spans="1:50" ht="31.4" customHeight="1" x14ac:dyDescent="0.35">
      <c r="A913" s="136">
        <v>912</v>
      </c>
      <c r="B913" s="7" t="s">
        <v>8</v>
      </c>
      <c r="C913" s="7" t="s">
        <v>8</v>
      </c>
      <c r="D913" s="7" t="s">
        <v>1531</v>
      </c>
      <c r="E913" s="25">
        <v>45707</v>
      </c>
      <c r="F913" s="9">
        <f>IF($E913="","",WORKDAY($E913,1,$V$33:$V$41))</f>
        <v>45708</v>
      </c>
      <c r="G913" s="9">
        <f>IF($E913="","",WORKDAY($E913,10,$V$33:$V$41))</f>
        <v>45721</v>
      </c>
      <c r="H913" s="9">
        <f>IF($E913="","",WORKDAY($E913,20,$V$33:$V$41))</f>
        <v>45735</v>
      </c>
      <c r="I913" s="157" t="str">
        <f t="shared" si="18"/>
        <v>Feb</v>
      </c>
      <c r="J913" s="142" t="str">
        <f ca="1">IF(E913="","",IF(N913="",H913-TODAY(),""))</f>
        <v/>
      </c>
      <c r="K913" s="157" t="s">
        <v>10</v>
      </c>
      <c r="L913" s="7" t="s">
        <v>12</v>
      </c>
      <c r="M913" s="7" t="s">
        <v>91</v>
      </c>
      <c r="N913" s="9">
        <v>45719</v>
      </c>
      <c r="O913" s="159">
        <f>IF($N913="","",NETWORKDAYS($E913,$N913,$V$33:$V$47)-1)</f>
        <v>8</v>
      </c>
      <c r="P913" s="10" t="str">
        <f>IF(ISBLANK(N913),"",IF(N913&gt;H913,"No","Yes"))</f>
        <v>Yes</v>
      </c>
      <c r="Q913" s="9" t="s">
        <v>117</v>
      </c>
      <c r="R913" s="4" t="s">
        <v>118</v>
      </c>
      <c r="S913" s="4"/>
      <c r="T913" s="7"/>
      <c r="U913" s="6"/>
      <c r="V913" s="6"/>
      <c r="W913" s="6"/>
      <c r="X913" s="6"/>
      <c r="Y913" s="6"/>
      <c r="Z913" s="6"/>
      <c r="AX913" s="6" t="str">
        <v>Quarter 4</v>
      </c>
    </row>
    <row r="914" spans="1:50" ht="31.4" customHeight="1" x14ac:dyDescent="0.35">
      <c r="A914" s="136">
        <v>913</v>
      </c>
      <c r="B914" s="7" t="s">
        <v>138</v>
      </c>
      <c r="C914" s="7" t="s">
        <v>19</v>
      </c>
      <c r="D914" s="7" t="s">
        <v>1532</v>
      </c>
      <c r="E914" s="25">
        <v>45707</v>
      </c>
      <c r="F914" s="9">
        <f>IF($E914="","",WORKDAY($E914,1,$V$33:$V$41))</f>
        <v>45708</v>
      </c>
      <c r="G914" s="9">
        <f>IF($E914="","",WORKDAY($E914,10,$V$33:$V$41))</f>
        <v>45721</v>
      </c>
      <c r="H914" s="9">
        <f>IF($E914="","",WORKDAY($E914,20,$V$33:$V$41))</f>
        <v>45735</v>
      </c>
      <c r="I914" s="157" t="str">
        <f t="shared" si="18"/>
        <v>Feb</v>
      </c>
      <c r="J914" s="142" t="str">
        <f ca="1">IF(E914="","",IF(N914="",H914-TODAY(),""))</f>
        <v/>
      </c>
      <c r="K914" s="157" t="s">
        <v>10</v>
      </c>
      <c r="L914" s="7" t="s">
        <v>12</v>
      </c>
      <c r="M914" s="7" t="s">
        <v>30</v>
      </c>
      <c r="N914" s="9">
        <v>45707</v>
      </c>
      <c r="O914" s="159">
        <f>IF($N914="","",NETWORKDAYS($E914,$N914,$V$33:$V$47)-1)</f>
        <v>0</v>
      </c>
      <c r="P914" s="10" t="str">
        <f>IF(ISBLANK(N914),"",IF(N914&gt;H914,"No","Yes"))</f>
        <v>Yes</v>
      </c>
      <c r="Q914" s="9" t="s">
        <v>117</v>
      </c>
      <c r="R914" s="4" t="s">
        <v>118</v>
      </c>
      <c r="S914" s="4"/>
      <c r="T914" s="7"/>
      <c r="U914" s="6"/>
      <c r="V914" s="6"/>
      <c r="W914" s="6"/>
      <c r="X914" s="6"/>
      <c r="Y914" s="6"/>
      <c r="Z914" s="6"/>
      <c r="AX914" s="6" t="str">
        <v>Quarter 4</v>
      </c>
    </row>
    <row r="915" spans="1:50" ht="31.4" customHeight="1" x14ac:dyDescent="0.35">
      <c r="A915" s="136">
        <v>914</v>
      </c>
      <c r="B915" s="7" t="s">
        <v>138</v>
      </c>
      <c r="C915" s="7" t="s">
        <v>19</v>
      </c>
      <c r="D915" s="7" t="s">
        <v>1533</v>
      </c>
      <c r="E915" s="25">
        <v>45707</v>
      </c>
      <c r="F915" s="9">
        <f>IF($E915="","",WORKDAY($E915,1,$V$33:$V$41))</f>
        <v>45708</v>
      </c>
      <c r="G915" s="9">
        <f>IF($E915="","",WORKDAY($E915,10,$V$33:$V$41))</f>
        <v>45721</v>
      </c>
      <c r="H915" s="9">
        <f>IF($E915="","",WORKDAY($E915,20,$V$33:$V$41))</f>
        <v>45735</v>
      </c>
      <c r="I915" s="157" t="str">
        <f t="shared" si="18"/>
        <v>Feb</v>
      </c>
      <c r="J915" s="142" t="str">
        <f ca="1">IF(E915="","",IF(N915="",H915-TODAY(),""))</f>
        <v/>
      </c>
      <c r="K915" s="157" t="s">
        <v>5</v>
      </c>
      <c r="L915" s="7" t="s">
        <v>18</v>
      </c>
      <c r="M915" s="7" t="s">
        <v>42</v>
      </c>
      <c r="N915" s="9">
        <v>45721</v>
      </c>
      <c r="O915" s="159">
        <f>IF($N915="","",NETWORKDAYS($E915,$N915,$V$33:$V$47)-1)</f>
        <v>10</v>
      </c>
      <c r="P915" s="10" t="str">
        <f>IF(ISBLANK(N915),"",IF(N915&gt;H915,"No","Yes"))</f>
        <v>Yes</v>
      </c>
      <c r="Q915" s="9" t="s">
        <v>117</v>
      </c>
      <c r="R915" s="4" t="s">
        <v>118</v>
      </c>
      <c r="S915" s="4"/>
      <c r="T915" s="7"/>
      <c r="U915" s="6"/>
      <c r="V915" s="6"/>
      <c r="W915" s="6"/>
      <c r="X915" s="6"/>
      <c r="Y915" s="6"/>
      <c r="Z915" s="6"/>
      <c r="AX915" s="6" t="str">
        <v>Quarter 4</v>
      </c>
    </row>
    <row r="916" spans="1:50" ht="31.4" customHeight="1" x14ac:dyDescent="0.35">
      <c r="A916" s="136">
        <v>915</v>
      </c>
      <c r="B916" s="7" t="s">
        <v>138</v>
      </c>
      <c r="C916" s="7" t="s">
        <v>19</v>
      </c>
      <c r="D916" s="7" t="s">
        <v>1534</v>
      </c>
      <c r="E916" s="25">
        <v>45708</v>
      </c>
      <c r="F916" s="9">
        <f>IF($E916="","",WORKDAY($E916,1,$V$33:$V$41))</f>
        <v>45709</v>
      </c>
      <c r="G916" s="9">
        <f>IF($E916="","",WORKDAY($E916,10,$V$33:$V$41))</f>
        <v>45722</v>
      </c>
      <c r="H916" s="9">
        <f>IF($E916="","",WORKDAY($E916,20,$V$33:$V$41))</f>
        <v>45736</v>
      </c>
      <c r="I916" s="157" t="str">
        <f t="shared" si="18"/>
        <v>Feb</v>
      </c>
      <c r="J916" s="142" t="str">
        <f ca="1">IF(E916="","",IF(N916="",H916-TODAY(),""))</f>
        <v/>
      </c>
      <c r="K916" s="157" t="s">
        <v>10</v>
      </c>
      <c r="L916" s="7" t="s">
        <v>12</v>
      </c>
      <c r="M916" s="7" t="s">
        <v>30</v>
      </c>
      <c r="N916" s="9">
        <v>45708</v>
      </c>
      <c r="O916" s="159">
        <f>IF($N916="","",NETWORKDAYS($E916,$N916,$V$33:$V$47)-1)</f>
        <v>0</v>
      </c>
      <c r="P916" s="10" t="str">
        <f>IF(ISBLANK(N916),"",IF(N916&gt;H916,"No","Yes"))</f>
        <v>Yes</v>
      </c>
      <c r="Q916" s="9" t="s">
        <v>117</v>
      </c>
      <c r="R916" s="4" t="s">
        <v>150</v>
      </c>
      <c r="S916" s="4"/>
      <c r="T916" s="7"/>
      <c r="U916" s="6"/>
      <c r="V916" s="6"/>
      <c r="W916" s="6"/>
      <c r="X916" s="6"/>
      <c r="Y916" s="6"/>
      <c r="Z916" s="6"/>
      <c r="AX916" s="6" t="str">
        <v>Quarter 4</v>
      </c>
    </row>
    <row r="917" spans="1:50" ht="31.4" customHeight="1" x14ac:dyDescent="0.35">
      <c r="A917" s="136">
        <v>916</v>
      </c>
      <c r="B917" s="7" t="s">
        <v>481</v>
      </c>
      <c r="C917" s="7" t="s">
        <v>6</v>
      </c>
      <c r="D917" s="7" t="s">
        <v>1535</v>
      </c>
      <c r="E917" s="25">
        <v>45708</v>
      </c>
      <c r="F917" s="9">
        <f>IF($E917="","",WORKDAY($E917,1,$V$33:$V$41))</f>
        <v>45709</v>
      </c>
      <c r="G917" s="9">
        <f>IF($E917="","",WORKDAY($E917,10,$V$33:$V$41))</f>
        <v>45722</v>
      </c>
      <c r="H917" s="9">
        <f>IF($E917="","",WORKDAY($E917,20,$V$33:$V$41))</f>
        <v>45736</v>
      </c>
      <c r="I917" s="157" t="str">
        <f t="shared" si="18"/>
        <v>Feb</v>
      </c>
      <c r="J917" s="142" t="str">
        <f ca="1">IF(E917="","",IF(N917="",H917-TODAY(),""))</f>
        <v/>
      </c>
      <c r="K917" s="157" t="s">
        <v>124</v>
      </c>
      <c r="L917" s="7" t="s">
        <v>20</v>
      </c>
      <c r="M917" s="7" t="s">
        <v>62</v>
      </c>
      <c r="N917" s="9">
        <v>45730</v>
      </c>
      <c r="O917" s="159">
        <f>IF($N917="","",NETWORKDAYS($E917,$N917,$V$33:$V$47)-1)</f>
        <v>16</v>
      </c>
      <c r="P917" s="10" t="str">
        <f>IF(ISBLANK(N917),"",IF(N917&gt;H917,"No","Yes"))</f>
        <v>Yes</v>
      </c>
      <c r="Q917" s="9" t="s">
        <v>117</v>
      </c>
      <c r="R917" s="4" t="s">
        <v>118</v>
      </c>
      <c r="S917" s="4"/>
      <c r="T917" s="7" t="s">
        <v>141</v>
      </c>
      <c r="U917" s="6"/>
      <c r="V917" s="6"/>
      <c r="W917" s="6"/>
      <c r="X917" s="6"/>
      <c r="Y917" s="6"/>
      <c r="Z917" s="6"/>
      <c r="AX917" s="6" t="str">
        <v>Quarter 4</v>
      </c>
    </row>
    <row r="918" spans="1:50" ht="31.4" customHeight="1" x14ac:dyDescent="0.35">
      <c r="A918" s="136">
        <v>917</v>
      </c>
      <c r="B918" s="7" t="s">
        <v>8</v>
      </c>
      <c r="C918" s="7" t="s">
        <v>8</v>
      </c>
      <c r="D918" s="7" t="s">
        <v>1536</v>
      </c>
      <c r="E918" s="25">
        <v>45706</v>
      </c>
      <c r="F918" s="9">
        <f>IF($E918="","",WORKDAY($E918,1,$V$33:$V$41))</f>
        <v>45707</v>
      </c>
      <c r="G918" s="9">
        <f>IF($E918="","",WORKDAY($E918,10,$V$33:$V$41))</f>
        <v>45720</v>
      </c>
      <c r="H918" s="9">
        <f>IF($E918="","",WORKDAY($E918,20,$V$33:$V$41))</f>
        <v>45734</v>
      </c>
      <c r="I918" s="157" t="str">
        <f t="shared" si="18"/>
        <v>Feb</v>
      </c>
      <c r="J918" s="142" t="str">
        <f ca="1">IF(E918="","",IF(N918="",H918-TODAY(),""))</f>
        <v/>
      </c>
      <c r="K918" s="157" t="s">
        <v>5</v>
      </c>
      <c r="L918" s="7" t="s">
        <v>18</v>
      </c>
      <c r="M918" s="7" t="s">
        <v>43</v>
      </c>
      <c r="N918" s="9">
        <v>45713</v>
      </c>
      <c r="O918" s="159">
        <f>IF($N918="","",NETWORKDAYS($E918,$N918,$V$33:$V$47)-1)</f>
        <v>5</v>
      </c>
      <c r="P918" s="10" t="str">
        <f>IF(ISBLANK(N918),"",IF(N918&gt;H918,"No","Yes"))</f>
        <v>Yes</v>
      </c>
      <c r="Q918" s="9" t="s">
        <v>117</v>
      </c>
      <c r="R918" s="4" t="s">
        <v>118</v>
      </c>
      <c r="S918" s="4" t="s">
        <v>135</v>
      </c>
      <c r="T918" s="7"/>
      <c r="U918" s="6"/>
      <c r="V918" s="6"/>
      <c r="W918" s="6"/>
      <c r="X918" s="6"/>
      <c r="Y918" s="6"/>
      <c r="Z918" s="6"/>
      <c r="AX918" s="6" t="str">
        <v>Quarter 4</v>
      </c>
    </row>
    <row r="919" spans="1:50" ht="31.4" customHeight="1" x14ac:dyDescent="0.35">
      <c r="A919" s="136">
        <v>918</v>
      </c>
      <c r="B919" s="7" t="s">
        <v>138</v>
      </c>
      <c r="C919" s="7" t="s">
        <v>19</v>
      </c>
      <c r="D919" s="7" t="s">
        <v>1404</v>
      </c>
      <c r="E919" s="25">
        <v>45708</v>
      </c>
      <c r="F919" s="9">
        <f>IF($E919="","",WORKDAY($E919,1,$V$33:$V$41))</f>
        <v>45709</v>
      </c>
      <c r="G919" s="9">
        <f>IF($E919="","",WORKDAY($E919,10,$V$33:$V$41))</f>
        <v>45722</v>
      </c>
      <c r="H919" s="9">
        <f>IF($E919="","",WORKDAY($E919,20,$V$33:$V$41))</f>
        <v>45736</v>
      </c>
      <c r="I919" s="157" t="str">
        <f t="shared" si="18"/>
        <v>Feb</v>
      </c>
      <c r="J919" s="142" t="str">
        <f ca="1">IF(E919="","",IF(N919="",H919-TODAY(),""))</f>
        <v/>
      </c>
      <c r="K919" s="157" t="s">
        <v>124</v>
      </c>
      <c r="L919" s="7" t="s">
        <v>20</v>
      </c>
      <c r="M919" s="7" t="s">
        <v>92</v>
      </c>
      <c r="N919" s="16">
        <v>45722</v>
      </c>
      <c r="O919" s="159">
        <f>IF($N919="","",NETWORKDAYS($E919,$N919,$V$33:$V$47)-1)</f>
        <v>10</v>
      </c>
      <c r="P919" s="10" t="str">
        <f>IF(ISBLANK(N919),"",IF(N919&gt;H919,"No","Yes"))</f>
        <v>Yes</v>
      </c>
      <c r="Q919" s="7" t="s">
        <v>117</v>
      </c>
      <c r="R919" s="4" t="s">
        <v>118</v>
      </c>
      <c r="S919" s="4"/>
      <c r="T919" s="7"/>
      <c r="U919" s="6"/>
      <c r="V919" s="6"/>
      <c r="W919" s="6"/>
      <c r="X919" s="6"/>
      <c r="Y919" s="6"/>
      <c r="Z919" s="6"/>
      <c r="AX919" s="6" t="str">
        <v>Quarter 4</v>
      </c>
    </row>
    <row r="920" spans="1:50" ht="31.4" customHeight="1" x14ac:dyDescent="0.35">
      <c r="A920" s="136">
        <v>919</v>
      </c>
      <c r="B920" s="7" t="s">
        <v>530</v>
      </c>
      <c r="C920" s="7" t="s">
        <v>6</v>
      </c>
      <c r="D920" s="7" t="s">
        <v>1537</v>
      </c>
      <c r="E920" s="25">
        <v>45708</v>
      </c>
      <c r="F920" s="9">
        <f>IF($E920="","",WORKDAY($E920,1,$V$33:$V$41))</f>
        <v>45709</v>
      </c>
      <c r="G920" s="9">
        <f>IF($E920="","",WORKDAY($E920,10,$V$33:$V$41))</f>
        <v>45722</v>
      </c>
      <c r="H920" s="9">
        <f>IF($E920="","",WORKDAY($E920,20,$V$33:$V$41))</f>
        <v>45736</v>
      </c>
      <c r="I920" s="157" t="str">
        <f t="shared" si="18"/>
        <v>Feb</v>
      </c>
      <c r="J920" s="142" t="str">
        <f ca="1">IF(E920="","",IF(N920="",H920-TODAY(),""))</f>
        <v/>
      </c>
      <c r="K920" s="157" t="s">
        <v>5</v>
      </c>
      <c r="L920" s="7" t="s">
        <v>18</v>
      </c>
      <c r="M920" s="7" t="s">
        <v>66</v>
      </c>
      <c r="N920" s="16">
        <v>45713</v>
      </c>
      <c r="O920" s="159">
        <f>IF($N920="","",NETWORKDAYS($E920,$N920,$V$33:$V$47)-1)</f>
        <v>3</v>
      </c>
      <c r="P920" s="10" t="str">
        <f>IF(ISBLANK(N920),"",IF(N920&gt;H920,"No","Yes"))</f>
        <v>Yes</v>
      </c>
      <c r="Q920" s="7" t="s">
        <v>117</v>
      </c>
      <c r="R920" s="4" t="s">
        <v>150</v>
      </c>
      <c r="S920" s="4"/>
      <c r="T920" s="7"/>
      <c r="U920" s="6"/>
      <c r="V920" s="6"/>
      <c r="W920" s="6"/>
      <c r="X920" s="6"/>
      <c r="Y920" s="6"/>
      <c r="Z920" s="6"/>
      <c r="AX920" s="6" t="str">
        <v>Quarter 4</v>
      </c>
    </row>
    <row r="921" spans="1:50" ht="31.4" customHeight="1" x14ac:dyDescent="0.35">
      <c r="A921" s="136">
        <v>920</v>
      </c>
      <c r="B921" s="7" t="s">
        <v>8</v>
      </c>
      <c r="C921" s="7" t="s">
        <v>8</v>
      </c>
      <c r="D921" s="7" t="s">
        <v>1538</v>
      </c>
      <c r="E921" s="25">
        <v>45709</v>
      </c>
      <c r="F921" s="9">
        <f>IF($E921="","",WORKDAY($E921,1,$V$33:$V$41))</f>
        <v>45712</v>
      </c>
      <c r="G921" s="9">
        <f>IF($E921="","",WORKDAY($E921,10,$V$33:$V$41))</f>
        <v>45723</v>
      </c>
      <c r="H921" s="9">
        <f>IF($E921="","",WORKDAY($E921,20,$V$33:$V$41))</f>
        <v>45737</v>
      </c>
      <c r="I921" s="157" t="str">
        <f t="shared" si="18"/>
        <v>Feb</v>
      </c>
      <c r="J921" s="142" t="str">
        <f ca="1">IF(E921="","",IF(N921="",H921-TODAY(),""))</f>
        <v/>
      </c>
      <c r="K921" s="157" t="s">
        <v>124</v>
      </c>
      <c r="L921" s="7" t="s">
        <v>24</v>
      </c>
      <c r="M921" s="7" t="s">
        <v>76</v>
      </c>
      <c r="N921" s="16">
        <v>45720</v>
      </c>
      <c r="O921" s="159">
        <f>IF($N921="","",NETWORKDAYS($E921,$N921,$V$33:$V$47)-1)</f>
        <v>7</v>
      </c>
      <c r="P921" s="10" t="str">
        <f>IF(ISBLANK(N921),"",IF(N921&gt;H921,"No","Yes"))</f>
        <v>Yes</v>
      </c>
      <c r="Q921" s="7" t="s">
        <v>117</v>
      </c>
      <c r="R921" s="4" t="s">
        <v>118</v>
      </c>
      <c r="S921" s="4" t="s">
        <v>135</v>
      </c>
      <c r="T921" s="7"/>
      <c r="U921" s="6"/>
      <c r="V921" s="6"/>
      <c r="W921" s="6"/>
      <c r="X921" s="6"/>
      <c r="Y921" s="6"/>
      <c r="Z921" s="6"/>
      <c r="AX921" s="6" t="str">
        <v>Quarter 4</v>
      </c>
    </row>
    <row r="922" spans="1:50" ht="31.4" customHeight="1" x14ac:dyDescent="0.35">
      <c r="A922" s="136">
        <v>921</v>
      </c>
      <c r="B922" s="7" t="s">
        <v>1205</v>
      </c>
      <c r="C922" s="7" t="s">
        <v>13</v>
      </c>
      <c r="D922" s="7" t="s">
        <v>1539</v>
      </c>
      <c r="E922" s="25">
        <v>45709</v>
      </c>
      <c r="F922" s="9">
        <f>IF($E922="","",WORKDAY($E922,1,$V$33:$V$41))</f>
        <v>45712</v>
      </c>
      <c r="G922" s="9">
        <f>IF($E922="","",WORKDAY($E922,10,$V$33:$V$41))</f>
        <v>45723</v>
      </c>
      <c r="H922" s="9">
        <f>IF($E922="","",WORKDAY($E922,20,$V$33:$V$41))</f>
        <v>45737</v>
      </c>
      <c r="I922" s="157" t="str">
        <f t="shared" si="18"/>
        <v>Feb</v>
      </c>
      <c r="J922" s="142" t="str">
        <f ca="1">IF(E922="","",IF(N922="",H922-TODAY(),""))</f>
        <v/>
      </c>
      <c r="K922" s="157" t="s">
        <v>124</v>
      </c>
      <c r="L922" s="7" t="s">
        <v>24</v>
      </c>
      <c r="M922" s="7" t="s">
        <v>61</v>
      </c>
      <c r="N922" s="16">
        <v>45713</v>
      </c>
      <c r="O922" s="159">
        <f>IF($N922="","",NETWORKDAYS($E922,$N922,$V$33:$V$47)-1)</f>
        <v>2</v>
      </c>
      <c r="P922" s="10" t="str">
        <f>IF(ISBLANK(N922),"",IF(N922&gt;H922,"No","Yes"))</f>
        <v>Yes</v>
      </c>
      <c r="Q922" s="7" t="s">
        <v>117</v>
      </c>
      <c r="R922" s="4" t="s">
        <v>150</v>
      </c>
      <c r="S922" s="4"/>
      <c r="T922" s="7"/>
      <c r="U922" s="6"/>
      <c r="V922" s="6"/>
      <c r="W922" s="6"/>
      <c r="X922" s="6"/>
      <c r="Y922" s="6"/>
      <c r="Z922" s="6"/>
      <c r="AX922" s="6" t="str">
        <v>Quarter 4</v>
      </c>
    </row>
    <row r="923" spans="1:50" ht="31.4" customHeight="1" x14ac:dyDescent="0.35">
      <c r="A923" s="136">
        <v>922</v>
      </c>
      <c r="B923" s="7" t="s">
        <v>8</v>
      </c>
      <c r="C923" s="7" t="s">
        <v>8</v>
      </c>
      <c r="D923" s="7" t="s">
        <v>1540</v>
      </c>
      <c r="E923" s="25">
        <v>45712</v>
      </c>
      <c r="F923" s="9">
        <f>IF($E923="","",WORKDAY($E923,1,$V$33:$V$41))</f>
        <v>45713</v>
      </c>
      <c r="G923" s="9">
        <f>IF($E923="","",WORKDAY($E923,10,$V$33:$V$41))</f>
        <v>45726</v>
      </c>
      <c r="H923" s="9">
        <f>IF($E923="","",WORKDAY($E923,20,$V$33:$V$41))</f>
        <v>45740</v>
      </c>
      <c r="I923" s="157" t="str">
        <f t="shared" si="18"/>
        <v>Feb</v>
      </c>
      <c r="J923" s="142" t="str">
        <f ca="1">IF(E923="","",IF(N923="",H923-TODAY(),""))</f>
        <v/>
      </c>
      <c r="K923" s="157" t="s">
        <v>5</v>
      </c>
      <c r="L923" s="7" t="s">
        <v>22</v>
      </c>
      <c r="M923" s="7" t="s">
        <v>64</v>
      </c>
      <c r="N923" s="16">
        <v>45733</v>
      </c>
      <c r="O923" s="159">
        <f>IF($N923="","",NETWORKDAYS($E923,$N923,$V$33:$V$47)-1)</f>
        <v>15</v>
      </c>
      <c r="P923" s="10" t="str">
        <f>IF(ISBLANK(N923),"",IF(N923&gt;H923,"No","Yes"))</f>
        <v>Yes</v>
      </c>
      <c r="Q923" s="7" t="s">
        <v>117</v>
      </c>
      <c r="R923" s="4" t="s">
        <v>118</v>
      </c>
      <c r="S923" s="4"/>
      <c r="T923" s="7"/>
      <c r="U923" s="6"/>
      <c r="V923" s="6"/>
      <c r="W923" s="6"/>
      <c r="X923" s="6"/>
      <c r="Y923" s="6"/>
      <c r="Z923" s="6"/>
      <c r="AX923" s="6" t="str">
        <v>Quarter 4</v>
      </c>
    </row>
    <row r="924" spans="1:50" ht="31.4" customHeight="1" x14ac:dyDescent="0.35">
      <c r="A924" s="136">
        <v>923</v>
      </c>
      <c r="B924" s="7" t="s">
        <v>138</v>
      </c>
      <c r="C924" s="7" t="s">
        <v>19</v>
      </c>
      <c r="D924" s="7" t="s">
        <v>1541</v>
      </c>
      <c r="E924" s="25">
        <v>45712</v>
      </c>
      <c r="F924" s="9">
        <f>IF($E924="","",WORKDAY($E924,1,$V$33:$V$41))</f>
        <v>45713</v>
      </c>
      <c r="G924" s="9">
        <f>IF($E924="","",WORKDAY($E924,10,$V$33:$V$41))</f>
        <v>45726</v>
      </c>
      <c r="H924" s="9">
        <f>IF($E924="","",WORKDAY($E924,20,$V$33:$V$41))</f>
        <v>45740</v>
      </c>
      <c r="I924" s="157" t="str">
        <f t="shared" si="18"/>
        <v>Feb</v>
      </c>
      <c r="J924" s="142" t="str">
        <f ca="1">IF(E924="","",IF(N924="",H924-TODAY(),""))</f>
        <v/>
      </c>
      <c r="K924" s="157" t="s">
        <v>5</v>
      </c>
      <c r="L924" s="7" t="s">
        <v>22</v>
      </c>
      <c r="M924" s="7" t="s">
        <v>64</v>
      </c>
      <c r="N924" s="16">
        <v>45719</v>
      </c>
      <c r="O924" s="159">
        <f>IF($N924="","",NETWORKDAYS($E924,$N924,$V$33:$V$47)-1)</f>
        <v>5</v>
      </c>
      <c r="P924" s="10" t="str">
        <f>IF(ISBLANK(N924),"",IF(N924&gt;H924,"No","Yes"))</f>
        <v>Yes</v>
      </c>
      <c r="Q924" s="7" t="s">
        <v>117</v>
      </c>
      <c r="R924" s="4" t="s">
        <v>118</v>
      </c>
      <c r="S924" s="4"/>
      <c r="T924" s="7"/>
      <c r="U924" s="6"/>
      <c r="V924" s="6"/>
      <c r="W924" s="6"/>
      <c r="X924" s="6"/>
      <c r="Y924" s="6"/>
      <c r="Z924" s="6"/>
      <c r="AX924" s="6" t="str">
        <v>Quarter 4</v>
      </c>
    </row>
    <row r="925" spans="1:50" ht="31.4" customHeight="1" x14ac:dyDescent="0.35">
      <c r="A925" s="136">
        <v>924</v>
      </c>
      <c r="B925" s="7" t="s">
        <v>138</v>
      </c>
      <c r="C925" s="7" t="s">
        <v>19</v>
      </c>
      <c r="D925" s="7" t="s">
        <v>1542</v>
      </c>
      <c r="E925" s="25">
        <v>45713</v>
      </c>
      <c r="F925" s="9">
        <f>IF($E925="","",WORKDAY($E925,1,$V$33:$V$41))</f>
        <v>45714</v>
      </c>
      <c r="G925" s="9">
        <f>IF($E925="","",WORKDAY($E925,10,$V$33:$V$41))</f>
        <v>45727</v>
      </c>
      <c r="H925" s="9">
        <f>IF($E925="","",WORKDAY($E925,20,$V$33:$V$41))</f>
        <v>45741</v>
      </c>
      <c r="I925" s="157" t="str">
        <f t="shared" si="18"/>
        <v>Feb</v>
      </c>
      <c r="J925" s="142" t="str">
        <f ca="1">IF(E925="","",IF(N925="",H925-TODAY(),""))</f>
        <v/>
      </c>
      <c r="K925" s="157" t="s">
        <v>4</v>
      </c>
      <c r="L925" s="7" t="s">
        <v>7</v>
      </c>
      <c r="M925" s="7" t="s">
        <v>31</v>
      </c>
      <c r="N925" s="16">
        <v>45720</v>
      </c>
      <c r="O925" s="159">
        <f>IF($N925="","",NETWORKDAYS($E925,$N925,$V$33:$V$47)-1)</f>
        <v>5</v>
      </c>
      <c r="P925" s="10" t="str">
        <f>IF(ISBLANK(N925),"",IF(N925&gt;H925,"No","Yes"))</f>
        <v>Yes</v>
      </c>
      <c r="Q925" s="7" t="s">
        <v>117</v>
      </c>
      <c r="R925" s="4" t="s">
        <v>118</v>
      </c>
      <c r="S925" s="4" t="s">
        <v>135</v>
      </c>
      <c r="T925" s="7"/>
      <c r="U925" s="6"/>
      <c r="V925" s="6"/>
      <c r="W925" s="6"/>
      <c r="X925" s="6"/>
      <c r="Y925" s="6"/>
      <c r="Z925" s="6"/>
      <c r="AX925" s="6" t="str">
        <v>Quarter 4</v>
      </c>
    </row>
    <row r="926" spans="1:50" ht="31.4" customHeight="1" x14ac:dyDescent="0.35">
      <c r="A926" s="136">
        <v>925</v>
      </c>
      <c r="B926" s="7" t="s">
        <v>1543</v>
      </c>
      <c r="C926" s="7" t="s">
        <v>23</v>
      </c>
      <c r="D926" s="7" t="s">
        <v>1544</v>
      </c>
      <c r="E926" s="25">
        <v>45713</v>
      </c>
      <c r="F926" s="9">
        <f>IF($E926="","",WORKDAY($E926,1,$V$33:$V$41))</f>
        <v>45714</v>
      </c>
      <c r="G926" s="9">
        <f>IF($E926="","",WORKDAY($E926,10,$V$33:$V$41))</f>
        <v>45727</v>
      </c>
      <c r="H926" s="9">
        <f>IF($E926="","",WORKDAY($E926,20,$V$33:$V$41))</f>
        <v>45741</v>
      </c>
      <c r="I926" s="157" t="str">
        <f t="shared" si="18"/>
        <v>Feb</v>
      </c>
      <c r="J926" s="142" t="str">
        <f ca="1">IF(E926="","",IF(N926="",H926-TODAY(),""))</f>
        <v/>
      </c>
      <c r="K926" s="157" t="s">
        <v>124</v>
      </c>
      <c r="L926" s="7" t="s">
        <v>14</v>
      </c>
      <c r="M926" s="7" t="s">
        <v>44</v>
      </c>
      <c r="N926" s="16">
        <v>45713</v>
      </c>
      <c r="O926" s="159">
        <f>IF($N926="","",NETWORKDAYS($E926,$N926,$V$33:$V$47)-1)</f>
        <v>0</v>
      </c>
      <c r="P926" s="10" t="str">
        <f>IF(ISBLANK(N926),"",IF(N926&gt;H926,"No","Yes"))</f>
        <v>Yes</v>
      </c>
      <c r="Q926" s="7" t="s">
        <v>117</v>
      </c>
      <c r="R926" s="4" t="s">
        <v>118</v>
      </c>
      <c r="S926" s="4"/>
      <c r="T926" s="7"/>
      <c r="U926" s="6"/>
      <c r="V926" s="6"/>
      <c r="W926" s="6"/>
      <c r="X926" s="6"/>
      <c r="Y926" s="6"/>
      <c r="Z926" s="6"/>
      <c r="AX926" s="6" t="str">
        <v>Quarter 4</v>
      </c>
    </row>
    <row r="927" spans="1:50" ht="31.4" customHeight="1" x14ac:dyDescent="0.35">
      <c r="A927" s="136">
        <v>926</v>
      </c>
      <c r="B927" s="7" t="s">
        <v>8</v>
      </c>
      <c r="C927" s="7" t="s">
        <v>8</v>
      </c>
      <c r="D927" s="7" t="s">
        <v>1545</v>
      </c>
      <c r="E927" s="25">
        <v>45713</v>
      </c>
      <c r="F927" s="9">
        <f>IF($E927="","",WORKDAY($E927,1,$V$33:$V$41))</f>
        <v>45714</v>
      </c>
      <c r="G927" s="9">
        <f>IF($E927="","",WORKDAY($E927,10,$V$33:$V$41))</f>
        <v>45727</v>
      </c>
      <c r="H927" s="9">
        <f>IF($E927="","",WORKDAY($E927,20,$V$33:$V$41))</f>
        <v>45741</v>
      </c>
      <c r="I927" s="157" t="str">
        <f t="shared" si="18"/>
        <v>Feb</v>
      </c>
      <c r="J927" s="142" t="str">
        <f ca="1">IF(E927="","",IF(N927="",H927-TODAY(),""))</f>
        <v/>
      </c>
      <c r="K927" s="157" t="s">
        <v>4</v>
      </c>
      <c r="L927" s="7" t="s">
        <v>7</v>
      </c>
      <c r="M927" s="7" t="s">
        <v>31</v>
      </c>
      <c r="N927" s="16">
        <v>45728</v>
      </c>
      <c r="O927" s="159">
        <f>IF($N927="","",NETWORKDAYS($E927,$N927,$V$33:$V$47)-1)</f>
        <v>11</v>
      </c>
      <c r="P927" s="10" t="str">
        <f>IF(ISBLANK(N927),"",IF(N927&gt;H927,"No","Yes"))</f>
        <v>Yes</v>
      </c>
      <c r="Q927" s="7" t="s">
        <v>117</v>
      </c>
      <c r="R927" s="4" t="s">
        <v>126</v>
      </c>
      <c r="S927" s="4" t="s">
        <v>135</v>
      </c>
      <c r="T927" s="7" t="s">
        <v>1424</v>
      </c>
      <c r="U927" s="6"/>
      <c r="V927" s="6"/>
      <c r="W927" s="6"/>
      <c r="X927" s="6"/>
      <c r="Y927" s="6"/>
      <c r="Z927" s="6"/>
      <c r="AX927" s="6" t="str">
        <v>Quarter 4</v>
      </c>
    </row>
    <row r="928" spans="1:50" ht="31.4" customHeight="1" x14ac:dyDescent="0.35">
      <c r="A928" s="136">
        <v>927</v>
      </c>
      <c r="B928" s="7" t="s">
        <v>1546</v>
      </c>
      <c r="C928" s="7" t="s">
        <v>23</v>
      </c>
      <c r="D928" s="7" t="s">
        <v>1547</v>
      </c>
      <c r="E928" s="25">
        <v>45713</v>
      </c>
      <c r="F928" s="9">
        <f>IF($E928="","",WORKDAY($E928,1,$V$33:$V$41))</f>
        <v>45714</v>
      </c>
      <c r="G928" s="9">
        <f>IF($E928="","",WORKDAY($E928,10,$V$33:$V$41))</f>
        <v>45727</v>
      </c>
      <c r="H928" s="9">
        <f>IF($E928="","",WORKDAY($E928,20,$V$33:$V$41))</f>
        <v>45741</v>
      </c>
      <c r="I928" s="157" t="str">
        <f t="shared" si="18"/>
        <v>Feb</v>
      </c>
      <c r="J928" s="142" t="str">
        <f ca="1">IF(E928="","",IF(N928="",H928-TODAY(),""))</f>
        <v/>
      </c>
      <c r="K928" s="157" t="s">
        <v>124</v>
      </c>
      <c r="L928" s="7" t="s">
        <v>20</v>
      </c>
      <c r="M928" s="7" t="s">
        <v>62</v>
      </c>
      <c r="N928" s="16">
        <v>45730</v>
      </c>
      <c r="O928" s="159">
        <f>IF($N928="","",NETWORKDAYS($E928,$N928,$V$33:$V$47)-1)</f>
        <v>13</v>
      </c>
      <c r="P928" s="10" t="str">
        <f>IF(ISBLANK(N928),"",IF(N928&gt;H928,"No","Yes"))</f>
        <v>Yes</v>
      </c>
      <c r="Q928" s="7" t="s">
        <v>117</v>
      </c>
      <c r="R928" s="4" t="s">
        <v>118</v>
      </c>
      <c r="S928" s="4"/>
      <c r="T928" s="7" t="s">
        <v>141</v>
      </c>
      <c r="U928" s="6"/>
      <c r="V928" s="6"/>
      <c r="W928" s="6"/>
      <c r="X928" s="6"/>
      <c r="Y928" s="6"/>
      <c r="Z928" s="6"/>
      <c r="AX928" s="6" t="str">
        <v>Quarter 4</v>
      </c>
    </row>
    <row r="929" spans="1:50" ht="31.4" customHeight="1" x14ac:dyDescent="0.35">
      <c r="A929" s="136">
        <v>928</v>
      </c>
      <c r="B929" s="7" t="s">
        <v>8</v>
      </c>
      <c r="C929" s="7" t="s">
        <v>8</v>
      </c>
      <c r="D929" s="7" t="s">
        <v>1548</v>
      </c>
      <c r="E929" s="25">
        <v>45713</v>
      </c>
      <c r="F929" s="9">
        <f>IF($E929="","",WORKDAY($E929,1,$V$33:$V$41))</f>
        <v>45714</v>
      </c>
      <c r="G929" s="9">
        <f>IF($E929="","",WORKDAY($E929,10,$V$33:$V$41))</f>
        <v>45727</v>
      </c>
      <c r="H929" s="9">
        <f>IF($E929="","",WORKDAY($E929,20,$V$33:$V$41))</f>
        <v>45741</v>
      </c>
      <c r="I929" s="157" t="str">
        <f t="shared" si="18"/>
        <v>Feb</v>
      </c>
      <c r="J929" s="142" t="str">
        <f ca="1">IF(E929="","",IF(N929="",H929-TODAY(),""))</f>
        <v/>
      </c>
      <c r="K929" s="157" t="s">
        <v>124</v>
      </c>
      <c r="L929" s="7" t="s">
        <v>24</v>
      </c>
      <c r="M929" s="7" t="s">
        <v>61</v>
      </c>
      <c r="N929" s="16">
        <v>45716</v>
      </c>
      <c r="O929" s="159">
        <f>IF($N929="","",NETWORKDAYS($E929,$N929,$V$33:$V$47)-1)</f>
        <v>3</v>
      </c>
      <c r="P929" s="10" t="str">
        <f>IF(ISBLANK(N929),"",IF(N929&gt;H929,"No","Yes"))</f>
        <v>Yes</v>
      </c>
      <c r="Q929" s="7" t="s">
        <v>117</v>
      </c>
      <c r="R929" s="4" t="s">
        <v>118</v>
      </c>
      <c r="S929" s="4"/>
      <c r="T929" s="7" t="s">
        <v>387</v>
      </c>
      <c r="U929" s="6"/>
      <c r="V929" s="6"/>
      <c r="W929" s="6"/>
      <c r="X929" s="6"/>
      <c r="Y929" s="6"/>
      <c r="Z929" s="6"/>
      <c r="AX929" s="6" t="str">
        <v>Quarter 4</v>
      </c>
    </row>
    <row r="930" spans="1:50" ht="31.4" customHeight="1" x14ac:dyDescent="0.35">
      <c r="A930" s="136">
        <v>929</v>
      </c>
      <c r="B930" s="7" t="s">
        <v>138</v>
      </c>
      <c r="C930" s="7" t="s">
        <v>19</v>
      </c>
      <c r="D930" s="7" t="s">
        <v>1549</v>
      </c>
      <c r="E930" s="25">
        <v>45713</v>
      </c>
      <c r="F930" s="9">
        <f>IF($E930="","",WORKDAY($E930,1,$V$33:$V$41))</f>
        <v>45714</v>
      </c>
      <c r="G930" s="9">
        <f>IF($E930="","",WORKDAY($E930,10,$V$33:$V$41))</f>
        <v>45727</v>
      </c>
      <c r="H930" s="9">
        <f>IF($E930="","",WORKDAY($E930,20,$V$33:$V$41))</f>
        <v>45741</v>
      </c>
      <c r="I930" s="157" t="str">
        <f t="shared" si="18"/>
        <v>Feb</v>
      </c>
      <c r="J930" s="142" t="str">
        <f ca="1">IF(E930="","",IF(N930="",H930-TODAY(),""))</f>
        <v/>
      </c>
      <c r="K930" s="157" t="s">
        <v>5</v>
      </c>
      <c r="L930" s="7" t="s">
        <v>18</v>
      </c>
      <c r="M930" s="7" t="s">
        <v>66</v>
      </c>
      <c r="N930" s="16">
        <v>45714</v>
      </c>
      <c r="O930" s="159">
        <f>IF($N930="","",NETWORKDAYS($E930,$N930,$V$33:$V$47)-1)</f>
        <v>1</v>
      </c>
      <c r="P930" s="10" t="str">
        <f>IF(ISBLANK(N930),"",IF(N930&gt;H930,"No","Yes"))</f>
        <v>Yes</v>
      </c>
      <c r="Q930" s="7" t="s">
        <v>117</v>
      </c>
      <c r="R930" s="4" t="s">
        <v>118</v>
      </c>
      <c r="S930" s="4"/>
      <c r="T930" s="7"/>
      <c r="U930" s="6"/>
      <c r="V930" s="6"/>
      <c r="W930" s="6"/>
      <c r="X930" s="6"/>
      <c r="Y930" s="6"/>
      <c r="Z930" s="6"/>
      <c r="AX930" s="6" t="str">
        <v>Quarter 4</v>
      </c>
    </row>
    <row r="931" spans="1:50" ht="31.4" customHeight="1" x14ac:dyDescent="0.35">
      <c r="A931" s="136">
        <v>930</v>
      </c>
      <c r="B931" s="7" t="s">
        <v>138</v>
      </c>
      <c r="C931" s="7" t="s">
        <v>19</v>
      </c>
      <c r="D931" s="7" t="s">
        <v>1542</v>
      </c>
      <c r="E931" s="25">
        <v>45713</v>
      </c>
      <c r="F931" s="9">
        <f>IF($E931="","",WORKDAY($E931,1,$V$33:$V$41))</f>
        <v>45714</v>
      </c>
      <c r="G931" s="9">
        <f>IF($E931="","",WORKDAY($E931,10,$V$33:$V$41))</f>
        <v>45727</v>
      </c>
      <c r="H931" s="9">
        <f>IF($E931="","",WORKDAY($E931,20,$V$33:$V$41))</f>
        <v>45741</v>
      </c>
      <c r="I931" s="157" t="str">
        <f t="shared" si="18"/>
        <v>Feb</v>
      </c>
      <c r="J931" s="142" t="str">
        <f ca="1">IF(E931="","",IF(N931="",H931-TODAY(),""))</f>
        <v/>
      </c>
      <c r="K931" s="157" t="s">
        <v>4</v>
      </c>
      <c r="L931" s="7" t="s">
        <v>7</v>
      </c>
      <c r="M931" s="7" t="s">
        <v>31</v>
      </c>
      <c r="N931" s="16">
        <v>45720</v>
      </c>
      <c r="O931" s="159">
        <f>IF($N931="","",NETWORKDAYS($E931,$N931,$V$33:$V$47)-1)</f>
        <v>5</v>
      </c>
      <c r="P931" s="10" t="str">
        <f>IF(ISBLANK(N931),"",IF(N931&gt;H931,"No","Yes"))</f>
        <v>Yes</v>
      </c>
      <c r="Q931" s="7" t="s">
        <v>117</v>
      </c>
      <c r="R931" s="4" t="s">
        <v>118</v>
      </c>
      <c r="S931" s="4" t="s">
        <v>135</v>
      </c>
      <c r="T931" s="7"/>
      <c r="U931" s="6"/>
      <c r="V931" s="6"/>
      <c r="W931" s="6"/>
      <c r="X931" s="6"/>
      <c r="Y931" s="6"/>
      <c r="Z931" s="6"/>
      <c r="AX931" s="6" t="str">
        <v>Quarter 4</v>
      </c>
    </row>
    <row r="932" spans="1:50" ht="31.4" customHeight="1" x14ac:dyDescent="0.35">
      <c r="A932" s="136">
        <v>931</v>
      </c>
      <c r="B932" s="7" t="s">
        <v>1550</v>
      </c>
      <c r="C932" s="7" t="s">
        <v>17</v>
      </c>
      <c r="D932" s="7" t="s">
        <v>1551</v>
      </c>
      <c r="E932" s="25">
        <v>45714</v>
      </c>
      <c r="F932" s="9">
        <f>IF($E932="","",WORKDAY($E932,1,$V$33:$V$41))</f>
        <v>45715</v>
      </c>
      <c r="G932" s="9">
        <f>IF($E932="","",WORKDAY($E932,10,$V$33:$V$41))</f>
        <v>45728</v>
      </c>
      <c r="H932" s="9">
        <f>IF($E932="","",WORKDAY($E932,20,$V$33:$V$41))</f>
        <v>45742</v>
      </c>
      <c r="I932" s="157" t="str">
        <f t="shared" si="18"/>
        <v>Feb</v>
      </c>
      <c r="J932" s="142" t="str">
        <f ca="1">IF(E932="","",IF(N932="",H932-TODAY(),""))</f>
        <v/>
      </c>
      <c r="K932" s="157" t="s">
        <v>5</v>
      </c>
      <c r="L932" s="7" t="s">
        <v>22</v>
      </c>
      <c r="M932" s="7" t="s">
        <v>64</v>
      </c>
      <c r="N932" s="16">
        <v>45742</v>
      </c>
      <c r="O932" s="159">
        <f>IF($N932="","",NETWORKDAYS($E932,$N932,$V$33:$V$47)-1)</f>
        <v>20</v>
      </c>
      <c r="P932" s="10" t="str">
        <f>IF(ISBLANK(N932),"",IF(N932&gt;H932,"No","Yes"))</f>
        <v>Yes</v>
      </c>
      <c r="Q932" s="7" t="s">
        <v>117</v>
      </c>
      <c r="R932" s="4" t="s">
        <v>118</v>
      </c>
      <c r="S932" s="4" t="s">
        <v>135</v>
      </c>
      <c r="T932" s="7" t="s">
        <v>141</v>
      </c>
      <c r="U932" s="6"/>
      <c r="V932" s="6"/>
      <c r="W932" s="6"/>
      <c r="X932" s="6"/>
      <c r="Y932" s="6"/>
      <c r="Z932" s="6"/>
      <c r="AX932" s="6" t="str">
        <v>Quarter 4</v>
      </c>
    </row>
    <row r="933" spans="1:50" ht="31.4" customHeight="1" x14ac:dyDescent="0.35">
      <c r="A933" s="136">
        <v>932</v>
      </c>
      <c r="B933" s="7" t="s">
        <v>272</v>
      </c>
      <c r="C933" s="7" t="s">
        <v>6</v>
      </c>
      <c r="D933" s="7" t="s">
        <v>1552</v>
      </c>
      <c r="E933" s="25">
        <v>45714</v>
      </c>
      <c r="F933" s="9">
        <f>IF($E933="","",WORKDAY($E933,1,$V$33:$V$41))</f>
        <v>45715</v>
      </c>
      <c r="G933" s="9">
        <f>IF($E933="","",WORKDAY($E933,10,$V$33:$V$41))</f>
        <v>45728</v>
      </c>
      <c r="H933" s="9">
        <f>IF($E933="","",WORKDAY($E933,20,$V$33:$V$41))</f>
        <v>45742</v>
      </c>
      <c r="I933" s="157" t="str">
        <f t="shared" si="18"/>
        <v>Feb</v>
      </c>
      <c r="J933" s="142" t="str">
        <f ca="1">IF(E933="","",IF(N933="",H933-TODAY(),""))</f>
        <v/>
      </c>
      <c r="K933" s="157" t="s">
        <v>5</v>
      </c>
      <c r="L933" s="7" t="s">
        <v>18</v>
      </c>
      <c r="M933" s="7" t="s">
        <v>66</v>
      </c>
      <c r="N933" s="16">
        <v>45714</v>
      </c>
      <c r="O933" s="159">
        <f>IF($N933="","",NETWORKDAYS($E933,$N933,$V$33:$V$47)-1)</f>
        <v>0</v>
      </c>
      <c r="P933" s="10" t="str">
        <f>IF(ISBLANK(N933),"",IF(N933&gt;H933,"No","Yes"))</f>
        <v>Yes</v>
      </c>
      <c r="Q933" s="7" t="s">
        <v>117</v>
      </c>
      <c r="R933" s="4" t="s">
        <v>150</v>
      </c>
      <c r="S933" s="4"/>
      <c r="T933" s="7"/>
      <c r="U933" s="6"/>
      <c r="V933" s="6"/>
      <c r="W933" s="6"/>
      <c r="X933" s="6"/>
      <c r="Y933" s="6"/>
      <c r="Z933" s="6"/>
      <c r="AX933" s="6" t="str">
        <v>Quarter 4</v>
      </c>
    </row>
    <row r="934" spans="1:50" ht="31.4" customHeight="1" x14ac:dyDescent="0.35">
      <c r="A934" s="136">
        <v>933</v>
      </c>
      <c r="B934" s="7" t="s">
        <v>138</v>
      </c>
      <c r="C934" s="7" t="s">
        <v>19</v>
      </c>
      <c r="D934" s="7" t="s">
        <v>1553</v>
      </c>
      <c r="E934" s="25">
        <v>45714</v>
      </c>
      <c r="F934" s="9">
        <f>IF($E934="","",WORKDAY($E934,1,$V$33:$V$41))</f>
        <v>45715</v>
      </c>
      <c r="G934" s="9">
        <f>IF($E934="","",WORKDAY($E934,10,$V$33:$V$41))</f>
        <v>45728</v>
      </c>
      <c r="H934" s="9">
        <f>IF($E934="","",WORKDAY($E934,20,$V$33:$V$41))</f>
        <v>45742</v>
      </c>
      <c r="I934" s="157" t="str">
        <f t="shared" si="18"/>
        <v>Feb</v>
      </c>
      <c r="J934" s="142" t="str">
        <f ca="1">IF(E934="","",IF(N934="",H934-TODAY(),""))</f>
        <v/>
      </c>
      <c r="K934" s="157" t="s">
        <v>10</v>
      </c>
      <c r="L934" s="7" t="s">
        <v>12</v>
      </c>
      <c r="M934" s="7" t="s">
        <v>65</v>
      </c>
      <c r="N934" s="16">
        <v>45721</v>
      </c>
      <c r="O934" s="159">
        <f>IF($N934="","",NETWORKDAYS($E934,$N934,$V$33:$V$47)-1)</f>
        <v>5</v>
      </c>
      <c r="P934" s="10" t="str">
        <f>IF(ISBLANK(N934),"",IF(N934&gt;H934,"No","Yes"))</f>
        <v>Yes</v>
      </c>
      <c r="Q934" s="7" t="s">
        <v>117</v>
      </c>
      <c r="R934" s="4" t="s">
        <v>118</v>
      </c>
      <c r="S934" s="4"/>
      <c r="T934" s="7" t="s">
        <v>141</v>
      </c>
      <c r="U934" s="6"/>
      <c r="V934" s="6"/>
      <c r="W934" s="6"/>
      <c r="X934" s="6"/>
      <c r="Y934" s="6"/>
      <c r="Z934" s="6"/>
      <c r="AX934" s="6" t="str">
        <v>Quarter 4</v>
      </c>
    </row>
    <row r="935" spans="1:50" ht="31.4" customHeight="1" x14ac:dyDescent="0.35">
      <c r="A935" s="136">
        <v>934</v>
      </c>
      <c r="B935" s="7" t="s">
        <v>138</v>
      </c>
      <c r="C935" s="7" t="s">
        <v>19</v>
      </c>
      <c r="D935" s="7" t="s">
        <v>1554</v>
      </c>
      <c r="E935" s="25">
        <v>45714</v>
      </c>
      <c r="F935" s="9">
        <f>IF($E935="","",WORKDAY($E935,1,$V$33:$V$41))</f>
        <v>45715</v>
      </c>
      <c r="G935" s="9">
        <f>IF($E935="","",WORKDAY($E935,10,$V$33:$V$41))</f>
        <v>45728</v>
      </c>
      <c r="H935" s="9">
        <f>IF($E935="","",WORKDAY($E935,20,$V$33:$V$41))</f>
        <v>45742</v>
      </c>
      <c r="I935" s="157" t="str">
        <f t="shared" si="18"/>
        <v>Feb</v>
      </c>
      <c r="J935" s="142" t="str">
        <f ca="1">IF(E935="","",IF(N935="",H935-TODAY(),""))</f>
        <v/>
      </c>
      <c r="K935" s="157" t="s">
        <v>4</v>
      </c>
      <c r="L935" s="7" t="s">
        <v>7</v>
      </c>
      <c r="M935" s="7" t="s">
        <v>31</v>
      </c>
      <c r="N935" s="16">
        <v>45727</v>
      </c>
      <c r="O935" s="159">
        <f>IF($N935="","",NETWORKDAYS($E935,$N935,$V$33:$V$47)-1)</f>
        <v>9</v>
      </c>
      <c r="P935" s="10" t="str">
        <f>IF(ISBLANK(N935),"",IF(N935&gt;H935,"No","Yes"))</f>
        <v>Yes</v>
      </c>
      <c r="Q935" s="7" t="s">
        <v>117</v>
      </c>
      <c r="R935" s="4" t="s">
        <v>118</v>
      </c>
      <c r="S935" s="4" t="s">
        <v>135</v>
      </c>
      <c r="T935" s="7"/>
      <c r="U935" s="6"/>
      <c r="V935" s="6"/>
      <c r="W935" s="6"/>
      <c r="X935" s="6"/>
      <c r="Y935" s="6"/>
      <c r="Z935" s="6"/>
      <c r="AX935" s="6" t="str">
        <v>Quarter 4</v>
      </c>
    </row>
    <row r="936" spans="1:50" ht="31.4" customHeight="1" x14ac:dyDescent="0.35">
      <c r="A936" s="136">
        <v>935</v>
      </c>
      <c r="B936" s="7" t="s">
        <v>1555</v>
      </c>
      <c r="C936" s="7" t="s">
        <v>25</v>
      </c>
      <c r="D936" s="7" t="s">
        <v>1556</v>
      </c>
      <c r="E936" s="25">
        <v>45715</v>
      </c>
      <c r="F936" s="9">
        <f>IF($E936="","",WORKDAY($E936,1,$V$33:$V$41))</f>
        <v>45716</v>
      </c>
      <c r="G936" s="9">
        <f>IF($E936="","",WORKDAY($E936,10,$V$33:$V$41))</f>
        <v>45729</v>
      </c>
      <c r="H936" s="9">
        <f>IF($E936="","",WORKDAY($E936,20,$V$33:$V$41))</f>
        <v>45743</v>
      </c>
      <c r="I936" s="157" t="str">
        <f t="shared" si="18"/>
        <v>Feb</v>
      </c>
      <c r="J936" s="142" t="str">
        <f ca="1">IF(E936="","",IF(N936="",H936-TODAY(),""))</f>
        <v/>
      </c>
      <c r="K936" s="157" t="s">
        <v>5</v>
      </c>
      <c r="L936" s="7" t="s">
        <v>22</v>
      </c>
      <c r="M936" s="7" t="s">
        <v>64</v>
      </c>
      <c r="N936" s="16">
        <v>45719</v>
      </c>
      <c r="O936" s="159">
        <f>IF($N936="","",NETWORKDAYS($E936,$N936,$V$33:$V$47)-1)</f>
        <v>2</v>
      </c>
      <c r="P936" s="10" t="str">
        <f>IF(ISBLANK(N936),"",IF(N936&gt;H936,"No","Yes"))</f>
        <v>Yes</v>
      </c>
      <c r="Q936" s="7" t="s">
        <v>117</v>
      </c>
      <c r="R936" s="4" t="s">
        <v>118</v>
      </c>
      <c r="S936" s="4"/>
      <c r="T936" s="7"/>
      <c r="U936" s="6"/>
      <c r="V936" s="6"/>
      <c r="W936" s="6"/>
      <c r="X936" s="6"/>
      <c r="Y936" s="6"/>
      <c r="Z936" s="6"/>
      <c r="AX936" s="6" t="str">
        <v>Quarter 4</v>
      </c>
    </row>
    <row r="937" spans="1:50" ht="31.4" customHeight="1" x14ac:dyDescent="0.35">
      <c r="A937" s="136">
        <v>936</v>
      </c>
      <c r="B937" s="7" t="s">
        <v>1166</v>
      </c>
      <c r="C937" s="7" t="s">
        <v>6</v>
      </c>
      <c r="D937" s="7" t="s">
        <v>1557</v>
      </c>
      <c r="E937" s="25">
        <v>45715</v>
      </c>
      <c r="F937" s="9">
        <f>IF($E937="","",WORKDAY($E937,1,$V$33:$V$41))</f>
        <v>45716</v>
      </c>
      <c r="G937" s="9">
        <f>IF($E937="","",WORKDAY($E937,10,$V$33:$V$41))</f>
        <v>45729</v>
      </c>
      <c r="H937" s="9">
        <f>IF($E937="","",WORKDAY($E937,20,$V$33:$V$41))</f>
        <v>45743</v>
      </c>
      <c r="I937" s="157" t="str">
        <f t="shared" si="18"/>
        <v>Feb</v>
      </c>
      <c r="J937" s="142" t="str">
        <f ca="1">IF(E937="","",IF(N937="",H937-TODAY(),""))</f>
        <v/>
      </c>
      <c r="K937" s="157" t="s">
        <v>124</v>
      </c>
      <c r="L937" s="7" t="s">
        <v>20</v>
      </c>
      <c r="M937" s="7" t="s">
        <v>63</v>
      </c>
      <c r="N937" s="16">
        <v>45743</v>
      </c>
      <c r="O937" s="159">
        <f>IF($N937="","",NETWORKDAYS($E937,$N937,$V$33:$V$47)-1)</f>
        <v>20</v>
      </c>
      <c r="P937" s="10" t="str">
        <f>IF(ISBLANK(N937),"",IF(N937&gt;H937,"No","Yes"))</f>
        <v>Yes</v>
      </c>
      <c r="Q937" s="7" t="s">
        <v>117</v>
      </c>
      <c r="R937" s="4" t="s">
        <v>118</v>
      </c>
      <c r="S937" s="4"/>
      <c r="T937" s="7"/>
      <c r="U937" s="6"/>
      <c r="V937" s="6"/>
      <c r="W937" s="6"/>
      <c r="X937" s="6"/>
      <c r="Y937" s="6"/>
      <c r="Z937" s="6"/>
      <c r="AX937" s="6" t="str">
        <v>Quarter 4</v>
      </c>
    </row>
    <row r="938" spans="1:50" ht="31.4" customHeight="1" x14ac:dyDescent="0.35">
      <c r="A938" s="136">
        <v>937</v>
      </c>
      <c r="B938" s="7" t="s">
        <v>8</v>
      </c>
      <c r="C938" s="7" t="s">
        <v>8</v>
      </c>
      <c r="D938" s="7" t="s">
        <v>1558</v>
      </c>
      <c r="E938" s="25">
        <v>45716</v>
      </c>
      <c r="F938" s="9">
        <f>IF($E938="","",WORKDAY($E938,1,$V$33:$V$41))</f>
        <v>45719</v>
      </c>
      <c r="G938" s="9">
        <f>IF($E938="","",WORKDAY($E938,10,$V$33:$V$41))</f>
        <v>45730</v>
      </c>
      <c r="H938" s="9">
        <f>IF($E938="","",WORKDAY($E938,20,$V$33:$V$41))</f>
        <v>45744</v>
      </c>
      <c r="I938" s="157" t="str">
        <f t="shared" si="18"/>
        <v>Feb</v>
      </c>
      <c r="J938" s="142" t="str">
        <f ca="1">IF(E938="","",IF(N938="",H938-TODAY(),""))</f>
        <v/>
      </c>
      <c r="K938" s="157" t="s">
        <v>5</v>
      </c>
      <c r="L938" s="7" t="s">
        <v>22</v>
      </c>
      <c r="M938" s="7" t="s">
        <v>46</v>
      </c>
      <c r="N938" s="16">
        <v>45721</v>
      </c>
      <c r="O938" s="159">
        <f>IF($N938="","",NETWORKDAYS($E938,$N938,$V$33:$V$47)-1)</f>
        <v>3</v>
      </c>
      <c r="P938" s="10" t="str">
        <f>IF(ISBLANK(N938),"",IF(N938&gt;H938,"No","Yes"))</f>
        <v>Yes</v>
      </c>
      <c r="Q938" s="7" t="s">
        <v>117</v>
      </c>
      <c r="R938" s="4" t="s">
        <v>118</v>
      </c>
      <c r="S938" s="4"/>
      <c r="T938" s="7" t="s">
        <v>141</v>
      </c>
      <c r="U938" s="6"/>
      <c r="V938" s="6"/>
      <c r="W938" s="6"/>
      <c r="X938" s="6"/>
      <c r="Y938" s="6"/>
      <c r="Z938" s="6"/>
      <c r="AX938" s="6" t="str">
        <v>Quarter 4</v>
      </c>
    </row>
    <row r="939" spans="1:50" ht="31.4" customHeight="1" x14ac:dyDescent="0.35">
      <c r="A939" s="136">
        <v>938</v>
      </c>
      <c r="B939" s="7" t="s">
        <v>1559</v>
      </c>
      <c r="C939" s="7" t="s">
        <v>23</v>
      </c>
      <c r="D939" s="7" t="s">
        <v>1560</v>
      </c>
      <c r="E939" s="25">
        <v>45716</v>
      </c>
      <c r="F939" s="9">
        <f>IF($E939="","",WORKDAY($E939,1,$V$33:$V$41))</f>
        <v>45719</v>
      </c>
      <c r="G939" s="9">
        <f>IF($E939="","",WORKDAY($E939,10,$V$33:$V$41))</f>
        <v>45730</v>
      </c>
      <c r="H939" s="9">
        <f>IF($E939="","",WORKDAY($E939,20,$V$33:$V$41))</f>
        <v>45744</v>
      </c>
      <c r="I939" s="157" t="str">
        <f t="shared" si="18"/>
        <v>Feb</v>
      </c>
      <c r="J939" s="142" t="str">
        <f ca="1">IF(E939="","",IF(N939="",H939-TODAY(),""))</f>
        <v/>
      </c>
      <c r="K939" s="157" t="s">
        <v>124</v>
      </c>
      <c r="L939" s="7" t="s">
        <v>14</v>
      </c>
      <c r="M939" s="7" t="s">
        <v>81</v>
      </c>
      <c r="N939" s="16">
        <v>45733</v>
      </c>
      <c r="O939" s="159">
        <f>IF($N939="","",NETWORKDAYS($E939,$N939,$V$33:$V$47)-1)</f>
        <v>11</v>
      </c>
      <c r="P939" s="10" t="str">
        <f>IF(ISBLANK(N939),"",IF(N939&gt;H939,"No","Yes"))</f>
        <v>Yes</v>
      </c>
      <c r="Q939" s="7" t="s">
        <v>117</v>
      </c>
      <c r="R939" s="4" t="s">
        <v>118</v>
      </c>
      <c r="S939" s="4"/>
      <c r="T939" s="7" t="s">
        <v>141</v>
      </c>
      <c r="U939" s="6"/>
      <c r="V939" s="6"/>
      <c r="W939" s="6"/>
      <c r="X939" s="6"/>
      <c r="Y939" s="6"/>
      <c r="Z939" s="6"/>
      <c r="AX939" s="6" t="str">
        <v>Quarter 4</v>
      </c>
    </row>
    <row r="940" spans="1:50" ht="31.4" customHeight="1" x14ac:dyDescent="0.35">
      <c r="A940" s="136">
        <v>939</v>
      </c>
      <c r="B940" s="7" t="s">
        <v>1559</v>
      </c>
      <c r="C940" s="7" t="s">
        <v>23</v>
      </c>
      <c r="D940" s="7" t="s">
        <v>1561</v>
      </c>
      <c r="E940" s="25">
        <v>45716</v>
      </c>
      <c r="F940" s="9">
        <f>IF($E940="","",WORKDAY($E940,1,$V$33:$V$41))</f>
        <v>45719</v>
      </c>
      <c r="G940" s="9">
        <f>IF($E940="","",WORKDAY($E940,10,$V$33:$V$41))</f>
        <v>45730</v>
      </c>
      <c r="H940" s="9">
        <f>IF($E940="","",WORKDAY($E940,20,$V$33:$V$41))</f>
        <v>45744</v>
      </c>
      <c r="I940" s="157" t="str">
        <f t="shared" si="18"/>
        <v>Feb</v>
      </c>
      <c r="J940" s="142" t="str">
        <f ca="1">IF(E940="","",IF(N940="",H940-TODAY(),""))</f>
        <v/>
      </c>
      <c r="K940" s="157" t="s">
        <v>124</v>
      </c>
      <c r="L940" s="7" t="s">
        <v>20</v>
      </c>
      <c r="M940" s="7" t="s">
        <v>35</v>
      </c>
      <c r="N940" s="16">
        <v>45719</v>
      </c>
      <c r="O940" s="159">
        <f>IF($N940="","",NETWORKDAYS($E940,$N940,$V$33:$V$47)-1)</f>
        <v>1</v>
      </c>
      <c r="P940" s="10" t="str">
        <f>IF(ISBLANK(N940),"",IF(N940&gt;H940,"No","Yes"))</f>
        <v>Yes</v>
      </c>
      <c r="Q940" s="7" t="s">
        <v>117</v>
      </c>
      <c r="R940" s="4" t="s">
        <v>150</v>
      </c>
      <c r="S940" s="4"/>
      <c r="T940" s="7"/>
      <c r="U940" s="6"/>
      <c r="V940" s="6"/>
      <c r="W940" s="6"/>
      <c r="X940" s="6"/>
      <c r="Y940" s="6"/>
      <c r="Z940" s="6"/>
      <c r="AX940" s="6" t="str">
        <v>Quarter 4</v>
      </c>
    </row>
    <row r="941" spans="1:50" ht="31.4" customHeight="1" x14ac:dyDescent="0.35">
      <c r="A941" s="136">
        <v>940</v>
      </c>
      <c r="B941" s="7" t="s">
        <v>138</v>
      </c>
      <c r="C941" s="7" t="s">
        <v>19</v>
      </c>
      <c r="D941" s="7" t="s">
        <v>1562</v>
      </c>
      <c r="E941" s="25">
        <v>45719</v>
      </c>
      <c r="F941" s="9">
        <f>IF($E941="","",WORKDAY($E941,1,$V$33:$V$41))</f>
        <v>45720</v>
      </c>
      <c r="G941" s="9">
        <f>IF($E941="","",WORKDAY($E941,10,$V$33:$V$41))</f>
        <v>45733</v>
      </c>
      <c r="H941" s="9">
        <f>IF($E941="","",WORKDAY($E941,20,$V$33:$V$41))</f>
        <v>45747</v>
      </c>
      <c r="I941" s="157" t="str">
        <f t="shared" si="18"/>
        <v>Mar</v>
      </c>
      <c r="J941" s="142" t="str">
        <f ca="1">IF(E941="","",IF(N941="",H941-TODAY(),""))</f>
        <v/>
      </c>
      <c r="K941" s="157" t="s">
        <v>10</v>
      </c>
      <c r="L941" s="7" t="s">
        <v>27</v>
      </c>
      <c r="M941" s="7" t="s">
        <v>86</v>
      </c>
      <c r="N941" s="16">
        <v>45740</v>
      </c>
      <c r="O941" s="159">
        <f>IF($N941="","",NETWORKDAYS($E941,$N941,$V$33:$V$47)-1)</f>
        <v>15</v>
      </c>
      <c r="P941" s="10" t="str">
        <f>IF(ISBLANK(N941),"",IF(N941&gt;H941,"No","Yes"))</f>
        <v>Yes</v>
      </c>
      <c r="Q941" s="7" t="s">
        <v>117</v>
      </c>
      <c r="R941" s="4" t="s">
        <v>126</v>
      </c>
      <c r="S941" s="4" t="s">
        <v>119</v>
      </c>
      <c r="T941" s="7"/>
      <c r="U941" s="6"/>
      <c r="V941" s="6"/>
      <c r="W941" s="6"/>
      <c r="X941" s="6"/>
      <c r="Y941" s="6"/>
      <c r="Z941" s="6"/>
      <c r="AX941" s="6" t="str">
        <v>Quarter 4</v>
      </c>
    </row>
    <row r="942" spans="1:50" ht="31.4" customHeight="1" x14ac:dyDescent="0.35">
      <c r="A942" s="136">
        <v>941</v>
      </c>
      <c r="B942" s="7" t="s">
        <v>8</v>
      </c>
      <c r="C942" s="7" t="s">
        <v>8</v>
      </c>
      <c r="D942" s="7" t="s">
        <v>1563</v>
      </c>
      <c r="E942" s="25">
        <v>45719</v>
      </c>
      <c r="F942" s="9">
        <f>IF($E942="","",WORKDAY($E942,1,$V$33:$V$41))</f>
        <v>45720</v>
      </c>
      <c r="G942" s="9">
        <f>IF($E942="","",WORKDAY($E942,10,$V$33:$V$41))</f>
        <v>45733</v>
      </c>
      <c r="H942" s="9">
        <f>IF($E942="","",WORKDAY($E942,20,$V$33:$V$41))</f>
        <v>45747</v>
      </c>
      <c r="I942" s="157" t="str">
        <f t="shared" si="18"/>
        <v>Mar</v>
      </c>
      <c r="J942" s="142" t="str">
        <f ca="1">IF(E942="","",IF(N942="",H942-TODAY(),""))</f>
        <v/>
      </c>
      <c r="K942" s="157" t="s">
        <v>10</v>
      </c>
      <c r="L942" s="7" t="s">
        <v>12</v>
      </c>
      <c r="M942" s="7" t="s">
        <v>30</v>
      </c>
      <c r="N942" s="16">
        <v>45733</v>
      </c>
      <c r="O942" s="159">
        <f>IF($N942="","",NETWORKDAYS($E942,$N942,$V$33:$V$47)-1)</f>
        <v>10</v>
      </c>
      <c r="P942" s="10" t="str">
        <f>IF(ISBLANK(N942),"",IF(N942&gt;H942,"No","Yes"))</f>
        <v>Yes</v>
      </c>
      <c r="Q942" s="7" t="s">
        <v>117</v>
      </c>
      <c r="R942" s="4" t="s">
        <v>118</v>
      </c>
      <c r="S942" s="4"/>
      <c r="T942" s="7"/>
      <c r="U942" s="6"/>
      <c r="V942" s="6"/>
      <c r="W942" s="6"/>
      <c r="X942" s="6"/>
      <c r="Y942" s="6"/>
      <c r="Z942" s="6"/>
      <c r="AX942" s="6" t="str">
        <v>Quarter 4</v>
      </c>
    </row>
    <row r="943" spans="1:50" ht="31.4" customHeight="1" x14ac:dyDescent="0.35">
      <c r="A943" s="136">
        <v>942</v>
      </c>
      <c r="B943" s="7" t="s">
        <v>470</v>
      </c>
      <c r="C943" s="7" t="s">
        <v>17</v>
      </c>
      <c r="D943" s="7" t="s">
        <v>1564</v>
      </c>
      <c r="E943" s="25">
        <v>45719</v>
      </c>
      <c r="F943" s="9">
        <f>IF($E943="","",WORKDAY($E943,1,$V$33:$V$41))</f>
        <v>45720</v>
      </c>
      <c r="G943" s="9">
        <f>IF($E943="","",WORKDAY($E943,10,$V$33:$V$41))</f>
        <v>45733</v>
      </c>
      <c r="H943" s="9">
        <f>IF($E943="","",WORKDAY($E943,20,$V$33:$V$41))</f>
        <v>45747</v>
      </c>
      <c r="I943" s="157" t="str">
        <f t="shared" si="18"/>
        <v>Mar</v>
      </c>
      <c r="J943" s="142" t="str">
        <f ca="1">IF(E943="","",IF(N943="",H943-TODAY(),""))</f>
        <v/>
      </c>
      <c r="K943" s="157" t="s">
        <v>124</v>
      </c>
      <c r="L943" s="7" t="s">
        <v>20</v>
      </c>
      <c r="M943" s="7" t="s">
        <v>62</v>
      </c>
      <c r="N943" s="16">
        <v>45747</v>
      </c>
      <c r="O943" s="159">
        <f>IF($N943="","",NETWORKDAYS($E943,$N943,$V$33:$V$47)-1)</f>
        <v>20</v>
      </c>
      <c r="P943" s="10" t="str">
        <f>IF(ISBLANK(N943),"",IF(N943&gt;H943,"No","Yes"))</f>
        <v>Yes</v>
      </c>
      <c r="Q943" s="7" t="s">
        <v>117</v>
      </c>
      <c r="R943" s="4" t="s">
        <v>118</v>
      </c>
      <c r="S943" s="4"/>
      <c r="T943" s="7"/>
      <c r="U943" s="6"/>
      <c r="V943" s="6"/>
      <c r="W943" s="6"/>
      <c r="X943" s="6"/>
      <c r="Y943" s="6"/>
      <c r="Z943" s="6"/>
      <c r="AX943" s="6" t="str">
        <v>Quarter 4</v>
      </c>
    </row>
    <row r="944" spans="1:50" ht="31.4" customHeight="1" x14ac:dyDescent="0.35">
      <c r="A944" s="136">
        <v>943</v>
      </c>
      <c r="B944" s="7" t="s">
        <v>8</v>
      </c>
      <c r="C944" s="7" t="s">
        <v>8</v>
      </c>
      <c r="D944" s="7" t="s">
        <v>1565</v>
      </c>
      <c r="E944" s="25">
        <v>45719</v>
      </c>
      <c r="F944" s="9">
        <f>IF($E944="","",WORKDAY($E944,1,$V$33:$V$41))</f>
        <v>45720</v>
      </c>
      <c r="G944" s="9">
        <f>IF($E944="","",WORKDAY($E944,10,$V$33:$V$41))</f>
        <v>45733</v>
      </c>
      <c r="H944" s="9">
        <f>IF($E944="","",WORKDAY($E944,20,$V$33:$V$41))</f>
        <v>45747</v>
      </c>
      <c r="I944" s="157" t="str">
        <f t="shared" si="18"/>
        <v>Mar</v>
      </c>
      <c r="J944" s="142" t="str">
        <f ca="1">IF(E944="","",IF(N944="",H944-TODAY(),""))</f>
        <v/>
      </c>
      <c r="K944" s="157" t="s">
        <v>5</v>
      </c>
      <c r="L944" s="7" t="s">
        <v>22</v>
      </c>
      <c r="M944" s="7" t="s">
        <v>64</v>
      </c>
      <c r="N944" s="16">
        <v>45727</v>
      </c>
      <c r="O944" s="159">
        <f>IF($N944="","",NETWORKDAYS($E944,$N944,$V$33:$V$47)-1)</f>
        <v>6</v>
      </c>
      <c r="P944" s="10" t="str">
        <f>IF(ISBLANK(N944),"",IF(N944&gt;H944,"No","Yes"))</f>
        <v>Yes</v>
      </c>
      <c r="Q944" s="7" t="s">
        <v>117</v>
      </c>
      <c r="R944" s="4" t="s">
        <v>118</v>
      </c>
      <c r="S944" s="4"/>
      <c r="T944" s="7"/>
      <c r="U944" s="6"/>
      <c r="V944" s="6"/>
      <c r="W944" s="6"/>
      <c r="X944" s="6"/>
      <c r="Y944" s="6"/>
      <c r="Z944" s="6"/>
      <c r="AX944" s="6" t="str">
        <v>Quarter 4</v>
      </c>
    </row>
    <row r="945" spans="1:50" ht="31.4" customHeight="1" x14ac:dyDescent="0.35">
      <c r="A945" s="136">
        <v>944</v>
      </c>
      <c r="B945" s="7" t="s">
        <v>8</v>
      </c>
      <c r="C945" s="7" t="s">
        <v>8</v>
      </c>
      <c r="D945" s="7" t="s">
        <v>1566</v>
      </c>
      <c r="E945" s="25">
        <v>45719</v>
      </c>
      <c r="F945" s="9">
        <f>IF($E945="","",WORKDAY($E945,1,$V$33:$V$41))</f>
        <v>45720</v>
      </c>
      <c r="G945" s="9">
        <f>IF($E945="","",WORKDAY($E945,10,$V$33:$V$41))</f>
        <v>45733</v>
      </c>
      <c r="H945" s="9">
        <f>IF($E945="","",WORKDAY($E945,20,$V$33:$V$41))</f>
        <v>45747</v>
      </c>
      <c r="I945" s="157" t="str">
        <f t="shared" si="18"/>
        <v>Mar</v>
      </c>
      <c r="J945" s="142" t="str">
        <f ca="1">IF(E945="","",IF(N945="",H945-TODAY(),""))</f>
        <v/>
      </c>
      <c r="K945" s="157" t="s">
        <v>5</v>
      </c>
      <c r="L945" s="7" t="s">
        <v>16</v>
      </c>
      <c r="M945" s="7" t="s">
        <v>67</v>
      </c>
      <c r="N945" s="16">
        <v>45742</v>
      </c>
      <c r="O945" s="159">
        <f>IF($N945="","",NETWORKDAYS($E945,$N945,$V$33:$V$47)-1)</f>
        <v>17</v>
      </c>
      <c r="P945" s="10" t="str">
        <f>IF(ISBLANK(N945),"",IF(N945&gt;H945,"No","Yes"))</f>
        <v>Yes</v>
      </c>
      <c r="Q945" s="7" t="s">
        <v>117</v>
      </c>
      <c r="R945" s="4" t="s">
        <v>118</v>
      </c>
      <c r="S945" s="4" t="s">
        <v>135</v>
      </c>
      <c r="T945" s="7"/>
      <c r="U945" s="6"/>
      <c r="V945" s="6"/>
      <c r="W945" s="6"/>
      <c r="X945" s="6"/>
      <c r="Y945" s="6"/>
      <c r="Z945" s="6"/>
      <c r="AX945" s="6" t="str">
        <v>Quarter 4</v>
      </c>
    </row>
    <row r="946" spans="1:50" ht="31.4" customHeight="1" x14ac:dyDescent="0.35">
      <c r="A946" s="136">
        <v>945</v>
      </c>
      <c r="B946" s="7" t="s">
        <v>8</v>
      </c>
      <c r="C946" s="7" t="s">
        <v>8</v>
      </c>
      <c r="D946" s="7" t="s">
        <v>1567</v>
      </c>
      <c r="E946" s="25">
        <v>45719</v>
      </c>
      <c r="F946" s="9">
        <f>IF($E946="","",WORKDAY($E946,1,$V$33:$V$41))</f>
        <v>45720</v>
      </c>
      <c r="G946" s="9">
        <f>IF($E946="","",WORKDAY($E946,10,$V$33:$V$41))</f>
        <v>45733</v>
      </c>
      <c r="H946" s="9">
        <f>IF($E946="","",WORKDAY($E946,20,$V$33:$V$41))</f>
        <v>45747</v>
      </c>
      <c r="I946" s="157" t="str">
        <f t="shared" si="18"/>
        <v>Mar</v>
      </c>
      <c r="J946" s="142" t="str">
        <f ca="1">IF(E946="","",IF(N946="",H946-TODAY(),""))</f>
        <v/>
      </c>
      <c r="K946" s="157" t="s">
        <v>4</v>
      </c>
      <c r="L946" s="7" t="s">
        <v>7</v>
      </c>
      <c r="M946" s="7" t="s">
        <v>31</v>
      </c>
      <c r="N946" s="16">
        <v>45726</v>
      </c>
      <c r="O946" s="159">
        <f>IF($N946="","",NETWORKDAYS($E946,$N946,$V$33:$V$47)-1)</f>
        <v>5</v>
      </c>
      <c r="P946" s="10" t="str">
        <f>IF(ISBLANK(N946),"",IF(N946&gt;H946,"No","Yes"))</f>
        <v>Yes</v>
      </c>
      <c r="Q946" s="7" t="s">
        <v>117</v>
      </c>
      <c r="R946" s="4" t="s">
        <v>118</v>
      </c>
      <c r="S946" s="4"/>
      <c r="T946" s="7"/>
      <c r="U946" s="6"/>
      <c r="V946" s="6"/>
      <c r="W946" s="6"/>
      <c r="X946" s="6"/>
      <c r="Y946" s="6"/>
      <c r="Z946" s="6"/>
      <c r="AX946" s="6" t="str">
        <v>Quarter 4</v>
      </c>
    </row>
    <row r="947" spans="1:50" ht="31.4" customHeight="1" x14ac:dyDescent="0.35">
      <c r="A947" s="136">
        <v>946</v>
      </c>
      <c r="B947" s="7" t="s">
        <v>8</v>
      </c>
      <c r="C947" s="7" t="s">
        <v>8</v>
      </c>
      <c r="D947" s="7" t="s">
        <v>1568</v>
      </c>
      <c r="E947" s="25">
        <v>45719</v>
      </c>
      <c r="F947" s="9">
        <f>IF($E947="","",WORKDAY($E947,1,$V$33:$V$41))</f>
        <v>45720</v>
      </c>
      <c r="G947" s="9">
        <f>IF($E947="","",WORKDAY($E947,10,$V$33:$V$41))</f>
        <v>45733</v>
      </c>
      <c r="H947" s="9">
        <f>IF($E947="","",WORKDAY($E947,20,$V$33:$V$41))</f>
        <v>45747</v>
      </c>
      <c r="I947" s="157" t="str">
        <f t="shared" si="18"/>
        <v>Mar</v>
      </c>
      <c r="J947" s="142" t="str">
        <f ca="1">IF(E947="","",IF(N947="",H947-TODAY(),""))</f>
        <v/>
      </c>
      <c r="K947" s="157" t="s">
        <v>124</v>
      </c>
      <c r="L947" s="7" t="s">
        <v>14</v>
      </c>
      <c r="M947" s="7" t="s">
        <v>44</v>
      </c>
      <c r="N947" s="16">
        <v>45747</v>
      </c>
      <c r="O947" s="159">
        <f>IF($N947="","",NETWORKDAYS($E947,$N947,$V$33:$V$47)-1)</f>
        <v>20</v>
      </c>
      <c r="P947" s="10" t="str">
        <f>IF(ISBLANK(N947),"",IF(N947&gt;H947,"No","Yes"))</f>
        <v>Yes</v>
      </c>
      <c r="Q947" s="7" t="s">
        <v>117</v>
      </c>
      <c r="R947" s="4" t="s">
        <v>118</v>
      </c>
      <c r="S947" s="4"/>
      <c r="T947" s="7"/>
      <c r="U947" s="6"/>
      <c r="V947" s="6"/>
      <c r="W947" s="6"/>
      <c r="X947" s="6"/>
      <c r="Y947" s="6"/>
      <c r="Z947" s="6"/>
      <c r="AX947" s="6" t="str">
        <v>Quarter 4</v>
      </c>
    </row>
    <row r="948" spans="1:50" ht="31.4" customHeight="1" x14ac:dyDescent="0.35">
      <c r="A948" s="136">
        <v>947</v>
      </c>
      <c r="B948" s="7" t="s">
        <v>209</v>
      </c>
      <c r="C948" s="7" t="s">
        <v>13</v>
      </c>
      <c r="D948" s="7" t="s">
        <v>1569</v>
      </c>
      <c r="E948" s="25">
        <v>45719</v>
      </c>
      <c r="F948" s="9">
        <f>IF($E948="","",WORKDAY($E948,1,$V$33:$V$41))</f>
        <v>45720</v>
      </c>
      <c r="G948" s="9">
        <f>IF($E948="","",WORKDAY($E948,10,$V$33:$V$41))</f>
        <v>45733</v>
      </c>
      <c r="H948" s="9">
        <f>IF($E948="","",WORKDAY($E948,20,$V$33:$V$41))</f>
        <v>45747</v>
      </c>
      <c r="I948" s="157" t="str">
        <f t="shared" si="18"/>
        <v>Mar</v>
      </c>
      <c r="J948" s="142" t="str">
        <f ca="1">IF(E948="","",IF(N948="",H948-TODAY(),""))</f>
        <v/>
      </c>
      <c r="K948" s="157" t="s">
        <v>5</v>
      </c>
      <c r="L948" s="7" t="s">
        <v>18</v>
      </c>
      <c r="M948" s="7" t="s">
        <v>66</v>
      </c>
      <c r="N948" s="16">
        <v>45719</v>
      </c>
      <c r="O948" s="159">
        <f>IF($N948="","",NETWORKDAYS($E948,$N948,$V$33:$V$47)-1)</f>
        <v>0</v>
      </c>
      <c r="P948" s="10" t="str">
        <f>IF(ISBLANK(N948),"",IF(N948&gt;H948,"No","Yes"))</f>
        <v>Yes</v>
      </c>
      <c r="Q948" s="7" t="s">
        <v>117</v>
      </c>
      <c r="R948" s="4" t="s">
        <v>132</v>
      </c>
      <c r="S948" s="4" t="s">
        <v>134</v>
      </c>
      <c r="T948" s="7"/>
      <c r="U948" s="6"/>
      <c r="V948" s="6"/>
      <c r="W948" s="6"/>
      <c r="X948" s="6"/>
      <c r="Y948" s="6"/>
      <c r="Z948" s="6"/>
      <c r="AX948" s="6" t="str">
        <v>Quarter 4</v>
      </c>
    </row>
    <row r="949" spans="1:50" ht="31.4" customHeight="1" x14ac:dyDescent="0.35">
      <c r="A949" s="136">
        <v>948</v>
      </c>
      <c r="B949" s="7" t="s">
        <v>8</v>
      </c>
      <c r="C949" s="7" t="s">
        <v>8</v>
      </c>
      <c r="D949" s="7" t="s">
        <v>1570</v>
      </c>
      <c r="E949" s="25">
        <v>45719</v>
      </c>
      <c r="F949" s="9">
        <f>IF($E949="","",WORKDAY($E949,1,$V$33:$V$41))</f>
        <v>45720</v>
      </c>
      <c r="G949" s="9">
        <f>IF($E949="","",WORKDAY($E949,10,$V$33:$V$41))</f>
        <v>45733</v>
      </c>
      <c r="H949" s="9">
        <f>IF($E949="","",WORKDAY($E949,20,$V$33:$V$41))</f>
        <v>45747</v>
      </c>
      <c r="I949" s="157" t="str">
        <f t="shared" si="18"/>
        <v>Mar</v>
      </c>
      <c r="J949" s="142" t="str">
        <f ca="1">IF(E949="","",IF(N949="",H949-TODAY(),""))</f>
        <v/>
      </c>
      <c r="K949" s="157" t="s">
        <v>10</v>
      </c>
      <c r="L949" s="7" t="s">
        <v>12</v>
      </c>
      <c r="M949" s="7" t="s">
        <v>30</v>
      </c>
      <c r="N949" s="16">
        <v>45737</v>
      </c>
      <c r="O949" s="159">
        <f>IF($N949="","",NETWORKDAYS($E949,$N949,$V$33:$V$47)-1)</f>
        <v>14</v>
      </c>
      <c r="P949" s="10" t="str">
        <f>IF(ISBLANK(N949),"",IF(N949&gt;H949,"No","Yes"))</f>
        <v>Yes</v>
      </c>
      <c r="Q949" s="7" t="s">
        <v>117</v>
      </c>
      <c r="R949" s="4" t="s">
        <v>118</v>
      </c>
      <c r="S949" s="4" t="s">
        <v>135</v>
      </c>
      <c r="T949" s="7"/>
      <c r="U949" s="6"/>
      <c r="V949" s="6"/>
      <c r="W949" s="6"/>
      <c r="X949" s="6"/>
      <c r="Y949" s="6"/>
      <c r="Z949" s="6"/>
      <c r="AX949" s="6" t="str">
        <v>Quarter 4</v>
      </c>
    </row>
    <row r="950" spans="1:50" ht="31.4" customHeight="1" x14ac:dyDescent="0.35">
      <c r="A950" s="136">
        <v>949</v>
      </c>
      <c r="B950" s="7" t="s">
        <v>8</v>
      </c>
      <c r="C950" s="7" t="s">
        <v>8</v>
      </c>
      <c r="D950" s="7" t="s">
        <v>1571</v>
      </c>
      <c r="E950" s="25">
        <v>45720</v>
      </c>
      <c r="F950" s="9">
        <f>IF($E950="","",WORKDAY($E950,1,$V$33:$V$41))</f>
        <v>45721</v>
      </c>
      <c r="G950" s="9">
        <f>IF($E950="","",WORKDAY($E950,10,$V$33:$V$41))</f>
        <v>45734</v>
      </c>
      <c r="H950" s="9">
        <f>IF($E950="","",WORKDAY($E950,20,$V$33:$V$41))</f>
        <v>45748</v>
      </c>
      <c r="I950" s="157" t="str">
        <f t="shared" si="18"/>
        <v>Mar</v>
      </c>
      <c r="J950" s="142" t="str">
        <f ca="1">IF(E950="","",IF(N950="",H950-TODAY(),""))</f>
        <v/>
      </c>
      <c r="K950" s="157" t="s">
        <v>10</v>
      </c>
      <c r="L950" s="7" t="s">
        <v>27</v>
      </c>
      <c r="M950" s="7" t="s">
        <v>37</v>
      </c>
      <c r="N950" s="16">
        <v>45733</v>
      </c>
      <c r="O950" s="159">
        <f>IF($N950="","",NETWORKDAYS($E950,$N950,$V$33:$V$47)-1)</f>
        <v>9</v>
      </c>
      <c r="P950" s="10" t="s">
        <v>116</v>
      </c>
      <c r="Q950" s="7" t="s">
        <v>117</v>
      </c>
      <c r="R950" s="4" t="s">
        <v>118</v>
      </c>
      <c r="S950" s="4"/>
      <c r="T950" s="7"/>
      <c r="U950" s="6"/>
      <c r="V950" s="6"/>
      <c r="W950" s="6"/>
      <c r="X950" s="6"/>
      <c r="Y950" s="6"/>
      <c r="Z950" s="6"/>
      <c r="AX950" s="6" t="str">
        <v>Quarter 4</v>
      </c>
    </row>
    <row r="951" spans="1:50" ht="31.4" customHeight="1" x14ac:dyDescent="0.35">
      <c r="A951" s="136">
        <v>950</v>
      </c>
      <c r="B951" s="7" t="s">
        <v>138</v>
      </c>
      <c r="C951" s="7" t="s">
        <v>19</v>
      </c>
      <c r="D951" s="7" t="s">
        <v>1572</v>
      </c>
      <c r="E951" s="25">
        <v>45720</v>
      </c>
      <c r="F951" s="9">
        <f>IF($E951="","",WORKDAY($E951,1,$V$33:$V$41))</f>
        <v>45721</v>
      </c>
      <c r="G951" s="9">
        <f>IF($E951="","",WORKDAY($E951,10,$V$33:$V$41))</f>
        <v>45734</v>
      </c>
      <c r="H951" s="9">
        <f>IF($E951="","",WORKDAY($E951,20,$V$33:$V$41))</f>
        <v>45748</v>
      </c>
      <c r="I951" s="157" t="str">
        <f t="shared" si="18"/>
        <v>Mar</v>
      </c>
      <c r="J951" s="142" t="str">
        <f ca="1">IF(E951="","",IF(N951="",H951-TODAY(),""))</f>
        <v/>
      </c>
      <c r="K951" s="157" t="s">
        <v>5</v>
      </c>
      <c r="L951" s="7" t="s">
        <v>18</v>
      </c>
      <c r="M951" s="7" t="s">
        <v>66</v>
      </c>
      <c r="N951" s="16">
        <v>45720</v>
      </c>
      <c r="O951" s="159">
        <f>IF($N951="","",NETWORKDAYS($E951,$N951,$V$33:$V$47)-1)</f>
        <v>0</v>
      </c>
      <c r="P951" s="10" t="str">
        <f>IF(ISBLANK(N951),"",IF(N951&gt;H951,"No","Yes"))</f>
        <v>Yes</v>
      </c>
      <c r="Q951" s="7" t="s">
        <v>117</v>
      </c>
      <c r="R951" s="4" t="s">
        <v>118</v>
      </c>
      <c r="S951" s="4"/>
      <c r="T951" s="7"/>
      <c r="U951" s="6"/>
      <c r="V951" s="6"/>
      <c r="W951" s="6"/>
      <c r="X951" s="6"/>
      <c r="Y951" s="6"/>
      <c r="Z951" s="6"/>
      <c r="AX951" s="6" t="str">
        <v>Quarter 4</v>
      </c>
    </row>
    <row r="952" spans="1:50" ht="31.4" customHeight="1" x14ac:dyDescent="0.35">
      <c r="A952" s="136">
        <v>951</v>
      </c>
      <c r="B952" s="7" t="s">
        <v>1573</v>
      </c>
      <c r="C952" s="7" t="s">
        <v>15</v>
      </c>
      <c r="D952" s="7" t="s">
        <v>1574</v>
      </c>
      <c r="E952" s="25">
        <v>45720</v>
      </c>
      <c r="F952" s="9">
        <f>IF($E952="","",WORKDAY($E952,1,$V$33:$V$41))</f>
        <v>45721</v>
      </c>
      <c r="G952" s="9">
        <f>IF($E952="","",WORKDAY($E952,10,$V$33:$V$41))</f>
        <v>45734</v>
      </c>
      <c r="H952" s="9">
        <f>IF($E952="","",WORKDAY($E952,20,$V$33:$V$41))</f>
        <v>45748</v>
      </c>
      <c r="I952" s="157" t="str">
        <f t="shared" si="18"/>
        <v>Mar</v>
      </c>
      <c r="J952" s="142" t="str">
        <f ca="1">IF(E952="","",IF(N952="",H952-TODAY(),""))</f>
        <v/>
      </c>
      <c r="K952" s="157" t="s">
        <v>10</v>
      </c>
      <c r="L952" s="7" t="s">
        <v>12</v>
      </c>
      <c r="M952" s="7" t="s">
        <v>91</v>
      </c>
      <c r="N952" s="16">
        <v>45729</v>
      </c>
      <c r="O952" s="159">
        <f>IF($N952="","",NETWORKDAYS($E952,$N952,$V$33:$V$47)-1)</f>
        <v>7</v>
      </c>
      <c r="P952" s="10" t="str">
        <f>IF(ISBLANK(N952),"",IF(N952&gt;H952,"No","Yes"))</f>
        <v>Yes</v>
      </c>
      <c r="Q952" s="7" t="s">
        <v>117</v>
      </c>
      <c r="R952" s="4" t="s">
        <v>118</v>
      </c>
      <c r="S952" s="4"/>
      <c r="T952" s="7" t="s">
        <v>141</v>
      </c>
      <c r="U952" s="6"/>
      <c r="V952" s="6"/>
      <c r="W952" s="6"/>
      <c r="X952" s="6"/>
      <c r="Y952" s="6"/>
      <c r="Z952" s="6"/>
      <c r="AX952" s="6" t="str">
        <v>Quarter 4</v>
      </c>
    </row>
    <row r="953" spans="1:50" ht="31.4" customHeight="1" x14ac:dyDescent="0.35">
      <c r="A953" s="136">
        <v>952</v>
      </c>
      <c r="B953" s="7" t="s">
        <v>138</v>
      </c>
      <c r="C953" s="7" t="s">
        <v>19</v>
      </c>
      <c r="D953" s="7" t="s">
        <v>1575</v>
      </c>
      <c r="E953" s="25">
        <v>45722</v>
      </c>
      <c r="F953" s="9">
        <f>IF($E953="","",WORKDAY($E953,1,$V$33:$V$41))</f>
        <v>45723</v>
      </c>
      <c r="G953" s="9">
        <f>IF($E953="","",WORKDAY($E953,10,$V$33:$V$41))</f>
        <v>45736</v>
      </c>
      <c r="H953" s="9">
        <f>IF($E953="","",WORKDAY($E953,20,$V$33:$V$41))</f>
        <v>45750</v>
      </c>
      <c r="I953" s="157" t="str">
        <f t="shared" si="18"/>
        <v>Mar</v>
      </c>
      <c r="J953" s="142" t="str">
        <f ca="1">IF(E953="","",IF(N953="",H953-TODAY(),""))</f>
        <v/>
      </c>
      <c r="K953" s="157" t="s">
        <v>124</v>
      </c>
      <c r="L953" s="7" t="s">
        <v>24</v>
      </c>
      <c r="M953" s="7" t="s">
        <v>76</v>
      </c>
      <c r="N953" s="16">
        <v>45727</v>
      </c>
      <c r="O953" s="159">
        <f>IF($N953="","",NETWORKDAYS($E953,$N953,$V$33:$V$47)-1)</f>
        <v>3</v>
      </c>
      <c r="P953" s="10" t="str">
        <f>IF(ISBLANK(N953),"",IF(N953&gt;H953,"No","Yes"))</f>
        <v>Yes</v>
      </c>
      <c r="Q953" s="7" t="s">
        <v>117</v>
      </c>
      <c r="R953" s="4" t="s">
        <v>118</v>
      </c>
      <c r="S953" s="4" t="s">
        <v>135</v>
      </c>
      <c r="T953" s="7" t="s">
        <v>141</v>
      </c>
      <c r="U953" s="6"/>
      <c r="V953" s="6"/>
      <c r="W953" s="6"/>
      <c r="X953" s="6"/>
      <c r="Y953" s="6"/>
      <c r="Z953" s="6"/>
      <c r="AX953" s="6" t="str">
        <v>Quarter 4</v>
      </c>
    </row>
    <row r="954" spans="1:50" ht="31.4" customHeight="1" x14ac:dyDescent="0.35">
      <c r="A954" s="136">
        <v>953</v>
      </c>
      <c r="B954" s="7" t="s">
        <v>8</v>
      </c>
      <c r="C954" s="7" t="s">
        <v>8</v>
      </c>
      <c r="D954" s="7" t="s">
        <v>1576</v>
      </c>
      <c r="E954" s="25">
        <v>45721</v>
      </c>
      <c r="F954" s="9">
        <f>IF($E954="","",WORKDAY($E954,1,$V$33:$V$41))</f>
        <v>45722</v>
      </c>
      <c r="G954" s="9">
        <f>IF($E954="","",WORKDAY($E954,10,$V$33:$V$41))</f>
        <v>45735</v>
      </c>
      <c r="H954" s="9">
        <f>IF($E954="","",WORKDAY($E954,20,$V$33:$V$41))</f>
        <v>45749</v>
      </c>
      <c r="I954" s="157" t="str">
        <f t="shared" si="18"/>
        <v>Mar</v>
      </c>
      <c r="J954" s="142" t="str">
        <f ca="1">IF(E954="","",IF(N954="",H954-TODAY(),""))</f>
        <v/>
      </c>
      <c r="K954" s="157" t="s">
        <v>5</v>
      </c>
      <c r="L954" s="7" t="s">
        <v>16</v>
      </c>
      <c r="M954" s="7" t="s">
        <v>67</v>
      </c>
      <c r="N954" s="16">
        <v>45722</v>
      </c>
      <c r="O954" s="159">
        <f>IF($N954="","",NETWORKDAYS($E954,$N954,$V$33:$V$47)-1)</f>
        <v>1</v>
      </c>
      <c r="P954" s="10" t="str">
        <f>IF(ISBLANK(N954),"",IF(N954&gt;H954,"No","Yes"))</f>
        <v>Yes</v>
      </c>
      <c r="Q954" s="7" t="s">
        <v>117</v>
      </c>
      <c r="R954" s="4" t="s">
        <v>126</v>
      </c>
      <c r="S954" s="4" t="s">
        <v>119</v>
      </c>
      <c r="T954" s="7" t="s">
        <v>2120</v>
      </c>
      <c r="U954" s="6"/>
      <c r="V954" s="6"/>
      <c r="W954" s="6"/>
      <c r="X954" s="6"/>
      <c r="Y954" s="6"/>
      <c r="Z954" s="6"/>
      <c r="AX954" s="6" t="str">
        <v>Quarter 4</v>
      </c>
    </row>
    <row r="955" spans="1:50" ht="31.4" customHeight="1" x14ac:dyDescent="0.35">
      <c r="A955" s="136">
        <v>954</v>
      </c>
      <c r="B955" s="7" t="s">
        <v>1577</v>
      </c>
      <c r="C955" s="7" t="s">
        <v>23</v>
      </c>
      <c r="D955" s="7" t="s">
        <v>430</v>
      </c>
      <c r="E955" s="25"/>
      <c r="F955" s="9"/>
      <c r="G955" s="9"/>
      <c r="H955" s="9"/>
      <c r="I955" s="157" t="s">
        <v>1578</v>
      </c>
      <c r="J955" s="142" t="str">
        <f ca="1">IF(E955="","",IF(N955="",H955-TODAY(),""))</f>
        <v/>
      </c>
      <c r="K955" s="157" t="s">
        <v>124</v>
      </c>
      <c r="L955" s="7" t="s">
        <v>14</v>
      </c>
      <c r="M955" s="7" t="s">
        <v>49</v>
      </c>
      <c r="N955" s="16"/>
      <c r="O955" s="159" t="str">
        <f>IF($N955="","",NETWORKDAYS($E955,$N955,$V$33:$V$47)-1)</f>
        <v/>
      </c>
      <c r="P955" s="10" t="str">
        <f>IF(ISBLANK(N955),"",IF(N955&gt;H955,"No","Yes"))</f>
        <v/>
      </c>
      <c r="Q955" s="7" t="s">
        <v>133</v>
      </c>
      <c r="R955" s="4" t="s">
        <v>133</v>
      </c>
      <c r="S955" s="4"/>
      <c r="T955" s="7" t="s">
        <v>1579</v>
      </c>
      <c r="U955" s="6"/>
      <c r="V955" s="6"/>
      <c r="W955" s="6"/>
      <c r="X955" s="6"/>
      <c r="Y955" s="6"/>
      <c r="Z955" s="6"/>
      <c r="AX955" s="6" t="str">
        <v>Quarter 4</v>
      </c>
    </row>
    <row r="956" spans="1:50" ht="31.4" customHeight="1" x14ac:dyDescent="0.35">
      <c r="A956" s="136">
        <v>955</v>
      </c>
      <c r="B956" s="7" t="s">
        <v>8</v>
      </c>
      <c r="C956" s="7" t="s">
        <v>8</v>
      </c>
      <c r="D956" s="7" t="s">
        <v>1580</v>
      </c>
      <c r="E956" s="25">
        <v>45722</v>
      </c>
      <c r="F956" s="9">
        <f>IF($E956="","",WORKDAY($E956,1,$V$33:$V$41))</f>
        <v>45723</v>
      </c>
      <c r="G956" s="9">
        <f>IF($E956="","",WORKDAY($E956,10,$V$33:$V$41))</f>
        <v>45736</v>
      </c>
      <c r="H956" s="9">
        <f>IF($E956="","",WORKDAY($E956,20,$V$33:$V$41))</f>
        <v>45750</v>
      </c>
      <c r="I956" s="157" t="str">
        <f t="shared" si="18"/>
        <v>Mar</v>
      </c>
      <c r="J956" s="142" t="str">
        <f ca="1">IF(E956="","",IF(N956="",H956-TODAY(),""))</f>
        <v/>
      </c>
      <c r="K956" s="157" t="s">
        <v>5</v>
      </c>
      <c r="L956" s="7" t="s">
        <v>16</v>
      </c>
      <c r="M956" s="7" t="s">
        <v>67</v>
      </c>
      <c r="N956" s="16">
        <v>45730</v>
      </c>
      <c r="O956" s="159">
        <f>IF($N956="","",NETWORKDAYS($E956,$N956,$V$33:$V$47)-1)</f>
        <v>6</v>
      </c>
      <c r="P956" s="10" t="str">
        <f>IF(ISBLANK(N956),"",IF(N956&gt;H956,"No","Yes"))</f>
        <v>Yes</v>
      </c>
      <c r="Q956" s="7" t="s">
        <v>117</v>
      </c>
      <c r="R956" s="4" t="s">
        <v>118</v>
      </c>
      <c r="S956" s="4"/>
      <c r="T956" s="7"/>
      <c r="U956" s="6"/>
      <c r="V956" s="6"/>
      <c r="W956" s="6"/>
      <c r="X956" s="6"/>
      <c r="Y956" s="6"/>
      <c r="Z956" s="6"/>
      <c r="AX956" s="6" t="str">
        <v>Quarter 4</v>
      </c>
    </row>
    <row r="957" spans="1:50" ht="31.4" customHeight="1" x14ac:dyDescent="0.35">
      <c r="A957" s="136">
        <v>956</v>
      </c>
      <c r="B957" s="7" t="s">
        <v>138</v>
      </c>
      <c r="C957" s="7" t="s">
        <v>19</v>
      </c>
      <c r="D957" s="7" t="s">
        <v>1581</v>
      </c>
      <c r="E957" s="25">
        <v>45722</v>
      </c>
      <c r="F957" s="9">
        <f>IF($E957="","",WORKDAY($E957,1,$V$33:$V$41))</f>
        <v>45723</v>
      </c>
      <c r="G957" s="9">
        <f>IF($E957="","",WORKDAY($E957,10,$V$33:$V$41))</f>
        <v>45736</v>
      </c>
      <c r="H957" s="9">
        <f>IF($E957="","",WORKDAY($E957,20,$V$33:$V$41))</f>
        <v>45750</v>
      </c>
      <c r="I957" s="157" t="str">
        <f t="shared" si="18"/>
        <v>Mar</v>
      </c>
      <c r="J957" s="142" t="str">
        <f ca="1">IF(E957="","",IF(N957="",H957-TODAY(),""))</f>
        <v/>
      </c>
      <c r="K957" s="157" t="s">
        <v>124</v>
      </c>
      <c r="L957" s="7" t="s">
        <v>24</v>
      </c>
      <c r="M957" s="7" t="s">
        <v>76</v>
      </c>
      <c r="N957" s="16">
        <v>45727</v>
      </c>
      <c r="O957" s="159">
        <f>IF($N957="","",NETWORKDAYS($E957,$N957,$V$33:$V$47)-1)</f>
        <v>3</v>
      </c>
      <c r="P957" s="10" t="str">
        <f>IF(ISBLANK(N957),"",IF(N957&gt;H957,"No","Yes"))</f>
        <v>Yes</v>
      </c>
      <c r="Q957" s="7" t="s">
        <v>117</v>
      </c>
      <c r="R957" s="4" t="s">
        <v>118</v>
      </c>
      <c r="S957" s="4" t="s">
        <v>135</v>
      </c>
      <c r="T957" s="7" t="s">
        <v>141</v>
      </c>
      <c r="U957" s="6"/>
      <c r="V957" s="6"/>
      <c r="W957" s="6"/>
      <c r="X957" s="6"/>
      <c r="Y957" s="6"/>
      <c r="Z957" s="6"/>
      <c r="AX957" s="6" t="str">
        <v>Quarter 4</v>
      </c>
    </row>
    <row r="958" spans="1:50" ht="31.4" customHeight="1" x14ac:dyDescent="0.35">
      <c r="A958" s="136">
        <v>957</v>
      </c>
      <c r="B958" s="7" t="s">
        <v>1582</v>
      </c>
      <c r="C958" s="7" t="s">
        <v>13</v>
      </c>
      <c r="D958" s="7" t="s">
        <v>1583</v>
      </c>
      <c r="E958" s="25">
        <v>45723</v>
      </c>
      <c r="F958" s="9">
        <f>IF($E958="","",WORKDAY($E958,1,$V$33:$V$41))</f>
        <v>45726</v>
      </c>
      <c r="G958" s="9">
        <f>IF($E958="","",WORKDAY($E958,10,$V$33:$V$41))</f>
        <v>45737</v>
      </c>
      <c r="H958" s="9">
        <f>IF($E958="","",WORKDAY($E958,20,$V$33:$V$41))</f>
        <v>45751</v>
      </c>
      <c r="I958" s="157" t="str">
        <f t="shared" si="18"/>
        <v>Mar</v>
      </c>
      <c r="J958" s="142" t="str">
        <f ca="1">IF(E958="","",IF(N958="",H958-TODAY(),""))</f>
        <v/>
      </c>
      <c r="K958" s="157" t="s">
        <v>5</v>
      </c>
      <c r="L958" s="7" t="s">
        <v>18</v>
      </c>
      <c r="M958" s="7" t="s">
        <v>66</v>
      </c>
      <c r="N958" s="16">
        <v>45723</v>
      </c>
      <c r="O958" s="159">
        <f>IF($N958="","",NETWORKDAYS($E958,$N958,$V$33:$V$47)-1)</f>
        <v>0</v>
      </c>
      <c r="P958" s="10" t="str">
        <f>IF(ISBLANK(N958),"",IF(N958&gt;H958,"No","Yes"))</f>
        <v>Yes</v>
      </c>
      <c r="Q958" s="7" t="s">
        <v>117</v>
      </c>
      <c r="R958" s="4" t="s">
        <v>118</v>
      </c>
      <c r="S958" s="4"/>
      <c r="T958" s="7"/>
      <c r="U958" s="6"/>
      <c r="V958" s="6"/>
      <c r="W958" s="6"/>
      <c r="X958" s="6"/>
      <c r="Y958" s="6"/>
      <c r="Z958" s="6"/>
      <c r="AX958" s="6" t="str">
        <v>Quarter 4</v>
      </c>
    </row>
    <row r="959" spans="1:50" ht="31.4" customHeight="1" x14ac:dyDescent="0.35">
      <c r="A959" s="136">
        <v>958</v>
      </c>
      <c r="B959" s="7" t="s">
        <v>8</v>
      </c>
      <c r="C959" s="7" t="s">
        <v>8</v>
      </c>
      <c r="D959" s="7" t="s">
        <v>1584</v>
      </c>
      <c r="E959" s="25">
        <v>45723</v>
      </c>
      <c r="F959" s="9">
        <f>IF($E959="","",WORKDAY($E959,1,$V$33:$V$41))</f>
        <v>45726</v>
      </c>
      <c r="G959" s="9">
        <f>IF($E959="","",WORKDAY($E959,10,$V$33:$V$41))</f>
        <v>45737</v>
      </c>
      <c r="H959" s="9">
        <f>IF($E959="","",WORKDAY($E959,20,$V$33:$V$41))</f>
        <v>45751</v>
      </c>
      <c r="I959" s="157" t="str">
        <f t="shared" si="18"/>
        <v>Mar</v>
      </c>
      <c r="J959" s="142" t="str">
        <f ca="1">IF(E959="","",IF(N959="",H959-TODAY(),""))</f>
        <v/>
      </c>
      <c r="K959" s="157" t="s">
        <v>5</v>
      </c>
      <c r="L959" s="7" t="s">
        <v>18</v>
      </c>
      <c r="M959" s="7" t="s">
        <v>80</v>
      </c>
      <c r="N959" s="16">
        <v>45727</v>
      </c>
      <c r="O959" s="159">
        <f>IF($N959="","",NETWORKDAYS($E959,$N959,$V$33:$V$47)-1)</f>
        <v>2</v>
      </c>
      <c r="P959" s="10" t="str">
        <f>IF(ISBLANK(N959),"",IF(N959&gt;H959,"No","Yes"))</f>
        <v>Yes</v>
      </c>
      <c r="Q959" s="7" t="s">
        <v>117</v>
      </c>
      <c r="R959" s="4" t="s">
        <v>118</v>
      </c>
      <c r="S959" s="4" t="s">
        <v>135</v>
      </c>
      <c r="T959" s="7"/>
      <c r="U959" s="6"/>
      <c r="V959" s="6"/>
      <c r="W959" s="6"/>
      <c r="X959" s="6"/>
      <c r="Y959" s="6"/>
      <c r="Z959" s="6"/>
      <c r="AX959" s="6" t="str">
        <v>Quarter 4</v>
      </c>
    </row>
    <row r="960" spans="1:50" ht="31.4" customHeight="1" x14ac:dyDescent="0.35">
      <c r="A960" s="136">
        <v>959</v>
      </c>
      <c r="B960" s="7" t="s">
        <v>1453</v>
      </c>
      <c r="C960" s="7" t="s">
        <v>6</v>
      </c>
      <c r="D960" s="7" t="s">
        <v>1452</v>
      </c>
      <c r="E960" s="25">
        <v>45723</v>
      </c>
      <c r="F960" s="9">
        <f>IF($E960="","",WORKDAY($E960,1,$V$33:$V$41))</f>
        <v>45726</v>
      </c>
      <c r="G960" s="9">
        <f>IF($E960="","",WORKDAY($E960,10,$V$33:$V$41))</f>
        <v>45737</v>
      </c>
      <c r="H960" s="9">
        <f>IF($E960="","",WORKDAY($E960,20,$V$33:$V$41))</f>
        <v>45751</v>
      </c>
      <c r="I960" s="157" t="str">
        <f t="shared" si="18"/>
        <v>Mar</v>
      </c>
      <c r="J960" s="142" t="str">
        <f ca="1">IF(E960="","",IF(N960="",H960-TODAY(),""))</f>
        <v/>
      </c>
      <c r="K960" s="157" t="s">
        <v>5</v>
      </c>
      <c r="L960" s="7" t="s">
        <v>18</v>
      </c>
      <c r="M960" s="7" t="s">
        <v>66</v>
      </c>
      <c r="N960" s="16">
        <v>45723</v>
      </c>
      <c r="O960" s="159">
        <f>IF($N960="","",NETWORKDAYS($E960,$N960,$V$33:$V$47)-1)</f>
        <v>0</v>
      </c>
      <c r="P960" s="10" t="str">
        <f>IF(ISBLANK(N960),"",IF(N960&gt;H960,"No","Yes"))</f>
        <v>Yes</v>
      </c>
      <c r="Q960" s="7" t="s">
        <v>117</v>
      </c>
      <c r="R960" s="4" t="s">
        <v>118</v>
      </c>
      <c r="S960" s="4" t="s">
        <v>135</v>
      </c>
      <c r="T960" s="7"/>
      <c r="U960" s="6"/>
      <c r="V960" s="6"/>
      <c r="W960" s="6"/>
      <c r="X960" s="6"/>
      <c r="Y960" s="6"/>
      <c r="Z960" s="6"/>
      <c r="AX960" s="6" t="str">
        <v>Quarter 4</v>
      </c>
    </row>
    <row r="961" spans="1:50" ht="31.4" customHeight="1" x14ac:dyDescent="0.35">
      <c r="A961" s="136">
        <v>960</v>
      </c>
      <c r="B961" s="7" t="s">
        <v>1585</v>
      </c>
      <c r="C961" s="7" t="s">
        <v>15</v>
      </c>
      <c r="D961" s="7" t="s">
        <v>1586</v>
      </c>
      <c r="E961" s="25">
        <v>45723</v>
      </c>
      <c r="F961" s="9">
        <f>IF($E961="","",WORKDAY($E961,1,$V$33:$V$41))</f>
        <v>45726</v>
      </c>
      <c r="G961" s="9">
        <f>IF($E961="","",WORKDAY($E961,10,$V$33:$V$41))</f>
        <v>45737</v>
      </c>
      <c r="H961" s="9">
        <f>IF($E961="","",WORKDAY($E961,20,$V$33:$V$41))</f>
        <v>45751</v>
      </c>
      <c r="I961" s="157" t="str">
        <f t="shared" si="18"/>
        <v>Mar</v>
      </c>
      <c r="J961" s="17" t="str">
        <f ca="1">IF(E961="","",IF(N961="",H961-TODAY(),""))</f>
        <v/>
      </c>
      <c r="K961" s="157" t="s">
        <v>10</v>
      </c>
      <c r="L961" s="7" t="s">
        <v>27</v>
      </c>
      <c r="M961" s="7" t="s">
        <v>37</v>
      </c>
      <c r="N961" s="16">
        <v>45741</v>
      </c>
      <c r="O961" s="159">
        <f>IF($N961="","",NETWORKDAYS($E961,$N961,$V$33:$V$47)-1)</f>
        <v>12</v>
      </c>
      <c r="P961" s="10" t="str">
        <f>IF(ISBLANK(N961),"",IF(N961&gt;H961,"No","Yes"))</f>
        <v>Yes</v>
      </c>
      <c r="Q961" s="7" t="s">
        <v>117</v>
      </c>
      <c r="R961" s="4" t="s">
        <v>126</v>
      </c>
      <c r="S961" s="4" t="s">
        <v>119</v>
      </c>
      <c r="T961" s="7"/>
      <c r="U961" s="6"/>
      <c r="V961" s="6"/>
      <c r="W961" s="6"/>
      <c r="X961" s="6"/>
      <c r="Y961" s="6"/>
      <c r="Z961" s="6"/>
      <c r="AX961" s="6" t="str">
        <v>Quarter 4</v>
      </c>
    </row>
    <row r="962" spans="1:50" ht="31.4" customHeight="1" x14ac:dyDescent="0.35">
      <c r="A962" s="136">
        <v>961</v>
      </c>
      <c r="B962" s="7" t="s">
        <v>8</v>
      </c>
      <c r="C962" s="7" t="s">
        <v>8</v>
      </c>
      <c r="D962" s="7" t="s">
        <v>1587</v>
      </c>
      <c r="E962" s="25">
        <v>45726</v>
      </c>
      <c r="F962" s="9">
        <f>IF($E962="","",WORKDAY($E962,1,$V$33:$V$41))</f>
        <v>45727</v>
      </c>
      <c r="G962" s="9">
        <f>IF($E962="","",WORKDAY($E962,10,$V$33:$V$41))</f>
        <v>45740</v>
      </c>
      <c r="H962" s="9">
        <f>IF($E962="","",WORKDAY($E962,20,$V$33:$V$41))</f>
        <v>45754</v>
      </c>
      <c r="I962" s="157" t="str">
        <f t="shared" ref="I962:I1025" si="19">IF(ISBLANK(E962),"",TEXT(E962,"mmm"))</f>
        <v>Mar</v>
      </c>
      <c r="J962" s="17" t="str">
        <f ca="1">IF(E962="","",IF(N962="",H962-TODAY(),""))</f>
        <v/>
      </c>
      <c r="K962" s="157" t="s">
        <v>10</v>
      </c>
      <c r="L962" s="7" t="s">
        <v>12</v>
      </c>
      <c r="M962" s="7" t="s">
        <v>91</v>
      </c>
      <c r="N962" s="16">
        <v>45726</v>
      </c>
      <c r="O962" s="159">
        <f>IF($N962="","",NETWORKDAYS($E962,$N962,$V$33:$V$47)-1)</f>
        <v>0</v>
      </c>
      <c r="P962" s="10" t="str">
        <f>IF(ISBLANK(N962),"",IF(N962&gt;H962,"No","Yes"))</f>
        <v>Yes</v>
      </c>
      <c r="Q962" s="7" t="s">
        <v>117</v>
      </c>
      <c r="R962" s="4" t="s">
        <v>150</v>
      </c>
      <c r="S962" s="4"/>
      <c r="T962" s="7"/>
      <c r="U962" s="6"/>
      <c r="V962" s="6"/>
      <c r="W962" s="6"/>
      <c r="X962" s="6"/>
      <c r="Y962" s="6"/>
      <c r="Z962" s="6"/>
      <c r="AX962" s="6" t="str">
        <v>Quarter 4</v>
      </c>
    </row>
    <row r="963" spans="1:50" ht="31.4" customHeight="1" x14ac:dyDescent="0.35">
      <c r="A963" s="136">
        <v>962</v>
      </c>
      <c r="B963" s="7" t="s">
        <v>8</v>
      </c>
      <c r="C963" s="7" t="s">
        <v>8</v>
      </c>
      <c r="D963" s="7" t="s">
        <v>2095</v>
      </c>
      <c r="E963" s="25">
        <v>45726</v>
      </c>
      <c r="F963" s="9">
        <f>IF($E963="","",WORKDAY($E963,1,$V$33:$V$41))</f>
        <v>45727</v>
      </c>
      <c r="G963" s="9">
        <f>IF($E963="","",WORKDAY($E963,10,$V$33:$V$41))</f>
        <v>45740</v>
      </c>
      <c r="H963" s="9">
        <f>IF($E963="","",WORKDAY($E963,20,$V$33:$V$41))</f>
        <v>45754</v>
      </c>
      <c r="I963" s="157" t="str">
        <f t="shared" si="19"/>
        <v>Mar</v>
      </c>
      <c r="J963" s="17" t="str">
        <f ca="1">IF(E963="","",IF(N963="",H963-TODAY(),""))</f>
        <v/>
      </c>
      <c r="K963" s="157" t="s">
        <v>10</v>
      </c>
      <c r="L963" s="7" t="s">
        <v>12</v>
      </c>
      <c r="M963" s="7"/>
      <c r="N963" s="16">
        <v>45730</v>
      </c>
      <c r="O963" s="159">
        <f>IF($N963="","",NETWORKDAYS($E963,$N963,$V$33:$V$47)-1)</f>
        <v>4</v>
      </c>
      <c r="P963" s="10" t="str">
        <f>IF(ISBLANK(N963),"",IF(N963&gt;H963,"No","Yes"))</f>
        <v>Yes</v>
      </c>
      <c r="Q963" s="7" t="s">
        <v>117</v>
      </c>
      <c r="R963" s="4" t="s">
        <v>118</v>
      </c>
      <c r="S963" s="4"/>
      <c r="T963" s="7" t="s">
        <v>141</v>
      </c>
      <c r="U963" s="6"/>
      <c r="V963" s="6"/>
      <c r="W963" s="6"/>
      <c r="X963" s="6"/>
      <c r="Y963" s="6"/>
      <c r="Z963" s="6"/>
      <c r="AX963" s="6" t="str">
        <v>Quarter 4</v>
      </c>
    </row>
    <row r="964" spans="1:50" ht="31.4" customHeight="1" x14ac:dyDescent="0.35">
      <c r="A964" s="136">
        <v>963</v>
      </c>
      <c r="B964" s="7" t="s">
        <v>8</v>
      </c>
      <c r="C964" s="7" t="s">
        <v>8</v>
      </c>
      <c r="D964" s="7" t="s">
        <v>1588</v>
      </c>
      <c r="E964" s="25">
        <v>45720</v>
      </c>
      <c r="F964" s="9">
        <f>IF($E964="","",WORKDAY($E964,1,$V$33:$V$41))</f>
        <v>45721</v>
      </c>
      <c r="G964" s="9">
        <f>IF($E964="","",WORKDAY($E964,10,$V$33:$V$41))</f>
        <v>45734</v>
      </c>
      <c r="H964" s="9">
        <f>IF($E964="","",WORKDAY($E964,20,$V$33:$V$41))</f>
        <v>45748</v>
      </c>
      <c r="I964" s="157" t="str">
        <f t="shared" si="19"/>
        <v>Mar</v>
      </c>
      <c r="J964" s="17" t="str">
        <f ca="1">IF(E964="","",IF(N964="",H964-TODAY(),""))</f>
        <v/>
      </c>
      <c r="K964" s="157" t="s">
        <v>4</v>
      </c>
      <c r="L964" s="7" t="s">
        <v>3</v>
      </c>
      <c r="M964" s="7" t="s">
        <v>32</v>
      </c>
      <c r="N964" s="16">
        <v>45748</v>
      </c>
      <c r="O964" s="159">
        <f>IF($N964="","",NETWORKDAYS($E964,$N964,$V$33:$V$47)-1)</f>
        <v>20</v>
      </c>
      <c r="P964" s="10" t="str">
        <f>IF(ISBLANK(N964),"",IF(N964&gt;H964,"No","Yes"))</f>
        <v>Yes</v>
      </c>
      <c r="Q964" s="7" t="s">
        <v>117</v>
      </c>
      <c r="R964" s="4" t="s">
        <v>118</v>
      </c>
      <c r="S964" s="4" t="s">
        <v>119</v>
      </c>
      <c r="T964" s="7"/>
      <c r="U964" s="6"/>
      <c r="V964" s="6"/>
      <c r="W964" s="6"/>
      <c r="X964" s="6"/>
      <c r="Y964" s="6"/>
      <c r="Z964" s="6"/>
      <c r="AX964" s="6" t="str">
        <v>Quarter 4</v>
      </c>
    </row>
    <row r="965" spans="1:50" ht="31.4" customHeight="1" x14ac:dyDescent="0.35">
      <c r="A965" s="136">
        <v>964</v>
      </c>
      <c r="B965" s="7" t="s">
        <v>8</v>
      </c>
      <c r="C965" s="7" t="s">
        <v>8</v>
      </c>
      <c r="D965" s="7" t="s">
        <v>1589</v>
      </c>
      <c r="E965" s="25">
        <v>45726</v>
      </c>
      <c r="F965" s="9">
        <f>IF($E965="","",WORKDAY($E965,1,$V$33:$V$41))</f>
        <v>45727</v>
      </c>
      <c r="G965" s="9">
        <f>IF($E965="","",WORKDAY($E965,10,$V$33:$V$41))</f>
        <v>45740</v>
      </c>
      <c r="H965" s="9">
        <f>IF($E965="","",WORKDAY($E965,20,$V$33:$V$41))</f>
        <v>45754</v>
      </c>
      <c r="I965" s="157" t="str">
        <f t="shared" si="19"/>
        <v>Mar</v>
      </c>
      <c r="J965" s="17" t="str">
        <f ca="1">IF(E965="","",IF(N965="",H965-TODAY(),""))</f>
        <v/>
      </c>
      <c r="K965" s="157" t="s">
        <v>10</v>
      </c>
      <c r="L965" s="7" t="s">
        <v>12</v>
      </c>
      <c r="M965" s="7" t="s">
        <v>91</v>
      </c>
      <c r="N965" s="16">
        <v>45734</v>
      </c>
      <c r="O965" s="159">
        <f>IF($N965="","",NETWORKDAYS($E965,$N965,$V$33:$V$47)-1)</f>
        <v>6</v>
      </c>
      <c r="P965" s="10" t="str">
        <f>IF(ISBLANK(N965),"",IF(N965&gt;H965,"No","Yes"))</f>
        <v>Yes</v>
      </c>
      <c r="Q965" s="7" t="s">
        <v>117</v>
      </c>
      <c r="R965" s="4" t="s">
        <v>118</v>
      </c>
      <c r="S965" s="4"/>
      <c r="T965" s="7" t="s">
        <v>141</v>
      </c>
      <c r="U965" s="6"/>
      <c r="V965" s="6"/>
      <c r="W965" s="6"/>
      <c r="X965" s="6"/>
      <c r="Y965" s="6"/>
      <c r="Z965" s="6"/>
      <c r="AX965" s="6" t="str">
        <v>Quarter 4</v>
      </c>
    </row>
    <row r="966" spans="1:50" ht="31.4" customHeight="1" x14ac:dyDescent="0.35">
      <c r="A966" s="136">
        <v>965</v>
      </c>
      <c r="B966" s="7" t="s">
        <v>8</v>
      </c>
      <c r="C966" s="7" t="s">
        <v>8</v>
      </c>
      <c r="D966" s="7" t="s">
        <v>1590</v>
      </c>
      <c r="E966" s="25">
        <v>45726</v>
      </c>
      <c r="F966" s="9">
        <f>IF($E966="","",WORKDAY($E966,1,$V$33:$V$41))</f>
        <v>45727</v>
      </c>
      <c r="G966" s="9">
        <f>IF($E966="","",WORKDAY($E966,10,$V$33:$V$41))</f>
        <v>45740</v>
      </c>
      <c r="H966" s="9">
        <f>IF($E966="","",WORKDAY($E966,20,$V$33:$V$41))</f>
        <v>45754</v>
      </c>
      <c r="I966" s="157" t="str">
        <f t="shared" si="19"/>
        <v>Mar</v>
      </c>
      <c r="J966" s="17" t="str">
        <f ca="1">IF(E966="","",IF(N966="",H966-TODAY(),""))</f>
        <v/>
      </c>
      <c r="K966" s="157" t="s">
        <v>5</v>
      </c>
      <c r="L966" s="7" t="s">
        <v>18</v>
      </c>
      <c r="M966" s="7" t="s">
        <v>66</v>
      </c>
      <c r="N966" s="16">
        <v>45727</v>
      </c>
      <c r="O966" s="159">
        <f>IF($N966="","",NETWORKDAYS($E966,$N966,$V$33:$V$47)-1)</f>
        <v>1</v>
      </c>
      <c r="P966" s="10" t="str">
        <f>IF(ISBLANK(N966),"",IF(N966&gt;H966,"No","Yes"))</f>
        <v>Yes</v>
      </c>
      <c r="Q966" s="7" t="s">
        <v>117</v>
      </c>
      <c r="R966" s="4" t="s">
        <v>150</v>
      </c>
      <c r="S966" s="4"/>
      <c r="T966" s="7"/>
      <c r="U966" s="6"/>
      <c r="V966" s="6"/>
      <c r="W966" s="6"/>
      <c r="X966" s="6"/>
      <c r="Y966" s="6"/>
      <c r="Z966" s="6"/>
      <c r="AX966" s="6" t="str">
        <v>Quarter 4</v>
      </c>
    </row>
    <row r="967" spans="1:50" ht="31.4" customHeight="1" x14ac:dyDescent="0.35">
      <c r="A967" s="136">
        <v>966</v>
      </c>
      <c r="B967" s="7" t="s">
        <v>8</v>
      </c>
      <c r="C967" s="7" t="s">
        <v>8</v>
      </c>
      <c r="D967" s="7" t="s">
        <v>1591</v>
      </c>
      <c r="E967" s="25">
        <v>45726</v>
      </c>
      <c r="F967" s="9">
        <f>IF($E967="","",WORKDAY($E967,1,$V$33:$V$41))</f>
        <v>45727</v>
      </c>
      <c r="G967" s="9">
        <f>IF($E967="","",WORKDAY($E967,10,$V$33:$V$41))</f>
        <v>45740</v>
      </c>
      <c r="H967" s="9">
        <f>IF($E967="","",WORKDAY($E967,20,$V$33:$V$41))</f>
        <v>45754</v>
      </c>
      <c r="I967" s="157" t="str">
        <f t="shared" si="19"/>
        <v>Mar</v>
      </c>
      <c r="J967" s="17" t="str">
        <f ca="1">IF(E967="","",IF(N967="",H967-TODAY(),""))</f>
        <v/>
      </c>
      <c r="K967" s="157" t="s">
        <v>124</v>
      </c>
      <c r="L967" s="7" t="s">
        <v>20</v>
      </c>
      <c r="M967" s="7" t="s">
        <v>62</v>
      </c>
      <c r="N967" s="16">
        <v>45730</v>
      </c>
      <c r="O967" s="159">
        <f>IF($N967="","",NETWORKDAYS($E967,$N967,$V$33:$V$47)-1)</f>
        <v>4</v>
      </c>
      <c r="P967" s="10" t="str">
        <f>IF(ISBLANK(N967),"",IF(N967&gt;H967,"No","Yes"))</f>
        <v>Yes</v>
      </c>
      <c r="Q967" s="7" t="s">
        <v>117</v>
      </c>
      <c r="R967" s="4" t="s">
        <v>118</v>
      </c>
      <c r="S967" s="4"/>
      <c r="T967" s="7" t="s">
        <v>141</v>
      </c>
      <c r="U967" s="6"/>
      <c r="V967" s="6"/>
      <c r="W967" s="6"/>
      <c r="X967" s="6"/>
      <c r="Y967" s="6"/>
      <c r="Z967" s="6"/>
      <c r="AX967" s="6" t="str">
        <v>Quarter 4</v>
      </c>
    </row>
    <row r="968" spans="1:50" ht="31.4" customHeight="1" x14ac:dyDescent="0.35">
      <c r="A968" s="136">
        <v>967</v>
      </c>
      <c r="B968" s="7" t="s">
        <v>1592</v>
      </c>
      <c r="C968" s="7" t="s">
        <v>13</v>
      </c>
      <c r="D968" s="7" t="s">
        <v>1593</v>
      </c>
      <c r="E968" s="25">
        <v>45726</v>
      </c>
      <c r="F968" s="9">
        <f>IF($E968="","",WORKDAY($E968,1,$V$33:$V$41))</f>
        <v>45727</v>
      </c>
      <c r="G968" s="9">
        <f>IF($E968="","",WORKDAY($E968,10,$V$33:$V$41))</f>
        <v>45740</v>
      </c>
      <c r="H968" s="9">
        <f>IF($E968="","",WORKDAY($E968,20,$V$33:$V$41))</f>
        <v>45754</v>
      </c>
      <c r="I968" s="157" t="str">
        <f t="shared" si="19"/>
        <v>Mar</v>
      </c>
      <c r="J968" s="17" t="str">
        <f ca="1">IF(E968="","",IF(N968="",H968-TODAY(),""))</f>
        <v/>
      </c>
      <c r="K968" s="157" t="s">
        <v>5</v>
      </c>
      <c r="L968" s="7" t="s">
        <v>16</v>
      </c>
      <c r="M968" s="7" t="s">
        <v>71</v>
      </c>
      <c r="N968" s="16">
        <v>45727</v>
      </c>
      <c r="O968" s="159">
        <f>IF($N968="","",NETWORKDAYS($E968,$N968,$V$33:$V$47)-1)</f>
        <v>1</v>
      </c>
      <c r="P968" s="10" t="str">
        <f>IF(ISBLANK(N968),"",IF(N968&gt;H968,"No","Yes"))</f>
        <v>Yes</v>
      </c>
      <c r="Q968" s="7" t="s">
        <v>117</v>
      </c>
      <c r="R968" s="4" t="s">
        <v>150</v>
      </c>
      <c r="S968" s="4"/>
      <c r="T968" s="7"/>
      <c r="U968" s="6"/>
      <c r="V968" s="6"/>
      <c r="W968" s="6"/>
      <c r="X968" s="6"/>
      <c r="Y968" s="6"/>
      <c r="Z968" s="6"/>
      <c r="AX968" s="6" t="str">
        <v>Quarter 4</v>
      </c>
    </row>
    <row r="969" spans="1:50" ht="31.4" customHeight="1" x14ac:dyDescent="0.35">
      <c r="A969" s="136">
        <v>968</v>
      </c>
      <c r="B969" s="7" t="s">
        <v>1594</v>
      </c>
      <c r="C969" s="7" t="s">
        <v>15</v>
      </c>
      <c r="D969" s="7" t="s">
        <v>1595</v>
      </c>
      <c r="E969" s="25">
        <v>45726</v>
      </c>
      <c r="F969" s="9">
        <f>IF($E969="","",WORKDAY($E969,1,$V$33:$V$41))</f>
        <v>45727</v>
      </c>
      <c r="G969" s="9">
        <f>IF($E969="","",WORKDAY($E969,10,$V$33:$V$41))</f>
        <v>45740</v>
      </c>
      <c r="H969" s="9">
        <f>IF($E969="","",WORKDAY($E969,20,$V$33:$V$41))</f>
        <v>45754</v>
      </c>
      <c r="I969" s="157" t="str">
        <f t="shared" si="19"/>
        <v>Mar</v>
      </c>
      <c r="J969" s="17" t="str">
        <f ca="1">IF(E969="","",IF(N969="",H969-TODAY(),""))</f>
        <v/>
      </c>
      <c r="K969" s="157" t="s">
        <v>10</v>
      </c>
      <c r="L969" s="7" t="s">
        <v>9</v>
      </c>
      <c r="M969" s="7" t="s">
        <v>38</v>
      </c>
      <c r="N969" s="16">
        <v>45754</v>
      </c>
      <c r="O969" s="159">
        <f>IF($N969="","",NETWORKDAYS($E969,$N969,$V$33:$V$47)-1)</f>
        <v>20</v>
      </c>
      <c r="P969" s="10" t="str">
        <f>IF(ISBLANK(N969),"",IF(N969&gt;H969,"No","Yes"))</f>
        <v>Yes</v>
      </c>
      <c r="Q969" s="7" t="s">
        <v>117</v>
      </c>
      <c r="R969" s="4" t="s">
        <v>118</v>
      </c>
      <c r="S969" s="4"/>
      <c r="T969" s="7" t="s">
        <v>141</v>
      </c>
      <c r="U969" s="6"/>
      <c r="V969" s="6"/>
      <c r="W969" s="6"/>
      <c r="X969" s="6"/>
      <c r="Y969" s="6"/>
      <c r="Z969" s="6"/>
      <c r="AX969" s="6" t="str">
        <v>Quarter 4</v>
      </c>
    </row>
    <row r="970" spans="1:50" ht="31.4" customHeight="1" x14ac:dyDescent="0.35">
      <c r="A970" s="136">
        <v>969</v>
      </c>
      <c r="B970" s="7" t="s">
        <v>293</v>
      </c>
      <c r="C970" s="7" t="s">
        <v>6</v>
      </c>
      <c r="D970" s="7" t="s">
        <v>1596</v>
      </c>
      <c r="E970" s="25">
        <v>45726</v>
      </c>
      <c r="F970" s="9">
        <f>IF($E970="","",WORKDAY($E970,1,$V$33:$V$41))</f>
        <v>45727</v>
      </c>
      <c r="G970" s="9">
        <f>IF($E970="","",WORKDAY($E970,10,$V$33:$V$41))</f>
        <v>45740</v>
      </c>
      <c r="H970" s="9">
        <f>IF($E970="","",WORKDAY($E970,20,$V$33:$V$41))</f>
        <v>45754</v>
      </c>
      <c r="I970" s="157" t="str">
        <f t="shared" si="19"/>
        <v>Mar</v>
      </c>
      <c r="J970" s="17" t="str">
        <f ca="1">IF(E970="","",IF(N970="",H970-TODAY(),""))</f>
        <v/>
      </c>
      <c r="K970" s="157" t="s">
        <v>5</v>
      </c>
      <c r="L970" s="7" t="s">
        <v>16</v>
      </c>
      <c r="M970" s="7" t="s">
        <v>71</v>
      </c>
      <c r="N970" s="16">
        <v>45727</v>
      </c>
      <c r="O970" s="159">
        <f>IF($N970="","",NETWORKDAYS($E970,$N970,$V$33:$V$47)-1)</f>
        <v>1</v>
      </c>
      <c r="P970" s="10" t="str">
        <f>IF(ISBLANK(N970),"",IF(N970&gt;H970,"No","Yes"))</f>
        <v>Yes</v>
      </c>
      <c r="Q970" s="7" t="s">
        <v>117</v>
      </c>
      <c r="R970" s="4" t="s">
        <v>118</v>
      </c>
      <c r="S970" s="4"/>
      <c r="T970" s="7"/>
      <c r="U970" s="6"/>
      <c r="V970" s="6"/>
      <c r="W970" s="6"/>
      <c r="X970" s="6"/>
      <c r="Y970" s="6"/>
      <c r="Z970" s="6"/>
      <c r="AX970" s="6" t="str">
        <v>Quarter 4</v>
      </c>
    </row>
    <row r="971" spans="1:50" ht="31.4" customHeight="1" x14ac:dyDescent="0.35">
      <c r="A971" s="136">
        <v>970</v>
      </c>
      <c r="B971" s="7" t="s">
        <v>1597</v>
      </c>
      <c r="C971" s="7" t="s">
        <v>13</v>
      </c>
      <c r="D971" s="211" t="s">
        <v>1598</v>
      </c>
      <c r="E971" s="25">
        <v>45727</v>
      </c>
      <c r="F971" s="9">
        <f>IF($E971="","",WORKDAY($E971,1,$V$33:$V$41))</f>
        <v>45728</v>
      </c>
      <c r="G971" s="9">
        <f>IF($E971="","",WORKDAY($E971,10,$V$33:$V$41))</f>
        <v>45741</v>
      </c>
      <c r="H971" s="9">
        <f>IF($E971="","",WORKDAY($E971,20,$V$33:$V$41))</f>
        <v>45755</v>
      </c>
      <c r="I971" s="157" t="str">
        <f t="shared" si="19"/>
        <v>Mar</v>
      </c>
      <c r="J971" s="17" t="str">
        <f ca="1">IF(E971="","",IF(N971="",H971-TODAY(),""))</f>
        <v/>
      </c>
      <c r="K971" s="157" t="s">
        <v>5</v>
      </c>
      <c r="L971" s="7" t="s">
        <v>16</v>
      </c>
      <c r="M971" s="7" t="s">
        <v>52</v>
      </c>
      <c r="N971" s="16">
        <v>45734</v>
      </c>
      <c r="O971" s="159">
        <f>IF($N971="","",NETWORKDAYS($E971,$N971,$V$33:$V$47)-1)</f>
        <v>5</v>
      </c>
      <c r="P971" s="10" t="str">
        <f>IF(ISBLANK(N971),"",IF(N971&gt;H971,"No","Yes"))</f>
        <v>Yes</v>
      </c>
      <c r="Q971" s="7" t="s">
        <v>117</v>
      </c>
      <c r="R971" s="4" t="s">
        <v>118</v>
      </c>
      <c r="S971" s="4" t="s">
        <v>135</v>
      </c>
      <c r="T971" s="7"/>
      <c r="U971" s="6"/>
      <c r="V971" s="6"/>
      <c r="W971" s="6"/>
      <c r="X971" s="6"/>
      <c r="Y971" s="6"/>
      <c r="Z971" s="6"/>
      <c r="AX971" s="6" t="str">
        <v>Quarter 4</v>
      </c>
    </row>
    <row r="972" spans="1:50" ht="31.4" customHeight="1" x14ac:dyDescent="0.35">
      <c r="A972" s="136">
        <v>971</v>
      </c>
      <c r="B972" s="7" t="s">
        <v>1599</v>
      </c>
      <c r="C972" s="7" t="s">
        <v>13</v>
      </c>
      <c r="D972" s="210" t="s">
        <v>1600</v>
      </c>
      <c r="E972" s="25">
        <v>45727</v>
      </c>
      <c r="F972" s="9">
        <f>IF($E972="","",WORKDAY($E972,1,$V$33:$V$41))</f>
        <v>45728</v>
      </c>
      <c r="G972" s="9">
        <f>IF($E972="","",WORKDAY($E972,10,$V$33:$V$41))</f>
        <v>45741</v>
      </c>
      <c r="H972" s="9">
        <f>IF($E972="","",WORKDAY($E972,20,$V$33:$V$41))</f>
        <v>45755</v>
      </c>
      <c r="I972" s="157" t="str">
        <f t="shared" si="19"/>
        <v>Mar</v>
      </c>
      <c r="J972" s="17" t="str">
        <f ca="1">IF(E972="","",IF(N972="",H972-TODAY(),""))</f>
        <v/>
      </c>
      <c r="K972" s="157" t="s">
        <v>124</v>
      </c>
      <c r="L972" s="7" t="s">
        <v>24</v>
      </c>
      <c r="M972" s="7" t="s">
        <v>76</v>
      </c>
      <c r="N972" s="16">
        <v>45742</v>
      </c>
      <c r="O972" s="159">
        <f>IF($N972="","",NETWORKDAYS($E972,$N972,$V$33:$V$47)-1)</f>
        <v>11</v>
      </c>
      <c r="P972" s="10" t="str">
        <f>IF(ISBLANK(N972),"",IF(N972&gt;H972,"No","Yes"))</f>
        <v>Yes</v>
      </c>
      <c r="Q972" s="7" t="s">
        <v>117</v>
      </c>
      <c r="R972" s="4" t="s">
        <v>118</v>
      </c>
      <c r="S972" s="4"/>
      <c r="T972" s="7"/>
      <c r="U972" s="6"/>
      <c r="V972" s="6"/>
      <c r="W972" s="6"/>
      <c r="X972" s="6"/>
      <c r="Y972" s="6"/>
      <c r="Z972" s="6"/>
      <c r="AX972" s="6" t="str">
        <v>Quarter 4</v>
      </c>
    </row>
    <row r="973" spans="1:50" ht="31.4" customHeight="1" x14ac:dyDescent="0.35">
      <c r="A973" s="136">
        <v>972</v>
      </c>
      <c r="B973" s="7" t="s">
        <v>1601</v>
      </c>
      <c r="C973" s="7" t="s">
        <v>15</v>
      </c>
      <c r="D973" s="7" t="s">
        <v>1602</v>
      </c>
      <c r="E973" s="25">
        <v>45727</v>
      </c>
      <c r="F973" s="9">
        <f>IF($E973="","",WORKDAY($E973,1,$V$33:$V$41))</f>
        <v>45728</v>
      </c>
      <c r="G973" s="9">
        <f>IF($E973="","",WORKDAY($E973,10,$V$33:$V$41))</f>
        <v>45741</v>
      </c>
      <c r="H973" s="9">
        <f>IF($E973="","",WORKDAY($E973,20,$V$33:$V$41))</f>
        <v>45755</v>
      </c>
      <c r="I973" s="157" t="str">
        <f t="shared" si="19"/>
        <v>Mar</v>
      </c>
      <c r="J973" s="17" t="str">
        <f ca="1">IF(E973="","",IF(N973="",H973-TODAY(),""))</f>
        <v/>
      </c>
      <c r="K973" s="157" t="s">
        <v>5</v>
      </c>
      <c r="L973" s="7" t="s">
        <v>16</v>
      </c>
      <c r="M973" s="7" t="s">
        <v>71</v>
      </c>
      <c r="N973" s="16">
        <v>45755</v>
      </c>
      <c r="O973" s="159">
        <f>IF($N973="","",NETWORKDAYS($E973,$N973,$V$33:$V$47)-1)</f>
        <v>20</v>
      </c>
      <c r="P973" s="10" t="str">
        <f>IF(ISBLANK(N973),"",IF(N973&gt;H973,"No","Yes"))</f>
        <v>Yes</v>
      </c>
      <c r="Q973" s="7" t="s">
        <v>117</v>
      </c>
      <c r="R973" s="4" t="s">
        <v>118</v>
      </c>
      <c r="S973" s="4"/>
      <c r="T973" s="7" t="s">
        <v>141</v>
      </c>
      <c r="U973" s="6"/>
      <c r="V973" s="6"/>
      <c r="W973" s="6"/>
      <c r="X973" s="6"/>
      <c r="Y973" s="6"/>
      <c r="Z973" s="6"/>
      <c r="AX973" s="6" t="str">
        <v>Quarter 4</v>
      </c>
    </row>
    <row r="974" spans="1:50" ht="31.4" customHeight="1" x14ac:dyDescent="0.35">
      <c r="A974" s="136">
        <v>973</v>
      </c>
      <c r="B974" s="7" t="s">
        <v>1603</v>
      </c>
      <c r="C974" s="7" t="s">
        <v>15</v>
      </c>
      <c r="D974" s="7" t="s">
        <v>1604</v>
      </c>
      <c r="E974" s="25">
        <v>45727</v>
      </c>
      <c r="F974" s="9">
        <f>IF($E974="","",WORKDAY($E974,1,$V$33:$V$41))</f>
        <v>45728</v>
      </c>
      <c r="G974" s="9">
        <f>IF($E974="","",WORKDAY($E974,10,$V$33:$V$41))</f>
        <v>45741</v>
      </c>
      <c r="H974" s="9">
        <f>IF($E974="","",WORKDAY($E974,20,$V$33:$V$41))</f>
        <v>45755</v>
      </c>
      <c r="I974" s="157" t="str">
        <f t="shared" si="19"/>
        <v>Mar</v>
      </c>
      <c r="J974" s="17" t="str">
        <f ca="1">IF(E974="","",IF(N974="",H974-TODAY(),""))</f>
        <v/>
      </c>
      <c r="K974" s="157" t="s">
        <v>124</v>
      </c>
      <c r="L974" s="7" t="s">
        <v>20</v>
      </c>
      <c r="M974" s="7" t="s">
        <v>70</v>
      </c>
      <c r="N974" s="16">
        <v>45730</v>
      </c>
      <c r="O974" s="159">
        <f>IF($N974="","",NETWORKDAYS($E974,$N974,$V$33:$V$47)-1)</f>
        <v>3</v>
      </c>
      <c r="P974" s="10" t="str">
        <f>IF(ISBLANK(N974),"",IF(N974&gt;H974,"No","Yes"))</f>
        <v>Yes</v>
      </c>
      <c r="Q974" s="7" t="s">
        <v>117</v>
      </c>
      <c r="R974" s="4" t="s">
        <v>118</v>
      </c>
      <c r="S974" s="4" t="s">
        <v>119</v>
      </c>
      <c r="T974" s="7"/>
      <c r="U974" s="6"/>
      <c r="V974" s="6"/>
      <c r="W974" s="6"/>
      <c r="X974" s="6"/>
      <c r="Y974" s="6"/>
      <c r="Z974" s="6"/>
      <c r="AX974" s="6" t="str">
        <v>Quarter 4</v>
      </c>
    </row>
    <row r="975" spans="1:50" ht="31.4" customHeight="1" x14ac:dyDescent="0.35">
      <c r="A975" s="136">
        <v>974</v>
      </c>
      <c r="B975" s="7" t="s">
        <v>1605</v>
      </c>
      <c r="C975" s="7" t="s">
        <v>13</v>
      </c>
      <c r="D975" s="7" t="s">
        <v>1606</v>
      </c>
      <c r="E975" s="25">
        <v>45727</v>
      </c>
      <c r="F975" s="9">
        <f>IF($E975="","",WORKDAY($E975,1,$V$33:$V$41))</f>
        <v>45728</v>
      </c>
      <c r="G975" s="9">
        <f>IF($E975="","",WORKDAY($E975,10,$V$33:$V$41))</f>
        <v>45741</v>
      </c>
      <c r="H975" s="9">
        <f>IF($E975="","",WORKDAY($E975,20,$V$33:$V$41))</f>
        <v>45755</v>
      </c>
      <c r="I975" s="157" t="str">
        <f t="shared" si="19"/>
        <v>Mar</v>
      </c>
      <c r="J975" s="17" t="str">
        <f ca="1">IF(E975="","",IF(N975="",H975-TODAY(),""))</f>
        <v/>
      </c>
      <c r="K975" s="157" t="s">
        <v>10</v>
      </c>
      <c r="L975" s="7" t="s">
        <v>9</v>
      </c>
      <c r="M975" s="7" t="s">
        <v>38</v>
      </c>
      <c r="N975" s="16">
        <v>45754</v>
      </c>
      <c r="O975" s="159">
        <f>IF($N975="","",NETWORKDAYS($E975,$N975,$V$33:$V$47)-1)</f>
        <v>19</v>
      </c>
      <c r="P975" s="10" t="str">
        <f>IF(ISBLANK(N975),"",IF(N975&gt;H975,"No","Yes"))</f>
        <v>Yes</v>
      </c>
      <c r="Q975" s="7" t="s">
        <v>117</v>
      </c>
      <c r="R975" s="4" t="s">
        <v>118</v>
      </c>
      <c r="S975" s="4"/>
      <c r="T975" s="7"/>
      <c r="U975" s="6"/>
      <c r="V975" s="6"/>
      <c r="W975" s="6"/>
      <c r="X975" s="6"/>
      <c r="Y975" s="6"/>
      <c r="Z975" s="6"/>
      <c r="AX975" s="6" t="str">
        <v>Quarter 4</v>
      </c>
    </row>
    <row r="976" spans="1:50" ht="31.4" customHeight="1" x14ac:dyDescent="0.35">
      <c r="A976" s="136">
        <v>975</v>
      </c>
      <c r="B976" s="7" t="s">
        <v>138</v>
      </c>
      <c r="C976" s="7" t="s">
        <v>19</v>
      </c>
      <c r="D976" s="7" t="s">
        <v>1607</v>
      </c>
      <c r="E976" s="25">
        <v>45728</v>
      </c>
      <c r="F976" s="9">
        <f>IF($E976="","",WORKDAY($E976,1,$V$33:$V$41))</f>
        <v>45729</v>
      </c>
      <c r="G976" s="9">
        <f>IF($E976="","",WORKDAY($E976,10,$V$33:$V$41))</f>
        <v>45742</v>
      </c>
      <c r="H976" s="9">
        <f>IF($E976="","",WORKDAY($E976,20,$V$33:$V$41))</f>
        <v>45756</v>
      </c>
      <c r="I976" s="157" t="str">
        <f t="shared" si="19"/>
        <v>Mar</v>
      </c>
      <c r="J976" s="17" t="str">
        <f ca="1">IF(E976="","",IF(N976="",H976-TODAY(),""))</f>
        <v/>
      </c>
      <c r="K976" s="157" t="s">
        <v>10</v>
      </c>
      <c r="L976" s="7" t="s">
        <v>9</v>
      </c>
      <c r="M976" s="7" t="s">
        <v>38</v>
      </c>
      <c r="N976" s="16">
        <v>45728</v>
      </c>
      <c r="O976" s="159">
        <f>IF($N976="","",NETWORKDAYS($E976,$N976,$V$33:$V$47)-1)</f>
        <v>0</v>
      </c>
      <c r="P976" s="10" t="str">
        <f>IF(ISBLANK(N976),"",IF(N976&gt;H976,"No","Yes"))</f>
        <v>Yes</v>
      </c>
      <c r="Q976" s="7" t="s">
        <v>117</v>
      </c>
      <c r="R976" s="4" t="s">
        <v>118</v>
      </c>
      <c r="S976" s="4"/>
      <c r="T976" s="7"/>
      <c r="U976" s="6"/>
      <c r="V976" s="6"/>
      <c r="W976" s="6"/>
      <c r="X976" s="6"/>
      <c r="Y976" s="6"/>
      <c r="Z976" s="6"/>
      <c r="AX976" s="6" t="str">
        <v>Quarter 4</v>
      </c>
    </row>
    <row r="977" spans="1:50" ht="31.4" customHeight="1" x14ac:dyDescent="0.35">
      <c r="A977" s="136">
        <v>976</v>
      </c>
      <c r="B977" s="7" t="s">
        <v>8</v>
      </c>
      <c r="C977" s="7" t="s">
        <v>8</v>
      </c>
      <c r="D977" s="7" t="s">
        <v>1608</v>
      </c>
      <c r="E977" s="25">
        <v>45728</v>
      </c>
      <c r="F977" s="9">
        <f>IF($E977="","",WORKDAY($E977,1,$V$33:$V$41))</f>
        <v>45729</v>
      </c>
      <c r="G977" s="9">
        <f>IF($E977="","",WORKDAY($E977,10,$V$33:$V$41))</f>
        <v>45742</v>
      </c>
      <c r="H977" s="9">
        <f>IF($E977="","",WORKDAY($E977,20,$V$33:$V$41))</f>
        <v>45756</v>
      </c>
      <c r="I977" s="157" t="str">
        <f t="shared" si="19"/>
        <v>Mar</v>
      </c>
      <c r="J977" s="17" t="str">
        <f ca="1">IF(E977="","",IF(N977="",H977-TODAY(),""))</f>
        <v/>
      </c>
      <c r="K977" s="157" t="s">
        <v>10</v>
      </c>
      <c r="L977" s="7" t="s">
        <v>12</v>
      </c>
      <c r="M977" s="7" t="s">
        <v>30</v>
      </c>
      <c r="N977" s="16">
        <v>45729</v>
      </c>
      <c r="O977" s="159">
        <f>IF($N977="","",NETWORKDAYS($E977,$N977,$V$33:$V$47)-1)</f>
        <v>1</v>
      </c>
      <c r="P977" s="10" t="str">
        <f>IF(ISBLANK(N977),"",IF(N977&gt;H977,"No","Yes"))</f>
        <v>Yes</v>
      </c>
      <c r="Q977" s="7" t="s">
        <v>117</v>
      </c>
      <c r="R977" s="4" t="s">
        <v>118</v>
      </c>
      <c r="S977" s="4"/>
      <c r="T977" s="7"/>
      <c r="U977" s="6"/>
      <c r="V977" s="6"/>
      <c r="W977" s="6"/>
      <c r="X977" s="6"/>
      <c r="Y977" s="6"/>
      <c r="Z977" s="6"/>
      <c r="AX977" s="6" t="str">
        <v>Quarter 4</v>
      </c>
    </row>
    <row r="978" spans="1:50" ht="31.4" customHeight="1" x14ac:dyDescent="0.35">
      <c r="A978" s="136">
        <v>977</v>
      </c>
      <c r="B978" s="7" t="s">
        <v>1609</v>
      </c>
      <c r="C978" s="7" t="s">
        <v>17</v>
      </c>
      <c r="D978" s="7" t="s">
        <v>1610</v>
      </c>
      <c r="E978" s="25">
        <v>45728</v>
      </c>
      <c r="F978" s="9">
        <f>IF($E978="","",WORKDAY($E978,1,$V$33:$V$41))</f>
        <v>45729</v>
      </c>
      <c r="G978" s="9">
        <f>IF($E978="","",WORKDAY($E978,10,$V$33:$V$41))</f>
        <v>45742</v>
      </c>
      <c r="H978" s="9">
        <f>IF($E978="","",WORKDAY($E978,20,$V$33:$V$41))</f>
        <v>45756</v>
      </c>
      <c r="I978" s="157" t="str">
        <f t="shared" si="19"/>
        <v>Mar</v>
      </c>
      <c r="J978" s="17" t="str">
        <f ca="1">IF(E978="","",IF(N978="",H978-TODAY(),""))</f>
        <v/>
      </c>
      <c r="K978" s="157" t="s">
        <v>10</v>
      </c>
      <c r="L978" s="7" t="s">
        <v>27</v>
      </c>
      <c r="M978" s="7" t="s">
        <v>37</v>
      </c>
      <c r="N978" s="16">
        <v>45743</v>
      </c>
      <c r="O978" s="159">
        <f>IF($N978="","",NETWORKDAYS($E978,$N978,$V$33:$V$47)-1)</f>
        <v>11</v>
      </c>
      <c r="P978" s="10" t="str">
        <f>IF(ISBLANK(N978),"",IF(N978&gt;H978,"No","Yes"))</f>
        <v>Yes</v>
      </c>
      <c r="Q978" s="7" t="s">
        <v>117</v>
      </c>
      <c r="R978" s="4" t="s">
        <v>126</v>
      </c>
      <c r="S978" s="4" t="s">
        <v>119</v>
      </c>
      <c r="T978" s="7"/>
      <c r="U978" s="6"/>
      <c r="V978" s="6"/>
      <c r="W978" s="6"/>
      <c r="X978" s="6"/>
      <c r="Y978" s="6"/>
      <c r="Z978" s="6"/>
      <c r="AX978" s="6" t="str">
        <v>Quarter 4</v>
      </c>
    </row>
    <row r="979" spans="1:50" ht="31.4" customHeight="1" x14ac:dyDescent="0.35">
      <c r="A979" s="136">
        <v>978</v>
      </c>
      <c r="B979" s="7" t="s">
        <v>1611</v>
      </c>
      <c r="C979" s="7" t="s">
        <v>6</v>
      </c>
      <c r="D979" s="7" t="s">
        <v>1612</v>
      </c>
      <c r="E979" s="25">
        <v>45728</v>
      </c>
      <c r="F979" s="9">
        <f>IF($E979="","",WORKDAY($E979,1,$V$33:$V$41))</f>
        <v>45729</v>
      </c>
      <c r="G979" s="9">
        <f>IF($E979="","",WORKDAY($E979,10,$V$33:$V$41))</f>
        <v>45742</v>
      </c>
      <c r="H979" s="9">
        <f>IF($E979="","",WORKDAY($E979,20,$V$33:$V$41))</f>
        <v>45756</v>
      </c>
      <c r="I979" s="157" t="str">
        <f t="shared" si="19"/>
        <v>Mar</v>
      </c>
      <c r="J979" s="17" t="str">
        <f ca="1">IF(E979="","",IF(N979="",H979-TODAY(),""))</f>
        <v/>
      </c>
      <c r="K979" s="157" t="s">
        <v>5</v>
      </c>
      <c r="L979" s="7" t="s">
        <v>18</v>
      </c>
      <c r="M979" s="7" t="s">
        <v>66</v>
      </c>
      <c r="N979" s="16">
        <v>45728</v>
      </c>
      <c r="O979" s="159">
        <f>IF($N979="","",NETWORKDAYS($E979,$N979,$V$33:$V$47)-1)</f>
        <v>0</v>
      </c>
      <c r="P979" s="10" t="str">
        <f>IF(ISBLANK(N979),"",IF(N979&gt;H979,"No","Yes"))</f>
        <v>Yes</v>
      </c>
      <c r="Q979" s="7" t="s">
        <v>117</v>
      </c>
      <c r="R979" s="4" t="s">
        <v>118</v>
      </c>
      <c r="S979" s="4"/>
      <c r="T979" s="7"/>
      <c r="U979" s="6"/>
      <c r="V979" s="6"/>
      <c r="W979" s="6"/>
      <c r="X979" s="6"/>
      <c r="Y979" s="6"/>
      <c r="Z979" s="6"/>
      <c r="AX979" s="6" t="str">
        <v>Quarter 4</v>
      </c>
    </row>
    <row r="980" spans="1:50" ht="31.4" customHeight="1" x14ac:dyDescent="0.35">
      <c r="A980" s="136">
        <v>979</v>
      </c>
      <c r="B980" s="7" t="s">
        <v>1613</v>
      </c>
      <c r="C980" s="7" t="s">
        <v>13</v>
      </c>
      <c r="D980" s="7" t="s">
        <v>1614</v>
      </c>
      <c r="E980" s="25">
        <v>45728</v>
      </c>
      <c r="F980" s="9">
        <f>IF($E980="","",WORKDAY($E980,1,$V$33:$V$41))</f>
        <v>45729</v>
      </c>
      <c r="G980" s="9">
        <f>IF($E980="","",WORKDAY($E980,10,$V$33:$V$41))</f>
        <v>45742</v>
      </c>
      <c r="H980" s="9">
        <f>IF($E980="","",WORKDAY($E980,20,$V$33:$V$41))</f>
        <v>45756</v>
      </c>
      <c r="I980" s="157" t="str">
        <f t="shared" si="19"/>
        <v>Mar</v>
      </c>
      <c r="J980" s="17" t="str">
        <f ca="1">IF(E980="","",IF(N980="",H980-TODAY(),""))</f>
        <v/>
      </c>
      <c r="K980" s="157" t="s">
        <v>10</v>
      </c>
      <c r="L980" s="7" t="s">
        <v>9</v>
      </c>
      <c r="M980" s="7" t="s">
        <v>38</v>
      </c>
      <c r="N980" s="16">
        <v>45733</v>
      </c>
      <c r="O980" s="159">
        <f>IF($N980="","",NETWORKDAYS($E980,$N980,$V$33:$V$47)-1)</f>
        <v>3</v>
      </c>
      <c r="P980" s="10" t="str">
        <f>IF(ISBLANK(N980),"",IF(N980&gt;H980,"No","Yes"))</f>
        <v>Yes</v>
      </c>
      <c r="Q980" s="7" t="s">
        <v>117</v>
      </c>
      <c r="R980" s="4" t="s">
        <v>126</v>
      </c>
      <c r="S980" s="4" t="s">
        <v>119</v>
      </c>
      <c r="T980" s="7" t="s">
        <v>1021</v>
      </c>
      <c r="U980" s="6"/>
      <c r="V980" s="6"/>
      <c r="W980" s="6"/>
      <c r="X980" s="6"/>
      <c r="Y980" s="6"/>
      <c r="Z980" s="6"/>
      <c r="AX980" s="6" t="str">
        <v>Quarter 4</v>
      </c>
    </row>
    <row r="981" spans="1:50" ht="31.4" customHeight="1" x14ac:dyDescent="0.35">
      <c r="A981" s="136">
        <v>980</v>
      </c>
      <c r="B981" s="7" t="s">
        <v>8</v>
      </c>
      <c r="C981" s="7" t="s">
        <v>8</v>
      </c>
      <c r="D981" s="7" t="s">
        <v>123</v>
      </c>
      <c r="E981" s="25">
        <v>45728</v>
      </c>
      <c r="F981" s="9">
        <f>IF($E981="","",WORKDAY($E981,1,$V$33:$V$41))</f>
        <v>45729</v>
      </c>
      <c r="G981" s="9">
        <f>IF($E981="","",WORKDAY($E981,10,$V$33:$V$41))</f>
        <v>45742</v>
      </c>
      <c r="H981" s="9">
        <f>IF($E981="","",WORKDAY($E981,20,$V$33:$V$41))</f>
        <v>45756</v>
      </c>
      <c r="I981" s="157" t="str">
        <f t="shared" si="19"/>
        <v>Mar</v>
      </c>
      <c r="J981" s="17" t="str">
        <f ca="1">IF(E981="","",IF(N981="",H981-TODAY(),""))</f>
        <v/>
      </c>
      <c r="K981" s="157" t="s">
        <v>124</v>
      </c>
      <c r="L981" s="7" t="s">
        <v>20</v>
      </c>
      <c r="M981" s="7" t="s">
        <v>79</v>
      </c>
      <c r="N981" s="16">
        <v>45735</v>
      </c>
      <c r="O981" s="159">
        <f>IF($N981="","",NETWORKDAYS($E981,$N981,$V$33:$V$47)-1)</f>
        <v>5</v>
      </c>
      <c r="P981" s="10" t="str">
        <f>IF(ISBLANK(N981),"",IF(N981&gt;H981,"No","Yes"))</f>
        <v>Yes</v>
      </c>
      <c r="Q981" s="7" t="s">
        <v>117</v>
      </c>
      <c r="R981" s="4" t="s">
        <v>118</v>
      </c>
      <c r="S981" s="4"/>
      <c r="T981" s="7"/>
      <c r="U981" s="6"/>
      <c r="V981" s="6"/>
      <c r="W981" s="6"/>
      <c r="X981" s="6"/>
      <c r="Y981" s="6"/>
      <c r="Z981" s="6"/>
      <c r="AX981" s="6" t="str">
        <v>Quarter 4</v>
      </c>
    </row>
    <row r="982" spans="1:50" ht="31.4" customHeight="1" x14ac:dyDescent="0.35">
      <c r="A982" s="136">
        <v>981</v>
      </c>
      <c r="B982" s="7" t="s">
        <v>1615</v>
      </c>
      <c r="C982" s="7" t="s">
        <v>13</v>
      </c>
      <c r="D982" s="7" t="s">
        <v>1616</v>
      </c>
      <c r="E982" s="25">
        <v>45729</v>
      </c>
      <c r="F982" s="9">
        <f>IF($E982="","",WORKDAY($E982,1,$V$33:$V$41))</f>
        <v>45730</v>
      </c>
      <c r="G982" s="9">
        <f>IF($E982="","",WORKDAY($E982,10,$V$33:$V$41))</f>
        <v>45743</v>
      </c>
      <c r="H982" s="9">
        <f>IF($E982="","",WORKDAY($E982,20,$V$33:$V$41))</f>
        <v>45757</v>
      </c>
      <c r="I982" s="157" t="str">
        <f t="shared" si="19"/>
        <v>Mar</v>
      </c>
      <c r="J982" s="17" t="str">
        <f ca="1">IF(E982="","",IF(N982="",H982-TODAY(),""))</f>
        <v/>
      </c>
      <c r="K982" s="157" t="s">
        <v>5</v>
      </c>
      <c r="L982" s="7" t="s">
        <v>22</v>
      </c>
      <c r="M982" s="7" t="s">
        <v>64</v>
      </c>
      <c r="N982" s="16">
        <v>45733</v>
      </c>
      <c r="O982" s="159">
        <f>IF($N982="","",NETWORKDAYS($E982,$N982,$V$33:$V$47)-1)</f>
        <v>2</v>
      </c>
      <c r="P982" s="10" t="str">
        <f>IF(ISBLANK(N982),"",IF(N982&gt;H982,"No","Yes"))</f>
        <v>Yes</v>
      </c>
      <c r="Q982" s="7" t="s">
        <v>117</v>
      </c>
      <c r="R982" s="4" t="s">
        <v>126</v>
      </c>
      <c r="S982" s="4" t="s">
        <v>119</v>
      </c>
      <c r="T982" s="7"/>
      <c r="U982" s="6"/>
      <c r="V982" s="6"/>
      <c r="W982" s="6"/>
      <c r="X982" s="6"/>
      <c r="Y982" s="6"/>
      <c r="Z982" s="6"/>
      <c r="AX982" s="6" t="str">
        <v>Quarter 4</v>
      </c>
    </row>
    <row r="983" spans="1:50" ht="31.4" customHeight="1" x14ac:dyDescent="0.35">
      <c r="A983" s="136">
        <v>982</v>
      </c>
      <c r="B983" s="7" t="s">
        <v>8</v>
      </c>
      <c r="C983" s="7" t="s">
        <v>8</v>
      </c>
      <c r="D983" s="7" t="s">
        <v>1617</v>
      </c>
      <c r="E983" s="25">
        <v>45742</v>
      </c>
      <c r="F983" s="9">
        <f>IF($E983="","",WORKDAY($E983,1,$V$33:$V$41))</f>
        <v>45743</v>
      </c>
      <c r="G983" s="9">
        <f>IF($E983="","",WORKDAY($E983,10,$V$33:$V$41))</f>
        <v>45756</v>
      </c>
      <c r="H983" s="9">
        <f>IF($E983="","",WORKDAY($E983,20,$V$33:$V$41))</f>
        <v>45772</v>
      </c>
      <c r="I983" s="157" t="str">
        <f t="shared" si="19"/>
        <v>Mar</v>
      </c>
      <c r="J983" s="17" t="str">
        <f ca="1">IF(E983="","",IF(N983="",H983-TODAY(),""))</f>
        <v/>
      </c>
      <c r="K983" s="157" t="s">
        <v>5</v>
      </c>
      <c r="L983" s="7" t="s">
        <v>18</v>
      </c>
      <c r="M983" s="7" t="s">
        <v>66</v>
      </c>
      <c r="N983" s="16">
        <v>45742</v>
      </c>
      <c r="O983" s="159">
        <f>IF($N983="","",NETWORKDAYS($E983,$N983,$V$33:$V$47)-1)</f>
        <v>0</v>
      </c>
      <c r="P983" s="10" t="str">
        <f>IF(ISBLANK(N983),"",IF(N983&gt;H983,"No","Yes"))</f>
        <v>Yes</v>
      </c>
      <c r="Q983" s="7" t="s">
        <v>117</v>
      </c>
      <c r="R983" s="4" t="s">
        <v>118</v>
      </c>
      <c r="S983" s="4"/>
      <c r="T983" s="7"/>
      <c r="U983" s="6"/>
      <c r="V983" s="6"/>
      <c r="W983" s="6"/>
      <c r="X983" s="6"/>
      <c r="Y983" s="6"/>
      <c r="Z983" s="6"/>
      <c r="AX983" s="6" t="str">
        <v>Quarter 4</v>
      </c>
    </row>
    <row r="984" spans="1:50" ht="31.4" customHeight="1" x14ac:dyDescent="0.35">
      <c r="A984" s="136">
        <v>983</v>
      </c>
      <c r="B984" s="7" t="s">
        <v>8</v>
      </c>
      <c r="C984" s="7" t="s">
        <v>8</v>
      </c>
      <c r="D984" s="7" t="s">
        <v>1618</v>
      </c>
      <c r="E984" s="25">
        <v>45729</v>
      </c>
      <c r="F984" s="9">
        <f>IF($E984="","",WORKDAY($E984,1,$V$33:$V$41))</f>
        <v>45730</v>
      </c>
      <c r="G984" s="9">
        <f>IF($E984="","",WORKDAY($E984,10,$V$33:$V$41))</f>
        <v>45743</v>
      </c>
      <c r="H984" s="9">
        <f>IF($E984="","",WORKDAY($E984,20,$V$33:$V$41))</f>
        <v>45757</v>
      </c>
      <c r="I984" s="157" t="str">
        <f t="shared" si="19"/>
        <v>Mar</v>
      </c>
      <c r="J984" s="17" t="str">
        <f ca="1">IF(E984="","",IF(N984="",H984-TODAY(),""))</f>
        <v/>
      </c>
      <c r="K984" s="157" t="s">
        <v>5</v>
      </c>
      <c r="L984" s="7" t="s">
        <v>18</v>
      </c>
      <c r="M984" s="7" t="s">
        <v>42</v>
      </c>
      <c r="N984" s="16">
        <v>45729</v>
      </c>
      <c r="O984" s="159">
        <f>IF($N984="","",NETWORKDAYS($E984,$N984,$V$33:$V$47)-1)</f>
        <v>0</v>
      </c>
      <c r="P984" s="10" t="str">
        <f>IF(ISBLANK(N984),"",IF(N984&gt;H984,"No","Yes"))</f>
        <v>Yes</v>
      </c>
      <c r="Q984" s="7" t="s">
        <v>117</v>
      </c>
      <c r="R984" s="4" t="s">
        <v>118</v>
      </c>
      <c r="S984" s="4"/>
      <c r="T984" s="7"/>
      <c r="U984" s="6"/>
      <c r="V984" s="6"/>
      <c r="W984" s="6"/>
      <c r="X984" s="6"/>
      <c r="Y984" s="6"/>
      <c r="Z984" s="6"/>
      <c r="AX984" s="6" t="str">
        <v>Quarter 4</v>
      </c>
    </row>
    <row r="985" spans="1:50" ht="31.4" customHeight="1" x14ac:dyDescent="0.35">
      <c r="A985" s="136">
        <v>984</v>
      </c>
      <c r="B985" s="7" t="s">
        <v>1619</v>
      </c>
      <c r="C985" s="7" t="s">
        <v>25</v>
      </c>
      <c r="D985" s="7" t="s">
        <v>2090</v>
      </c>
      <c r="E985" s="25">
        <v>45729</v>
      </c>
      <c r="F985" s="9">
        <f>IF($E985="","",WORKDAY($E985,1,$V$33:$V$41))</f>
        <v>45730</v>
      </c>
      <c r="G985" s="9">
        <f>IF($E985="","",WORKDAY($E985,10,$V$33:$V$41))</f>
        <v>45743</v>
      </c>
      <c r="H985" s="9">
        <f>IF($E985="","",WORKDAY($E985,20,$V$33:$V$41))</f>
        <v>45757</v>
      </c>
      <c r="I985" s="157" t="str">
        <f t="shared" si="19"/>
        <v>Mar</v>
      </c>
      <c r="J985" s="17" t="str">
        <f ca="1">IF(E985="","",IF(N985="",H985-TODAY(),""))</f>
        <v/>
      </c>
      <c r="K985" s="157" t="s">
        <v>5</v>
      </c>
      <c r="L985" s="7" t="s">
        <v>16</v>
      </c>
      <c r="M985" s="7" t="s">
        <v>52</v>
      </c>
      <c r="N985" s="16">
        <v>45743</v>
      </c>
      <c r="O985" s="159">
        <f>IF($N985="","",NETWORKDAYS($E985,$N985,$V$33:$V$47)-1)</f>
        <v>10</v>
      </c>
      <c r="P985" s="10" t="str">
        <f>IF(ISBLANK(N985),"",IF(N985&gt;H985,"No","Yes"))</f>
        <v>Yes</v>
      </c>
      <c r="Q985" s="7" t="s">
        <v>117</v>
      </c>
      <c r="R985" s="4" t="s">
        <v>126</v>
      </c>
      <c r="S985" s="4" t="s">
        <v>119</v>
      </c>
      <c r="T985" s="7"/>
      <c r="U985" s="6"/>
      <c r="V985" s="6"/>
      <c r="W985" s="6"/>
      <c r="X985" s="6"/>
      <c r="Y985" s="6"/>
      <c r="Z985" s="6"/>
      <c r="AX985" s="6" t="str">
        <v>Quarter 4</v>
      </c>
    </row>
    <row r="986" spans="1:50" ht="31.4" customHeight="1" x14ac:dyDescent="0.35">
      <c r="A986" s="136">
        <v>985</v>
      </c>
      <c r="B986" s="7" t="s">
        <v>1620</v>
      </c>
      <c r="C986" s="7" t="s">
        <v>15</v>
      </c>
      <c r="D986" s="7" t="s">
        <v>1621</v>
      </c>
      <c r="E986" s="25">
        <v>45729</v>
      </c>
      <c r="F986" s="9">
        <f>IF($E986="","",WORKDAY($E986,1,$V$33:$V$41))</f>
        <v>45730</v>
      </c>
      <c r="G986" s="9">
        <f>IF($E986="","",WORKDAY($E986,10,$V$33:$V$41))</f>
        <v>45743</v>
      </c>
      <c r="H986" s="9">
        <f>IF($E986="","",WORKDAY($E986,20,$V$33:$V$41))</f>
        <v>45757</v>
      </c>
      <c r="I986" s="157" t="str">
        <f t="shared" si="19"/>
        <v>Mar</v>
      </c>
      <c r="J986" s="17" t="str">
        <f ca="1">IF(E986="","",IF(N986="",H986-TODAY(),""))</f>
        <v/>
      </c>
      <c r="K986" s="157" t="s">
        <v>124</v>
      </c>
      <c r="L986" s="7" t="s">
        <v>20</v>
      </c>
      <c r="M986" s="7" t="s">
        <v>62</v>
      </c>
      <c r="N986" s="16">
        <v>45729</v>
      </c>
      <c r="O986" s="159">
        <f>IF($N986="","",NETWORKDAYS($E986,$N986,$V$33:$V$47)-1)</f>
        <v>0</v>
      </c>
      <c r="P986" s="10" t="str">
        <f>IF(ISBLANK(N986),"",IF(N986&gt;H986,"No","Yes"))</f>
        <v>Yes</v>
      </c>
      <c r="Q986" s="7" t="s">
        <v>117</v>
      </c>
      <c r="R986" s="4" t="s">
        <v>118</v>
      </c>
      <c r="S986" s="4"/>
      <c r="T986" s="7"/>
      <c r="U986" s="6"/>
      <c r="V986" s="6"/>
      <c r="W986" s="6"/>
      <c r="X986" s="6"/>
      <c r="Y986" s="6"/>
      <c r="Z986" s="6"/>
      <c r="AX986" s="6" t="str">
        <v>Quarter 4</v>
      </c>
    </row>
    <row r="987" spans="1:50" ht="31.4" customHeight="1" x14ac:dyDescent="0.35">
      <c r="A987" s="136">
        <v>986</v>
      </c>
      <c r="B987" s="7" t="s">
        <v>8</v>
      </c>
      <c r="C987" s="7" t="s">
        <v>8</v>
      </c>
      <c r="D987" s="7" t="s">
        <v>1622</v>
      </c>
      <c r="E987" s="25">
        <v>45741</v>
      </c>
      <c r="F987" s="9">
        <f>IF($E987="","",WORKDAY($E987,1,$V$33:$V$41))</f>
        <v>45742</v>
      </c>
      <c r="G987" s="9">
        <f>IF($E987="","",WORKDAY($E987,10,$V$33:$V$41))</f>
        <v>45755</v>
      </c>
      <c r="H987" s="9">
        <f>IF($E987="","",WORKDAY($E987,20,$V$33:$V$41))</f>
        <v>45771</v>
      </c>
      <c r="I987" s="157" t="str">
        <f t="shared" si="19"/>
        <v>Mar</v>
      </c>
      <c r="J987" s="17" t="str">
        <f ca="1">IF(E987="","",IF(N987="",H987-TODAY(),""))</f>
        <v/>
      </c>
      <c r="K987" s="157" t="s">
        <v>124</v>
      </c>
      <c r="L987" s="7" t="s">
        <v>14</v>
      </c>
      <c r="M987" s="7" t="s">
        <v>44</v>
      </c>
      <c r="N987" s="16">
        <v>45741</v>
      </c>
      <c r="O987" s="159">
        <f>IF($N987="","",NETWORKDAYS($E987,$N987,$V$33:$V$47)-1)</f>
        <v>0</v>
      </c>
      <c r="P987" s="10" t="str">
        <f>IF(ISBLANK(N987),"",IF(N987&gt;H987,"No","Yes"))</f>
        <v>Yes</v>
      </c>
      <c r="Q987" s="7" t="s">
        <v>117</v>
      </c>
      <c r="R987" s="4" t="s">
        <v>150</v>
      </c>
      <c r="S987" s="4"/>
      <c r="T987" s="7"/>
      <c r="U987" s="6"/>
      <c r="V987" s="6"/>
      <c r="W987" s="6"/>
      <c r="X987" s="6"/>
      <c r="Y987" s="6"/>
      <c r="Z987" s="6"/>
      <c r="AX987" s="6" t="str">
        <v>Quarter 4</v>
      </c>
    </row>
    <row r="988" spans="1:50" ht="31.4" customHeight="1" x14ac:dyDescent="0.35">
      <c r="A988" s="136">
        <v>987</v>
      </c>
      <c r="B988" s="7" t="s">
        <v>1623</v>
      </c>
      <c r="C988" s="7" t="s">
        <v>13</v>
      </c>
      <c r="D988" s="7" t="s">
        <v>1624</v>
      </c>
      <c r="E988" s="25">
        <v>45730</v>
      </c>
      <c r="F988" s="9">
        <f>IF($E988="","",WORKDAY($E988,1,$V$33:$V$41))</f>
        <v>45733</v>
      </c>
      <c r="G988" s="9">
        <f>IF($E988="","",WORKDAY($E988,10,$V$33:$V$41))</f>
        <v>45744</v>
      </c>
      <c r="H988" s="9">
        <f>IF($E988="","",WORKDAY($E988,20,$V$33:$V$41))</f>
        <v>45758</v>
      </c>
      <c r="I988" s="157" t="str">
        <f t="shared" si="19"/>
        <v>Mar</v>
      </c>
      <c r="J988" s="17" t="str">
        <f ca="1">IF(E988="","",IF(N988="",H988-TODAY(),""))</f>
        <v/>
      </c>
      <c r="K988" s="157" t="s">
        <v>5</v>
      </c>
      <c r="L988" s="7" t="s">
        <v>16</v>
      </c>
      <c r="M988" s="7" t="s">
        <v>67</v>
      </c>
      <c r="N988" s="16">
        <v>45730</v>
      </c>
      <c r="O988" s="159">
        <f>IF($N988="","",NETWORKDAYS($E988,$N988,$V$33:$V$47)-1)</f>
        <v>0</v>
      </c>
      <c r="P988" s="10" t="str">
        <f>IF(ISBLANK(N988),"",IF(N988&gt;H988,"No","Yes"))</f>
        <v>Yes</v>
      </c>
      <c r="Q988" s="7" t="s">
        <v>117</v>
      </c>
      <c r="R988" s="4" t="s">
        <v>118</v>
      </c>
      <c r="S988" s="4" t="s">
        <v>135</v>
      </c>
      <c r="T988" s="7"/>
      <c r="U988" s="6"/>
      <c r="V988" s="6"/>
      <c r="W988" s="6"/>
      <c r="X988" s="6"/>
      <c r="Y988" s="6"/>
      <c r="Z988" s="6"/>
      <c r="AX988" s="6" t="str">
        <v>Quarter 4</v>
      </c>
    </row>
    <row r="989" spans="1:50" ht="31.4" customHeight="1" x14ac:dyDescent="0.35">
      <c r="A989" s="136">
        <v>988</v>
      </c>
      <c r="B989" s="7" t="s">
        <v>138</v>
      </c>
      <c r="C989" s="7" t="s">
        <v>19</v>
      </c>
      <c r="D989" s="7" t="s">
        <v>1625</v>
      </c>
      <c r="E989" s="25">
        <v>45730</v>
      </c>
      <c r="F989" s="9">
        <f>IF($E989="","",WORKDAY($E989,1,$V$33:$V$41))</f>
        <v>45733</v>
      </c>
      <c r="G989" s="9">
        <f>IF($E989="","",WORKDAY($E989,10,$V$33:$V$41))</f>
        <v>45744</v>
      </c>
      <c r="H989" s="9">
        <f>IF($E989="","",WORKDAY($E989,20,$V$33:$V$41))</f>
        <v>45758</v>
      </c>
      <c r="I989" s="157" t="str">
        <f t="shared" si="19"/>
        <v>Mar</v>
      </c>
      <c r="J989" s="17" t="str">
        <f ca="1">IF(E989="","",IF(N989="",H989-TODAY(),""))</f>
        <v/>
      </c>
      <c r="K989" s="157" t="s">
        <v>4</v>
      </c>
      <c r="L989" s="7" t="s">
        <v>26</v>
      </c>
      <c r="M989" s="7" t="s">
        <v>57</v>
      </c>
      <c r="N989" s="16">
        <v>45755</v>
      </c>
      <c r="O989" s="159">
        <f>IF($N989="","",NETWORKDAYS($E989,$N989,$V$33:$V$47)-1)</f>
        <v>17</v>
      </c>
      <c r="P989" s="10" t="str">
        <f>IF(ISBLANK(N989),"",IF(N989&gt;H989,"No","Yes"))</f>
        <v>Yes</v>
      </c>
      <c r="Q989" s="7" t="s">
        <v>117</v>
      </c>
      <c r="R989" s="4" t="s">
        <v>118</v>
      </c>
      <c r="S989" s="4"/>
      <c r="T989" s="7"/>
      <c r="U989" s="6"/>
      <c r="V989" s="6"/>
      <c r="W989" s="6"/>
      <c r="X989" s="6"/>
      <c r="Y989" s="6"/>
      <c r="Z989" s="6"/>
      <c r="AX989" s="6" t="str">
        <v>Quarter 4</v>
      </c>
    </row>
    <row r="990" spans="1:50" ht="31.4" customHeight="1" x14ac:dyDescent="0.35">
      <c r="A990" s="136">
        <v>989</v>
      </c>
      <c r="B990" s="7" t="s">
        <v>1626</v>
      </c>
      <c r="C990" s="7" t="s">
        <v>13</v>
      </c>
      <c r="D990" s="7" t="s">
        <v>1627</v>
      </c>
      <c r="E990" s="25">
        <v>45730</v>
      </c>
      <c r="F990" s="9">
        <f>IF($E990="","",WORKDAY($E990,1,$V$33:$V$41))</f>
        <v>45733</v>
      </c>
      <c r="G990" s="9">
        <f>IF($E990="","",WORKDAY($E990,10,$V$33:$V$41))</f>
        <v>45744</v>
      </c>
      <c r="H990" s="9">
        <f>IF($E990="","",WORKDAY($E990,20,$V$33:$V$41))</f>
        <v>45758</v>
      </c>
      <c r="I990" s="157" t="str">
        <f t="shared" si="19"/>
        <v>Mar</v>
      </c>
      <c r="J990" s="17" t="str">
        <f ca="1">IF(E990="","",IF(N990="",H990-TODAY(),""))</f>
        <v/>
      </c>
      <c r="K990" s="157" t="s">
        <v>124</v>
      </c>
      <c r="L990" s="7" t="s">
        <v>20</v>
      </c>
      <c r="M990" s="7" t="s">
        <v>62</v>
      </c>
      <c r="N990" s="16">
        <v>45747</v>
      </c>
      <c r="O990" s="159">
        <f>IF($N990="","",NETWORKDAYS($E990,$N990,$V$33:$V$47)-1)</f>
        <v>11</v>
      </c>
      <c r="P990" s="10" t="str">
        <f>IF(ISBLANK(N990),"",IF(N990&gt;H990,"No","Yes"))</f>
        <v>Yes</v>
      </c>
      <c r="Q990" s="7" t="s">
        <v>117</v>
      </c>
      <c r="R990" s="4" t="s">
        <v>118</v>
      </c>
      <c r="S990" s="4"/>
      <c r="T990" s="7"/>
      <c r="U990" s="6"/>
      <c r="V990" s="6"/>
      <c r="W990" s="6"/>
      <c r="X990" s="6"/>
      <c r="Y990" s="6"/>
      <c r="Z990" s="6"/>
      <c r="AX990" s="6" t="str">
        <v>Quarter 4</v>
      </c>
    </row>
    <row r="991" spans="1:50" ht="31.4" customHeight="1" x14ac:dyDescent="0.35">
      <c r="A991" s="136">
        <v>990</v>
      </c>
      <c r="B991" s="7" t="s">
        <v>138</v>
      </c>
      <c r="C991" s="7" t="s">
        <v>19</v>
      </c>
      <c r="D991" s="7" t="s">
        <v>1628</v>
      </c>
      <c r="E991" s="25">
        <v>45730</v>
      </c>
      <c r="F991" s="9">
        <f>IF($E991="","",WORKDAY($E991,1,$V$33:$V$41))</f>
        <v>45733</v>
      </c>
      <c r="G991" s="9">
        <f>IF($E991="","",WORKDAY($E991,10,$V$33:$V$41))</f>
        <v>45744</v>
      </c>
      <c r="H991" s="9">
        <f>IF($E991="","",WORKDAY($E991,20,$V$33:$V$41))</f>
        <v>45758</v>
      </c>
      <c r="I991" s="157" t="str">
        <f t="shared" si="19"/>
        <v>Mar</v>
      </c>
      <c r="J991" s="17" t="str">
        <f ca="1">IF(E991="","",IF(N991="",H991-TODAY(),""))</f>
        <v/>
      </c>
      <c r="K991" s="157" t="s">
        <v>5</v>
      </c>
      <c r="L991" s="7" t="s">
        <v>16</v>
      </c>
      <c r="M991" s="7" t="s">
        <v>52</v>
      </c>
      <c r="N991" s="16">
        <v>45742</v>
      </c>
      <c r="O991" s="159">
        <f>IF($N991="","",NETWORKDAYS($E991,$N991,$V$33:$V$47)-1)</f>
        <v>8</v>
      </c>
      <c r="P991" s="10" t="str">
        <f>IF(ISBLANK(N991),"",IF(N991&gt;H991,"No","Yes"))</f>
        <v>Yes</v>
      </c>
      <c r="Q991" s="7" t="s">
        <v>117</v>
      </c>
      <c r="R991" s="4" t="s">
        <v>118</v>
      </c>
      <c r="S991" s="4" t="s">
        <v>135</v>
      </c>
      <c r="T991" s="7"/>
      <c r="U991" s="6"/>
      <c r="V991" s="6"/>
      <c r="W991" s="6"/>
      <c r="X991" s="6"/>
      <c r="Y991" s="6"/>
      <c r="Z991" s="6"/>
      <c r="AX991" s="6" t="str">
        <v>Quarter 4</v>
      </c>
    </row>
    <row r="992" spans="1:50" ht="31.4" customHeight="1" x14ac:dyDescent="0.35">
      <c r="A992" s="136">
        <v>991</v>
      </c>
      <c r="B992" s="7" t="s">
        <v>138</v>
      </c>
      <c r="C992" s="7" t="s">
        <v>19</v>
      </c>
      <c r="D992" s="7" t="s">
        <v>1629</v>
      </c>
      <c r="E992" s="25">
        <v>45730</v>
      </c>
      <c r="F992" s="9">
        <f>IF($E992="","",WORKDAY($E992,1,$V$33:$V$41))</f>
        <v>45733</v>
      </c>
      <c r="G992" s="9">
        <f>IF($E992="","",WORKDAY($E992,10,$V$33:$V$41))</f>
        <v>45744</v>
      </c>
      <c r="H992" s="9">
        <f>IF($E992="","",WORKDAY($E992,20,$V$33:$V$41))</f>
        <v>45758</v>
      </c>
      <c r="I992" s="157" t="str">
        <f t="shared" si="19"/>
        <v>Mar</v>
      </c>
      <c r="J992" s="17" t="str">
        <f ca="1">IF(E992="","",IF(N992="",H992-TODAY(),""))</f>
        <v/>
      </c>
      <c r="K992" s="157" t="s">
        <v>5</v>
      </c>
      <c r="L992" s="7" t="s">
        <v>16</v>
      </c>
      <c r="M992" s="7" t="s">
        <v>52</v>
      </c>
      <c r="N992" s="16">
        <v>45733</v>
      </c>
      <c r="O992" s="159">
        <f>IF($N992="","",NETWORKDAYS($E992,$N992,$V$33:$V$47)-1)</f>
        <v>1</v>
      </c>
      <c r="P992" s="10" t="str">
        <f>IF(ISBLANK(N992),"",IF(N992&gt;H992,"No","Yes"))</f>
        <v>Yes</v>
      </c>
      <c r="Q992" s="7" t="s">
        <v>117</v>
      </c>
      <c r="R992" s="4" t="s">
        <v>118</v>
      </c>
      <c r="S992" s="4"/>
      <c r="T992" s="7"/>
      <c r="U992" s="6"/>
      <c r="V992" s="6"/>
      <c r="W992" s="6"/>
      <c r="X992" s="6"/>
      <c r="Y992" s="6"/>
      <c r="Z992" s="6"/>
      <c r="AX992" s="6" t="str">
        <v>Quarter 4</v>
      </c>
    </row>
    <row r="993" spans="1:50" ht="31.4" customHeight="1" x14ac:dyDescent="0.35">
      <c r="A993" s="136">
        <v>992</v>
      </c>
      <c r="B993" s="7" t="s">
        <v>8</v>
      </c>
      <c r="C993" s="7" t="s">
        <v>8</v>
      </c>
      <c r="D993" s="7" t="s">
        <v>1630</v>
      </c>
      <c r="E993" s="25">
        <v>45713</v>
      </c>
      <c r="F993" s="9">
        <f>IF($E993="","",WORKDAY($E993,1,$V$33:$V$41))</f>
        <v>45714</v>
      </c>
      <c r="G993" s="9">
        <f>IF($E993="","",WORKDAY($E993,10,$V$33:$V$41))</f>
        <v>45727</v>
      </c>
      <c r="H993" s="9">
        <f>IF($E993="","",WORKDAY($E993,20,$V$33:$V$41))</f>
        <v>45741</v>
      </c>
      <c r="I993" s="157" t="str">
        <f t="shared" si="19"/>
        <v>Feb</v>
      </c>
      <c r="J993" s="17" t="str">
        <f ca="1">IF(E993="","",IF(N993="",H993-TODAY(),""))</f>
        <v/>
      </c>
      <c r="K993" s="157" t="s">
        <v>124</v>
      </c>
      <c r="L993" s="7" t="s">
        <v>14</v>
      </c>
      <c r="M993" s="7" t="s">
        <v>81</v>
      </c>
      <c r="N993" s="16">
        <v>45734</v>
      </c>
      <c r="O993" s="159">
        <f>IF($N993="","",NETWORKDAYS($E993,$N993,$V$33:$V$47)-1)</f>
        <v>15</v>
      </c>
      <c r="P993" s="10" t="str">
        <f>IF(ISBLANK(N993),"",IF(N993&gt;H993,"No","Yes"))</f>
        <v>Yes</v>
      </c>
      <c r="Q993" s="7" t="s">
        <v>117</v>
      </c>
      <c r="R993" s="4" t="s">
        <v>118</v>
      </c>
      <c r="S993" s="4"/>
      <c r="T993" s="7" t="s">
        <v>141</v>
      </c>
      <c r="U993" s="6"/>
      <c r="V993" s="6"/>
      <c r="W993" s="6"/>
      <c r="X993" s="6"/>
      <c r="Y993" s="6"/>
      <c r="Z993" s="6"/>
      <c r="AX993" s="6" t="str">
        <v>Quarter 4</v>
      </c>
    </row>
    <row r="994" spans="1:50" ht="31.4" customHeight="1" x14ac:dyDescent="0.35">
      <c r="A994" s="136">
        <v>993</v>
      </c>
      <c r="B994" s="7" t="s">
        <v>138</v>
      </c>
      <c r="C994" s="7" t="s">
        <v>19</v>
      </c>
      <c r="D994" s="7" t="s">
        <v>1631</v>
      </c>
      <c r="E994" s="25">
        <v>45730</v>
      </c>
      <c r="F994" s="9">
        <f>IF($E994="","",WORKDAY($E994,1,$V$33:$V$41))</f>
        <v>45733</v>
      </c>
      <c r="G994" s="9">
        <f>IF($E994="","",WORKDAY($E994,10,$V$33:$V$41))</f>
        <v>45744</v>
      </c>
      <c r="H994" s="9">
        <f>IF($E994="","",WORKDAY($E994,20,$V$33:$V$41))</f>
        <v>45758</v>
      </c>
      <c r="I994" s="157" t="str">
        <f t="shared" si="19"/>
        <v>Mar</v>
      </c>
      <c r="J994" s="17" t="str">
        <f ca="1">IF(E994="","",IF(N994="",H994-TODAY(),""))</f>
        <v/>
      </c>
      <c r="K994" s="157" t="s">
        <v>124</v>
      </c>
      <c r="L994" s="7" t="s">
        <v>24</v>
      </c>
      <c r="M994" s="7" t="s">
        <v>87</v>
      </c>
      <c r="N994" s="16">
        <v>45734</v>
      </c>
      <c r="O994" s="159">
        <f>IF($N994="","",NETWORKDAYS($E994,$N994,$V$33:$V$47)-1)</f>
        <v>2</v>
      </c>
      <c r="P994" s="10" t="str">
        <f>IF(ISBLANK(N994),"",IF(N994&gt;H994,"No","Yes"))</f>
        <v>Yes</v>
      </c>
      <c r="Q994" s="7" t="s">
        <v>117</v>
      </c>
      <c r="R994" s="4" t="s">
        <v>118</v>
      </c>
      <c r="S994" s="4" t="s">
        <v>135</v>
      </c>
      <c r="T994" s="7"/>
      <c r="U994" s="6"/>
      <c r="V994" s="6"/>
      <c r="W994" s="6"/>
      <c r="X994" s="6"/>
      <c r="Y994" s="6"/>
      <c r="Z994" s="6"/>
      <c r="AX994" s="6" t="str">
        <v>Quarter 4</v>
      </c>
    </row>
    <row r="995" spans="1:50" ht="31.4" customHeight="1" x14ac:dyDescent="0.35">
      <c r="A995" s="136">
        <v>994</v>
      </c>
      <c r="B995" s="7" t="s">
        <v>293</v>
      </c>
      <c r="C995" s="7" t="s">
        <v>6</v>
      </c>
      <c r="D995" s="7" t="s">
        <v>1159</v>
      </c>
      <c r="E995" s="25">
        <v>45733</v>
      </c>
      <c r="F995" s="9">
        <f>IF($E995="","",WORKDAY($E995,1,$V$33:$V$41))</f>
        <v>45734</v>
      </c>
      <c r="G995" s="9">
        <f>IF($E995="","",WORKDAY($E995,10,$V$33:$V$41))</f>
        <v>45747</v>
      </c>
      <c r="H995" s="9">
        <f>IF($E995="","",WORKDAY($E995,20,$V$33:$V$41))</f>
        <v>45761</v>
      </c>
      <c r="I995" s="157" t="str">
        <f t="shared" si="19"/>
        <v>Mar</v>
      </c>
      <c r="J995" s="17" t="str">
        <f ca="1">IF(E995="","",IF(N995="",H995-TODAY(),""))</f>
        <v/>
      </c>
      <c r="K995" s="157" t="s">
        <v>5</v>
      </c>
      <c r="L995" s="7" t="s">
        <v>18</v>
      </c>
      <c r="M995" s="7" t="s">
        <v>43</v>
      </c>
      <c r="N995" s="16">
        <v>45747</v>
      </c>
      <c r="O995" s="159">
        <f>IF($N995="","",NETWORKDAYS($E995,$N995,$V$33:$V$47)-1)</f>
        <v>10</v>
      </c>
      <c r="P995" s="10" t="str">
        <f>IF(ISBLANK(N995),"",IF(N995&gt;H995,"No","Yes"))</f>
        <v>Yes</v>
      </c>
      <c r="Q995" s="7" t="s">
        <v>117</v>
      </c>
      <c r="R995" s="4" t="s">
        <v>118</v>
      </c>
      <c r="S995" s="4"/>
      <c r="T995" s="7"/>
      <c r="U995" s="6"/>
      <c r="V995" s="6"/>
      <c r="W995" s="6"/>
      <c r="X995" s="6"/>
      <c r="Y995" s="6"/>
      <c r="Z995" s="6"/>
      <c r="AX995" s="6" t="str">
        <v>Quarter 4</v>
      </c>
    </row>
    <row r="996" spans="1:50" ht="31.4" customHeight="1" x14ac:dyDescent="0.35">
      <c r="A996" s="136">
        <v>995</v>
      </c>
      <c r="B996" s="7" t="s">
        <v>138</v>
      </c>
      <c r="C996" s="7" t="s">
        <v>19</v>
      </c>
      <c r="D996" s="7" t="s">
        <v>1632</v>
      </c>
      <c r="E996" s="25">
        <v>45733</v>
      </c>
      <c r="F996" s="9">
        <f>IF($E996="","",WORKDAY($E996,1,$V$33:$V$41))</f>
        <v>45734</v>
      </c>
      <c r="G996" s="9">
        <f>IF($E996="","",WORKDAY($E996,10,$V$33:$V$41))</f>
        <v>45747</v>
      </c>
      <c r="H996" s="9">
        <f>IF($E996="","",WORKDAY($E996,20,$V$33:$V$41))</f>
        <v>45761</v>
      </c>
      <c r="I996" s="157" t="str">
        <f t="shared" si="19"/>
        <v>Mar</v>
      </c>
      <c r="J996" s="17" t="str">
        <f ca="1">IF(E996="","",IF(N996="",H996-TODAY(),""))</f>
        <v/>
      </c>
      <c r="K996" s="157" t="s">
        <v>5</v>
      </c>
      <c r="L996" s="7" t="s">
        <v>22</v>
      </c>
      <c r="M996" s="7" t="s">
        <v>46</v>
      </c>
      <c r="N996" s="16">
        <v>45761</v>
      </c>
      <c r="O996" s="159">
        <f>IF($N996="","",NETWORKDAYS($E996,$N996,$V$33:$V$47)-1)</f>
        <v>20</v>
      </c>
      <c r="P996" s="10" t="str">
        <f>IF(ISBLANK(N996),"",IF(N996&gt;H996,"No","Yes"))</f>
        <v>Yes</v>
      </c>
      <c r="Q996" s="7" t="s">
        <v>117</v>
      </c>
      <c r="R996" s="4" t="s">
        <v>126</v>
      </c>
      <c r="S996" s="4" t="s">
        <v>119</v>
      </c>
      <c r="T996" s="7"/>
      <c r="U996" s="6"/>
      <c r="V996" s="6"/>
      <c r="W996" s="6"/>
      <c r="X996" s="6"/>
      <c r="Y996" s="6"/>
      <c r="Z996" s="6"/>
      <c r="AX996" s="6" t="str">
        <v>Quarter 4</v>
      </c>
    </row>
    <row r="997" spans="1:50" ht="31.4" customHeight="1" x14ac:dyDescent="0.35">
      <c r="A997" s="136">
        <v>996</v>
      </c>
      <c r="B997" s="7" t="s">
        <v>1633</v>
      </c>
      <c r="C997" s="7" t="s">
        <v>17</v>
      </c>
      <c r="D997" s="7" t="s">
        <v>1634</v>
      </c>
      <c r="E997" s="25">
        <v>45733</v>
      </c>
      <c r="F997" s="9">
        <f>IF($E997="","",WORKDAY($E997,1,$V$33:$V$41))</f>
        <v>45734</v>
      </c>
      <c r="G997" s="9">
        <f>IF($E997="","",WORKDAY($E997,10,$V$33:$V$41))</f>
        <v>45747</v>
      </c>
      <c r="H997" s="9">
        <f>IF($E997="","",WORKDAY($E997,20,$V$33:$V$41))</f>
        <v>45761</v>
      </c>
      <c r="I997" s="157" t="str">
        <f t="shared" si="19"/>
        <v>Mar</v>
      </c>
      <c r="J997" s="17" t="str">
        <f ca="1">IF(E997="","",IF(N997="",H997-TODAY(),""))</f>
        <v/>
      </c>
      <c r="K997" s="157" t="s">
        <v>5</v>
      </c>
      <c r="L997" s="7" t="s">
        <v>18</v>
      </c>
      <c r="M997" s="7" t="s">
        <v>66</v>
      </c>
      <c r="N997" s="16">
        <v>45749</v>
      </c>
      <c r="O997" s="159">
        <f>IF($N997="","",NETWORKDAYS($E997,$N997,$V$33:$V$47)-1)</f>
        <v>12</v>
      </c>
      <c r="P997" s="10" t="str">
        <f>IF(ISBLANK(N997),"",IF(N997&gt;H997,"No","Yes"))</f>
        <v>Yes</v>
      </c>
      <c r="Q997" s="7" t="s">
        <v>117</v>
      </c>
      <c r="R997" s="4" t="s">
        <v>118</v>
      </c>
      <c r="S997" s="4"/>
      <c r="T997" s="7"/>
      <c r="U997" s="6"/>
      <c r="V997" s="6"/>
      <c r="W997" s="6"/>
      <c r="X997" s="6"/>
      <c r="Y997" s="6"/>
      <c r="Z997" s="6"/>
      <c r="AX997" s="6" t="str">
        <v>Quarter 4</v>
      </c>
    </row>
    <row r="998" spans="1:50" ht="31.4" customHeight="1" x14ac:dyDescent="0.35">
      <c r="A998" s="136">
        <v>997</v>
      </c>
      <c r="B998" s="7" t="s">
        <v>8</v>
      </c>
      <c r="C998" s="7" t="s">
        <v>8</v>
      </c>
      <c r="D998" s="7" t="s">
        <v>796</v>
      </c>
      <c r="E998" s="25">
        <v>45733</v>
      </c>
      <c r="F998" s="9">
        <f>IF($E998="","",WORKDAY($E998,1,$V$33:$V$41))</f>
        <v>45734</v>
      </c>
      <c r="G998" s="9">
        <f>IF($E998="","",WORKDAY($E998,10,$V$33:$V$41))</f>
        <v>45747</v>
      </c>
      <c r="H998" s="9">
        <f>IF($E998="","",WORKDAY($E998,20,$V$33:$V$41))</f>
        <v>45761</v>
      </c>
      <c r="I998" s="157" t="str">
        <f t="shared" si="19"/>
        <v>Mar</v>
      </c>
      <c r="J998" s="17" t="str">
        <f ca="1">IF(E998="","",IF(N998="",H998-TODAY(),""))</f>
        <v/>
      </c>
      <c r="K998" s="157" t="s">
        <v>124</v>
      </c>
      <c r="L998" s="7" t="s">
        <v>24</v>
      </c>
      <c r="M998" s="7" t="s">
        <v>53</v>
      </c>
      <c r="N998" s="16">
        <v>45734</v>
      </c>
      <c r="O998" s="159">
        <f>IF($N998="","",NETWORKDAYS($E998,$N998,$V$33:$V$47)-1)</f>
        <v>1</v>
      </c>
      <c r="P998" s="10" t="str">
        <f>IF(ISBLANK(N998),"",IF(N998&gt;H998,"No","Yes"))</f>
        <v>Yes</v>
      </c>
      <c r="Q998" s="7" t="s">
        <v>117</v>
      </c>
      <c r="R998" s="4" t="s">
        <v>126</v>
      </c>
      <c r="S998" s="4" t="s">
        <v>134</v>
      </c>
      <c r="T998" s="7"/>
      <c r="U998" s="6"/>
      <c r="V998" s="6"/>
      <c r="W998" s="6"/>
      <c r="X998" s="6"/>
      <c r="Y998" s="6"/>
      <c r="Z998" s="6"/>
      <c r="AX998" s="6" t="str">
        <v>Quarter 4</v>
      </c>
    </row>
    <row r="999" spans="1:50" ht="31.4" customHeight="1" x14ac:dyDescent="0.35">
      <c r="A999" s="136">
        <v>998</v>
      </c>
      <c r="B999" s="7" t="s">
        <v>236</v>
      </c>
      <c r="C999" s="7" t="s">
        <v>6</v>
      </c>
      <c r="D999" s="7" t="s">
        <v>1635</v>
      </c>
      <c r="E999" s="25">
        <v>45733</v>
      </c>
      <c r="F999" s="9">
        <f>IF($E999="","",WORKDAY($E999,1,$V$33:$V$41))</f>
        <v>45734</v>
      </c>
      <c r="G999" s="9">
        <f>IF($E999="","",WORKDAY($E999,10,$V$33:$V$41))</f>
        <v>45747</v>
      </c>
      <c r="H999" s="9">
        <f>IF($E999="","",WORKDAY($E999,20,$V$33:$V$41))</f>
        <v>45761</v>
      </c>
      <c r="I999" s="157" t="str">
        <f t="shared" si="19"/>
        <v>Mar</v>
      </c>
      <c r="J999" s="17" t="str">
        <f ca="1">IF(E999="","",IF(N999="",H999-TODAY(),""))</f>
        <v/>
      </c>
      <c r="K999" s="157" t="s">
        <v>124</v>
      </c>
      <c r="L999" s="7" t="s">
        <v>20</v>
      </c>
      <c r="M999" s="7" t="s">
        <v>92</v>
      </c>
      <c r="N999" s="16">
        <v>45734</v>
      </c>
      <c r="O999" s="159">
        <f>IF($N999="","",NETWORKDAYS($E999,$N999,$V$33:$V$47)-1)</f>
        <v>1</v>
      </c>
      <c r="P999" s="10" t="str">
        <f>IF(ISBLANK(N999),"",IF(N999&gt;H999,"No","Yes"))</f>
        <v>Yes</v>
      </c>
      <c r="Q999" s="7" t="s">
        <v>117</v>
      </c>
      <c r="R999" s="4" t="s">
        <v>118</v>
      </c>
      <c r="S999" s="4"/>
      <c r="T999" s="7"/>
      <c r="U999" s="6"/>
      <c r="V999" s="6"/>
      <c r="W999" s="6"/>
      <c r="X999" s="6"/>
      <c r="Y999" s="6"/>
      <c r="Z999" s="6"/>
      <c r="AX999" s="6" t="str">
        <v>Quarter 4</v>
      </c>
    </row>
    <row r="1000" spans="1:50" ht="31.4" customHeight="1" x14ac:dyDescent="0.35">
      <c r="A1000" s="136">
        <v>999</v>
      </c>
      <c r="B1000" s="7" t="s">
        <v>1636</v>
      </c>
      <c r="C1000" s="7" t="s">
        <v>25</v>
      </c>
      <c r="D1000" s="7" t="s">
        <v>1637</v>
      </c>
      <c r="E1000" s="25">
        <v>45733</v>
      </c>
      <c r="F1000" s="9">
        <f>IF($E1000="","",WORKDAY($E1000,1,$V$33:$V$41))</f>
        <v>45734</v>
      </c>
      <c r="G1000" s="9">
        <f>IF($E1000="","",WORKDAY($E1000,10,$V$33:$V$41))</f>
        <v>45747</v>
      </c>
      <c r="H1000" s="9">
        <f>IF($E1000="","",WORKDAY($E1000,20,$V$33:$V$41))</f>
        <v>45761</v>
      </c>
      <c r="I1000" s="157" t="str">
        <f t="shared" si="19"/>
        <v>Mar</v>
      </c>
      <c r="J1000" s="17" t="str">
        <f ca="1">IF(E1000="","",IF(N1000="",H1000-TODAY(),""))</f>
        <v/>
      </c>
      <c r="K1000" s="157" t="s">
        <v>124</v>
      </c>
      <c r="L1000" s="7" t="s">
        <v>20</v>
      </c>
      <c r="M1000" s="7" t="s">
        <v>62</v>
      </c>
      <c r="N1000" s="16">
        <v>45747</v>
      </c>
      <c r="O1000" s="159">
        <f>IF($N1000="","",NETWORKDAYS($E1000,$N1000,$V$33:$V$47)-1)</f>
        <v>10</v>
      </c>
      <c r="P1000" s="10" t="str">
        <f>IF(ISBLANK(N1000),"",IF(N1000&gt;H1000,"No","Yes"))</f>
        <v>Yes</v>
      </c>
      <c r="Q1000" s="7" t="s">
        <v>117</v>
      </c>
      <c r="R1000" s="4" t="s">
        <v>150</v>
      </c>
      <c r="S1000" s="4"/>
      <c r="T1000" s="7"/>
      <c r="U1000" s="6"/>
      <c r="V1000" s="6"/>
      <c r="W1000" s="6"/>
      <c r="X1000" s="6"/>
      <c r="Y1000" s="6"/>
      <c r="Z1000" s="6"/>
      <c r="AX1000" s="6" t="str">
        <v>Quarter 4</v>
      </c>
    </row>
    <row r="1001" spans="1:50" ht="31.4" customHeight="1" x14ac:dyDescent="0.35">
      <c r="A1001" s="136">
        <v>1000</v>
      </c>
      <c r="B1001" s="7" t="s">
        <v>8</v>
      </c>
      <c r="C1001" s="7" t="s">
        <v>8</v>
      </c>
      <c r="D1001" s="7" t="s">
        <v>1197</v>
      </c>
      <c r="E1001" s="25">
        <v>45734</v>
      </c>
      <c r="F1001" s="9">
        <f>IF($E1001="","",WORKDAY($E1001,1,$V$33:$V$41))</f>
        <v>45735</v>
      </c>
      <c r="G1001" s="9">
        <f>IF($E1001="","",WORKDAY($E1001,10,$V$33:$V$41))</f>
        <v>45748</v>
      </c>
      <c r="H1001" s="9">
        <f>IF($E1001="","",WORKDAY($E1001,20,$V$33:$V$41))</f>
        <v>45762</v>
      </c>
      <c r="I1001" s="157" t="str">
        <f t="shared" si="19"/>
        <v>Mar</v>
      </c>
      <c r="J1001" s="17">
        <f ca="1">IF(E1001="","",IF(N1001="",H1001-TODAY(),""))</f>
        <v>-21</v>
      </c>
      <c r="K1001" s="157" t="s">
        <v>124</v>
      </c>
      <c r="L1001" s="7" t="s">
        <v>20</v>
      </c>
      <c r="M1001" s="7" t="s">
        <v>62</v>
      </c>
      <c r="N1001" s="16"/>
      <c r="O1001" s="159" t="str">
        <f>IF($N1001="","",NETWORKDAYS($E1001,$N1001,$V$33:$V$47)-1)</f>
        <v/>
      </c>
      <c r="P1001" s="10" t="str">
        <f>IF(ISBLANK(N1001),"",IF(N1001&gt;H1001,"No","Yes"))</f>
        <v/>
      </c>
      <c r="Q1001" s="7" t="s">
        <v>125</v>
      </c>
      <c r="R1001" s="4"/>
      <c r="S1001" s="4"/>
      <c r="T1001" s="7"/>
      <c r="U1001" s="6"/>
      <c r="V1001" s="6"/>
      <c r="W1001" s="6"/>
      <c r="X1001" s="6"/>
      <c r="Y1001" s="6"/>
      <c r="Z1001" s="6"/>
      <c r="AX1001" s="6" t="str">
        <v>Quarter 4</v>
      </c>
    </row>
    <row r="1002" spans="1:50" ht="31.4" customHeight="1" x14ac:dyDescent="0.35">
      <c r="A1002" s="136">
        <v>1001</v>
      </c>
      <c r="B1002" s="7" t="s">
        <v>1638</v>
      </c>
      <c r="C1002" s="7" t="s">
        <v>17</v>
      </c>
      <c r="D1002" s="7" t="s">
        <v>1474</v>
      </c>
      <c r="E1002" s="25">
        <v>45734</v>
      </c>
      <c r="F1002" s="9">
        <f>IF($E1002="","",WORKDAY($E1002,1,$V$33:$V$41))</f>
        <v>45735</v>
      </c>
      <c r="G1002" s="9">
        <f>IF($E1002="","",WORKDAY($E1002,10,$V$33:$V$41))</f>
        <v>45748</v>
      </c>
      <c r="H1002" s="9">
        <f>IF($E1002="","",WORKDAY($E1002,20,$V$33:$V$41))</f>
        <v>45762</v>
      </c>
      <c r="I1002" s="157" t="str">
        <f t="shared" si="19"/>
        <v>Mar</v>
      </c>
      <c r="J1002" s="17" t="str">
        <f ca="1">IF(E1002="","",IF(N1002="",H1002-TODAY(),""))</f>
        <v/>
      </c>
      <c r="K1002" s="157" t="s">
        <v>5</v>
      </c>
      <c r="L1002" s="7" t="s">
        <v>16</v>
      </c>
      <c r="M1002" s="7" t="s">
        <v>71</v>
      </c>
      <c r="N1002" s="16">
        <v>45755</v>
      </c>
      <c r="O1002" s="159">
        <f>IF($N1002="","",NETWORKDAYS($E1002,$N1002,$V$33:$V$47)-1)</f>
        <v>15</v>
      </c>
      <c r="P1002" s="10" t="str">
        <f>IF(ISBLANK(N1002),"",IF(N1002&gt;H1002,"No","Yes"))</f>
        <v>Yes</v>
      </c>
      <c r="Q1002" s="7" t="s">
        <v>117</v>
      </c>
      <c r="R1002" s="4" t="s">
        <v>118</v>
      </c>
      <c r="S1002" s="4"/>
      <c r="T1002" s="7" t="s">
        <v>2122</v>
      </c>
      <c r="U1002" s="6"/>
      <c r="V1002" s="6"/>
      <c r="W1002" s="6"/>
      <c r="X1002" s="6"/>
      <c r="Y1002" s="6"/>
      <c r="Z1002" s="6"/>
      <c r="AX1002" s="6" t="str">
        <v>Quarter 4</v>
      </c>
    </row>
    <row r="1003" spans="1:50" ht="31.4" customHeight="1" x14ac:dyDescent="0.35">
      <c r="A1003" s="136">
        <v>1002</v>
      </c>
      <c r="B1003" s="7" t="s">
        <v>1639</v>
      </c>
      <c r="C1003" s="7" t="s">
        <v>13</v>
      </c>
      <c r="D1003" s="7" t="s">
        <v>1640</v>
      </c>
      <c r="E1003" s="25">
        <v>45735</v>
      </c>
      <c r="F1003" s="9">
        <f>IF($E1003="","",WORKDAY($E1003,1,$V$33:$V$41))</f>
        <v>45736</v>
      </c>
      <c r="G1003" s="9">
        <f>IF($E1003="","",WORKDAY($E1003,10,$V$33:$V$41))</f>
        <v>45749</v>
      </c>
      <c r="H1003" s="9">
        <f>IF($E1003="","",WORKDAY($E1003,20,$V$33:$V$41))</f>
        <v>45763</v>
      </c>
      <c r="I1003" s="157" t="str">
        <f t="shared" si="19"/>
        <v>Mar</v>
      </c>
      <c r="J1003" s="17" t="str">
        <f ca="1">IF(E1003="","",IF(N1003="",H1003-TODAY(),""))</f>
        <v/>
      </c>
      <c r="K1003" s="157" t="s">
        <v>5</v>
      </c>
      <c r="L1003" s="7" t="s">
        <v>18</v>
      </c>
      <c r="M1003" s="7" t="s">
        <v>66</v>
      </c>
      <c r="N1003" s="16">
        <v>45735</v>
      </c>
      <c r="O1003" s="159">
        <f>IF($N1003="","",NETWORKDAYS($E1003,$N1003,$V$33:$V$47)-1)</f>
        <v>0</v>
      </c>
      <c r="P1003" s="10" t="str">
        <f>IF(ISBLANK(N1003),"",IF(N1003&gt;H1003,"No","Yes"))</f>
        <v>Yes</v>
      </c>
      <c r="Q1003" s="7" t="s">
        <v>117</v>
      </c>
      <c r="R1003" s="4" t="s">
        <v>132</v>
      </c>
      <c r="S1003" s="4" t="s">
        <v>119</v>
      </c>
      <c r="T1003" s="7"/>
      <c r="U1003" s="6"/>
      <c r="V1003" s="6"/>
      <c r="W1003" s="6"/>
      <c r="X1003" s="6"/>
      <c r="Y1003" s="6"/>
      <c r="Z1003" s="6"/>
      <c r="AX1003" s="6" t="str">
        <v>Quarter 4</v>
      </c>
    </row>
    <row r="1004" spans="1:50" ht="31.4" customHeight="1" x14ac:dyDescent="0.35">
      <c r="A1004" s="136">
        <v>1003</v>
      </c>
      <c r="B1004" s="7" t="s">
        <v>174</v>
      </c>
      <c r="C1004" s="7" t="s">
        <v>13</v>
      </c>
      <c r="D1004" s="7" t="s">
        <v>1641</v>
      </c>
      <c r="E1004" s="25">
        <v>45735</v>
      </c>
      <c r="F1004" s="9">
        <f>IF($E1004="","",WORKDAY($E1004,1,$V$33:$V$41))</f>
        <v>45736</v>
      </c>
      <c r="G1004" s="9">
        <f>IF($E1004="","",WORKDAY($E1004,10,$V$33:$V$41))</f>
        <v>45749</v>
      </c>
      <c r="H1004" s="9">
        <f>IF($E1004="","",WORKDAY($E1004,20,$V$33:$V$41))</f>
        <v>45763</v>
      </c>
      <c r="I1004" s="157" t="str">
        <f t="shared" si="19"/>
        <v>Mar</v>
      </c>
      <c r="J1004" s="17" t="str">
        <f ca="1">IF(E1004="","",IF(N1004="",H1004-TODAY(),""))</f>
        <v/>
      </c>
      <c r="K1004" s="157" t="s">
        <v>5</v>
      </c>
      <c r="L1004" s="7" t="s">
        <v>22</v>
      </c>
      <c r="M1004" s="7" t="s">
        <v>64</v>
      </c>
      <c r="N1004" s="16">
        <v>45754</v>
      </c>
      <c r="O1004" s="159">
        <f>IF($N1004="","",NETWORKDAYS($E1004,$N1004,$V$33:$V$47)-1)</f>
        <v>13</v>
      </c>
      <c r="P1004" s="10" t="str">
        <f>IF(ISBLANK(N1004),"",IF(N1004&gt;H1004,"No","Yes"))</f>
        <v>Yes</v>
      </c>
      <c r="Q1004" s="7" t="s">
        <v>117</v>
      </c>
      <c r="R1004" s="4" t="s">
        <v>118</v>
      </c>
      <c r="S1004" s="4"/>
      <c r="T1004" s="7"/>
      <c r="U1004" s="6"/>
      <c r="V1004" s="6"/>
      <c r="W1004" s="6"/>
      <c r="X1004" s="6"/>
      <c r="Y1004" s="6"/>
      <c r="Z1004" s="6"/>
      <c r="AX1004" s="6" t="str">
        <v>Quarter 4</v>
      </c>
    </row>
    <row r="1005" spans="1:50" ht="31.4" customHeight="1" x14ac:dyDescent="0.35">
      <c r="A1005" s="136">
        <v>1004</v>
      </c>
      <c r="B1005" s="7" t="s">
        <v>138</v>
      </c>
      <c r="C1005" s="7" t="s">
        <v>19</v>
      </c>
      <c r="D1005" s="7" t="s">
        <v>1642</v>
      </c>
      <c r="E1005" s="25">
        <v>45735</v>
      </c>
      <c r="F1005" s="9">
        <f>IF($E1005="","",WORKDAY($E1005,1,$V$33:$V$41))</f>
        <v>45736</v>
      </c>
      <c r="G1005" s="9">
        <f>IF($E1005="","",WORKDAY($E1005,10,$V$33:$V$41))</f>
        <v>45749</v>
      </c>
      <c r="H1005" s="9">
        <f>IF($E1005="","",WORKDAY($E1005,20,$V$33:$V$41))</f>
        <v>45763</v>
      </c>
      <c r="I1005" s="157" t="str">
        <f t="shared" si="19"/>
        <v>Mar</v>
      </c>
      <c r="J1005" s="17" t="str">
        <f ca="1">IF(E1005="","",IF(N1005="",H1005-TODAY(),""))</f>
        <v/>
      </c>
      <c r="K1005" s="157" t="s">
        <v>124</v>
      </c>
      <c r="L1005" s="7" t="s">
        <v>20</v>
      </c>
      <c r="M1005" s="7" t="s">
        <v>62</v>
      </c>
      <c r="N1005" s="16">
        <v>45747</v>
      </c>
      <c r="O1005" s="159">
        <f>IF($N1005="","",NETWORKDAYS($E1005,$N1005,$V$33:$V$47)-1)</f>
        <v>8</v>
      </c>
      <c r="P1005" s="10" t="str">
        <f>IF(ISBLANK(N1005),"",IF(N1005&gt;H1005,"No","Yes"))</f>
        <v>Yes</v>
      </c>
      <c r="Q1005" s="7" t="s">
        <v>117</v>
      </c>
      <c r="R1005" s="4" t="s">
        <v>118</v>
      </c>
      <c r="S1005" s="4"/>
      <c r="T1005" s="7"/>
      <c r="U1005" s="6"/>
      <c r="V1005" s="6"/>
      <c r="W1005" s="6"/>
      <c r="X1005" s="6"/>
      <c r="Y1005" s="6"/>
      <c r="Z1005" s="6"/>
      <c r="AX1005" s="6" t="str">
        <v>Quarter 4</v>
      </c>
    </row>
    <row r="1006" spans="1:50" ht="31.4" customHeight="1" x14ac:dyDescent="0.35">
      <c r="A1006" s="136">
        <v>1005</v>
      </c>
      <c r="B1006" s="7" t="s">
        <v>138</v>
      </c>
      <c r="C1006" s="7" t="s">
        <v>19</v>
      </c>
      <c r="D1006" s="7" t="s">
        <v>1643</v>
      </c>
      <c r="E1006" s="25">
        <v>45735</v>
      </c>
      <c r="F1006" s="9">
        <f>IF($E1006="","",WORKDAY($E1006,1,$V$33:$V$41))</f>
        <v>45736</v>
      </c>
      <c r="G1006" s="9">
        <f>IF($E1006="","",WORKDAY($E1006,10,$V$33:$V$41))</f>
        <v>45749</v>
      </c>
      <c r="H1006" s="9">
        <f>IF($E1006="","",WORKDAY($E1006,20,$V$33:$V$41))</f>
        <v>45763</v>
      </c>
      <c r="I1006" s="157" t="str">
        <f t="shared" si="19"/>
        <v>Mar</v>
      </c>
      <c r="J1006" s="17" t="str">
        <f ca="1">IF(E1006="","",IF(N1006="",H1006-TODAY(),""))</f>
        <v/>
      </c>
      <c r="K1006" s="157" t="s">
        <v>4</v>
      </c>
      <c r="L1006" s="7" t="s">
        <v>26</v>
      </c>
      <c r="M1006" s="7" t="s">
        <v>93</v>
      </c>
      <c r="N1006" s="16">
        <v>45749</v>
      </c>
      <c r="O1006" s="159">
        <f>IF($N1006="","",NETWORKDAYS($E1006,$N1006,$V$33:$V$47)-1)</f>
        <v>10</v>
      </c>
      <c r="P1006" s="10" t="str">
        <f>IF(ISBLANK(N1006),"",IF(N1006&gt;H1006,"No","Yes"))</f>
        <v>Yes</v>
      </c>
      <c r="Q1006" s="7" t="s">
        <v>117</v>
      </c>
      <c r="R1006" s="4" t="s">
        <v>118</v>
      </c>
      <c r="S1006" s="4"/>
      <c r="T1006" s="7" t="s">
        <v>141</v>
      </c>
      <c r="U1006" s="6"/>
      <c r="V1006" s="6"/>
      <c r="W1006" s="6"/>
      <c r="X1006" s="6"/>
      <c r="Y1006" s="6"/>
      <c r="Z1006" s="6"/>
      <c r="AX1006" s="6" t="str">
        <v>Quarter 4</v>
      </c>
    </row>
    <row r="1007" spans="1:50" ht="31.4" customHeight="1" x14ac:dyDescent="0.35">
      <c r="A1007" s="136">
        <v>1006</v>
      </c>
      <c r="B1007" s="7" t="s">
        <v>478</v>
      </c>
      <c r="C1007" s="7" t="s">
        <v>21</v>
      </c>
      <c r="D1007" s="7" t="s">
        <v>1644</v>
      </c>
      <c r="E1007" s="25">
        <v>45735</v>
      </c>
      <c r="F1007" s="9">
        <f>IF($E1007="","",WORKDAY($E1007,1,$V$33:$V$41))</f>
        <v>45736</v>
      </c>
      <c r="G1007" s="9">
        <f>IF($E1007="","",WORKDAY($E1007,10,$V$33:$V$41))</f>
        <v>45749</v>
      </c>
      <c r="H1007" s="9">
        <f>IF($E1007="","",WORKDAY($E1007,20,$V$33:$V$41))</f>
        <v>45763</v>
      </c>
      <c r="I1007" s="157" t="str">
        <f t="shared" si="19"/>
        <v>Mar</v>
      </c>
      <c r="J1007" s="17" t="str">
        <f ca="1">IF(E1007="","",IF(N1007="",H1007-TODAY(),""))</f>
        <v/>
      </c>
      <c r="K1007" s="157" t="s">
        <v>5</v>
      </c>
      <c r="L1007" s="7" t="s">
        <v>22</v>
      </c>
      <c r="M1007" s="7" t="s">
        <v>64</v>
      </c>
      <c r="N1007" s="16">
        <v>45748</v>
      </c>
      <c r="O1007" s="159">
        <f>IF($N1007="","",NETWORKDAYS($E1007,$N1007,$V$33:$V$47)-1)</f>
        <v>9</v>
      </c>
      <c r="P1007" s="10" t="str">
        <f>IF(ISBLANK(N1007),"",IF(N1007&gt;H1007,"No","Yes"))</f>
        <v>Yes</v>
      </c>
      <c r="Q1007" s="7" t="s">
        <v>117</v>
      </c>
      <c r="R1007" s="4" t="s">
        <v>118</v>
      </c>
      <c r="S1007" s="4"/>
      <c r="T1007" s="7"/>
      <c r="U1007" s="6"/>
      <c r="V1007" s="6"/>
      <c r="W1007" s="6"/>
      <c r="X1007" s="6"/>
      <c r="Y1007" s="6"/>
      <c r="Z1007" s="6"/>
      <c r="AX1007" s="6" t="str">
        <v>Quarter 4</v>
      </c>
    </row>
    <row r="1008" spans="1:50" ht="31.4" customHeight="1" x14ac:dyDescent="0.35">
      <c r="A1008" s="136">
        <v>1007</v>
      </c>
      <c r="B1008" s="7" t="s">
        <v>1645</v>
      </c>
      <c r="C1008" s="7" t="s">
        <v>13</v>
      </c>
      <c r="D1008" s="7" t="s">
        <v>1646</v>
      </c>
      <c r="E1008" s="25">
        <v>45736</v>
      </c>
      <c r="F1008" s="9">
        <f>IF($E1008="","",WORKDAY($E1008,1,$V$33:$V$41))</f>
        <v>45737</v>
      </c>
      <c r="G1008" s="9">
        <f>IF($E1008="","",WORKDAY($E1008,10,$V$33:$V$41))</f>
        <v>45750</v>
      </c>
      <c r="H1008" s="9">
        <f>IF($E1008="","",WORKDAY($E1008,20,$V$33:$V$41))</f>
        <v>45764</v>
      </c>
      <c r="I1008" s="157" t="str">
        <f t="shared" si="19"/>
        <v>Mar</v>
      </c>
      <c r="J1008" s="17" t="str">
        <f ca="1">IF(E1008="","",IF(N1008="",H1008-TODAY(),""))</f>
        <v/>
      </c>
      <c r="K1008" s="157" t="s">
        <v>5</v>
      </c>
      <c r="L1008" s="7" t="s">
        <v>22</v>
      </c>
      <c r="M1008" s="7" t="s">
        <v>64</v>
      </c>
      <c r="N1008" s="16">
        <v>45755</v>
      </c>
      <c r="O1008" s="159">
        <f>IF($N1008="","",NETWORKDAYS($E1008,$N1008,$V$33:$V$47)-1)</f>
        <v>13</v>
      </c>
      <c r="P1008" s="10" t="str">
        <f>IF(ISBLANK(N1008),"",IF(N1008&gt;H1008,"No","Yes"))</f>
        <v>Yes</v>
      </c>
      <c r="Q1008" s="7" t="s">
        <v>117</v>
      </c>
      <c r="R1008" s="4" t="s">
        <v>118</v>
      </c>
      <c r="S1008" s="4"/>
      <c r="T1008" s="7"/>
      <c r="U1008" s="6"/>
      <c r="V1008" s="6"/>
      <c r="W1008" s="6"/>
      <c r="X1008" s="6"/>
      <c r="Y1008" s="6"/>
      <c r="Z1008" s="6"/>
      <c r="AX1008" s="6" t="str">
        <v>Quarter 4</v>
      </c>
    </row>
    <row r="1009" spans="1:50" ht="31.4" customHeight="1" x14ac:dyDescent="0.35">
      <c r="A1009" s="136">
        <v>1008</v>
      </c>
      <c r="B1009" s="7" t="s">
        <v>138</v>
      </c>
      <c r="C1009" s="7" t="s">
        <v>19</v>
      </c>
      <c r="D1009" s="7" t="s">
        <v>1647</v>
      </c>
      <c r="E1009" s="25">
        <v>45736</v>
      </c>
      <c r="F1009" s="9">
        <f>IF($E1009="","",WORKDAY($E1009,1,$V$33:$V$41))</f>
        <v>45737</v>
      </c>
      <c r="G1009" s="9">
        <f>IF($E1009="","",WORKDAY($E1009,10,$V$33:$V$41))</f>
        <v>45750</v>
      </c>
      <c r="H1009" s="9">
        <f>IF($E1009="","",WORKDAY($E1009,20,$V$33:$V$41))</f>
        <v>45764</v>
      </c>
      <c r="I1009" s="157" t="str">
        <f t="shared" si="19"/>
        <v>Mar</v>
      </c>
      <c r="J1009" s="17" t="str">
        <f ca="1">IF(E1009="","",IF(N1009="",H1009-TODAY(),""))</f>
        <v/>
      </c>
      <c r="K1009" s="157" t="s">
        <v>10</v>
      </c>
      <c r="L1009" s="7" t="s">
        <v>27</v>
      </c>
      <c r="M1009" s="7" t="s">
        <v>72</v>
      </c>
      <c r="N1009" s="16">
        <v>45763</v>
      </c>
      <c r="O1009" s="159">
        <f>IF($N1009="","",NETWORKDAYS($E1009,$N1009,$V$33:$V$47)-1)</f>
        <v>19</v>
      </c>
      <c r="P1009" s="10" t="str">
        <f>IF(ISBLANK(N1009),"",IF(N1009&gt;H1009,"No","Yes"))</f>
        <v>Yes</v>
      </c>
      <c r="Q1009" s="7" t="s">
        <v>117</v>
      </c>
      <c r="R1009" s="4" t="s">
        <v>118</v>
      </c>
      <c r="S1009" s="4"/>
      <c r="T1009" s="7" t="s">
        <v>141</v>
      </c>
      <c r="U1009" s="6"/>
      <c r="V1009" s="6"/>
      <c r="W1009" s="6"/>
      <c r="X1009" s="6"/>
      <c r="Y1009" s="6"/>
      <c r="Z1009" s="6"/>
      <c r="AX1009" s="6" t="str">
        <v>Quarter 4</v>
      </c>
    </row>
    <row r="1010" spans="1:50" ht="31.4" customHeight="1" x14ac:dyDescent="0.35">
      <c r="A1010" s="136">
        <v>1009</v>
      </c>
      <c r="B1010" s="7" t="s">
        <v>138</v>
      </c>
      <c r="C1010" s="7" t="s">
        <v>19</v>
      </c>
      <c r="D1010" s="7" t="s">
        <v>1648</v>
      </c>
      <c r="E1010" s="25">
        <v>45737</v>
      </c>
      <c r="F1010" s="9">
        <f>IF($E1010="","",WORKDAY($E1010,1,$V$33:$V$41))</f>
        <v>45740</v>
      </c>
      <c r="G1010" s="9">
        <f>IF($E1010="","",WORKDAY($E1010,10,$V$33:$V$41))</f>
        <v>45751</v>
      </c>
      <c r="H1010" s="9">
        <f>IF($E1010="","",WORKDAY($E1010,20,$V$33:$V$41))</f>
        <v>45769</v>
      </c>
      <c r="I1010" s="157" t="str">
        <f t="shared" si="19"/>
        <v>Mar</v>
      </c>
      <c r="J1010" s="17" t="str">
        <f ca="1">IF(E1010="","",IF(N1010="",H1010-TODAY(),""))</f>
        <v/>
      </c>
      <c r="K1010" s="157" t="s">
        <v>5</v>
      </c>
      <c r="L1010" s="7" t="s">
        <v>16</v>
      </c>
      <c r="M1010" s="7" t="s">
        <v>67</v>
      </c>
      <c r="N1010" s="16">
        <v>45747</v>
      </c>
      <c r="O1010" s="159">
        <f>IF($N1010="","",NETWORKDAYS($E1010,$N1010,$V$33:$V$47)-1)</f>
        <v>6</v>
      </c>
      <c r="P1010" s="10" t="str">
        <f>IF(ISBLANK(N1010),"",IF(N1010&gt;H1010,"No","Yes"))</f>
        <v>Yes</v>
      </c>
      <c r="Q1010" s="7" t="s">
        <v>117</v>
      </c>
      <c r="R1010" s="4" t="s">
        <v>126</v>
      </c>
      <c r="S1010" s="4" t="s">
        <v>119</v>
      </c>
      <c r="T1010" s="7"/>
      <c r="U1010" s="6"/>
      <c r="V1010" s="6"/>
      <c r="W1010" s="6"/>
      <c r="X1010" s="6"/>
      <c r="Y1010" s="6"/>
      <c r="Z1010" s="6"/>
      <c r="AX1010" s="6" t="str">
        <v>Quarter 4</v>
      </c>
    </row>
    <row r="1011" spans="1:50" ht="31.4" customHeight="1" x14ac:dyDescent="0.35">
      <c r="A1011" s="136">
        <v>1010</v>
      </c>
      <c r="B1011" s="7" t="s">
        <v>1620</v>
      </c>
      <c r="C1011" s="7" t="s">
        <v>15</v>
      </c>
      <c r="D1011" s="7" t="s">
        <v>1649</v>
      </c>
      <c r="E1011" s="25">
        <v>45737</v>
      </c>
      <c r="F1011" s="9">
        <f>IF($E1011="","",WORKDAY($E1011,1,$V$33:$V$41))</f>
        <v>45740</v>
      </c>
      <c r="G1011" s="9">
        <f>IF($E1011="","",WORKDAY($E1011,10,$V$33:$V$41))</f>
        <v>45751</v>
      </c>
      <c r="H1011" s="9">
        <f>IF($E1011="","",WORKDAY($E1011,20,$V$33:$V$41))</f>
        <v>45769</v>
      </c>
      <c r="I1011" s="157" t="str">
        <f t="shared" si="19"/>
        <v>Mar</v>
      </c>
      <c r="J1011" s="17" t="str">
        <f ca="1">IF(E1011="","",IF(N1011="",H1011-TODAY(),""))</f>
        <v/>
      </c>
      <c r="K1011" s="157" t="s">
        <v>124</v>
      </c>
      <c r="L1011" s="7" t="s">
        <v>20</v>
      </c>
      <c r="M1011" s="7" t="s">
        <v>62</v>
      </c>
      <c r="N1011" s="16">
        <v>45755</v>
      </c>
      <c r="O1011" s="159">
        <f>IF($N1011="","",NETWORKDAYS($E1011,$N1011,$V$33:$V$47)-1)</f>
        <v>12</v>
      </c>
      <c r="P1011" s="10" t="str">
        <f>IF(ISBLANK(N1011),"",IF(N1011&gt;H1011,"No","Yes"))</f>
        <v>Yes</v>
      </c>
      <c r="Q1011" s="7" t="s">
        <v>117</v>
      </c>
      <c r="R1011" s="4" t="s">
        <v>118</v>
      </c>
      <c r="S1011" s="4"/>
      <c r="T1011" s="7"/>
      <c r="U1011" s="6"/>
      <c r="V1011" s="6"/>
      <c r="W1011" s="6"/>
      <c r="X1011" s="6"/>
      <c r="Y1011" s="6"/>
      <c r="Z1011" s="6"/>
      <c r="AX1011" s="6" t="str">
        <v>Quarter 4</v>
      </c>
    </row>
    <row r="1012" spans="1:50" ht="31.4" customHeight="1" x14ac:dyDescent="0.35">
      <c r="A1012" s="136">
        <v>1011</v>
      </c>
      <c r="B1012" s="7" t="s">
        <v>8</v>
      </c>
      <c r="C1012" s="7" t="s">
        <v>8</v>
      </c>
      <c r="D1012" s="7" t="s">
        <v>1650</v>
      </c>
      <c r="E1012" s="25">
        <v>45737</v>
      </c>
      <c r="F1012" s="9">
        <f>IF($E1012="","",WORKDAY($E1012,1,$V$33:$V$41))</f>
        <v>45740</v>
      </c>
      <c r="G1012" s="9">
        <f>IF($E1012="","",WORKDAY($E1012,10,$V$33:$V$41))</f>
        <v>45751</v>
      </c>
      <c r="H1012" s="9">
        <f>IF($E1012="","",WORKDAY($E1012,20,$V$33:$V$41))</f>
        <v>45769</v>
      </c>
      <c r="I1012" s="157" t="str">
        <f t="shared" si="19"/>
        <v>Mar</v>
      </c>
      <c r="J1012" s="17" t="str">
        <f ca="1">IF(E1012="","",IF(N1012="",H1012-TODAY(),""))</f>
        <v/>
      </c>
      <c r="K1012" s="157" t="s">
        <v>5</v>
      </c>
      <c r="L1012" s="7" t="s">
        <v>22</v>
      </c>
      <c r="M1012" s="7" t="s">
        <v>64</v>
      </c>
      <c r="N1012" s="16">
        <v>45742</v>
      </c>
      <c r="O1012" s="159">
        <f>IF($N1012="","",NETWORKDAYS($E1012,$N1012,$V$33:$V$47)-1)</f>
        <v>3</v>
      </c>
      <c r="P1012" s="10" t="str">
        <f>IF(ISBLANK(N1012),"",IF(N1012&gt;H1012,"No","Yes"))</f>
        <v>Yes</v>
      </c>
      <c r="Q1012" s="7" t="s">
        <v>117</v>
      </c>
      <c r="R1012" s="4" t="s">
        <v>118</v>
      </c>
      <c r="S1012" s="4" t="s">
        <v>135</v>
      </c>
      <c r="T1012" s="7"/>
      <c r="U1012" s="6"/>
      <c r="V1012" s="6"/>
      <c r="W1012" s="6"/>
      <c r="X1012" s="6"/>
      <c r="Y1012" s="6"/>
      <c r="Z1012" s="6"/>
      <c r="AX1012" s="6" t="str">
        <v>Quarter 4</v>
      </c>
    </row>
    <row r="1013" spans="1:50" ht="31.4" customHeight="1" x14ac:dyDescent="0.35">
      <c r="A1013" s="136">
        <v>1012</v>
      </c>
      <c r="B1013" s="7" t="s">
        <v>8</v>
      </c>
      <c r="C1013" s="7" t="s">
        <v>8</v>
      </c>
      <c r="D1013" s="7" t="s">
        <v>1651</v>
      </c>
      <c r="E1013" s="25">
        <v>45737</v>
      </c>
      <c r="F1013" s="9">
        <f>IF($E1013="","",WORKDAY($E1013,1,$V$33:$V$41))</f>
        <v>45740</v>
      </c>
      <c r="G1013" s="9">
        <f>IF($E1013="","",WORKDAY($E1013,10,$V$33:$V$41))</f>
        <v>45751</v>
      </c>
      <c r="H1013" s="9">
        <f>IF($E1013="","",WORKDAY($E1013,20,$V$33:$V$41))</f>
        <v>45769</v>
      </c>
      <c r="I1013" s="157" t="str">
        <f t="shared" si="19"/>
        <v>Mar</v>
      </c>
      <c r="J1013" s="17" t="str">
        <f ca="1">IF(E1013="","",IF(N1013="",H1013-TODAY(),""))</f>
        <v/>
      </c>
      <c r="K1013" s="157" t="s">
        <v>10</v>
      </c>
      <c r="L1013" s="7" t="s">
        <v>9</v>
      </c>
      <c r="M1013" s="7" t="s">
        <v>38</v>
      </c>
      <c r="N1013" s="16">
        <v>45754</v>
      </c>
      <c r="O1013" s="159">
        <f>IF($N1013="","",NETWORKDAYS($E1013,$N1013,$V$33:$V$47)-1)</f>
        <v>11</v>
      </c>
      <c r="P1013" s="10" t="str">
        <f>IF(ISBLANK(N1013),"",IF(N1013&gt;H1013,"No","Yes"))</f>
        <v>Yes</v>
      </c>
      <c r="Q1013" s="7" t="s">
        <v>117</v>
      </c>
      <c r="R1013" s="4" t="s">
        <v>126</v>
      </c>
      <c r="S1013" s="4" t="s">
        <v>119</v>
      </c>
      <c r="T1013" s="7" t="s">
        <v>141</v>
      </c>
      <c r="U1013" s="6"/>
      <c r="V1013" s="6"/>
      <c r="W1013" s="6"/>
      <c r="X1013" s="6"/>
      <c r="Y1013" s="6"/>
      <c r="Z1013" s="6"/>
      <c r="AX1013" s="6" t="str">
        <v>Quarter 4</v>
      </c>
    </row>
    <row r="1014" spans="1:50" ht="31.4" customHeight="1" x14ac:dyDescent="0.35">
      <c r="A1014" s="136">
        <v>1013</v>
      </c>
      <c r="B1014" s="7" t="s">
        <v>293</v>
      </c>
      <c r="C1014" s="7" t="s">
        <v>6</v>
      </c>
      <c r="D1014" s="7" t="s">
        <v>1652</v>
      </c>
      <c r="E1014" s="25">
        <v>45740</v>
      </c>
      <c r="F1014" s="9">
        <f>IF($E1014="","",WORKDAY($E1014,1,$V$33:$V$41))</f>
        <v>45741</v>
      </c>
      <c r="G1014" s="9">
        <f>IF($E1014="","",WORKDAY($E1014,10,$V$33:$V$41))</f>
        <v>45754</v>
      </c>
      <c r="H1014" s="9">
        <f>IF($E1014="","",WORKDAY($E1014,20,$V$33:$V$41))</f>
        <v>45770</v>
      </c>
      <c r="I1014" s="157" t="str">
        <f t="shared" si="19"/>
        <v>Mar</v>
      </c>
      <c r="J1014" s="17" t="str">
        <f ca="1">IF(E1014="","",IF(N1014="",H1014-TODAY(),""))</f>
        <v/>
      </c>
      <c r="K1014" s="157" t="s">
        <v>124</v>
      </c>
      <c r="L1014" s="7" t="s">
        <v>20</v>
      </c>
      <c r="M1014" s="7" t="s">
        <v>79</v>
      </c>
      <c r="N1014" s="16">
        <v>45740</v>
      </c>
      <c r="O1014" s="159">
        <f>IF($N1014="","",NETWORKDAYS($E1014,$N1014,$V$33:$V$47)-1)</f>
        <v>0</v>
      </c>
      <c r="P1014" s="10" t="str">
        <f>IF(ISBLANK(N1014),"",IF(N1014&gt;H1014,"No","Yes"))</f>
        <v>Yes</v>
      </c>
      <c r="Q1014" s="7" t="s">
        <v>117</v>
      </c>
      <c r="R1014" s="4" t="s">
        <v>118</v>
      </c>
      <c r="S1014" s="4" t="s">
        <v>135</v>
      </c>
      <c r="T1014" s="7"/>
      <c r="U1014" s="6"/>
      <c r="V1014" s="6"/>
      <c r="W1014" s="6"/>
      <c r="X1014" s="6"/>
      <c r="Y1014" s="6"/>
      <c r="Z1014" s="6"/>
      <c r="AX1014" s="6" t="str">
        <v>Quarter 4</v>
      </c>
    </row>
    <row r="1015" spans="1:50" ht="31.4" customHeight="1" x14ac:dyDescent="0.35">
      <c r="A1015" s="136">
        <v>1014</v>
      </c>
      <c r="B1015" s="7" t="s">
        <v>8</v>
      </c>
      <c r="C1015" s="7" t="s">
        <v>8</v>
      </c>
      <c r="D1015" s="7" t="s">
        <v>1653</v>
      </c>
      <c r="E1015" s="25">
        <v>45740</v>
      </c>
      <c r="F1015" s="9">
        <f>IF($E1015="","",WORKDAY($E1015,1,$V$33:$V$41))</f>
        <v>45741</v>
      </c>
      <c r="G1015" s="9">
        <f>IF($E1015="","",WORKDAY($E1015,10,$V$33:$V$41))</f>
        <v>45754</v>
      </c>
      <c r="H1015" s="9">
        <f>IF($E1015="","",WORKDAY($E1015,20,$V$33:$V$41))</f>
        <v>45770</v>
      </c>
      <c r="I1015" s="157" t="str">
        <f t="shared" si="19"/>
        <v>Mar</v>
      </c>
      <c r="J1015" s="17" t="str">
        <f ca="1">IF(E1015="","",IF(N1015="",H1015-TODAY(),""))</f>
        <v/>
      </c>
      <c r="K1015" s="157" t="s">
        <v>124</v>
      </c>
      <c r="L1015" s="7" t="s">
        <v>24</v>
      </c>
      <c r="M1015" s="7" t="s">
        <v>76</v>
      </c>
      <c r="N1015" s="16">
        <v>45749</v>
      </c>
      <c r="O1015" s="159">
        <f>IF($N1015="","",NETWORKDAYS($E1015,$N1015,$V$33:$V$47)-1)</f>
        <v>7</v>
      </c>
      <c r="P1015" s="10" t="str">
        <f>IF(ISBLANK(N1015),"",IF(N1015&gt;H1015,"No","Yes"))</f>
        <v>Yes</v>
      </c>
      <c r="Q1015" s="7" t="s">
        <v>117</v>
      </c>
      <c r="R1015" s="4" t="s">
        <v>118</v>
      </c>
      <c r="S1015" s="4"/>
      <c r="T1015" s="7"/>
      <c r="U1015" s="6"/>
      <c r="V1015" s="6"/>
      <c r="W1015" s="6"/>
      <c r="X1015" s="6"/>
      <c r="Y1015" s="6"/>
      <c r="Z1015" s="6"/>
      <c r="AX1015" s="6" t="str">
        <v>Quarter 4</v>
      </c>
    </row>
    <row r="1016" spans="1:50" ht="31.4" customHeight="1" x14ac:dyDescent="0.35">
      <c r="A1016" s="136">
        <v>1015</v>
      </c>
      <c r="B1016" s="7" t="s">
        <v>8</v>
      </c>
      <c r="C1016" s="7" t="s">
        <v>8</v>
      </c>
      <c r="D1016" s="7" t="s">
        <v>1654</v>
      </c>
      <c r="E1016" s="25">
        <v>45740</v>
      </c>
      <c r="F1016" s="9">
        <f>IF($E1016="","",WORKDAY($E1016,1,$V$33:$V$41))</f>
        <v>45741</v>
      </c>
      <c r="G1016" s="9">
        <f>IF($E1016="","",WORKDAY($E1016,10,$V$33:$V$41))</f>
        <v>45754</v>
      </c>
      <c r="H1016" s="9">
        <f>IF($E1016="","",WORKDAY($E1016,20,$V$33:$V$41))</f>
        <v>45770</v>
      </c>
      <c r="I1016" s="157" t="str">
        <f t="shared" si="19"/>
        <v>Mar</v>
      </c>
      <c r="J1016" s="17" t="str">
        <f ca="1">IF(E1016="","",IF(N1016="",H1016-TODAY(),""))</f>
        <v/>
      </c>
      <c r="K1016" s="157" t="s">
        <v>124</v>
      </c>
      <c r="L1016" s="7" t="s">
        <v>14</v>
      </c>
      <c r="M1016" s="7" t="s">
        <v>81</v>
      </c>
      <c r="N1016" s="16">
        <v>45748</v>
      </c>
      <c r="O1016" s="159">
        <f>IF($N1016="","",NETWORKDAYS($E1016,$N1016,$V$33:$V$47)-1)</f>
        <v>6</v>
      </c>
      <c r="P1016" s="10" t="str">
        <f>IF(ISBLANK(N1016),"",IF(N1016&gt;H1016,"No","Yes"))</f>
        <v>Yes</v>
      </c>
      <c r="Q1016" s="7" t="s">
        <v>117</v>
      </c>
      <c r="R1016" s="4" t="s">
        <v>126</v>
      </c>
      <c r="S1016" s="4" t="s">
        <v>178</v>
      </c>
      <c r="T1016" s="7" t="s">
        <v>2117</v>
      </c>
      <c r="U1016" s="6"/>
      <c r="V1016" s="6"/>
      <c r="W1016" s="6"/>
      <c r="X1016" s="6"/>
      <c r="Y1016" s="6"/>
      <c r="Z1016" s="6"/>
      <c r="AX1016" s="6" t="str">
        <v>Quarter 4</v>
      </c>
    </row>
    <row r="1017" spans="1:50" ht="31.4" customHeight="1" x14ac:dyDescent="0.35">
      <c r="A1017" s="136">
        <v>1016</v>
      </c>
      <c r="B1017" s="7" t="s">
        <v>8</v>
      </c>
      <c r="C1017" s="7" t="s">
        <v>8</v>
      </c>
      <c r="D1017" s="7" t="s">
        <v>2062</v>
      </c>
      <c r="E1017" s="25">
        <v>45740</v>
      </c>
      <c r="F1017" s="9">
        <f>IF($E1017="","",WORKDAY($E1017,1,$V$33:$V$41))</f>
        <v>45741</v>
      </c>
      <c r="G1017" s="9">
        <f>IF($E1017="","",WORKDAY($E1017,10,$V$33:$V$41))</f>
        <v>45754</v>
      </c>
      <c r="H1017" s="9">
        <f>IF($E1017="","",WORKDAY($E1017,20,$V$33:$V$41))</f>
        <v>45770</v>
      </c>
      <c r="I1017" s="157" t="str">
        <f t="shared" si="19"/>
        <v>Mar</v>
      </c>
      <c r="J1017" s="17" t="str">
        <f ca="1">IF(E1017="","",IF(N1017="",H1017-TODAY(),""))</f>
        <v/>
      </c>
      <c r="K1017" s="157" t="s">
        <v>10</v>
      </c>
      <c r="L1017" s="7" t="s">
        <v>12</v>
      </c>
      <c r="M1017" s="7" t="s">
        <v>65</v>
      </c>
      <c r="N1017" s="16">
        <v>45741</v>
      </c>
      <c r="O1017" s="159">
        <f>IF($N1017="","",NETWORKDAYS($E1017,$N1017,$V$33:$V$47)-1)</f>
        <v>1</v>
      </c>
      <c r="P1017" s="10" t="str">
        <f>IF(ISBLANK(N1017),"",IF(N1017&gt;H1017,"No","Yes"))</f>
        <v>Yes</v>
      </c>
      <c r="Q1017" s="7" t="s">
        <v>117</v>
      </c>
      <c r="R1017" s="4" t="s">
        <v>118</v>
      </c>
      <c r="S1017" s="4"/>
      <c r="T1017" s="7" t="s">
        <v>141</v>
      </c>
      <c r="U1017" s="6"/>
      <c r="V1017" s="6"/>
      <c r="W1017" s="6"/>
      <c r="X1017" s="6"/>
      <c r="Y1017" s="6"/>
      <c r="Z1017" s="6"/>
      <c r="AX1017" s="6" t="str">
        <v>Quarter 4</v>
      </c>
    </row>
    <row r="1018" spans="1:50" ht="31.4" customHeight="1" x14ac:dyDescent="0.35">
      <c r="A1018" s="136">
        <v>1017</v>
      </c>
      <c r="B1018" s="7" t="s">
        <v>8</v>
      </c>
      <c r="C1018" s="7" t="s">
        <v>8</v>
      </c>
      <c r="D1018" s="7" t="s">
        <v>2063</v>
      </c>
      <c r="E1018" s="25">
        <v>45740</v>
      </c>
      <c r="F1018" s="9">
        <f>IF($E1018="","",WORKDAY($E1018,1,$V$33:$V$41))</f>
        <v>45741</v>
      </c>
      <c r="G1018" s="9">
        <f>IF($E1018="","",WORKDAY($E1018,10,$V$33:$V$41))</f>
        <v>45754</v>
      </c>
      <c r="H1018" s="9">
        <f>IF($E1018="","",WORKDAY($E1018,20,$V$33:$V$41))</f>
        <v>45770</v>
      </c>
      <c r="I1018" s="157" t="str">
        <f t="shared" si="19"/>
        <v>Mar</v>
      </c>
      <c r="J1018" s="17" t="str">
        <f ca="1">IF(E1018="","",IF(N1018="",H1018-TODAY(),""))</f>
        <v/>
      </c>
      <c r="K1018" s="157" t="s">
        <v>5</v>
      </c>
      <c r="L1018" s="7" t="s">
        <v>16</v>
      </c>
      <c r="M1018" s="7" t="s">
        <v>71</v>
      </c>
      <c r="N1018" s="16">
        <v>45769</v>
      </c>
      <c r="O1018" s="159">
        <f>IF($N1018="","",NETWORKDAYS($E1018,$N1018,$V$33:$V$47)-1)</f>
        <v>19</v>
      </c>
      <c r="P1018" s="10" t="str">
        <f>IF(ISBLANK(N1018),"",IF(N1018&gt;H1018,"No","Yes"))</f>
        <v>Yes</v>
      </c>
      <c r="Q1018" s="7" t="s">
        <v>117</v>
      </c>
      <c r="R1018" s="4" t="s">
        <v>118</v>
      </c>
      <c r="S1018" s="4"/>
      <c r="T1018" s="7"/>
      <c r="U1018" s="6"/>
      <c r="V1018" s="6"/>
      <c r="W1018" s="6"/>
      <c r="X1018" s="6"/>
      <c r="Y1018" s="6"/>
      <c r="Z1018" s="6"/>
      <c r="AX1018" s="6" t="str">
        <v>Quarter 4</v>
      </c>
    </row>
    <row r="1019" spans="1:50" ht="31.4" customHeight="1" x14ac:dyDescent="0.35">
      <c r="A1019" s="136">
        <v>1018</v>
      </c>
      <c r="B1019" s="7" t="s">
        <v>2066</v>
      </c>
      <c r="C1019" s="7" t="s">
        <v>13</v>
      </c>
      <c r="D1019" s="7" t="s">
        <v>2068</v>
      </c>
      <c r="E1019" s="25">
        <v>45741</v>
      </c>
      <c r="F1019" s="9">
        <f>IF($E1019="","",WORKDAY($E1019,1,$V$33:$V$41))</f>
        <v>45742</v>
      </c>
      <c r="G1019" s="9">
        <f>IF($E1019="","",WORKDAY($E1019,10,$V$33:$V$41))</f>
        <v>45755</v>
      </c>
      <c r="H1019" s="9">
        <f>IF($E1019="","",WORKDAY($E1019,20,$V$33:$V$41))</f>
        <v>45771</v>
      </c>
      <c r="I1019" s="157" t="str">
        <f t="shared" si="19"/>
        <v>Mar</v>
      </c>
      <c r="J1019" s="17" t="str">
        <f ca="1">IF(E1019="","",IF(N1019="",H1019-TODAY(),""))</f>
        <v/>
      </c>
      <c r="K1019" s="157" t="s">
        <v>124</v>
      </c>
      <c r="L1019" s="7" t="s">
        <v>20</v>
      </c>
      <c r="M1019" s="7" t="s">
        <v>92</v>
      </c>
      <c r="N1019" s="16">
        <v>45749</v>
      </c>
      <c r="O1019" s="159">
        <f>IF($N1019="","",NETWORKDAYS($E1019,$N1019,$V$33:$V$47)-1)</f>
        <v>6</v>
      </c>
      <c r="P1019" s="10" t="str">
        <f>IF(ISBLANK(N1019),"",IF(N1019&gt;H1019,"No","Yes"))</f>
        <v>Yes</v>
      </c>
      <c r="Q1019" s="7" t="s">
        <v>117</v>
      </c>
      <c r="R1019" s="4" t="s">
        <v>118</v>
      </c>
      <c r="S1019" s="4"/>
      <c r="T1019" s="7" t="s">
        <v>141</v>
      </c>
      <c r="U1019" s="6"/>
      <c r="V1019" s="6"/>
      <c r="W1019" s="6"/>
      <c r="X1019" s="6"/>
      <c r="Y1019" s="6"/>
      <c r="Z1019" s="6"/>
      <c r="AX1019" s="6" t="str">
        <v>Quarter 4</v>
      </c>
    </row>
    <row r="1020" spans="1:50" ht="31.4" customHeight="1" x14ac:dyDescent="0.35">
      <c r="A1020" s="136">
        <v>1019</v>
      </c>
      <c r="B1020" s="7" t="s">
        <v>2069</v>
      </c>
      <c r="C1020" s="7" t="s">
        <v>15</v>
      </c>
      <c r="D1020" s="7" t="s">
        <v>2070</v>
      </c>
      <c r="E1020" s="25">
        <v>45741</v>
      </c>
      <c r="F1020" s="9">
        <f>IF($E1020="","",WORKDAY($E1020,1,$V$33:$V$41))</f>
        <v>45742</v>
      </c>
      <c r="G1020" s="9">
        <f>IF($E1020="","",WORKDAY($E1020,10,$V$33:$V$41))</f>
        <v>45755</v>
      </c>
      <c r="H1020" s="9">
        <f>IF($E1020="","",WORKDAY($E1020,20,$V$33:$V$41))</f>
        <v>45771</v>
      </c>
      <c r="I1020" s="157" t="str">
        <f t="shared" si="19"/>
        <v>Mar</v>
      </c>
      <c r="J1020" s="17" t="str">
        <f ca="1">IF(E1020="","",IF(N1020="",H1020-TODAY(),""))</f>
        <v/>
      </c>
      <c r="K1020" s="157" t="s">
        <v>124</v>
      </c>
      <c r="L1020" s="7" t="s">
        <v>20</v>
      </c>
      <c r="M1020" s="7" t="s">
        <v>92</v>
      </c>
      <c r="N1020" s="16">
        <v>45749</v>
      </c>
      <c r="O1020" s="159">
        <f>IF($N1020="","",NETWORKDAYS($E1020,$N1020,$V$33:$V$47)-1)</f>
        <v>6</v>
      </c>
      <c r="P1020" s="10" t="str">
        <f>IF(ISBLANK(N1020),"",IF(N1020&gt;H1020,"No","Yes"))</f>
        <v>Yes</v>
      </c>
      <c r="Q1020" s="7" t="s">
        <v>117</v>
      </c>
      <c r="R1020" s="4" t="s">
        <v>118</v>
      </c>
      <c r="S1020" s="4"/>
      <c r="T1020" s="7"/>
      <c r="U1020" s="6"/>
      <c r="V1020" s="6"/>
      <c r="W1020" s="6"/>
      <c r="X1020" s="6"/>
      <c r="Y1020" s="6"/>
      <c r="Z1020" s="6"/>
      <c r="AX1020" s="6" t="str">
        <v>Quarter 4</v>
      </c>
    </row>
    <row r="1021" spans="1:50" ht="31.4" customHeight="1" x14ac:dyDescent="0.35">
      <c r="A1021" s="136">
        <v>1020</v>
      </c>
      <c r="B1021" s="7" t="s">
        <v>138</v>
      </c>
      <c r="C1021" s="7" t="s">
        <v>19</v>
      </c>
      <c r="D1021" s="7" t="s">
        <v>2076</v>
      </c>
      <c r="E1021" s="25">
        <v>45742</v>
      </c>
      <c r="F1021" s="9">
        <f>IF($E1021="","",WORKDAY($E1021,1,$V$33:$V$41))</f>
        <v>45743</v>
      </c>
      <c r="G1021" s="9">
        <f>IF($E1021="","",WORKDAY($E1021,10,$V$33:$V$41))</f>
        <v>45756</v>
      </c>
      <c r="H1021" s="9">
        <f>IF($E1021="","",WORKDAY($E1021,20,$V$33:$V$41))</f>
        <v>45772</v>
      </c>
      <c r="I1021" s="157" t="str">
        <f t="shared" si="19"/>
        <v>Mar</v>
      </c>
      <c r="J1021" s="17" t="str">
        <f ca="1">IF(E1021="","",IF(N1021="",H1021-TODAY(),""))</f>
        <v/>
      </c>
      <c r="K1021" s="157" t="s">
        <v>5</v>
      </c>
      <c r="L1021" s="7" t="s">
        <v>22</v>
      </c>
      <c r="M1021" s="7" t="s">
        <v>56</v>
      </c>
      <c r="N1021" s="16">
        <v>45743</v>
      </c>
      <c r="O1021" s="159">
        <f>IF($N1021="","",NETWORKDAYS($E1021,$N1021,$V$33:$V$47)-1)</f>
        <v>1</v>
      </c>
      <c r="P1021" s="10" t="str">
        <f>IF(ISBLANK(N1021),"",IF(N1021&gt;H1021,"No","Yes"))</f>
        <v>Yes</v>
      </c>
      <c r="Q1021" s="7" t="s">
        <v>117</v>
      </c>
      <c r="R1021" s="4" t="s">
        <v>118</v>
      </c>
      <c r="S1021" s="4"/>
      <c r="T1021" s="7" t="s">
        <v>141</v>
      </c>
      <c r="U1021" s="6"/>
      <c r="V1021" s="6"/>
      <c r="W1021" s="6"/>
      <c r="X1021" s="6"/>
      <c r="Y1021" s="6"/>
      <c r="Z1021" s="6"/>
      <c r="AX1021" s="6" t="str">
        <v>Quarter 4</v>
      </c>
    </row>
    <row r="1022" spans="1:50" ht="31.4" customHeight="1" x14ac:dyDescent="0.35">
      <c r="A1022" s="136">
        <v>1021</v>
      </c>
      <c r="B1022" s="7" t="s">
        <v>2075</v>
      </c>
      <c r="C1022" s="7" t="s">
        <v>13</v>
      </c>
      <c r="D1022" s="7" t="s">
        <v>2077</v>
      </c>
      <c r="E1022" s="25">
        <v>45742</v>
      </c>
      <c r="F1022" s="9">
        <f>IF($E1022="","",WORKDAY($E1022,1,$V$33:$V$41))</f>
        <v>45743</v>
      </c>
      <c r="G1022" s="9">
        <f>IF($E1022="","",WORKDAY($E1022,10,$V$33:$V$41))</f>
        <v>45756</v>
      </c>
      <c r="H1022" s="9">
        <f>IF($E1022="","",WORKDAY($E1022,20,$V$33:$V$41))</f>
        <v>45772</v>
      </c>
      <c r="I1022" s="157" t="str">
        <f t="shared" si="19"/>
        <v>Mar</v>
      </c>
      <c r="J1022" s="17" t="str">
        <f ca="1">IF(E1022="","",IF(N1022="",H1022-TODAY(),""))</f>
        <v/>
      </c>
      <c r="K1022" s="157" t="s">
        <v>10</v>
      </c>
      <c r="L1022" s="7" t="s">
        <v>27</v>
      </c>
      <c r="M1022" s="7" t="s">
        <v>89</v>
      </c>
      <c r="N1022" s="16">
        <v>45758</v>
      </c>
      <c r="O1022" s="159">
        <f>IF($N1022="","",NETWORKDAYS($E1022,$N1022,$V$33:$V$47)-1)</f>
        <v>12</v>
      </c>
      <c r="P1022" s="10" t="str">
        <f>IF(ISBLANK(N1022),"",IF(N1022&gt;H1022,"No","Yes"))</f>
        <v>Yes</v>
      </c>
      <c r="Q1022" s="7" t="s">
        <v>117</v>
      </c>
      <c r="R1022" s="4" t="s">
        <v>118</v>
      </c>
      <c r="S1022" s="4"/>
      <c r="T1022" s="7"/>
      <c r="U1022" s="6"/>
      <c r="V1022" s="6"/>
      <c r="W1022" s="6"/>
      <c r="X1022" s="6"/>
      <c r="Y1022" s="6"/>
      <c r="Z1022" s="6"/>
      <c r="AX1022" s="6" t="str">
        <v>Quarter 4</v>
      </c>
    </row>
    <row r="1023" spans="1:50" ht="31.4" customHeight="1" x14ac:dyDescent="0.35">
      <c r="A1023" s="136">
        <v>1022</v>
      </c>
      <c r="B1023" s="7" t="s">
        <v>2078</v>
      </c>
      <c r="C1023" s="7" t="s">
        <v>13</v>
      </c>
      <c r="D1023" s="7" t="s">
        <v>2079</v>
      </c>
      <c r="E1023" s="25">
        <v>45742</v>
      </c>
      <c r="F1023" s="9">
        <f>IF($E1023="","",WORKDAY($E1023,1,$V$33:$V$41))</f>
        <v>45743</v>
      </c>
      <c r="G1023" s="9">
        <f>IF($E1023="","",WORKDAY($E1023,10,$V$33:$V$41))</f>
        <v>45756</v>
      </c>
      <c r="H1023" s="9">
        <f>IF($E1023="","",WORKDAY($E1023,20,$V$33:$V$41))</f>
        <v>45772</v>
      </c>
      <c r="I1023" s="157" t="str">
        <f t="shared" si="19"/>
        <v>Mar</v>
      </c>
      <c r="J1023" s="17" t="str">
        <f ca="1">IF(E1023="","",IF(N1023="",H1023-TODAY(),""))</f>
        <v/>
      </c>
      <c r="K1023" s="157" t="s">
        <v>124</v>
      </c>
      <c r="L1023" s="7" t="s">
        <v>20</v>
      </c>
      <c r="M1023" s="7" t="s">
        <v>92</v>
      </c>
      <c r="N1023" s="16">
        <v>45743</v>
      </c>
      <c r="O1023" s="159">
        <f>IF($N1023="","",NETWORKDAYS($E1023,$N1023,$V$33:$V$47)-1)</f>
        <v>1</v>
      </c>
      <c r="P1023" s="10" t="str">
        <f>IF(ISBLANK(N1023),"",IF(N1023&gt;H1023,"No","Yes"))</f>
        <v>Yes</v>
      </c>
      <c r="Q1023" s="7" t="s">
        <v>117</v>
      </c>
      <c r="R1023" s="4" t="s">
        <v>118</v>
      </c>
      <c r="S1023" s="4"/>
      <c r="T1023" s="7"/>
      <c r="U1023" s="6"/>
      <c r="V1023" s="6"/>
      <c r="W1023" s="6"/>
      <c r="X1023" s="6"/>
      <c r="Y1023" s="6"/>
      <c r="Z1023" s="6"/>
      <c r="AX1023" s="6" t="str">
        <v>Quarter 4</v>
      </c>
    </row>
    <row r="1024" spans="1:50" ht="31.4" customHeight="1" x14ac:dyDescent="0.35">
      <c r="A1024" s="136">
        <v>1023</v>
      </c>
      <c r="B1024" s="7" t="s">
        <v>8</v>
      </c>
      <c r="C1024" s="7" t="s">
        <v>8</v>
      </c>
      <c r="D1024" s="7" t="s">
        <v>2081</v>
      </c>
      <c r="E1024" s="25">
        <v>45742</v>
      </c>
      <c r="F1024" s="9">
        <f>IF($E1024="","",WORKDAY($E1024,1,$V$33:$V$41))</f>
        <v>45743</v>
      </c>
      <c r="G1024" s="9">
        <f>IF($E1024="","",WORKDAY($E1024,10,$V$33:$V$41))</f>
        <v>45756</v>
      </c>
      <c r="H1024" s="9">
        <f>IF($E1024="","",WORKDAY($E1024,20,$V$33:$V$41))</f>
        <v>45772</v>
      </c>
      <c r="I1024" s="157" t="str">
        <f t="shared" si="19"/>
        <v>Mar</v>
      </c>
      <c r="J1024" s="17" t="str">
        <f ca="1">IF(E1024="","",IF(N1024="",H1024-TODAY(),""))</f>
        <v/>
      </c>
      <c r="K1024" s="157" t="s">
        <v>124</v>
      </c>
      <c r="L1024" s="7" t="s">
        <v>14</v>
      </c>
      <c r="M1024" s="7" t="s">
        <v>69</v>
      </c>
      <c r="N1024" s="16">
        <v>45755</v>
      </c>
      <c r="O1024" s="159">
        <f>IF($N1024="","",NETWORKDAYS($E1024,$N1024,$V$33:$V$47)-1)</f>
        <v>9</v>
      </c>
      <c r="P1024" s="10" t="str">
        <f>IF(ISBLANK(N1024),"",IF(N1024&gt;H1024,"No","Yes"))</f>
        <v>Yes</v>
      </c>
      <c r="Q1024" s="7" t="s">
        <v>117</v>
      </c>
      <c r="R1024" s="4" t="s">
        <v>118</v>
      </c>
      <c r="S1024" s="4"/>
      <c r="T1024" s="7" t="s">
        <v>141</v>
      </c>
      <c r="U1024" s="6"/>
      <c r="V1024" s="6"/>
      <c r="W1024" s="6"/>
      <c r="X1024" s="6"/>
      <c r="Y1024" s="6"/>
      <c r="Z1024" s="6"/>
      <c r="AX1024" s="6" t="str">
        <v>Quarter 4</v>
      </c>
    </row>
    <row r="1025" spans="1:50" ht="31.4" customHeight="1" x14ac:dyDescent="0.35">
      <c r="A1025" s="136">
        <v>1024</v>
      </c>
      <c r="B1025" s="7" t="s">
        <v>188</v>
      </c>
      <c r="C1025" s="7" t="s">
        <v>6</v>
      </c>
      <c r="D1025" s="7" t="s">
        <v>2082</v>
      </c>
      <c r="E1025" s="25">
        <v>45742</v>
      </c>
      <c r="F1025" s="9">
        <f>IF($E1025="","",WORKDAY($E1025,1,$V$33:$V$41))</f>
        <v>45743</v>
      </c>
      <c r="G1025" s="9">
        <f>IF($E1025="","",WORKDAY($E1025,10,$V$33:$V$41))</f>
        <v>45756</v>
      </c>
      <c r="H1025" s="9">
        <f>IF($E1025="","",WORKDAY($E1025,20,$V$33:$V$41))</f>
        <v>45772</v>
      </c>
      <c r="I1025" s="157" t="str">
        <f t="shared" si="19"/>
        <v>Mar</v>
      </c>
      <c r="J1025" s="17" t="str">
        <f ca="1">IF(E1025="","",IF(N1025="",H1025-TODAY(),""))</f>
        <v/>
      </c>
      <c r="K1025" s="157" t="s">
        <v>10</v>
      </c>
      <c r="L1025" s="7" t="s">
        <v>12</v>
      </c>
      <c r="M1025" s="7" t="s">
        <v>91</v>
      </c>
      <c r="N1025" s="16">
        <v>45744</v>
      </c>
      <c r="O1025" s="159">
        <f>IF($N1025="","",NETWORKDAYS($E1025,$N1025,$V$33:$V$47)-1)</f>
        <v>2</v>
      </c>
      <c r="P1025" s="10" t="str">
        <f>IF(ISBLANK(N1025),"",IF(N1025&gt;H1025,"No","Yes"))</f>
        <v>Yes</v>
      </c>
      <c r="Q1025" s="7" t="s">
        <v>117</v>
      </c>
      <c r="R1025" s="4" t="s">
        <v>118</v>
      </c>
      <c r="S1025" s="4"/>
      <c r="T1025" s="7"/>
      <c r="U1025" s="6"/>
      <c r="V1025" s="6"/>
      <c r="W1025" s="6"/>
      <c r="X1025" s="6"/>
      <c r="Y1025" s="6"/>
      <c r="Z1025" s="6"/>
      <c r="AX1025" s="6" t="str">
        <v>Quarter 4</v>
      </c>
    </row>
    <row r="1026" spans="1:50" ht="31.4" customHeight="1" x14ac:dyDescent="0.35">
      <c r="A1026" s="136">
        <v>1025</v>
      </c>
      <c r="B1026" s="7" t="s">
        <v>138</v>
      </c>
      <c r="C1026" s="7" t="s">
        <v>19</v>
      </c>
      <c r="D1026" s="7" t="s">
        <v>2084</v>
      </c>
      <c r="E1026" s="25">
        <v>45743</v>
      </c>
      <c r="F1026" s="9">
        <f>IF($E1026="","",WORKDAY($E1026,1,$V$33:$V$41))</f>
        <v>45744</v>
      </c>
      <c r="G1026" s="9">
        <f>IF($E1026="","",WORKDAY($E1026,10,$V$33:$V$41))</f>
        <v>45757</v>
      </c>
      <c r="H1026" s="9">
        <f>IF($E1026="","",WORKDAY($E1026,20,$V$33:$V$41))</f>
        <v>45775</v>
      </c>
      <c r="I1026" s="157" t="str">
        <f t="shared" ref="I1026:I1060" si="20">IF(ISBLANK(E1026),"",TEXT(E1026,"mmm"))</f>
        <v>Mar</v>
      </c>
      <c r="J1026" s="17" t="str">
        <f ca="1">IF(E1026="","",IF(N1026="",H1026-TODAY(),""))</f>
        <v/>
      </c>
      <c r="K1026" s="157" t="s">
        <v>5</v>
      </c>
      <c r="L1026" s="7" t="s">
        <v>18</v>
      </c>
      <c r="M1026" s="7" t="s">
        <v>66</v>
      </c>
      <c r="N1026" s="16">
        <v>45743</v>
      </c>
      <c r="O1026" s="159">
        <f>IF($N1026="","",NETWORKDAYS($E1026,$N1026,$V$33:$V$47)-1)</f>
        <v>0</v>
      </c>
      <c r="P1026" s="10" t="str">
        <f>IF(ISBLANK(N1026),"",IF(N1026&gt;H1026,"No","Yes"))</f>
        <v>Yes</v>
      </c>
      <c r="Q1026" s="7" t="s">
        <v>117</v>
      </c>
      <c r="R1026" s="4" t="s">
        <v>132</v>
      </c>
      <c r="S1026" s="4" t="s">
        <v>119</v>
      </c>
      <c r="T1026" s="7"/>
      <c r="U1026" s="6"/>
      <c r="V1026" s="6"/>
      <c r="W1026" s="6"/>
      <c r="X1026" s="6"/>
      <c r="Y1026" s="6"/>
      <c r="Z1026" s="6"/>
      <c r="AX1026" s="6" t="str">
        <v>Quarter 4</v>
      </c>
    </row>
    <row r="1027" spans="1:50" ht="31.4" customHeight="1" x14ac:dyDescent="0.35">
      <c r="A1027" s="136">
        <v>1026</v>
      </c>
      <c r="B1027" s="7" t="s">
        <v>8</v>
      </c>
      <c r="C1027" s="7" t="s">
        <v>8</v>
      </c>
      <c r="D1027" s="7" t="s">
        <v>2087</v>
      </c>
      <c r="E1027" s="25">
        <v>45743</v>
      </c>
      <c r="F1027" s="9">
        <f>IF($E1027="","",WORKDAY($E1027,1,$V$33:$V$41))</f>
        <v>45744</v>
      </c>
      <c r="G1027" s="9">
        <f>IF($E1027="","",WORKDAY($E1027,10,$V$33:$V$41))</f>
        <v>45757</v>
      </c>
      <c r="H1027" s="9">
        <f>IF($E1027="","",WORKDAY($E1027,20,$V$33:$V$41))</f>
        <v>45775</v>
      </c>
      <c r="I1027" s="157" t="str">
        <f t="shared" si="20"/>
        <v>Mar</v>
      </c>
      <c r="J1027" s="17">
        <f ca="1">IF(E1027="","",IF(N1027="",H1027-TODAY(),""))</f>
        <v>-8</v>
      </c>
      <c r="K1027" s="157" t="s">
        <v>124</v>
      </c>
      <c r="L1027" s="7" t="s">
        <v>20</v>
      </c>
      <c r="M1027" s="7" t="s">
        <v>62</v>
      </c>
      <c r="N1027" s="16"/>
      <c r="O1027" s="159" t="str">
        <f>IF($N1027="","",NETWORKDAYS($E1027,$N1027,$V$33:$V$47)-1)</f>
        <v/>
      </c>
      <c r="P1027" s="10" t="str">
        <f>IF(ISBLANK(N1027),"",IF(N1027&gt;H1027,"No","Yes"))</f>
        <v/>
      </c>
      <c r="Q1027" s="7" t="s">
        <v>125</v>
      </c>
      <c r="R1027" s="4"/>
      <c r="S1027" s="4"/>
      <c r="T1027" s="7"/>
      <c r="U1027" s="6"/>
      <c r="V1027" s="6"/>
      <c r="W1027" s="6"/>
      <c r="X1027" s="6"/>
      <c r="Y1027" s="6"/>
      <c r="Z1027" s="6"/>
      <c r="AX1027" s="6" t="str">
        <v>Quarter 4</v>
      </c>
    </row>
    <row r="1028" spans="1:50" ht="31.4" customHeight="1" x14ac:dyDescent="0.35">
      <c r="A1028" s="136">
        <v>1027</v>
      </c>
      <c r="B1028" s="7" t="s">
        <v>2088</v>
      </c>
      <c r="C1028" s="7" t="s">
        <v>13</v>
      </c>
      <c r="D1028" s="7" t="s">
        <v>2089</v>
      </c>
      <c r="E1028" s="25">
        <v>45743</v>
      </c>
      <c r="F1028" s="9">
        <f>IF($E1028="","",WORKDAY($E1028,1,$V$33:$V$41))</f>
        <v>45744</v>
      </c>
      <c r="G1028" s="9">
        <f>IF($E1028="","",WORKDAY($E1028,10,$V$33:$V$41))</f>
        <v>45757</v>
      </c>
      <c r="H1028" s="9">
        <f>IF($E1028="","",WORKDAY($E1028,20,$V$33:$V$41))</f>
        <v>45775</v>
      </c>
      <c r="I1028" s="157" t="str">
        <f t="shared" si="20"/>
        <v>Mar</v>
      </c>
      <c r="J1028" s="17">
        <f ca="1">IF(E1028="","",IF(N1028="",H1028-TODAY(),""))</f>
        <v>-8</v>
      </c>
      <c r="K1028" s="157" t="s">
        <v>124</v>
      </c>
      <c r="L1028" s="7" t="s">
        <v>14</v>
      </c>
      <c r="M1028" s="7" t="s">
        <v>81</v>
      </c>
      <c r="N1028" s="16"/>
      <c r="O1028" s="159" t="str">
        <f>IF($N1028="","",NETWORKDAYS($E1028,$N1028,$V$33:$V$47)-1)</f>
        <v/>
      </c>
      <c r="P1028" s="10" t="str">
        <f>IF(ISBLANK(N1028),"",IF(N1028&gt;H1028,"No","Yes"))</f>
        <v/>
      </c>
      <c r="Q1028" s="7" t="s">
        <v>125</v>
      </c>
      <c r="R1028" s="4"/>
      <c r="S1028" s="4"/>
      <c r="T1028" s="7"/>
      <c r="U1028" s="6"/>
      <c r="V1028" s="6"/>
      <c r="W1028" s="6"/>
      <c r="X1028" s="6"/>
      <c r="Y1028" s="6"/>
      <c r="Z1028" s="6"/>
      <c r="AX1028" s="6" t="str">
        <v>Quarter 4</v>
      </c>
    </row>
    <row r="1029" spans="1:50" ht="31.4" customHeight="1" x14ac:dyDescent="0.35">
      <c r="A1029" s="136">
        <v>1028</v>
      </c>
      <c r="B1029" s="7" t="s">
        <v>2091</v>
      </c>
      <c r="C1029" s="7" t="s">
        <v>13</v>
      </c>
      <c r="D1029" s="7" t="s">
        <v>2092</v>
      </c>
      <c r="E1029" s="25">
        <v>45743</v>
      </c>
      <c r="F1029" s="9">
        <f>IF($E1029="","",WORKDAY($E1029,1,$V$33:$V$41))</f>
        <v>45744</v>
      </c>
      <c r="G1029" s="9">
        <f>IF($E1029="","",WORKDAY($E1029,10,$V$33:$V$41))</f>
        <v>45757</v>
      </c>
      <c r="H1029" s="9">
        <f>IF($E1029="","",WORKDAY($E1029,20,$V$33:$V$41))</f>
        <v>45775</v>
      </c>
      <c r="I1029" s="157" t="str">
        <f t="shared" si="20"/>
        <v>Mar</v>
      </c>
      <c r="J1029" s="17" t="str">
        <f ca="1">IF(E1029="","",IF(N1029="",H1029-TODAY(),""))</f>
        <v/>
      </c>
      <c r="K1029" s="157" t="s">
        <v>5</v>
      </c>
      <c r="L1029" s="7" t="s">
        <v>16</v>
      </c>
      <c r="M1029" s="7" t="s">
        <v>52</v>
      </c>
      <c r="N1029" s="16">
        <v>45755</v>
      </c>
      <c r="O1029" s="159">
        <f>IF($N1029="","",NETWORKDAYS($E1029,$N1029,$V$33:$V$47)-1)</f>
        <v>8</v>
      </c>
      <c r="P1029" s="10" t="str">
        <f>IF(ISBLANK(N1029),"",IF(N1029&gt;H1029,"No","Yes"))</f>
        <v>Yes</v>
      </c>
      <c r="Q1029" s="7" t="s">
        <v>117</v>
      </c>
      <c r="R1029" s="4" t="s">
        <v>126</v>
      </c>
      <c r="S1029" s="4" t="s">
        <v>120</v>
      </c>
      <c r="T1029" s="7"/>
      <c r="U1029" s="6"/>
      <c r="V1029" s="6"/>
      <c r="W1029" s="6"/>
      <c r="X1029" s="6"/>
      <c r="Y1029" s="6"/>
      <c r="Z1029" s="6"/>
      <c r="AX1029" s="6" t="str">
        <v>Quarter 4</v>
      </c>
    </row>
    <row r="1030" spans="1:50" ht="31.4" customHeight="1" x14ac:dyDescent="0.35">
      <c r="A1030" s="136">
        <v>1029</v>
      </c>
      <c r="B1030" s="7" t="s">
        <v>188</v>
      </c>
      <c r="C1030" s="7" t="s">
        <v>6</v>
      </c>
      <c r="D1030" s="7" t="s">
        <v>2096</v>
      </c>
      <c r="E1030" s="25">
        <v>45743</v>
      </c>
      <c r="F1030" s="9">
        <f>IF($E1030="","",WORKDAY($E1030,1,$V$33:$V$41))</f>
        <v>45744</v>
      </c>
      <c r="G1030" s="9">
        <f>IF($E1030="","",WORKDAY($E1030,10,$V$33:$V$41))</f>
        <v>45757</v>
      </c>
      <c r="H1030" s="9">
        <f>IF($E1030="","",WORKDAY($E1030,20,$V$33:$V$41))</f>
        <v>45775</v>
      </c>
      <c r="I1030" s="157" t="str">
        <f t="shared" si="20"/>
        <v>Mar</v>
      </c>
      <c r="J1030" s="17" t="str">
        <f ca="1">IF(E1030="","",IF(N1030="",H1030-TODAY(),""))</f>
        <v/>
      </c>
      <c r="K1030" s="157" t="s">
        <v>10</v>
      </c>
      <c r="L1030" s="7" t="s">
        <v>12</v>
      </c>
      <c r="M1030" s="7" t="s">
        <v>65</v>
      </c>
      <c r="N1030" s="16">
        <v>45747</v>
      </c>
      <c r="O1030" s="159">
        <f>IF($N1030="","",NETWORKDAYS($E1030,$N1030,$V$33:$V$47)-1)</f>
        <v>2</v>
      </c>
      <c r="P1030" s="10" t="str">
        <f>IF(ISBLANK(N1030),"",IF(N1030&gt;H1030,"No","Yes"))</f>
        <v>Yes</v>
      </c>
      <c r="Q1030" s="7" t="s">
        <v>117</v>
      </c>
      <c r="R1030" s="4" t="s">
        <v>126</v>
      </c>
      <c r="S1030" s="4" t="s">
        <v>120</v>
      </c>
      <c r="T1030" s="7"/>
      <c r="U1030" s="6"/>
      <c r="V1030" s="6"/>
      <c r="W1030" s="6"/>
      <c r="X1030" s="6"/>
      <c r="Y1030" s="6"/>
      <c r="Z1030" s="6"/>
      <c r="AX1030" s="6" t="str">
        <v>Quarter 4</v>
      </c>
    </row>
    <row r="1031" spans="1:50" ht="31.4" customHeight="1" x14ac:dyDescent="0.35">
      <c r="A1031" s="136">
        <v>1030</v>
      </c>
      <c r="B1031" s="7" t="s">
        <v>8</v>
      </c>
      <c r="C1031" s="7" t="s">
        <v>8</v>
      </c>
      <c r="D1031" s="7" t="s">
        <v>2097</v>
      </c>
      <c r="E1031" s="25">
        <v>45744</v>
      </c>
      <c r="F1031" s="9">
        <f>IF($E1031="","",WORKDAY($E1031,1,$V$33:$V$41))</f>
        <v>45747</v>
      </c>
      <c r="G1031" s="9">
        <f>IF($E1031="","",WORKDAY($E1031,10,$V$33:$V$41))</f>
        <v>45758</v>
      </c>
      <c r="H1031" s="9">
        <f>IF($E1031="","",WORKDAY($E1031,20,$V$33:$V$41))</f>
        <v>45776</v>
      </c>
      <c r="I1031" s="157" t="str">
        <f t="shared" si="20"/>
        <v>Mar</v>
      </c>
      <c r="J1031" s="17" t="str">
        <f ca="1">IF(E1031="","",IF(N1031="",H1031-TODAY(),""))</f>
        <v/>
      </c>
      <c r="K1031" s="157" t="s">
        <v>124</v>
      </c>
      <c r="L1031" s="7" t="s">
        <v>20</v>
      </c>
      <c r="M1031" s="7" t="s">
        <v>62</v>
      </c>
      <c r="N1031" s="16">
        <v>45776</v>
      </c>
      <c r="O1031" s="159">
        <f>IF($N1031="","",NETWORKDAYS($E1031,$N1031,$V$33:$V$47)-1)</f>
        <v>20</v>
      </c>
      <c r="P1031" s="10" t="str">
        <f>IF(ISBLANK(N1031),"",IF(N1031&gt;H1031,"No","Yes"))</f>
        <v>Yes</v>
      </c>
      <c r="Q1031" s="7" t="s">
        <v>117</v>
      </c>
      <c r="R1031" s="4" t="s">
        <v>118</v>
      </c>
      <c r="S1031" s="4"/>
      <c r="T1031" s="7"/>
      <c r="U1031" s="6"/>
      <c r="V1031" s="6"/>
      <c r="W1031" s="6"/>
      <c r="X1031" s="6"/>
      <c r="Y1031" s="6"/>
      <c r="Z1031" s="6"/>
      <c r="AX1031" s="6" t="str">
        <v>Quarter 4</v>
      </c>
    </row>
    <row r="1032" spans="1:50" ht="31.4" customHeight="1" x14ac:dyDescent="0.35">
      <c r="A1032" s="136">
        <v>1031</v>
      </c>
      <c r="B1032" s="7" t="s">
        <v>138</v>
      </c>
      <c r="C1032" s="7" t="s">
        <v>19</v>
      </c>
      <c r="D1032" s="7" t="s">
        <v>2100</v>
      </c>
      <c r="E1032" s="25">
        <v>45744</v>
      </c>
      <c r="F1032" s="9">
        <f>IF($E1032="","",WORKDAY($E1032,1,$V$33:$V$41))</f>
        <v>45747</v>
      </c>
      <c r="G1032" s="9">
        <f>IF($E1032="","",WORKDAY($E1032,10,$V$33:$V$41))</f>
        <v>45758</v>
      </c>
      <c r="H1032" s="9">
        <f>IF($E1032="","",WORKDAY($E1032,20,$V$33:$V$41))</f>
        <v>45776</v>
      </c>
      <c r="I1032" s="157" t="str">
        <f t="shared" si="20"/>
        <v>Mar</v>
      </c>
      <c r="J1032" s="17" t="str">
        <f ca="1">IF(E1032="","",IF(N1032="",H1032-TODAY(),""))</f>
        <v/>
      </c>
      <c r="K1032" s="157" t="s">
        <v>5</v>
      </c>
      <c r="L1032" s="7" t="s">
        <v>16</v>
      </c>
      <c r="M1032" s="7" t="s">
        <v>52</v>
      </c>
      <c r="N1032" s="16">
        <v>45762</v>
      </c>
      <c r="O1032" s="159">
        <f>IF($N1032="","",NETWORKDAYS($E1032,$N1032,$V$33:$V$47)-1)</f>
        <v>12</v>
      </c>
      <c r="P1032" s="10" t="str">
        <f>IF(ISBLANK(N1032),"",IF(N1032&gt;H1032,"No","Yes"))</f>
        <v>Yes</v>
      </c>
      <c r="Q1032" s="7" t="s">
        <v>117</v>
      </c>
      <c r="R1032" s="4" t="s">
        <v>118</v>
      </c>
      <c r="S1032" s="4" t="s">
        <v>135</v>
      </c>
      <c r="T1032" s="7" t="s">
        <v>141</v>
      </c>
      <c r="U1032" s="6"/>
      <c r="V1032" s="6"/>
      <c r="W1032" s="6"/>
      <c r="X1032" s="6"/>
      <c r="Y1032" s="6"/>
      <c r="Z1032" s="6"/>
      <c r="AX1032" s="6" t="str">
        <v>Quarter 4</v>
      </c>
    </row>
    <row r="1033" spans="1:50" ht="31.4" customHeight="1" x14ac:dyDescent="0.35">
      <c r="A1033" s="136">
        <v>1032</v>
      </c>
      <c r="B1033" s="7" t="s">
        <v>2102</v>
      </c>
      <c r="C1033" s="7" t="s">
        <v>13</v>
      </c>
      <c r="D1033" s="7" t="s">
        <v>2101</v>
      </c>
      <c r="E1033" s="25">
        <v>45744</v>
      </c>
      <c r="F1033" s="9">
        <f>IF($E1033="","",WORKDAY($E1033,1,$V$33:$V$41))</f>
        <v>45747</v>
      </c>
      <c r="G1033" s="9">
        <f>IF($E1033="","",WORKDAY($E1033,10,$V$33:$V$41))</f>
        <v>45758</v>
      </c>
      <c r="H1033" s="9">
        <f>IF($E1033="","",WORKDAY($E1033,20,$V$33:$V$41))</f>
        <v>45776</v>
      </c>
      <c r="I1033" s="157" t="str">
        <f t="shared" si="20"/>
        <v>Mar</v>
      </c>
      <c r="J1033" s="17" t="str">
        <f ca="1">IF(E1033="","",IF(N1033="",H1033-TODAY(),""))</f>
        <v/>
      </c>
      <c r="K1033" s="157" t="s">
        <v>5</v>
      </c>
      <c r="L1033" s="7" t="s">
        <v>18</v>
      </c>
      <c r="M1033" s="7" t="s">
        <v>66</v>
      </c>
      <c r="N1033" s="16">
        <v>45744</v>
      </c>
      <c r="O1033" s="159">
        <f>IF($N1033="","",NETWORKDAYS($E1033,$N1033,$V$33:$V$47)-1)</f>
        <v>0</v>
      </c>
      <c r="P1033" s="10" t="str">
        <f>IF(ISBLANK(N1033),"",IF(N1033&gt;H1033,"No","Yes"))</f>
        <v>Yes</v>
      </c>
      <c r="Q1033" s="7" t="s">
        <v>117</v>
      </c>
      <c r="R1033" s="4" t="s">
        <v>126</v>
      </c>
      <c r="S1033" s="4" t="s">
        <v>119</v>
      </c>
      <c r="T1033" s="7"/>
      <c r="U1033" s="6"/>
      <c r="V1033" s="6"/>
      <c r="W1033" s="6"/>
      <c r="X1033" s="6"/>
      <c r="Y1033" s="6"/>
      <c r="Z1033" s="6"/>
      <c r="AX1033" s="6" t="str">
        <v>Quarter 4</v>
      </c>
    </row>
    <row r="1034" spans="1:50" ht="31.4" customHeight="1" x14ac:dyDescent="0.35">
      <c r="A1034" s="136">
        <v>1033</v>
      </c>
      <c r="B1034" s="7" t="s">
        <v>138</v>
      </c>
      <c r="C1034" s="7" t="s">
        <v>19</v>
      </c>
      <c r="D1034" s="7" t="s">
        <v>2104</v>
      </c>
      <c r="E1034" s="25">
        <v>45744</v>
      </c>
      <c r="F1034" s="9">
        <f>IF($E1034="","",WORKDAY($E1034,1,$V$33:$V$41))</f>
        <v>45747</v>
      </c>
      <c r="G1034" s="9">
        <f>IF($E1034="","",WORKDAY($E1034,10,$V$33:$V$41))</f>
        <v>45758</v>
      </c>
      <c r="H1034" s="9">
        <f>IF($E1034="","",WORKDAY($E1034,20,$V$33:$V$41))</f>
        <v>45776</v>
      </c>
      <c r="I1034" s="157" t="str">
        <f t="shared" si="20"/>
        <v>Mar</v>
      </c>
      <c r="J1034" s="17" t="str">
        <f ca="1">IF(E1034="","",IF(N1034="",H1034-TODAY(),""))</f>
        <v/>
      </c>
      <c r="K1034" s="157" t="s">
        <v>124</v>
      </c>
      <c r="L1034" s="7" t="s">
        <v>20</v>
      </c>
      <c r="M1034" s="7" t="s">
        <v>70</v>
      </c>
      <c r="N1034" s="16">
        <v>45747</v>
      </c>
      <c r="O1034" s="159">
        <f>IF($N1034="","",NETWORKDAYS($E1034,$N1034,$V$33:$V$47)-1)</f>
        <v>1</v>
      </c>
      <c r="P1034" s="10" t="str">
        <f>IF(ISBLANK(N1034),"",IF(N1034&gt;H1034,"No","Yes"))</f>
        <v>Yes</v>
      </c>
      <c r="Q1034" s="7" t="s">
        <v>117</v>
      </c>
      <c r="R1034" s="4" t="s">
        <v>118</v>
      </c>
      <c r="S1034" s="4"/>
      <c r="T1034" s="7"/>
      <c r="U1034" s="6"/>
      <c r="V1034" s="6"/>
      <c r="W1034" s="6"/>
      <c r="X1034" s="6"/>
      <c r="Y1034" s="6"/>
      <c r="Z1034" s="6"/>
      <c r="AX1034" s="6" t="str">
        <v>Quarter 4</v>
      </c>
    </row>
    <row r="1035" spans="1:50" ht="31.4" customHeight="1" x14ac:dyDescent="0.35">
      <c r="A1035" s="136">
        <v>1034</v>
      </c>
      <c r="B1035" s="7" t="s">
        <v>2105</v>
      </c>
      <c r="C1035" s="7" t="s">
        <v>15</v>
      </c>
      <c r="D1035" s="7" t="s">
        <v>2106</v>
      </c>
      <c r="E1035" s="25">
        <v>45744</v>
      </c>
      <c r="F1035" s="9">
        <f>IF($E1035="","",WORKDAY($E1035,1,$V$33:$V$41))</f>
        <v>45747</v>
      </c>
      <c r="G1035" s="9">
        <f>IF($E1035="","",WORKDAY($E1035,10,$V$33:$V$41))</f>
        <v>45758</v>
      </c>
      <c r="H1035" s="9">
        <f>IF($E1035="","",WORKDAY($E1035,20,$V$33:$V$41))</f>
        <v>45776</v>
      </c>
      <c r="I1035" s="157" t="str">
        <f t="shared" si="20"/>
        <v>Mar</v>
      </c>
      <c r="J1035" s="17" t="str">
        <f ca="1">IF(E1035="","",IF(N1035="",H1035-TODAY(),""))</f>
        <v/>
      </c>
      <c r="K1035" s="157" t="s">
        <v>10</v>
      </c>
      <c r="L1035" s="7" t="s">
        <v>27</v>
      </c>
      <c r="M1035" s="7" t="s">
        <v>59</v>
      </c>
      <c r="N1035" s="16">
        <v>45770</v>
      </c>
      <c r="O1035" s="159">
        <f>IF($N1035="","",NETWORKDAYS($E1035,$N1035,$V$33:$V$47)-1)</f>
        <v>16</v>
      </c>
      <c r="P1035" s="10" t="str">
        <f>IF(ISBLANK(N1035),"",IF(N1035&gt;H1035,"No","Yes"))</f>
        <v>Yes</v>
      </c>
      <c r="Q1035" s="7" t="s">
        <v>117</v>
      </c>
      <c r="R1035" s="4" t="s">
        <v>118</v>
      </c>
      <c r="S1035" s="4"/>
      <c r="T1035" s="7"/>
      <c r="U1035" s="6"/>
      <c r="V1035" s="6"/>
      <c r="W1035" s="6"/>
      <c r="X1035" s="6"/>
      <c r="Y1035" s="6"/>
      <c r="Z1035" s="6"/>
      <c r="AX1035" s="6" t="str">
        <v>Quarter 4</v>
      </c>
    </row>
    <row r="1036" spans="1:50" ht="31.4" customHeight="1" x14ac:dyDescent="0.35">
      <c r="A1036" s="136">
        <v>1035</v>
      </c>
      <c r="B1036" s="7" t="s">
        <v>2105</v>
      </c>
      <c r="C1036" s="7" t="s">
        <v>15</v>
      </c>
      <c r="D1036" s="7" t="s">
        <v>2107</v>
      </c>
      <c r="E1036" s="25">
        <v>45744</v>
      </c>
      <c r="F1036" s="9">
        <f>IF($E1036="","",WORKDAY($E1036,1,$V$33:$V$41))</f>
        <v>45747</v>
      </c>
      <c r="G1036" s="9">
        <f>IF($E1036="","",WORKDAY($E1036,10,$V$33:$V$41))</f>
        <v>45758</v>
      </c>
      <c r="H1036" s="9">
        <f>IF($E1036="","",WORKDAY($E1036,20,$V$33:$V$41))</f>
        <v>45776</v>
      </c>
      <c r="I1036" s="157" t="str">
        <f t="shared" si="20"/>
        <v>Mar</v>
      </c>
      <c r="J1036" s="17" t="str">
        <f ca="1">IF(E1036="","",IF(N1036="",H1036-TODAY(),""))</f>
        <v/>
      </c>
      <c r="K1036" s="157" t="s">
        <v>10</v>
      </c>
      <c r="L1036" s="7" t="s">
        <v>27</v>
      </c>
      <c r="M1036" s="7" t="s">
        <v>59</v>
      </c>
      <c r="N1036" s="16">
        <v>45771</v>
      </c>
      <c r="O1036" s="159">
        <f>IF($N1036="","",NETWORKDAYS($E1036,$N1036,$V$33:$V$47)-1)</f>
        <v>17</v>
      </c>
      <c r="P1036" s="10" t="str">
        <f>IF(ISBLANK(N1036),"",IF(N1036&gt;H1036,"No","Yes"))</f>
        <v>Yes</v>
      </c>
      <c r="Q1036" s="7" t="s">
        <v>117</v>
      </c>
      <c r="R1036" s="4" t="s">
        <v>118</v>
      </c>
      <c r="S1036" s="4"/>
      <c r="T1036" s="7"/>
      <c r="U1036" s="6"/>
      <c r="V1036" s="6"/>
      <c r="W1036" s="6"/>
      <c r="X1036" s="6"/>
      <c r="Y1036" s="6"/>
      <c r="Z1036" s="6"/>
      <c r="AX1036" s="6" t="str">
        <v>Quarter 4</v>
      </c>
    </row>
    <row r="1037" spans="1:50" ht="31.4" customHeight="1" x14ac:dyDescent="0.35">
      <c r="A1037" s="136">
        <v>1036</v>
      </c>
      <c r="B1037" s="7" t="s">
        <v>8</v>
      </c>
      <c r="C1037" s="7" t="s">
        <v>8</v>
      </c>
      <c r="D1037" s="7" t="s">
        <v>2108</v>
      </c>
      <c r="E1037" s="25">
        <v>45744</v>
      </c>
      <c r="F1037" s="9">
        <f>IF($E1037="","",WORKDAY($E1037,1,$V$33:$V$41))</f>
        <v>45747</v>
      </c>
      <c r="G1037" s="9">
        <f>IF($E1037="","",WORKDAY($E1037,10,$V$33:$V$41))</f>
        <v>45758</v>
      </c>
      <c r="H1037" s="9">
        <f>IF($E1037="","",WORKDAY($E1037,20,$V$33:$V$41))</f>
        <v>45776</v>
      </c>
      <c r="I1037" s="157" t="str">
        <f t="shared" si="20"/>
        <v>Mar</v>
      </c>
      <c r="J1037" s="17" t="str">
        <f ca="1">IF(E1037="","",IF(N1037="",H1037-TODAY(),""))</f>
        <v/>
      </c>
      <c r="K1037" s="157" t="s">
        <v>5</v>
      </c>
      <c r="L1037" s="7" t="s">
        <v>16</v>
      </c>
      <c r="M1037" s="7" t="s">
        <v>52</v>
      </c>
      <c r="N1037" s="16">
        <v>45762</v>
      </c>
      <c r="O1037" s="159">
        <f>IF($N1037="","",NETWORKDAYS($E1037,$N1037,$V$33:$V$47)-1)</f>
        <v>12</v>
      </c>
      <c r="P1037" s="10" t="str">
        <f>IF(ISBLANK(N1037),"",IF(N1037&gt;H1037,"No","Yes"))</f>
        <v>Yes</v>
      </c>
      <c r="Q1037" s="7" t="s">
        <v>117</v>
      </c>
      <c r="R1037" s="4" t="s">
        <v>126</v>
      </c>
      <c r="S1037" s="4" t="s">
        <v>119</v>
      </c>
      <c r="T1037" s="7" t="s">
        <v>1021</v>
      </c>
      <c r="U1037" s="6"/>
      <c r="V1037" s="6"/>
      <c r="W1037" s="6"/>
      <c r="X1037" s="6"/>
      <c r="Y1037" s="6"/>
      <c r="Z1037" s="6"/>
      <c r="AX1037" s="6" t="str">
        <v>Quarter 4</v>
      </c>
    </row>
    <row r="1038" spans="1:50" ht="31.4" customHeight="1" x14ac:dyDescent="0.35">
      <c r="A1038" s="136">
        <v>1037</v>
      </c>
      <c r="B1038" s="7" t="s">
        <v>8</v>
      </c>
      <c r="C1038" s="7" t="s">
        <v>8</v>
      </c>
      <c r="D1038" s="7" t="s">
        <v>2110</v>
      </c>
      <c r="E1038" s="25">
        <v>45747</v>
      </c>
      <c r="F1038" s="9">
        <f>IF($E1038="","",WORKDAY($E1038,1,$V$33:$V$41))</f>
        <v>45748</v>
      </c>
      <c r="G1038" s="9">
        <f>IF($E1038="","",WORKDAY($E1038,10,$V$33:$V$41))</f>
        <v>45761</v>
      </c>
      <c r="H1038" s="9">
        <f>IF($E1038="","",WORKDAY($E1038,20,$V$33:$V$41))</f>
        <v>45777</v>
      </c>
      <c r="I1038" s="157" t="str">
        <f t="shared" si="20"/>
        <v>Mar</v>
      </c>
      <c r="J1038" s="17" t="str">
        <f ca="1">IF(E1038="","",IF(N1038="",H1038-TODAY(),""))</f>
        <v/>
      </c>
      <c r="K1038" s="157" t="s">
        <v>10</v>
      </c>
      <c r="L1038" s="7" t="s">
        <v>27</v>
      </c>
      <c r="M1038" s="7" t="s">
        <v>37</v>
      </c>
      <c r="N1038" s="16">
        <v>45763</v>
      </c>
      <c r="O1038" s="159">
        <f>IF($N1038="","",NETWORKDAYS($E1038,$N1038,$V$33:$V$47)-1)</f>
        <v>12</v>
      </c>
      <c r="P1038" s="10" t="str">
        <f>IF(ISBLANK(N1038),"",IF(N1038&gt;H1038,"No","Yes"))</f>
        <v>Yes</v>
      </c>
      <c r="Q1038" s="7" t="s">
        <v>117</v>
      </c>
      <c r="R1038" s="4" t="s">
        <v>118</v>
      </c>
      <c r="S1038" s="4" t="s">
        <v>135</v>
      </c>
      <c r="T1038" s="7"/>
      <c r="U1038" s="6"/>
      <c r="V1038" s="6"/>
      <c r="W1038" s="6"/>
      <c r="X1038" s="6"/>
      <c r="Y1038" s="6"/>
      <c r="Z1038" s="6"/>
      <c r="AX1038" s="6" t="str">
        <v>Quarter 4</v>
      </c>
    </row>
    <row r="1039" spans="1:50" ht="31.4" customHeight="1" x14ac:dyDescent="0.35">
      <c r="A1039" s="136">
        <v>1038</v>
      </c>
      <c r="B1039" s="7" t="s">
        <v>653</v>
      </c>
      <c r="C1039" s="7" t="s">
        <v>13</v>
      </c>
      <c r="D1039" s="7" t="s">
        <v>2111</v>
      </c>
      <c r="E1039" s="25">
        <v>45747</v>
      </c>
      <c r="F1039" s="9">
        <f>IF($E1039="","",WORKDAY($E1039,1,$V$33:$V$41))</f>
        <v>45748</v>
      </c>
      <c r="G1039" s="9">
        <f>IF($E1039="","",WORKDAY($E1039,10,$V$33:$V$41))</f>
        <v>45761</v>
      </c>
      <c r="H1039" s="9">
        <f>IF($E1039="","",WORKDAY($E1039,20,$V$33:$V$41))</f>
        <v>45777</v>
      </c>
      <c r="I1039" s="157" t="str">
        <f t="shared" si="20"/>
        <v>Mar</v>
      </c>
      <c r="J1039" s="17" t="str">
        <f ca="1">IF(E1039="","",IF(N1039="",H1039-TODAY(),""))</f>
        <v/>
      </c>
      <c r="K1039" s="157" t="s">
        <v>5</v>
      </c>
      <c r="L1039" s="7" t="s">
        <v>18</v>
      </c>
      <c r="M1039" s="7" t="s">
        <v>66</v>
      </c>
      <c r="N1039" s="16">
        <v>45747</v>
      </c>
      <c r="O1039" s="159">
        <f>IF($N1039="","",NETWORKDAYS($E1039,$N1039,$V$33:$V$47)-1)</f>
        <v>0</v>
      </c>
      <c r="P1039" s="10" t="str">
        <f>IF(ISBLANK(N1039),"",IF(N1039&gt;H1039,"No","Yes"))</f>
        <v>Yes</v>
      </c>
      <c r="Q1039" s="7" t="s">
        <v>117</v>
      </c>
      <c r="R1039" s="4" t="s">
        <v>126</v>
      </c>
      <c r="S1039" s="4" t="s">
        <v>119</v>
      </c>
      <c r="T1039" s="7"/>
      <c r="U1039" s="6"/>
      <c r="V1039" s="6"/>
      <c r="W1039" s="6"/>
      <c r="X1039" s="6"/>
      <c r="Y1039" s="6"/>
      <c r="Z1039" s="6"/>
      <c r="AX1039" s="6" t="str">
        <v>Quarter 4</v>
      </c>
    </row>
    <row r="1040" spans="1:50" ht="31.4" customHeight="1" x14ac:dyDescent="0.35">
      <c r="A1040" s="136">
        <v>1039</v>
      </c>
      <c r="B1040" s="7" t="s">
        <v>8</v>
      </c>
      <c r="C1040" s="7" t="s">
        <v>8</v>
      </c>
      <c r="D1040" s="7" t="s">
        <v>2112</v>
      </c>
      <c r="E1040" s="25">
        <v>45747</v>
      </c>
      <c r="F1040" s="9">
        <f>IF($E1040="","",WORKDAY($E1040,1,$V$33:$V$41))</f>
        <v>45748</v>
      </c>
      <c r="G1040" s="9">
        <f>IF($E1040="","",WORKDAY($E1040,10,$V$33:$V$41))</f>
        <v>45761</v>
      </c>
      <c r="H1040" s="9">
        <f>IF($E1040="","",WORKDAY($E1040,20,$V$33:$V$41))</f>
        <v>45777</v>
      </c>
      <c r="I1040" s="157" t="str">
        <f t="shared" si="20"/>
        <v>Mar</v>
      </c>
      <c r="J1040" s="17" t="str">
        <f ca="1">IF(E1040="","",IF(N1040="",H1040-TODAY(),""))</f>
        <v/>
      </c>
      <c r="K1040" s="157" t="s">
        <v>5</v>
      </c>
      <c r="L1040" s="7" t="s">
        <v>16</v>
      </c>
      <c r="M1040" s="7" t="s">
        <v>71</v>
      </c>
      <c r="N1040" s="16">
        <v>45764</v>
      </c>
      <c r="O1040" s="159">
        <f>IF($N1040="","",NETWORKDAYS($E1040,$N1040,$V$33:$V$47)-1)</f>
        <v>13</v>
      </c>
      <c r="P1040" s="10" t="str">
        <f>IF(ISBLANK(N1040),"",IF(N1040&gt;H1040,"No","Yes"))</f>
        <v>Yes</v>
      </c>
      <c r="Q1040" s="7" t="s">
        <v>117</v>
      </c>
      <c r="R1040" s="4" t="s">
        <v>118</v>
      </c>
      <c r="S1040" s="4"/>
      <c r="T1040" s="7"/>
      <c r="U1040" s="6"/>
      <c r="V1040" s="6"/>
      <c r="W1040" s="6"/>
      <c r="X1040" s="6"/>
      <c r="Y1040" s="6"/>
      <c r="Z1040" s="6"/>
      <c r="AX1040" s="6" t="str">
        <v>Quarter 4</v>
      </c>
    </row>
    <row r="1041" spans="1:50" ht="31.4" customHeight="1" x14ac:dyDescent="0.35">
      <c r="A1041" s="136">
        <v>1040</v>
      </c>
      <c r="B1041" s="7" t="s">
        <v>2115</v>
      </c>
      <c r="C1041" s="7" t="s">
        <v>25</v>
      </c>
      <c r="D1041" s="7" t="s">
        <v>2116</v>
      </c>
      <c r="E1041" s="25">
        <v>45747</v>
      </c>
      <c r="F1041" s="9">
        <f>IF($E1041="","",WORKDAY($E1041,1,$V$33:$V$41))</f>
        <v>45748</v>
      </c>
      <c r="G1041" s="9">
        <f>IF($E1041="","",WORKDAY($E1041,10,$V$33:$V$41))</f>
        <v>45761</v>
      </c>
      <c r="H1041" s="9">
        <f>IF($E1041="","",WORKDAY($E1041,20,$V$33:$V$41))</f>
        <v>45777</v>
      </c>
      <c r="I1041" s="157" t="str">
        <f t="shared" si="20"/>
        <v>Mar</v>
      </c>
      <c r="J1041" s="17" t="str">
        <f ca="1">IF(E1041="","",IF(N1041="",H1041-TODAY(),""))</f>
        <v/>
      </c>
      <c r="K1041" s="157" t="s">
        <v>5</v>
      </c>
      <c r="L1041" s="7" t="s">
        <v>18</v>
      </c>
      <c r="M1041" s="7" t="s">
        <v>40</v>
      </c>
      <c r="N1041" s="16">
        <v>45755</v>
      </c>
      <c r="O1041" s="159">
        <f>IF($N1041="","",NETWORKDAYS($E1041,$N1041,$V$33:$V$47)-1)</f>
        <v>6</v>
      </c>
      <c r="P1041" s="10" t="str">
        <f>IF(ISBLANK(N1041),"",IF(N1041&gt;H1041,"No","Yes"))</f>
        <v>Yes</v>
      </c>
      <c r="Q1041" s="7" t="s">
        <v>117</v>
      </c>
      <c r="R1041" s="4" t="s">
        <v>118</v>
      </c>
      <c r="S1041" s="4"/>
      <c r="T1041" s="7" t="s">
        <v>141</v>
      </c>
      <c r="U1041" s="6"/>
      <c r="V1041" s="6"/>
      <c r="W1041" s="6"/>
      <c r="X1041" s="6"/>
      <c r="Y1041" s="6"/>
      <c r="Z1041" s="6"/>
      <c r="AX1041" s="6" t="str">
        <v>Quarter 4</v>
      </c>
    </row>
    <row r="1042" spans="1:50" ht="31.4" customHeight="1" x14ac:dyDescent="0.35">
      <c r="A1042" s="136"/>
      <c r="B1042" s="7"/>
      <c r="C1042" s="7"/>
      <c r="D1042" s="7"/>
      <c r="E1042" s="25"/>
      <c r="F1042" s="9" t="str">
        <f>IF($E1042="","",WORKDAY($E1042,1,$V$33:$V$41))</f>
        <v/>
      </c>
      <c r="G1042" s="9" t="str">
        <f>IF($E1042="","",WORKDAY($E1042,10,$V$33:$V$41))</f>
        <v/>
      </c>
      <c r="H1042" s="9" t="str">
        <f>IF($E1042="","",WORKDAY($E1042,20,$V$33:$V$41))</f>
        <v/>
      </c>
      <c r="I1042" s="157" t="str">
        <f t="shared" si="20"/>
        <v/>
      </c>
      <c r="J1042" s="17" t="str">
        <f ca="1">IF(E1042="","",IF(N1042="",H1042-TODAY(),""))</f>
        <v/>
      </c>
      <c r="K1042" s="157"/>
      <c r="L1042" s="7"/>
      <c r="M1042" s="7"/>
      <c r="N1042" s="16"/>
      <c r="O1042" s="159" t="str">
        <f>IF($N1042="","",NETWORKDAYS($E1042,$N1042,$V$33:$V$47)-1)</f>
        <v/>
      </c>
      <c r="P1042" s="10" t="str">
        <f>IF(ISBLANK(N1042),"",IF(N1042&gt;H1042,"No","Yes"))</f>
        <v/>
      </c>
      <c r="R1042" s="4"/>
      <c r="S1042" s="4"/>
      <c r="T1042" s="7"/>
      <c r="U1042" s="6"/>
      <c r="V1042" s="6"/>
      <c r="W1042" s="6"/>
      <c r="X1042" s="6"/>
      <c r="Y1042" s="6"/>
      <c r="Z1042" s="6"/>
      <c r="AX1042" s="6" t="e">
        <v>#N/A</v>
      </c>
    </row>
    <row r="1043" spans="1:50" ht="31.4" customHeight="1" x14ac:dyDescent="0.35">
      <c r="A1043" s="136"/>
      <c r="B1043" s="7"/>
      <c r="C1043" s="7"/>
      <c r="D1043" s="7"/>
      <c r="E1043" s="25"/>
      <c r="F1043" s="9" t="str">
        <f>IF($E1043="","",WORKDAY($E1043,1,$V$33:$V$41))</f>
        <v/>
      </c>
      <c r="G1043" s="9" t="str">
        <f>IF($E1043="","",WORKDAY($E1043,10,$V$33:$V$41))</f>
        <v/>
      </c>
      <c r="H1043" s="9" t="str">
        <f>IF($E1043="","",WORKDAY($E1043,20,$V$33:$V$41))</f>
        <v/>
      </c>
      <c r="I1043" s="157" t="str">
        <f t="shared" si="20"/>
        <v/>
      </c>
      <c r="J1043" s="17" t="str">
        <f ca="1">IF(E1043="","",IF(N1043="",H1043-TODAY(),""))</f>
        <v/>
      </c>
      <c r="K1043" s="157"/>
      <c r="L1043" s="7"/>
      <c r="M1043" s="7"/>
      <c r="N1043" s="16"/>
      <c r="O1043" s="159" t="str">
        <f>IF($N1043="","",NETWORKDAYS($E1043,$N1043,$V$33:$V$47)-1)</f>
        <v/>
      </c>
      <c r="P1043" s="10" t="str">
        <f>IF(ISBLANK(N1043),"",IF(N1043&gt;H1043,"No","Yes"))</f>
        <v/>
      </c>
      <c r="R1043" s="4"/>
      <c r="S1043" s="4"/>
      <c r="T1043" s="7"/>
      <c r="U1043" s="6"/>
      <c r="V1043" s="6"/>
      <c r="W1043" s="6"/>
      <c r="X1043" s="6"/>
      <c r="Y1043" s="6"/>
      <c r="Z1043" s="6"/>
      <c r="AX1043" s="6" t="e">
        <v>#N/A</v>
      </c>
    </row>
    <row r="1044" spans="1:50" ht="31.4" customHeight="1" x14ac:dyDescent="0.35">
      <c r="A1044" s="136"/>
      <c r="B1044" s="7"/>
      <c r="C1044" s="7"/>
      <c r="D1044" s="7"/>
      <c r="E1044" s="25"/>
      <c r="F1044" s="9" t="str">
        <f>IF($E1044="","",WORKDAY($E1044,1,$V$33:$V$41))</f>
        <v/>
      </c>
      <c r="G1044" s="9" t="str">
        <f>IF($E1044="","",WORKDAY($E1044,10,$V$33:$V$41))</f>
        <v/>
      </c>
      <c r="H1044" s="9" t="str">
        <f>IF($E1044="","",WORKDAY($E1044,20,$V$33:$V$41))</f>
        <v/>
      </c>
      <c r="I1044" s="157" t="str">
        <f t="shared" si="20"/>
        <v/>
      </c>
      <c r="J1044" s="17" t="str">
        <f ca="1">IF(E1044="","",IF(N1044="",H1044-TODAY(),""))</f>
        <v/>
      </c>
      <c r="K1044" s="157"/>
      <c r="L1044" s="7"/>
      <c r="M1044" s="7"/>
      <c r="N1044" s="16"/>
      <c r="O1044" s="159" t="str">
        <f>IF($N1044="","",NETWORKDAYS($E1044,$N1044,$V$33:$V$47)-1)</f>
        <v/>
      </c>
      <c r="P1044" s="10" t="str">
        <f>IF(ISBLANK(N1044),"",IF(N1044&gt;H1044,"No","Yes"))</f>
        <v/>
      </c>
      <c r="R1044" s="4"/>
      <c r="S1044" s="4"/>
      <c r="T1044" s="7"/>
      <c r="U1044" s="6"/>
      <c r="V1044" s="6"/>
      <c r="W1044" s="6"/>
      <c r="X1044" s="6"/>
      <c r="Y1044" s="6"/>
      <c r="Z1044" s="6"/>
      <c r="AX1044" s="6" t="e">
        <v>#N/A</v>
      </c>
    </row>
    <row r="1045" spans="1:50" ht="31.4" customHeight="1" x14ac:dyDescent="0.35">
      <c r="A1045" s="136"/>
      <c r="B1045" s="7"/>
      <c r="C1045" s="7"/>
      <c r="D1045" s="7"/>
      <c r="E1045" s="25"/>
      <c r="F1045" s="9" t="str">
        <f>IF($E1045="","",WORKDAY($E1045,1,$V$33:$V$41))</f>
        <v/>
      </c>
      <c r="G1045" s="9" t="str">
        <f>IF($E1045="","",WORKDAY($E1045,10,$V$33:$V$41))</f>
        <v/>
      </c>
      <c r="H1045" s="9" t="str">
        <f>IF($E1045="","",WORKDAY($E1045,20,$V$33:$V$41))</f>
        <v/>
      </c>
      <c r="I1045" s="157" t="str">
        <f t="shared" si="20"/>
        <v/>
      </c>
      <c r="J1045" s="17" t="str">
        <f ca="1">IF(E1045="","",IF(N1045="",H1045-TODAY(),""))</f>
        <v/>
      </c>
      <c r="K1045" s="157"/>
      <c r="L1045" s="7"/>
      <c r="M1045" s="7"/>
      <c r="N1045" s="16"/>
      <c r="O1045" s="159" t="str">
        <f>IF($N1045="","",NETWORKDAYS($E1045,$N1045,$V$33:$V$47)-1)</f>
        <v/>
      </c>
      <c r="P1045" s="10" t="str">
        <f>IF(ISBLANK(N1045),"",IF(N1045&gt;H1045,"No","Yes"))</f>
        <v/>
      </c>
      <c r="R1045" s="4"/>
      <c r="S1045" s="4"/>
      <c r="T1045" s="7"/>
      <c r="U1045" s="6"/>
      <c r="V1045" s="6"/>
      <c r="W1045" s="6"/>
      <c r="X1045" s="6"/>
      <c r="Y1045" s="6"/>
      <c r="Z1045" s="6"/>
      <c r="AX1045" s="6" t="e">
        <v>#N/A</v>
      </c>
    </row>
    <row r="1046" spans="1:50" ht="31.4" customHeight="1" x14ac:dyDescent="0.35">
      <c r="A1046" s="136"/>
      <c r="B1046" s="7"/>
      <c r="C1046" s="7"/>
      <c r="D1046" s="7"/>
      <c r="E1046" s="25"/>
      <c r="F1046" s="9" t="str">
        <f>IF($E1046="","",WORKDAY($E1046,1,$V$33:$V$41))</f>
        <v/>
      </c>
      <c r="G1046" s="9" t="str">
        <f>IF($E1046="","",WORKDAY($E1046,10,$V$33:$V$41))</f>
        <v/>
      </c>
      <c r="H1046" s="9" t="str">
        <f>IF($E1046="","",WORKDAY($E1046,20,$V$33:$V$41))</f>
        <v/>
      </c>
      <c r="I1046" s="157" t="str">
        <f t="shared" si="20"/>
        <v/>
      </c>
      <c r="J1046" s="17" t="str">
        <f ca="1">IF(E1046="","",IF(N1046="",H1046-TODAY(),""))</f>
        <v/>
      </c>
      <c r="K1046" s="157"/>
      <c r="L1046" s="7"/>
      <c r="M1046" s="7"/>
      <c r="N1046" s="16"/>
      <c r="O1046" s="16"/>
      <c r="P1046" s="10" t="str">
        <f>IF(ISBLANK(N1046),"",IF(N1046&gt;H1046,"No","Yes"))</f>
        <v/>
      </c>
      <c r="R1046" s="4"/>
      <c r="S1046" s="4"/>
      <c r="T1046" s="7"/>
      <c r="U1046" s="6"/>
      <c r="V1046" s="6"/>
      <c r="W1046" s="6"/>
      <c r="X1046" s="6"/>
      <c r="Y1046" s="6"/>
      <c r="Z1046" s="6"/>
      <c r="AX1046" s="6" t="e">
        <v>#N/A</v>
      </c>
    </row>
    <row r="1047" spans="1:50" ht="31.4" customHeight="1" x14ac:dyDescent="0.35">
      <c r="A1047" s="136"/>
      <c r="B1047" s="7"/>
      <c r="C1047" s="7"/>
      <c r="D1047" s="7"/>
      <c r="E1047" s="25"/>
      <c r="F1047" s="9" t="str">
        <f>IF($E1047="","",WORKDAY($E1047,1,$V$33:$V$41))</f>
        <v/>
      </c>
      <c r="G1047" s="9" t="str">
        <f>IF($E1047="","",WORKDAY($E1047,10,$V$33:$V$41))</f>
        <v/>
      </c>
      <c r="H1047" s="9" t="str">
        <f>IF($E1047="","",WORKDAY($E1047,20,$V$33:$V$41))</f>
        <v/>
      </c>
      <c r="I1047" s="157" t="str">
        <f t="shared" si="20"/>
        <v/>
      </c>
      <c r="J1047" s="17" t="str">
        <f ca="1">IF(E1047="","",IF(N1047="",H1047-TODAY(),""))</f>
        <v/>
      </c>
      <c r="K1047" s="157"/>
      <c r="L1047" s="7"/>
      <c r="M1047" s="7"/>
      <c r="N1047" s="16"/>
      <c r="O1047" s="16"/>
      <c r="P1047" s="10" t="str">
        <f>IF(ISBLANK(N1047),"",IF(N1047&gt;H1047,"No","Yes"))</f>
        <v/>
      </c>
      <c r="R1047" s="4"/>
      <c r="S1047" s="4"/>
      <c r="T1047" s="7"/>
      <c r="U1047" s="6"/>
      <c r="V1047" s="6"/>
      <c r="W1047" s="6"/>
      <c r="X1047" s="6"/>
      <c r="Y1047" s="6"/>
      <c r="Z1047" s="6"/>
      <c r="AX1047" s="6" t="e">
        <v>#N/A</v>
      </c>
    </row>
    <row r="1048" spans="1:50" ht="31.4" customHeight="1" x14ac:dyDescent="0.35">
      <c r="A1048" s="136"/>
      <c r="B1048" s="7"/>
      <c r="C1048" s="7"/>
      <c r="D1048" s="7"/>
      <c r="E1048" s="25"/>
      <c r="F1048" s="9" t="str">
        <f>IF($E1048="","",WORKDAY($E1048,1,$V$33:$V$41))</f>
        <v/>
      </c>
      <c r="G1048" s="9" t="str">
        <f>IF($E1048="","",WORKDAY($E1048,10,$V$33:$V$41))</f>
        <v/>
      </c>
      <c r="H1048" s="9" t="str">
        <f>IF($E1048="","",WORKDAY($E1048,20,$V$33:$V$41))</f>
        <v/>
      </c>
      <c r="I1048" s="157" t="str">
        <f t="shared" si="20"/>
        <v/>
      </c>
      <c r="J1048" s="17" t="str">
        <f ca="1">IF(E1048="","",IF(N1048="",H1048-TODAY(),""))</f>
        <v/>
      </c>
      <c r="K1048" s="157"/>
      <c r="L1048" s="7"/>
      <c r="M1048" s="7"/>
      <c r="N1048" s="16"/>
      <c r="O1048" s="16"/>
      <c r="P1048" s="10" t="str">
        <f>IF(ISBLANK(N1048),"",IF(N1048&gt;H1048,"No","Yes"))</f>
        <v/>
      </c>
      <c r="R1048" s="4"/>
      <c r="S1048" s="4"/>
      <c r="T1048" s="7"/>
      <c r="U1048" s="6"/>
      <c r="V1048" s="6"/>
      <c r="W1048" s="6"/>
      <c r="X1048" s="6"/>
      <c r="Y1048" s="6"/>
      <c r="Z1048" s="6"/>
      <c r="AX1048" s="6" t="e">
        <v>#N/A</v>
      </c>
    </row>
    <row r="1049" spans="1:50" ht="31.4" customHeight="1" x14ac:dyDescent="0.35">
      <c r="A1049" s="136"/>
      <c r="B1049" s="7"/>
      <c r="C1049" s="7"/>
      <c r="D1049" s="7"/>
      <c r="E1049" s="25"/>
      <c r="F1049" s="9" t="str">
        <f>IF($E1049="","",WORKDAY($E1049,1,$V$33:$V$41))</f>
        <v/>
      </c>
      <c r="G1049" s="9" t="str">
        <f>IF($E1049="","",WORKDAY($E1049,10,$V$33:$V$41))</f>
        <v/>
      </c>
      <c r="H1049" s="9" t="str">
        <f>IF($E1049="","",WORKDAY($E1049,20,$V$33:$V$41))</f>
        <v/>
      </c>
      <c r="I1049" s="157" t="str">
        <f t="shared" si="20"/>
        <v/>
      </c>
      <c r="J1049" s="17" t="str">
        <f ca="1">IF(E1049="","",IF(N1049="",H1049-TODAY(),""))</f>
        <v/>
      </c>
      <c r="K1049" s="157"/>
      <c r="L1049" s="7"/>
      <c r="M1049" s="7"/>
      <c r="N1049" s="16"/>
      <c r="O1049" s="16"/>
      <c r="P1049" s="10" t="str">
        <f>IF(ISBLANK(N1049),"",IF(N1049&gt;H1049,"No","Yes"))</f>
        <v/>
      </c>
      <c r="R1049" s="4"/>
      <c r="S1049" s="4"/>
      <c r="T1049" s="7"/>
      <c r="U1049" s="6"/>
      <c r="V1049" s="6"/>
      <c r="W1049" s="6"/>
      <c r="X1049" s="6"/>
      <c r="Y1049" s="6"/>
      <c r="Z1049" s="6"/>
      <c r="AX1049" s="6" t="e">
        <v>#N/A</v>
      </c>
    </row>
    <row r="1050" spans="1:50" ht="31.4" customHeight="1" x14ac:dyDescent="0.35">
      <c r="A1050" s="136"/>
      <c r="B1050" s="7"/>
      <c r="C1050" s="7"/>
      <c r="D1050" s="7"/>
      <c r="E1050" s="25"/>
      <c r="F1050" s="9" t="str">
        <f>IF($E1050="","",WORKDAY($E1050,1,$V$33:$V$41))</f>
        <v/>
      </c>
      <c r="G1050" s="9" t="str">
        <f>IF($E1050="","",WORKDAY($E1050,10,$V$33:$V$41))</f>
        <v/>
      </c>
      <c r="H1050" s="9" t="str">
        <f>IF($E1050="","",WORKDAY($E1050,20,$V$33:$V$41))</f>
        <v/>
      </c>
      <c r="I1050" s="157" t="str">
        <f t="shared" si="20"/>
        <v/>
      </c>
      <c r="J1050" s="17" t="str">
        <f ca="1">IF(E1050="","",IF(N1050="",H1050-TODAY(),""))</f>
        <v/>
      </c>
      <c r="K1050" s="157"/>
      <c r="L1050" s="7"/>
      <c r="M1050" s="7"/>
      <c r="N1050" s="16"/>
      <c r="O1050" s="16"/>
      <c r="P1050" s="10" t="str">
        <f>IF(ISBLANK(N1050),"",IF(N1050&gt;H1050,"No","Yes"))</f>
        <v/>
      </c>
      <c r="R1050" s="4"/>
      <c r="S1050" s="4"/>
      <c r="T1050" s="7"/>
      <c r="U1050" s="6"/>
      <c r="V1050" s="6"/>
      <c r="W1050" s="6"/>
      <c r="X1050" s="6"/>
      <c r="Y1050" s="6"/>
      <c r="Z1050" s="6"/>
      <c r="AX1050" s="6" t="e">
        <v>#N/A</v>
      </c>
    </row>
    <row r="1051" spans="1:50" ht="31.4" customHeight="1" x14ac:dyDescent="0.35">
      <c r="A1051" s="136"/>
      <c r="B1051" s="7"/>
      <c r="C1051" s="7"/>
      <c r="D1051" s="7"/>
      <c r="E1051" s="25"/>
      <c r="F1051" s="9" t="str">
        <f>IF($E1051="","",WORKDAY($E1051,1,$V$33:$V$41))</f>
        <v/>
      </c>
      <c r="G1051" s="9" t="str">
        <f>IF($E1051="","",WORKDAY($E1051,10,$V$33:$V$41))</f>
        <v/>
      </c>
      <c r="H1051" s="9" t="str">
        <f>IF($E1051="","",WORKDAY($E1051,20,$V$33:$V$41))</f>
        <v/>
      </c>
      <c r="I1051" s="157" t="str">
        <f t="shared" si="20"/>
        <v/>
      </c>
      <c r="J1051" s="17" t="str">
        <f ca="1">IF(E1051="","",IF(N1051="",H1051-TODAY(),""))</f>
        <v/>
      </c>
      <c r="K1051" s="157"/>
      <c r="L1051" s="7"/>
      <c r="M1051" s="7"/>
      <c r="N1051" s="16"/>
      <c r="O1051" s="16"/>
      <c r="P1051" s="10" t="str">
        <f>IF(ISBLANK(N1051),"",IF(N1051&gt;H1051,"No","Yes"))</f>
        <v/>
      </c>
      <c r="R1051" s="4"/>
      <c r="S1051" s="4"/>
      <c r="T1051" s="7"/>
      <c r="U1051" s="6"/>
      <c r="V1051" s="6"/>
      <c r="W1051" s="6"/>
      <c r="X1051" s="6"/>
      <c r="Y1051" s="6"/>
      <c r="Z1051" s="6"/>
      <c r="AX1051" s="6" t="e">
        <v>#N/A</v>
      </c>
    </row>
    <row r="1052" spans="1:50" ht="31.4" customHeight="1" x14ac:dyDescent="0.35">
      <c r="A1052" s="136"/>
      <c r="B1052" s="7"/>
      <c r="C1052" s="7"/>
      <c r="D1052" s="7"/>
      <c r="E1052" s="25"/>
      <c r="F1052" s="9" t="str">
        <f>IF($E1052="","",WORKDAY($E1052,1,$V$33:$V$41))</f>
        <v/>
      </c>
      <c r="G1052" s="9" t="str">
        <f>IF($E1052="","",WORKDAY($E1052,10,$V$33:$V$41))</f>
        <v/>
      </c>
      <c r="H1052" s="9" t="str">
        <f>IF($E1052="","",WORKDAY($E1052,20,$V$33:$V$41))</f>
        <v/>
      </c>
      <c r="I1052" s="157" t="str">
        <f t="shared" si="20"/>
        <v/>
      </c>
      <c r="J1052" s="17" t="str">
        <f ca="1">IF(E1052="","",IF(N1052="",H1052-TODAY(),""))</f>
        <v/>
      </c>
      <c r="K1052" s="157"/>
      <c r="L1052" s="7"/>
      <c r="M1052" s="7"/>
      <c r="N1052" s="16"/>
      <c r="O1052" s="16"/>
      <c r="P1052" s="10" t="str">
        <f>IF(ISBLANK(N1052),"",IF(N1052&gt;H1052,"No","Yes"))</f>
        <v/>
      </c>
      <c r="R1052" s="4"/>
      <c r="S1052" s="4"/>
      <c r="T1052" s="7"/>
      <c r="U1052" s="6"/>
      <c r="V1052" s="6"/>
      <c r="W1052" s="6"/>
      <c r="X1052" s="6"/>
      <c r="Y1052" s="6"/>
      <c r="Z1052" s="6"/>
      <c r="AX1052" s="6" t="e">
        <v>#N/A</v>
      </c>
    </row>
    <row r="1053" spans="1:50" ht="31.4" customHeight="1" x14ac:dyDescent="0.35">
      <c r="A1053" s="136"/>
      <c r="B1053" s="7"/>
      <c r="C1053" s="7"/>
      <c r="D1053" s="7"/>
      <c r="E1053" s="25"/>
      <c r="F1053" s="9" t="str">
        <f>IF($E1053="","",WORKDAY($E1053,1,$V$33:$V$41))</f>
        <v/>
      </c>
      <c r="G1053" s="9" t="str">
        <f>IF($E1053="","",WORKDAY($E1053,10,$V$33:$V$41))</f>
        <v/>
      </c>
      <c r="H1053" s="9" t="str">
        <f>IF($E1053="","",WORKDAY($E1053,20,$V$33:$V$41))</f>
        <v/>
      </c>
      <c r="I1053" s="157" t="str">
        <f t="shared" si="20"/>
        <v/>
      </c>
      <c r="J1053" s="17" t="str">
        <f ca="1">IF(E1053="","",IF(N1053="",H1053-TODAY(),""))</f>
        <v/>
      </c>
      <c r="K1053" s="157"/>
      <c r="L1053" s="7"/>
      <c r="M1053" s="7"/>
      <c r="N1053" s="16"/>
      <c r="O1053" s="16"/>
      <c r="P1053" s="10" t="str">
        <f>IF(ISBLANK(N1053),"",IF(N1053&gt;H1053,"No","Yes"))</f>
        <v/>
      </c>
      <c r="R1053" s="4"/>
      <c r="S1053" s="4"/>
      <c r="T1053" s="7"/>
      <c r="U1053" s="6"/>
      <c r="V1053" s="6"/>
      <c r="W1053" s="6"/>
      <c r="X1053" s="6"/>
      <c r="Y1053" s="6"/>
      <c r="Z1053" s="6"/>
      <c r="AX1053" s="6" t="e">
        <v>#N/A</v>
      </c>
    </row>
    <row r="1054" spans="1:50" ht="31.4" customHeight="1" x14ac:dyDescent="0.35">
      <c r="A1054" s="136"/>
      <c r="B1054" s="7"/>
      <c r="C1054" s="7"/>
      <c r="D1054" s="7"/>
      <c r="E1054" s="25"/>
      <c r="F1054" s="9" t="str">
        <f>IF($E1054="","",WORKDAY($E1054,1,$V$33:$V$41))</f>
        <v/>
      </c>
      <c r="G1054" s="9" t="str">
        <f>IF($E1054="","",WORKDAY($E1054,10,$V$33:$V$41))</f>
        <v/>
      </c>
      <c r="H1054" s="9" t="str">
        <f>IF($E1054="","",WORKDAY($E1054,20,$V$33:$V$41))</f>
        <v/>
      </c>
      <c r="I1054" s="157" t="str">
        <f t="shared" si="20"/>
        <v/>
      </c>
      <c r="J1054" s="17" t="str">
        <f ca="1">IF(E1054="","",IF(N1054="",H1054-TODAY(),""))</f>
        <v/>
      </c>
      <c r="K1054" s="157"/>
      <c r="L1054" s="7"/>
      <c r="M1054" s="7"/>
      <c r="N1054" s="16"/>
      <c r="O1054" s="16"/>
      <c r="P1054" s="10" t="str">
        <f>IF(ISBLANK(N1054),"",IF(N1054&gt;H1054,"No","Yes"))</f>
        <v/>
      </c>
      <c r="R1054" s="4"/>
      <c r="S1054" s="4"/>
      <c r="T1054" s="7"/>
      <c r="U1054" s="6"/>
      <c r="V1054" s="6"/>
      <c r="W1054" s="6"/>
      <c r="X1054" s="6"/>
      <c r="Y1054" s="6"/>
      <c r="Z1054" s="6"/>
      <c r="AX1054" s="6" t="e">
        <v>#N/A</v>
      </c>
    </row>
    <row r="1055" spans="1:50" ht="31.4" customHeight="1" x14ac:dyDescent="0.35">
      <c r="A1055" s="136"/>
      <c r="B1055" s="7"/>
      <c r="C1055" s="7"/>
      <c r="D1055" s="7"/>
      <c r="E1055" s="25"/>
      <c r="F1055" s="9" t="str">
        <f>IF($E1055="","",WORKDAY($E1055,1,$V$33:$V$41))</f>
        <v/>
      </c>
      <c r="G1055" s="9" t="str">
        <f>IF($E1055="","",WORKDAY($E1055,10,$V$33:$V$41))</f>
        <v/>
      </c>
      <c r="H1055" s="9" t="str">
        <f>IF($E1055="","",WORKDAY($E1055,20,$V$33:$V$41))</f>
        <v/>
      </c>
      <c r="I1055" s="157" t="str">
        <f t="shared" si="20"/>
        <v/>
      </c>
      <c r="J1055" s="17" t="str">
        <f ca="1">IF(E1055="","",IF(N1055="",H1055-TODAY(),""))</f>
        <v/>
      </c>
      <c r="K1055" s="157"/>
      <c r="L1055" s="7"/>
      <c r="M1055" s="7"/>
      <c r="N1055" s="16"/>
      <c r="O1055" s="16"/>
      <c r="P1055" s="10" t="str">
        <f>IF(ISBLANK(N1055),"",IF(N1055&gt;H1055,"No","Yes"))</f>
        <v/>
      </c>
      <c r="R1055" s="4"/>
      <c r="S1055" s="4"/>
      <c r="T1055" s="7"/>
      <c r="U1055" s="6"/>
      <c r="V1055" s="6"/>
      <c r="W1055" s="6"/>
      <c r="X1055" s="6"/>
      <c r="Y1055" s="6"/>
      <c r="Z1055" s="6"/>
      <c r="AX1055" s="6" t="e">
        <v>#N/A</v>
      </c>
    </row>
    <row r="1056" spans="1:50" ht="31.4" customHeight="1" x14ac:dyDescent="0.35">
      <c r="A1056" s="136"/>
      <c r="B1056" s="7"/>
      <c r="C1056" s="7"/>
      <c r="D1056" s="7"/>
      <c r="E1056" s="25"/>
      <c r="F1056" s="9" t="str">
        <f>IF($E1056="","",WORKDAY($E1056,1,$V$33:$V$41))</f>
        <v/>
      </c>
      <c r="G1056" s="9" t="str">
        <f>IF($E1056="","",WORKDAY($E1056,10,$V$33:$V$41))</f>
        <v/>
      </c>
      <c r="H1056" s="9" t="str">
        <f>IF($E1056="","",WORKDAY($E1056,20,$V$33:$V$41))</f>
        <v/>
      </c>
      <c r="I1056" s="157" t="str">
        <f t="shared" si="20"/>
        <v/>
      </c>
      <c r="J1056" s="17" t="str">
        <f ca="1">IF(E1056="","",IF(N1056="",H1056-TODAY(),""))</f>
        <v/>
      </c>
      <c r="K1056" s="157"/>
      <c r="L1056" s="7"/>
      <c r="M1056" s="7"/>
      <c r="N1056" s="16"/>
      <c r="O1056" s="16"/>
      <c r="P1056" s="10" t="str">
        <f>IF(ISBLANK(N1056),"",IF(N1056&gt;H1056,"No","Yes"))</f>
        <v/>
      </c>
      <c r="R1056" s="4"/>
      <c r="S1056" s="4"/>
      <c r="T1056" s="7"/>
      <c r="U1056" s="6"/>
      <c r="V1056" s="6"/>
      <c r="W1056" s="6"/>
      <c r="X1056" s="6"/>
      <c r="Y1056" s="6"/>
      <c r="Z1056" s="6"/>
      <c r="AX1056" s="6" t="e">
        <v>#N/A</v>
      </c>
    </row>
    <row r="1057" spans="1:50" ht="31.4" customHeight="1" x14ac:dyDescent="0.35">
      <c r="A1057" s="136"/>
      <c r="B1057" s="7"/>
      <c r="C1057" s="7"/>
      <c r="D1057" s="7"/>
      <c r="E1057" s="25"/>
      <c r="F1057" s="9" t="str">
        <f>IF($E1057="","",WORKDAY($E1057,1,$V$33:$V$41))</f>
        <v/>
      </c>
      <c r="G1057" s="9" t="str">
        <f>IF($E1057="","",WORKDAY($E1057,10,$V$33:$V$41))</f>
        <v/>
      </c>
      <c r="H1057" s="9" t="str">
        <f>IF($E1057="","",WORKDAY($E1057,20,$V$33:$V$41))</f>
        <v/>
      </c>
      <c r="I1057" s="157" t="str">
        <f t="shared" si="20"/>
        <v/>
      </c>
      <c r="J1057" s="17" t="str">
        <f ca="1">IF(E1057="","",IF(N1057="",H1057-TODAY(),""))</f>
        <v/>
      </c>
      <c r="K1057" s="157"/>
      <c r="L1057" s="7"/>
      <c r="M1057" s="7"/>
      <c r="N1057" s="16"/>
      <c r="O1057" s="16"/>
      <c r="P1057" s="10" t="str">
        <f>IF(ISBLANK(N1057),"",IF(N1057&gt;H1057,"No","Yes"))</f>
        <v/>
      </c>
      <c r="R1057" s="4"/>
      <c r="S1057" s="4"/>
      <c r="T1057" s="7"/>
      <c r="U1057" s="6"/>
      <c r="V1057" s="6"/>
      <c r="W1057" s="6"/>
      <c r="X1057" s="6"/>
      <c r="Y1057" s="6"/>
      <c r="Z1057" s="6"/>
      <c r="AX1057" s="6" t="e">
        <v>#N/A</v>
      </c>
    </row>
    <row r="1058" spans="1:50" ht="31.4" customHeight="1" x14ac:dyDescent="0.35">
      <c r="A1058" s="136"/>
      <c r="B1058" s="7"/>
      <c r="C1058" s="7"/>
      <c r="D1058" s="7"/>
      <c r="E1058" s="25"/>
      <c r="F1058" s="9" t="str">
        <f>IF($E1058="","",WORKDAY($E1058,1,$V$33:$V$41))</f>
        <v/>
      </c>
      <c r="G1058" s="9" t="str">
        <f>IF($E1058="","",WORKDAY($E1058,10,$V$33:$V$41))</f>
        <v/>
      </c>
      <c r="H1058" s="9" t="str">
        <f>IF($E1058="","",WORKDAY($E1058,20,$V$33:$V$41))</f>
        <v/>
      </c>
      <c r="I1058" s="157" t="str">
        <f t="shared" si="20"/>
        <v/>
      </c>
      <c r="J1058" s="17" t="str">
        <f ca="1">IF(E1058="","",IF(N1058="",H1058-TODAY(),""))</f>
        <v/>
      </c>
      <c r="K1058" s="157"/>
      <c r="L1058" s="7"/>
      <c r="M1058" s="7"/>
      <c r="N1058" s="16"/>
      <c r="O1058" s="16"/>
      <c r="P1058" s="10" t="str">
        <f>IF(ISBLANK(N1058),"",IF(N1058&gt;H1058,"No","Yes"))</f>
        <v/>
      </c>
      <c r="R1058" s="4"/>
      <c r="S1058" s="4"/>
      <c r="T1058" s="7"/>
      <c r="U1058" s="6"/>
      <c r="V1058" s="6"/>
      <c r="W1058" s="6"/>
      <c r="X1058" s="6"/>
      <c r="Y1058" s="6"/>
      <c r="Z1058" s="6"/>
      <c r="AX1058" s="6" t="e">
        <v>#N/A</v>
      </c>
    </row>
    <row r="1059" spans="1:50" ht="31.4" customHeight="1" x14ac:dyDescent="0.35">
      <c r="A1059" s="136"/>
      <c r="B1059" s="7"/>
      <c r="C1059" s="7"/>
      <c r="D1059" s="7"/>
      <c r="E1059" s="25"/>
      <c r="F1059" s="9" t="str">
        <f>IF($E1059="","",WORKDAY($E1059,1,$V$33:$V$41))</f>
        <v/>
      </c>
      <c r="G1059" s="9" t="str">
        <f>IF($E1059="","",WORKDAY($E1059,10,$V$33:$V$41))</f>
        <v/>
      </c>
      <c r="H1059" s="9" t="str">
        <f>IF($E1059="","",WORKDAY($E1059,20,$V$33:$V$41))</f>
        <v/>
      </c>
      <c r="I1059" s="157" t="str">
        <f t="shared" si="20"/>
        <v/>
      </c>
      <c r="J1059" s="17" t="str">
        <f ca="1">IF(E1059="","",IF(N1059="",H1059-TODAY(),""))</f>
        <v/>
      </c>
      <c r="K1059" s="157"/>
      <c r="L1059" s="7"/>
      <c r="M1059" s="7"/>
      <c r="N1059" s="16"/>
      <c r="O1059" s="16"/>
      <c r="P1059" s="10" t="str">
        <f>IF(ISBLANK(N1059),"",IF(N1059&gt;H1059,"No","Yes"))</f>
        <v/>
      </c>
      <c r="R1059" s="4"/>
      <c r="S1059" s="4"/>
      <c r="T1059" s="7"/>
      <c r="U1059" s="6"/>
      <c r="V1059" s="6"/>
      <c r="W1059" s="6"/>
      <c r="X1059" s="6"/>
      <c r="Y1059" s="6"/>
      <c r="Z1059" s="6"/>
      <c r="AX1059" s="6" t="e">
        <v>#N/A</v>
      </c>
    </row>
    <row r="1060" spans="1:50" ht="31.4" customHeight="1" x14ac:dyDescent="0.35">
      <c r="A1060" s="136"/>
      <c r="B1060" s="7"/>
      <c r="C1060" s="7"/>
      <c r="D1060" s="7"/>
      <c r="E1060" s="25"/>
      <c r="F1060" s="9" t="str">
        <f>IF($E1060="","",WORKDAY($E1060,1,$V$33:$V$41))</f>
        <v/>
      </c>
      <c r="G1060" s="9" t="str">
        <f>IF($E1060="","",WORKDAY($E1060,10,$V$33:$V$41))</f>
        <v/>
      </c>
      <c r="H1060" s="9" t="str">
        <f>IF($E1060="","",WORKDAY($E1060,20,$V$33:$V$41))</f>
        <v/>
      </c>
      <c r="I1060" s="157" t="str">
        <f t="shared" si="20"/>
        <v/>
      </c>
      <c r="J1060" s="17" t="str">
        <f ca="1">IF(E1060="","",IF(N1060="",H1060-TODAY(),""))</f>
        <v/>
      </c>
      <c r="K1060" s="157"/>
      <c r="L1060" s="7"/>
      <c r="M1060" s="7"/>
      <c r="N1060" s="16"/>
      <c r="O1060" s="16"/>
      <c r="P1060" s="10" t="str">
        <f>IF(ISBLANK(N1060),"",IF(N1060&gt;H1060,"No","Yes"))</f>
        <v/>
      </c>
      <c r="R1060" s="4"/>
      <c r="S1060" s="4"/>
      <c r="T1060" s="7"/>
      <c r="U1060" s="6"/>
      <c r="V1060" s="6"/>
      <c r="W1060" s="6"/>
      <c r="X1060" s="6"/>
      <c r="Y1060" s="6"/>
      <c r="Z1060" s="6"/>
      <c r="AX1060" s="6" t="e">
        <v>#N/A</v>
      </c>
    </row>
    <row r="1061" spans="1:50" ht="31.4" customHeight="1" x14ac:dyDescent="0.35">
      <c r="A1061" s="136"/>
      <c r="B1061" s="7"/>
      <c r="C1061" s="7"/>
      <c r="D1061" s="7"/>
      <c r="E1061" s="25"/>
      <c r="F1061" s="9" t="str">
        <f>IF($E1061="","",WORKDAY($E1061,1,$V$33:$V$41))</f>
        <v/>
      </c>
      <c r="G1061" s="9" t="str">
        <f>IF($E1061="","",WORKDAY($E1061,10,$V$33:$V$41))</f>
        <v/>
      </c>
      <c r="H1061" s="9" t="str">
        <f>IF($E1061="","",WORKDAY($E1061,20,$V$33:$V$41))</f>
        <v/>
      </c>
      <c r="I1061" s="157" t="str">
        <f t="shared" ref="I1061:I1108" si="21">IF(ISBLANK(E1061),"",TEXT(E1061,"mmm"))</f>
        <v/>
      </c>
      <c r="J1061" s="17" t="str">
        <f ca="1">IF(E1061="","",IF(N1061="",H1061-TODAY(),""))</f>
        <v/>
      </c>
      <c r="K1061" s="157"/>
      <c r="L1061" s="7"/>
      <c r="M1061" s="7"/>
      <c r="N1061" s="16"/>
      <c r="O1061" s="16"/>
      <c r="P1061" s="10" t="str">
        <f>IF(ISBLANK(N1061),"",IF(N1061&gt;H1061,"No","Yes"))</f>
        <v/>
      </c>
      <c r="R1061" s="4"/>
      <c r="S1061" s="4"/>
      <c r="T1061" s="7"/>
      <c r="U1061" s="6"/>
      <c r="V1061" s="6"/>
      <c r="W1061" s="6"/>
      <c r="X1061" s="6"/>
      <c r="Y1061" s="6"/>
      <c r="Z1061" s="6"/>
      <c r="AX1061" s="6" t="e">
        <v>#N/A</v>
      </c>
    </row>
    <row r="1062" spans="1:50" ht="31.4" customHeight="1" x14ac:dyDescent="0.35">
      <c r="A1062" s="136"/>
      <c r="B1062" s="7"/>
      <c r="C1062" s="7"/>
      <c r="D1062" s="7"/>
      <c r="E1062" s="25"/>
      <c r="F1062" s="9" t="str">
        <f>IF($E1062="","",WORKDAY($E1062,1,$V$33:$V$41))</f>
        <v/>
      </c>
      <c r="G1062" s="9" t="str">
        <f>IF($E1062="","",WORKDAY($E1062,10,$V$33:$V$41))</f>
        <v/>
      </c>
      <c r="H1062" s="9" t="str">
        <f>IF($E1062="","",WORKDAY($E1062,20,$V$33:$V$41))</f>
        <v/>
      </c>
      <c r="I1062" s="157" t="str">
        <f t="shared" si="21"/>
        <v/>
      </c>
      <c r="J1062" s="17" t="str">
        <f ca="1">IF(E1062="","",IF(N1062="",H1062-TODAY(),""))</f>
        <v/>
      </c>
      <c r="K1062" s="157"/>
      <c r="L1062" s="7"/>
      <c r="M1062" s="7"/>
      <c r="N1062" s="16"/>
      <c r="O1062" s="16"/>
      <c r="P1062" s="10" t="str">
        <f>IF(ISBLANK(N1062),"",IF(N1062&gt;H1062,"No","Yes"))</f>
        <v/>
      </c>
      <c r="R1062" s="4"/>
      <c r="S1062" s="4"/>
      <c r="T1062" s="7"/>
      <c r="U1062" s="6"/>
      <c r="V1062" s="6"/>
      <c r="W1062" s="6"/>
      <c r="X1062" s="6"/>
      <c r="Y1062" s="6"/>
      <c r="Z1062" s="6"/>
      <c r="AX1062" s="6" t="e">
        <v>#N/A</v>
      </c>
    </row>
    <row r="1063" spans="1:50" ht="31.4" customHeight="1" x14ac:dyDescent="0.35">
      <c r="A1063" s="136"/>
      <c r="B1063" s="7"/>
      <c r="C1063" s="7"/>
      <c r="D1063" s="7"/>
      <c r="E1063" s="25"/>
      <c r="F1063" s="9" t="str">
        <f>IF($E1063="","",WORKDAY($E1063,1,$V$33:$V$41))</f>
        <v/>
      </c>
      <c r="G1063" s="9" t="str">
        <f>IF($E1063="","",WORKDAY($E1063,10,$V$33:$V$41))</f>
        <v/>
      </c>
      <c r="H1063" s="9" t="str">
        <f>IF($E1063="","",WORKDAY($E1063,20,$V$33:$V$41))</f>
        <v/>
      </c>
      <c r="I1063" s="157" t="str">
        <f t="shared" si="21"/>
        <v/>
      </c>
      <c r="J1063" s="17" t="str">
        <f ca="1">IF(E1063="","",IF(N1063="",H1063-TODAY(),""))</f>
        <v/>
      </c>
      <c r="K1063" s="157"/>
      <c r="L1063" s="7"/>
      <c r="M1063" s="7"/>
      <c r="N1063" s="16"/>
      <c r="O1063" s="16"/>
      <c r="P1063" s="10" t="str">
        <f>IF(ISBLANK(N1063),"",IF(N1063&gt;H1063,"No","Yes"))</f>
        <v/>
      </c>
      <c r="R1063" s="4"/>
      <c r="S1063" s="4"/>
      <c r="T1063" s="7"/>
      <c r="U1063" s="6"/>
      <c r="V1063" s="6"/>
      <c r="W1063" s="6"/>
      <c r="X1063" s="6"/>
      <c r="Y1063" s="6"/>
      <c r="Z1063" s="6"/>
      <c r="AX1063" s="6" t="e">
        <v>#N/A</v>
      </c>
    </row>
    <row r="1064" spans="1:50" ht="31.4" customHeight="1" x14ac:dyDescent="0.35">
      <c r="A1064" s="136"/>
      <c r="B1064" s="7"/>
      <c r="C1064" s="7"/>
      <c r="D1064" s="7"/>
      <c r="E1064" s="25"/>
      <c r="F1064" s="9" t="str">
        <f>IF($E1064="","",WORKDAY($E1064,1,$V$33:$V$41))</f>
        <v/>
      </c>
      <c r="G1064" s="9" t="str">
        <f>IF($E1064="","",WORKDAY($E1064,10,$V$33:$V$41))</f>
        <v/>
      </c>
      <c r="H1064" s="9" t="str">
        <f>IF($E1064="","",WORKDAY($E1064,20,$V$33:$V$41))</f>
        <v/>
      </c>
      <c r="I1064" s="157" t="str">
        <f t="shared" si="21"/>
        <v/>
      </c>
      <c r="J1064" s="17" t="str">
        <f ca="1">IF(E1064="","",IF(N1064="",H1064-TODAY(),""))</f>
        <v/>
      </c>
      <c r="K1064" s="157"/>
      <c r="L1064" s="7"/>
      <c r="M1064" s="7"/>
      <c r="N1064" s="16"/>
      <c r="O1064" s="16"/>
      <c r="P1064" s="10" t="str">
        <f>IF(ISBLANK(N1064),"",IF(N1064&gt;H1064,"No","Yes"))</f>
        <v/>
      </c>
      <c r="R1064" s="4"/>
      <c r="S1064" s="4"/>
      <c r="T1064" s="7"/>
      <c r="U1064" s="6"/>
      <c r="V1064" s="6"/>
      <c r="W1064" s="6"/>
      <c r="X1064" s="6"/>
      <c r="Y1064" s="6"/>
      <c r="Z1064" s="6"/>
      <c r="AX1064" s="6" t="e">
        <v>#N/A</v>
      </c>
    </row>
    <row r="1065" spans="1:50" ht="31.4" customHeight="1" x14ac:dyDescent="0.35">
      <c r="A1065" s="136"/>
      <c r="B1065" s="7"/>
      <c r="C1065" s="7"/>
      <c r="D1065" s="7"/>
      <c r="E1065" s="25"/>
      <c r="F1065" s="9" t="str">
        <f>IF($E1065="","",WORKDAY($E1065,1,$V$33:$V$41))</f>
        <v/>
      </c>
      <c r="G1065" s="9" t="str">
        <f>IF($E1065="","",WORKDAY($E1065,10,$V$33:$V$41))</f>
        <v/>
      </c>
      <c r="H1065" s="9" t="str">
        <f>IF($E1065="","",WORKDAY($E1065,20,$V$33:$V$41))</f>
        <v/>
      </c>
      <c r="I1065" s="157" t="str">
        <f t="shared" si="21"/>
        <v/>
      </c>
      <c r="J1065" s="17" t="str">
        <f ca="1">IF(E1065="","",IF(N1065="",H1065-TODAY(),""))</f>
        <v/>
      </c>
      <c r="K1065" s="157"/>
      <c r="L1065" s="7"/>
      <c r="M1065" s="7"/>
      <c r="N1065" s="16"/>
      <c r="O1065" s="16"/>
      <c r="P1065" s="10" t="str">
        <f>IF(ISBLANK(N1065),"",IF(N1065&gt;H1065,"No","Yes"))</f>
        <v/>
      </c>
      <c r="R1065" s="4"/>
      <c r="S1065" s="4"/>
      <c r="T1065" s="7"/>
      <c r="U1065" s="6"/>
      <c r="V1065" s="6"/>
      <c r="W1065" s="6"/>
      <c r="X1065" s="6"/>
      <c r="Y1065" s="6"/>
      <c r="Z1065" s="6"/>
      <c r="AX1065" s="6" t="e">
        <v>#N/A</v>
      </c>
    </row>
    <row r="1066" spans="1:50" ht="31.4" customHeight="1" x14ac:dyDescent="0.35">
      <c r="A1066" s="136"/>
      <c r="B1066" s="7"/>
      <c r="C1066" s="7"/>
      <c r="D1066" s="7"/>
      <c r="E1066" s="25"/>
      <c r="F1066" s="9" t="str">
        <f>IF($E1066="","",WORKDAY($E1066,1,$V$33:$V$41))</f>
        <v/>
      </c>
      <c r="G1066" s="9" t="str">
        <f>IF($E1066="","",WORKDAY($E1066,10,$V$33:$V$41))</f>
        <v/>
      </c>
      <c r="H1066" s="9" t="str">
        <f>IF($E1066="","",WORKDAY($E1066,20,$V$33:$V$41))</f>
        <v/>
      </c>
      <c r="I1066" s="157" t="str">
        <f t="shared" si="21"/>
        <v/>
      </c>
      <c r="J1066" s="17" t="str">
        <f ca="1">IF(E1066="","",IF(N1066="",H1066-TODAY(),""))</f>
        <v/>
      </c>
      <c r="K1066" s="157"/>
      <c r="L1066" s="7"/>
      <c r="M1066" s="7"/>
      <c r="N1066" s="16"/>
      <c r="O1066" s="16"/>
      <c r="P1066" s="10" t="str">
        <f>IF(ISBLANK(N1066),"",IF(N1066&gt;H1066,"No","Yes"))</f>
        <v/>
      </c>
      <c r="R1066" s="4"/>
      <c r="S1066" s="4"/>
      <c r="T1066" s="7"/>
      <c r="U1066" s="6"/>
      <c r="V1066" s="6"/>
      <c r="W1066" s="6"/>
      <c r="X1066" s="6"/>
      <c r="Y1066" s="6"/>
      <c r="Z1066" s="6"/>
      <c r="AX1066" s="6" t="e">
        <v>#N/A</v>
      </c>
    </row>
    <row r="1067" spans="1:50" ht="31.4" customHeight="1" x14ac:dyDescent="0.35">
      <c r="A1067" s="136"/>
      <c r="B1067" s="7"/>
      <c r="C1067" s="7"/>
      <c r="D1067" s="7"/>
      <c r="E1067" s="25"/>
      <c r="F1067" s="9" t="str">
        <f>IF($E1067="","",WORKDAY($E1067,1,$V$33:$V$41))</f>
        <v/>
      </c>
      <c r="G1067" s="9" t="str">
        <f>IF($E1067="","",WORKDAY($E1067,10,$V$33:$V$41))</f>
        <v/>
      </c>
      <c r="H1067" s="9" t="str">
        <f>IF($E1067="","",WORKDAY($E1067,20,$V$33:$V$41))</f>
        <v/>
      </c>
      <c r="I1067" s="157" t="str">
        <f t="shared" si="21"/>
        <v/>
      </c>
      <c r="J1067" s="17" t="str">
        <f ca="1">IF(E1067="","",IF(N1067="",H1067-TODAY(),""))</f>
        <v/>
      </c>
      <c r="K1067" s="157"/>
      <c r="N1067" s="16"/>
      <c r="O1067" s="16"/>
      <c r="P1067" s="10" t="str">
        <f>IF(ISBLANK(N1067),"",IF(N1067&gt;H1067,"No","Yes"))</f>
        <v/>
      </c>
      <c r="R1067" s="4"/>
      <c r="S1067" s="4"/>
      <c r="T1067" s="7"/>
      <c r="U1067" s="6"/>
      <c r="V1067" s="6"/>
      <c r="W1067" s="6"/>
      <c r="X1067" s="6"/>
      <c r="Y1067" s="6"/>
      <c r="Z1067" s="6"/>
      <c r="AX1067" s="6" t="e">
        <v>#N/A</v>
      </c>
    </row>
    <row r="1068" spans="1:50" ht="31.4" customHeight="1" x14ac:dyDescent="0.35">
      <c r="A1068" s="136"/>
      <c r="B1068" s="7"/>
      <c r="C1068" s="7"/>
      <c r="D1068" s="7"/>
      <c r="E1068" s="25"/>
      <c r="F1068" s="9" t="str">
        <f>IF($E1068="","",WORKDAY($E1068,1,$V$33:$V$41))</f>
        <v/>
      </c>
      <c r="G1068" s="9" t="str">
        <f>IF($E1068="","",WORKDAY($E1068,10,$V$33:$V$41))</f>
        <v/>
      </c>
      <c r="H1068" s="9" t="str">
        <f>IF($E1068="","",WORKDAY($E1068,20,$V$33:$V$41))</f>
        <v/>
      </c>
      <c r="I1068" s="157" t="str">
        <f t="shared" si="21"/>
        <v/>
      </c>
      <c r="J1068" s="17" t="str">
        <f ca="1">IF(E1068="","",IF(N1068="",H1068-TODAY(),""))</f>
        <v/>
      </c>
      <c r="K1068" s="157"/>
      <c r="N1068" s="16"/>
      <c r="O1068" s="16"/>
      <c r="P1068" s="10" t="str">
        <f>IF(ISBLANK(N1068),"",IF(N1068&gt;H1068,"No","Yes"))</f>
        <v/>
      </c>
      <c r="R1068" s="4"/>
      <c r="S1068" s="4"/>
      <c r="T1068" s="7"/>
      <c r="U1068" s="6"/>
      <c r="V1068" s="6"/>
      <c r="W1068" s="6"/>
      <c r="X1068" s="6"/>
      <c r="Y1068" s="6"/>
      <c r="Z1068" s="6"/>
      <c r="AX1068" s="6" t="e">
        <v>#N/A</v>
      </c>
    </row>
    <row r="1069" spans="1:50" ht="31.4" customHeight="1" x14ac:dyDescent="0.35">
      <c r="A1069" s="136"/>
      <c r="B1069" s="7"/>
      <c r="C1069" s="7"/>
      <c r="D1069" s="7"/>
      <c r="E1069" s="25"/>
      <c r="F1069" s="9" t="str">
        <f>IF($E1069="","",WORKDAY($E1069,1,$V$33:$V$41))</f>
        <v/>
      </c>
      <c r="G1069" s="9" t="str">
        <f>IF($E1069="","",WORKDAY($E1069,10,$V$33:$V$41))</f>
        <v/>
      </c>
      <c r="H1069" s="9" t="str">
        <f>IF($E1069="","",WORKDAY($E1069,20,$V$33:$V$41))</f>
        <v/>
      </c>
      <c r="I1069" s="157" t="str">
        <f t="shared" si="21"/>
        <v/>
      </c>
      <c r="J1069" s="17" t="str">
        <f ca="1">IF(E1069="","",IF(N1069="",H1069-TODAY(),""))</f>
        <v/>
      </c>
      <c r="K1069" s="157"/>
      <c r="N1069" s="16"/>
      <c r="O1069" s="16"/>
      <c r="P1069" s="10" t="str">
        <f>IF(ISBLANK(N1069),"",IF(N1069&gt;H1069,"No","Yes"))</f>
        <v/>
      </c>
      <c r="R1069" s="4"/>
      <c r="S1069" s="4"/>
      <c r="T1069" s="7"/>
      <c r="U1069" s="6"/>
      <c r="V1069" s="6"/>
      <c r="W1069" s="6"/>
      <c r="X1069" s="6"/>
      <c r="Y1069" s="6"/>
      <c r="Z1069" s="6"/>
      <c r="AX1069" s="6" t="e">
        <v>#N/A</v>
      </c>
    </row>
    <row r="1070" spans="1:50" ht="31.4" customHeight="1" x14ac:dyDescent="0.35">
      <c r="A1070" s="136"/>
      <c r="B1070" s="7"/>
      <c r="C1070" s="7"/>
      <c r="D1070" s="7"/>
      <c r="E1070" s="25"/>
      <c r="F1070" s="9" t="str">
        <f>IF($E1070="","",WORKDAY($E1070,1,$V$33:$V$41))</f>
        <v/>
      </c>
      <c r="G1070" s="9" t="str">
        <f>IF($E1070="","",WORKDAY($E1070,10,$V$33:$V$41))</f>
        <v/>
      </c>
      <c r="H1070" s="9" t="str">
        <f>IF($E1070="","",WORKDAY($E1070,20,$V$33:$V$41))</f>
        <v/>
      </c>
      <c r="I1070" s="157" t="str">
        <f t="shared" si="21"/>
        <v/>
      </c>
      <c r="J1070" s="17" t="str">
        <f ca="1">IF(E1070="","",IF(N1070="",H1070-TODAY(),""))</f>
        <v/>
      </c>
      <c r="K1070" s="157"/>
      <c r="N1070" s="16"/>
      <c r="O1070" s="16"/>
      <c r="P1070" s="10" t="str">
        <f>IF(ISBLANK(N1070),"",IF(N1070&gt;H1070,"No","Yes"))</f>
        <v/>
      </c>
      <c r="R1070" s="4"/>
      <c r="S1070" s="4"/>
      <c r="T1070" s="7"/>
      <c r="U1070" s="6"/>
      <c r="V1070" s="6"/>
      <c r="W1070" s="6"/>
      <c r="X1070" s="6"/>
      <c r="Y1070" s="6"/>
      <c r="Z1070" s="6"/>
      <c r="AX1070" s="6" t="e">
        <v>#N/A</v>
      </c>
    </row>
    <row r="1071" spans="1:50" ht="31.4" customHeight="1" x14ac:dyDescent="0.35">
      <c r="A1071" s="136"/>
      <c r="B1071" s="7"/>
      <c r="C1071" s="7"/>
      <c r="D1071" s="7"/>
      <c r="E1071" s="25"/>
      <c r="F1071" s="9" t="str">
        <f>IF($E1071="","",WORKDAY($E1071,1,$V$33:$V$41))</f>
        <v/>
      </c>
      <c r="G1071" s="9" t="str">
        <f>IF($E1071="","",WORKDAY($E1071,10,$V$33:$V$41))</f>
        <v/>
      </c>
      <c r="H1071" s="9" t="str">
        <f>IF($E1071="","",WORKDAY($E1071,20,$V$33:$V$41))</f>
        <v/>
      </c>
      <c r="I1071" s="157" t="str">
        <f t="shared" si="21"/>
        <v/>
      </c>
      <c r="J1071" s="17" t="str">
        <f ca="1">IF(E1071="","",IF(N1071="",H1071-TODAY(),""))</f>
        <v/>
      </c>
      <c r="K1071" s="157"/>
      <c r="N1071" s="16"/>
      <c r="O1071" s="16"/>
      <c r="P1071" s="10" t="str">
        <f>IF(ISBLANK(N1071),"",IF(N1071&gt;H1071,"No","Yes"))</f>
        <v/>
      </c>
      <c r="R1071" s="4"/>
      <c r="S1071" s="4"/>
      <c r="T1071" s="7"/>
      <c r="U1071" s="6"/>
      <c r="V1071" s="6"/>
      <c r="W1071" s="6"/>
      <c r="X1071" s="6"/>
      <c r="Y1071" s="6"/>
      <c r="Z1071" s="6"/>
      <c r="AX1071" s="6" t="e">
        <v>#N/A</v>
      </c>
    </row>
    <row r="1072" spans="1:50" ht="31.4" customHeight="1" x14ac:dyDescent="0.35">
      <c r="A1072" s="136"/>
      <c r="B1072" s="7"/>
      <c r="C1072" s="7"/>
      <c r="D1072" s="7"/>
      <c r="E1072" s="25"/>
      <c r="F1072" s="9" t="str">
        <f>IF($E1072="","",WORKDAY($E1072,1,$V$33:$V$41))</f>
        <v/>
      </c>
      <c r="G1072" s="9" t="str">
        <f>IF($E1072="","",WORKDAY($E1072,10,$V$33:$V$41))</f>
        <v/>
      </c>
      <c r="H1072" s="9" t="str">
        <f>IF($E1072="","",WORKDAY($E1072,20,$V$33:$V$41))</f>
        <v/>
      </c>
      <c r="I1072" s="157" t="str">
        <f t="shared" si="21"/>
        <v/>
      </c>
      <c r="J1072" s="17" t="str">
        <f ca="1">IF(E1072="","",IF(N1072="",H1072-TODAY(),""))</f>
        <v/>
      </c>
      <c r="K1072" s="157"/>
      <c r="N1072" s="16"/>
      <c r="O1072" s="16"/>
      <c r="P1072" s="10" t="str">
        <f>IF(ISBLANK(N1072),"",IF(N1072&gt;H1072,"No","Yes"))</f>
        <v/>
      </c>
      <c r="R1072" s="4"/>
      <c r="S1072" s="4"/>
      <c r="T1072" s="7"/>
      <c r="U1072" s="6"/>
      <c r="V1072" s="6"/>
      <c r="W1072" s="6"/>
      <c r="X1072" s="6"/>
      <c r="Y1072" s="6"/>
      <c r="Z1072" s="6"/>
      <c r="AX1072" s="6" t="e">
        <v>#N/A</v>
      </c>
    </row>
    <row r="1073" spans="1:50" ht="31.4" customHeight="1" x14ac:dyDescent="0.35">
      <c r="A1073" s="136"/>
      <c r="B1073" s="7"/>
      <c r="C1073" s="7"/>
      <c r="D1073" s="7"/>
      <c r="E1073" s="25"/>
      <c r="F1073" s="9" t="str">
        <f>IF($E1073="","",WORKDAY($E1073,1,$V$33:$V$41))</f>
        <v/>
      </c>
      <c r="G1073" s="9" t="str">
        <f>IF($E1073="","",WORKDAY($E1073,10,$V$33:$V$41))</f>
        <v/>
      </c>
      <c r="H1073" s="9" t="str">
        <f>IF($E1073="","",WORKDAY($E1073,20,$V$33:$V$41))</f>
        <v/>
      </c>
      <c r="I1073" s="157" t="str">
        <f t="shared" si="21"/>
        <v/>
      </c>
      <c r="J1073" s="17" t="str">
        <f ca="1">IF(E1073="","",IF(N1073="",H1073-TODAY(),""))</f>
        <v/>
      </c>
      <c r="K1073" s="157"/>
      <c r="N1073" s="16"/>
      <c r="O1073" s="16"/>
      <c r="P1073" s="10" t="str">
        <f>IF(ISBLANK(N1073),"",IF(N1073&gt;H1073,"No","Yes"))</f>
        <v/>
      </c>
      <c r="R1073" s="4"/>
      <c r="S1073" s="4"/>
      <c r="T1073" s="7"/>
      <c r="U1073" s="6"/>
      <c r="V1073" s="6"/>
      <c r="W1073" s="6"/>
      <c r="X1073" s="6"/>
      <c r="Y1073" s="6"/>
      <c r="Z1073" s="6"/>
      <c r="AX1073" s="6" t="e">
        <v>#N/A</v>
      </c>
    </row>
    <row r="1074" spans="1:50" ht="31.4" customHeight="1" x14ac:dyDescent="0.35">
      <c r="A1074" s="136"/>
      <c r="B1074" s="7"/>
      <c r="C1074" s="7"/>
      <c r="D1074" s="7"/>
      <c r="E1074" s="25"/>
      <c r="F1074" s="9" t="str">
        <f>IF($E1074="","",WORKDAY($E1074,1,$V$33:$V$41))</f>
        <v/>
      </c>
      <c r="G1074" s="9" t="str">
        <f>IF($E1074="","",WORKDAY($E1074,10,$V$33:$V$41))</f>
        <v/>
      </c>
      <c r="H1074" s="9" t="str">
        <f>IF($E1074="","",WORKDAY($E1074,20,$V$33:$V$41))</f>
        <v/>
      </c>
      <c r="I1074" s="157" t="str">
        <f t="shared" si="21"/>
        <v/>
      </c>
      <c r="J1074" s="17" t="str">
        <f ca="1">IF(E1074="","",IF(N1074="",H1074-TODAY(),""))</f>
        <v/>
      </c>
      <c r="K1074" s="157"/>
      <c r="N1074" s="16"/>
      <c r="O1074" s="16"/>
      <c r="P1074" s="10" t="str">
        <f>IF(ISBLANK(N1074),"",IF(N1074&gt;H1074,"No","Yes"))</f>
        <v/>
      </c>
      <c r="R1074" s="4"/>
      <c r="S1074" s="4"/>
      <c r="T1074" s="7"/>
      <c r="U1074" s="6"/>
      <c r="V1074" s="6"/>
      <c r="W1074" s="6"/>
      <c r="X1074" s="6"/>
      <c r="Y1074" s="6"/>
      <c r="Z1074" s="6"/>
      <c r="AX1074" s="6" t="e">
        <v>#N/A</v>
      </c>
    </row>
    <row r="1075" spans="1:50" ht="31.4" customHeight="1" x14ac:dyDescent="0.35">
      <c r="A1075" s="136"/>
      <c r="B1075" s="7"/>
      <c r="C1075" s="7"/>
      <c r="D1075" s="7"/>
      <c r="E1075" s="25"/>
      <c r="F1075" s="9" t="str">
        <f>IF($E1075="","",WORKDAY($E1075,1,$V$33:$V$41))</f>
        <v/>
      </c>
      <c r="G1075" s="9" t="str">
        <f>IF($E1075="","",WORKDAY($E1075,10,$V$33:$V$41))</f>
        <v/>
      </c>
      <c r="H1075" s="9" t="str">
        <f>IF($E1075="","",WORKDAY($E1075,20,$V$33:$V$41))</f>
        <v/>
      </c>
      <c r="I1075" s="157" t="str">
        <f t="shared" si="21"/>
        <v/>
      </c>
      <c r="J1075" s="17" t="str">
        <f ca="1">IF(E1075="","",IF(N1075="",H1075-TODAY(),""))</f>
        <v/>
      </c>
      <c r="K1075" s="157"/>
      <c r="N1075" s="16"/>
      <c r="O1075" s="16"/>
      <c r="P1075" s="10" t="str">
        <f>IF(ISBLANK(N1075),"",IF(N1075&gt;H1075,"No","Yes"))</f>
        <v/>
      </c>
      <c r="R1075" s="4"/>
      <c r="S1075" s="4"/>
      <c r="T1075" s="7"/>
      <c r="U1075" s="6"/>
      <c r="V1075" s="6"/>
      <c r="W1075" s="6"/>
      <c r="X1075" s="6"/>
      <c r="Y1075" s="6"/>
      <c r="Z1075" s="6"/>
      <c r="AX1075" s="6" t="e">
        <v>#N/A</v>
      </c>
    </row>
    <row r="1076" spans="1:50" ht="31.4" customHeight="1" x14ac:dyDescent="0.35">
      <c r="A1076" s="136"/>
      <c r="B1076" s="7"/>
      <c r="C1076" s="7"/>
      <c r="D1076" s="7"/>
      <c r="E1076" s="25"/>
      <c r="F1076" s="9" t="str">
        <f>IF($E1076="","",WORKDAY($E1076,1,$V$33:$V$41))</f>
        <v/>
      </c>
      <c r="G1076" s="9" t="str">
        <f>IF($E1076="","",WORKDAY($E1076,10,$V$33:$V$41))</f>
        <v/>
      </c>
      <c r="H1076" s="9" t="str">
        <f>IF($E1076="","",WORKDAY($E1076,20,$V$33:$V$41))</f>
        <v/>
      </c>
      <c r="I1076" s="157" t="str">
        <f t="shared" si="21"/>
        <v/>
      </c>
      <c r="J1076" s="17" t="str">
        <f ca="1">IF(E1076="","",IF(N1076="",H1076-TODAY(),""))</f>
        <v/>
      </c>
      <c r="K1076" s="157"/>
      <c r="N1076" s="16"/>
      <c r="O1076" s="16"/>
      <c r="P1076" s="10" t="str">
        <f>IF(ISBLANK(N1076),"",IF(N1076&gt;H1076,"No","Yes"))</f>
        <v/>
      </c>
      <c r="R1076" s="4"/>
      <c r="S1076" s="4"/>
      <c r="T1076" s="7"/>
      <c r="U1076" s="6"/>
      <c r="V1076" s="6"/>
      <c r="W1076" s="6"/>
      <c r="X1076" s="6"/>
      <c r="Y1076" s="6"/>
      <c r="Z1076" s="6"/>
      <c r="AX1076" s="6" t="e">
        <v>#N/A</v>
      </c>
    </row>
    <row r="1077" spans="1:50" ht="31.4" customHeight="1" x14ac:dyDescent="0.35">
      <c r="A1077" s="136"/>
      <c r="B1077" s="7"/>
      <c r="C1077" s="7"/>
      <c r="D1077" s="7"/>
      <c r="E1077" s="25"/>
      <c r="F1077" s="9" t="str">
        <f>IF($E1077="","",WORKDAY($E1077,1,$V$33:$V$41))</f>
        <v/>
      </c>
      <c r="G1077" s="9" t="str">
        <f>IF($E1077="","",WORKDAY($E1077,10,$V$33:$V$41))</f>
        <v/>
      </c>
      <c r="H1077" s="9" t="str">
        <f>IF($E1077="","",WORKDAY($E1077,20,$V$33:$V$41))</f>
        <v/>
      </c>
      <c r="I1077" s="157" t="str">
        <f t="shared" si="21"/>
        <v/>
      </c>
      <c r="J1077" s="17" t="str">
        <f ca="1">IF(E1077="","",IF(N1077="",H1077-TODAY(),""))</f>
        <v/>
      </c>
      <c r="K1077" s="157"/>
      <c r="N1077" s="16"/>
      <c r="O1077" s="16"/>
      <c r="P1077" s="10" t="str">
        <f>IF(ISBLANK(N1077),"",IF(N1077&gt;H1077,"No","Yes"))</f>
        <v/>
      </c>
      <c r="R1077" s="4"/>
      <c r="S1077" s="4"/>
      <c r="T1077" s="7"/>
      <c r="U1077" s="6"/>
      <c r="V1077" s="6"/>
      <c r="W1077" s="6"/>
      <c r="X1077" s="6"/>
      <c r="Y1077" s="6"/>
      <c r="Z1077" s="6"/>
      <c r="AX1077" s="6" t="e">
        <v>#N/A</v>
      </c>
    </row>
    <row r="1078" spans="1:50" ht="31.4" customHeight="1" x14ac:dyDescent="0.35">
      <c r="A1078" s="136"/>
      <c r="B1078" s="7"/>
      <c r="C1078" s="7"/>
      <c r="D1078" s="7"/>
      <c r="E1078" s="25"/>
      <c r="F1078" s="9" t="str">
        <f>IF($E1078="","",WORKDAY($E1078,1,$V$33:$V$41))</f>
        <v/>
      </c>
      <c r="G1078" s="9" t="str">
        <f>IF($E1078="","",WORKDAY($E1078,10,$V$33:$V$41))</f>
        <v/>
      </c>
      <c r="H1078" s="9" t="str">
        <f>IF($E1078="","",WORKDAY($E1078,20,$V$33:$V$41))</f>
        <v/>
      </c>
      <c r="I1078" s="157" t="str">
        <f t="shared" si="21"/>
        <v/>
      </c>
      <c r="J1078" s="17" t="str">
        <f ca="1">IF(E1078="","",IF(N1078="",H1078-TODAY(),""))</f>
        <v/>
      </c>
      <c r="K1078" s="157"/>
      <c r="N1078" s="16"/>
      <c r="O1078" s="16"/>
      <c r="P1078" s="10" t="str">
        <f>IF(ISBLANK(N1078),"",IF(N1078&gt;H1078,"No","Yes"))</f>
        <v/>
      </c>
      <c r="R1078" s="4"/>
      <c r="S1078" s="4"/>
      <c r="T1078" s="7"/>
      <c r="U1078" s="6"/>
      <c r="V1078" s="6"/>
      <c r="W1078" s="6"/>
      <c r="X1078" s="6"/>
      <c r="Y1078" s="6"/>
      <c r="Z1078" s="6"/>
      <c r="AX1078" s="6" t="e">
        <v>#N/A</v>
      </c>
    </row>
    <row r="1079" spans="1:50" ht="31.4" customHeight="1" x14ac:dyDescent="0.35">
      <c r="A1079" s="136"/>
      <c r="B1079" s="7"/>
      <c r="C1079" s="7"/>
      <c r="D1079" s="7"/>
      <c r="E1079" s="25"/>
      <c r="F1079" s="9" t="str">
        <f>IF($E1079="","",WORKDAY($E1079,1,$V$33:$V$41))</f>
        <v/>
      </c>
      <c r="G1079" s="9" t="str">
        <f>IF($E1079="","",WORKDAY($E1079,10,$V$33:$V$41))</f>
        <v/>
      </c>
      <c r="H1079" s="9" t="str">
        <f>IF($E1079="","",WORKDAY($E1079,20,$V$33:$V$41))</f>
        <v/>
      </c>
      <c r="I1079" s="157" t="str">
        <f t="shared" si="21"/>
        <v/>
      </c>
      <c r="J1079" s="17" t="str">
        <f ca="1">IF(E1079="","",IF(N1079="",H1079-TODAY(),""))</f>
        <v/>
      </c>
      <c r="K1079" s="157"/>
      <c r="N1079" s="16"/>
      <c r="O1079" s="16"/>
      <c r="P1079" s="10" t="str">
        <f>IF(ISBLANK(N1079),"",IF(N1079&gt;H1079,"No","Yes"))</f>
        <v/>
      </c>
      <c r="R1079" s="4"/>
      <c r="S1079" s="4"/>
      <c r="T1079" s="7"/>
      <c r="U1079" s="6"/>
      <c r="V1079" s="6"/>
      <c r="W1079" s="6"/>
      <c r="X1079" s="6"/>
      <c r="Y1079" s="6"/>
      <c r="Z1079" s="6"/>
      <c r="AX1079" s="6" t="e">
        <v>#N/A</v>
      </c>
    </row>
    <row r="1080" spans="1:50" ht="31.4" customHeight="1" x14ac:dyDescent="0.35">
      <c r="A1080" s="136"/>
      <c r="B1080" s="7"/>
      <c r="C1080" s="7"/>
      <c r="D1080" s="7"/>
      <c r="E1080" s="25"/>
      <c r="F1080" s="9" t="str">
        <f>IF($E1080="","",WORKDAY($E1080,1,$V$33:$V$41))</f>
        <v/>
      </c>
      <c r="G1080" s="9" t="str">
        <f>IF($E1080="","",WORKDAY($E1080,10,$V$33:$V$41))</f>
        <v/>
      </c>
      <c r="H1080" s="9" t="str">
        <f>IF($E1080="","",WORKDAY($E1080,20,$V$33:$V$41))</f>
        <v/>
      </c>
      <c r="I1080" s="157" t="str">
        <f t="shared" si="21"/>
        <v/>
      </c>
      <c r="J1080" s="17" t="str">
        <f ca="1">IF(E1080="","",IF(N1080="",H1080-TODAY(),""))</f>
        <v/>
      </c>
      <c r="K1080" s="157"/>
      <c r="N1080" s="16"/>
      <c r="O1080" s="16"/>
      <c r="P1080" s="10" t="str">
        <f>IF(ISBLANK(N1080),"",IF(N1080&gt;H1080,"No","Yes"))</f>
        <v/>
      </c>
      <c r="R1080" s="4"/>
      <c r="S1080" s="4"/>
      <c r="T1080" s="7"/>
      <c r="U1080" s="6"/>
      <c r="V1080" s="6"/>
      <c r="W1080" s="6"/>
      <c r="X1080" s="6"/>
      <c r="Y1080" s="6"/>
      <c r="Z1080" s="6"/>
      <c r="AX1080" s="6" t="e">
        <v>#N/A</v>
      </c>
    </row>
    <row r="1081" spans="1:50" ht="31.4" customHeight="1" x14ac:dyDescent="0.35">
      <c r="A1081" s="136"/>
      <c r="B1081" s="7"/>
      <c r="C1081" s="7"/>
      <c r="D1081" s="7"/>
      <c r="E1081" s="25"/>
      <c r="F1081" s="9" t="str">
        <f>IF($E1081="","",WORKDAY($E1081,1,$V$33:$V$41))</f>
        <v/>
      </c>
      <c r="G1081" s="9" t="str">
        <f>IF($E1081="","",WORKDAY($E1081,10,$V$33:$V$41))</f>
        <v/>
      </c>
      <c r="H1081" s="9" t="str">
        <f>IF($E1081="","",WORKDAY($E1081,20,$V$33:$V$41))</f>
        <v/>
      </c>
      <c r="I1081" s="157" t="str">
        <f t="shared" si="21"/>
        <v/>
      </c>
      <c r="J1081" s="17" t="str">
        <f ca="1">IF(E1081="","",IF(N1081="",H1081-TODAY(),""))</f>
        <v/>
      </c>
      <c r="K1081" s="157"/>
      <c r="N1081" s="16"/>
      <c r="O1081" s="16"/>
      <c r="P1081" s="10" t="str">
        <f>IF(ISBLANK(N1081),"",IF(N1081&gt;H1081,"No","Yes"))</f>
        <v/>
      </c>
      <c r="R1081" s="4"/>
      <c r="S1081" s="4"/>
      <c r="T1081" s="7"/>
      <c r="U1081" s="6"/>
      <c r="V1081" s="6"/>
      <c r="W1081" s="6"/>
      <c r="X1081" s="6"/>
      <c r="Y1081" s="6"/>
      <c r="Z1081" s="6"/>
      <c r="AX1081" s="6" t="e">
        <v>#N/A</v>
      </c>
    </row>
    <row r="1082" spans="1:50" ht="31.4" customHeight="1" x14ac:dyDescent="0.35">
      <c r="A1082" s="136"/>
      <c r="B1082" s="7"/>
      <c r="C1082" s="7"/>
      <c r="D1082" s="7"/>
      <c r="E1082" s="25"/>
      <c r="F1082" s="9" t="str">
        <f>IF($E1082="","",WORKDAY($E1082,1,$V$33:$V$41))</f>
        <v/>
      </c>
      <c r="G1082" s="9" t="str">
        <f>IF($E1082="","",WORKDAY($E1082,10,$V$33:$V$41))</f>
        <v/>
      </c>
      <c r="H1082" s="9" t="str">
        <f>IF($E1082="","",WORKDAY($E1082,20,$V$33:$V$41))</f>
        <v/>
      </c>
      <c r="I1082" s="157" t="str">
        <f t="shared" si="21"/>
        <v/>
      </c>
      <c r="J1082" s="17" t="str">
        <f ca="1">IF(E1082="","",IF(N1082="",H1082-TODAY(),""))</f>
        <v/>
      </c>
      <c r="K1082" s="157"/>
      <c r="N1082" s="16"/>
      <c r="O1082" s="16"/>
      <c r="P1082" s="10"/>
      <c r="R1082" s="4"/>
      <c r="S1082" s="4"/>
      <c r="T1082" s="7"/>
      <c r="U1082" s="6"/>
      <c r="V1082" s="6"/>
      <c r="W1082" s="6"/>
      <c r="X1082" s="6"/>
      <c r="Y1082" s="6"/>
      <c r="Z1082" s="6"/>
      <c r="AX1082" s="6" t="e">
        <v>#N/A</v>
      </c>
    </row>
    <row r="1083" spans="1:50" ht="31.4" customHeight="1" x14ac:dyDescent="0.35">
      <c r="A1083" s="136"/>
      <c r="B1083" s="7"/>
      <c r="C1083" s="7"/>
      <c r="D1083" s="7"/>
      <c r="E1083" s="25"/>
      <c r="F1083" s="9" t="str">
        <f>IF($E1083="","",WORKDAY($E1083,1,$V$33:$V$41))</f>
        <v/>
      </c>
      <c r="G1083" s="9" t="str">
        <f>IF($E1083="","",WORKDAY($E1083,10,$V$33:$V$41))</f>
        <v/>
      </c>
      <c r="H1083" s="9" t="str">
        <f>IF($E1083="","",WORKDAY($E1083,20,$V$33:$V$41))</f>
        <v/>
      </c>
      <c r="I1083" s="157" t="str">
        <f t="shared" si="21"/>
        <v/>
      </c>
      <c r="J1083" s="17" t="str">
        <f ca="1">IF(E1083="","",IF(N1083="",H1083-TODAY(),""))</f>
        <v/>
      </c>
      <c r="K1083" s="157"/>
      <c r="N1083" s="16"/>
      <c r="O1083" s="16"/>
      <c r="P1083" s="10" t="str">
        <f>IF(ISBLANK(N1083),"",IF(N1083&gt;H1083,"No","Yes"))</f>
        <v/>
      </c>
      <c r="R1083" s="4"/>
      <c r="S1083" s="4"/>
      <c r="T1083" s="7"/>
      <c r="U1083" s="6"/>
      <c r="V1083" s="6"/>
      <c r="W1083" s="6"/>
      <c r="X1083" s="6"/>
      <c r="Y1083" s="6"/>
      <c r="Z1083" s="6"/>
      <c r="AX1083" s="6" t="e">
        <v>#N/A</v>
      </c>
    </row>
    <row r="1084" spans="1:50" ht="31.4" customHeight="1" x14ac:dyDescent="0.35">
      <c r="A1084" s="136"/>
      <c r="B1084" s="7"/>
      <c r="C1084" s="7"/>
      <c r="D1084" s="7"/>
      <c r="E1084" s="25"/>
      <c r="F1084" s="9" t="str">
        <f>IF($E1084="","",WORKDAY($E1084,1,$V$33:$V$41))</f>
        <v/>
      </c>
      <c r="G1084" s="9" t="str">
        <f>IF($E1084="","",WORKDAY($E1084,10,$V$33:$V$41))</f>
        <v/>
      </c>
      <c r="H1084" s="9" t="str">
        <f>IF($E1084="","",WORKDAY($E1084,20,$V$33:$V$41))</f>
        <v/>
      </c>
      <c r="I1084" s="157" t="str">
        <f t="shared" si="21"/>
        <v/>
      </c>
      <c r="J1084" s="17" t="str">
        <f ca="1">IF(E1084="","",IF(N1084="",H1084-TODAY(),""))</f>
        <v/>
      </c>
      <c r="K1084" s="157"/>
      <c r="N1084" s="16"/>
      <c r="O1084" s="16"/>
      <c r="P1084" s="10" t="str">
        <f>IF(ISBLANK(N1084),"",IF(N1084&gt;H1084,"No","Yes"))</f>
        <v/>
      </c>
      <c r="R1084" s="4"/>
      <c r="S1084" s="4"/>
      <c r="T1084" s="7"/>
      <c r="U1084" s="6"/>
      <c r="V1084" s="6"/>
      <c r="W1084" s="6"/>
      <c r="X1084" s="6"/>
      <c r="Y1084" s="6"/>
      <c r="Z1084" s="6"/>
      <c r="AX1084" s="6" t="e">
        <v>#N/A</v>
      </c>
    </row>
    <row r="1085" spans="1:50" ht="31.4" customHeight="1" x14ac:dyDescent="0.35">
      <c r="A1085" s="136"/>
      <c r="B1085" s="7"/>
      <c r="C1085" s="7"/>
      <c r="D1085" s="7"/>
      <c r="E1085" s="25"/>
      <c r="F1085" s="9" t="str">
        <f>IF($E1085="","",WORKDAY($E1085,1,$V$33:$V$41))</f>
        <v/>
      </c>
      <c r="G1085" s="9" t="str">
        <f>IF($E1085="","",WORKDAY($E1085,10,$V$33:$V$41))</f>
        <v/>
      </c>
      <c r="H1085" s="9" t="str">
        <f>IF($E1085="","",WORKDAY($E1085,20,$V$33:$V$41))</f>
        <v/>
      </c>
      <c r="I1085" s="157" t="str">
        <f t="shared" si="21"/>
        <v/>
      </c>
      <c r="J1085" s="17" t="str">
        <f ca="1">IF(E1085="","",IF(N1085="",H1085-TODAY(),""))</f>
        <v/>
      </c>
      <c r="K1085" s="157"/>
      <c r="N1085" s="16"/>
      <c r="O1085" s="16"/>
      <c r="P1085" s="10" t="str">
        <f>IF(ISBLANK(N1085),"",IF(N1085&gt;H1085,"No","Yes"))</f>
        <v/>
      </c>
      <c r="R1085" s="4"/>
      <c r="S1085" s="4"/>
      <c r="T1085" s="7"/>
      <c r="U1085" s="6"/>
      <c r="V1085" s="6"/>
      <c r="W1085" s="6"/>
      <c r="X1085" s="6"/>
      <c r="Y1085" s="6"/>
      <c r="Z1085" s="6"/>
      <c r="AX1085" s="6" t="e">
        <v>#N/A</v>
      </c>
    </row>
    <row r="1086" spans="1:50" ht="31.4" customHeight="1" x14ac:dyDescent="0.35">
      <c r="A1086" s="136"/>
      <c r="B1086" s="7"/>
      <c r="C1086" s="7"/>
      <c r="D1086" s="7"/>
      <c r="E1086" s="25"/>
      <c r="F1086" s="9" t="str">
        <f>IF($E1086="","",WORKDAY($E1086,1,$V$33:$V$41))</f>
        <v/>
      </c>
      <c r="G1086" s="9" t="str">
        <f>IF($E1086="","",WORKDAY($E1086,10,$V$33:$V$41))</f>
        <v/>
      </c>
      <c r="H1086" s="9" t="str">
        <f>IF($E1086="","",WORKDAY($E1086,20,$V$33:$V$41))</f>
        <v/>
      </c>
      <c r="I1086" s="157" t="str">
        <f t="shared" si="21"/>
        <v/>
      </c>
      <c r="J1086" s="17" t="str">
        <f ca="1">IF(E1086="","",IF(N1086="",H1086-TODAY(),""))</f>
        <v/>
      </c>
      <c r="K1086" s="157"/>
      <c r="N1086" s="16"/>
      <c r="O1086" s="16"/>
      <c r="P1086" s="10" t="str">
        <f>IF(ISBLANK(N1086),"",IF(N1086&gt;H1086,"No","Yes"))</f>
        <v/>
      </c>
      <c r="R1086" s="4"/>
      <c r="S1086" s="4"/>
      <c r="T1086" s="7"/>
      <c r="U1086" s="6"/>
      <c r="V1086" s="6"/>
      <c r="W1086" s="6"/>
      <c r="X1086" s="6"/>
      <c r="Y1086" s="6"/>
      <c r="Z1086" s="6"/>
      <c r="AX1086" s="6" t="e">
        <v>#N/A</v>
      </c>
    </row>
    <row r="1087" spans="1:50" ht="31.4" customHeight="1" x14ac:dyDescent="0.35">
      <c r="A1087" s="136"/>
      <c r="B1087" s="7"/>
      <c r="C1087" s="7"/>
      <c r="D1087" s="7"/>
      <c r="E1087" s="25"/>
      <c r="F1087" s="9" t="str">
        <f>IF($E1087="","",WORKDAY($E1087,1,$V$33:$V$41))</f>
        <v/>
      </c>
      <c r="G1087" s="9" t="str">
        <f>IF($E1087="","",WORKDAY($E1087,10,$V$33:$V$41))</f>
        <v/>
      </c>
      <c r="H1087" s="9" t="str">
        <f>IF($E1087="","",WORKDAY($E1087,20,$V$33:$V$41))</f>
        <v/>
      </c>
      <c r="I1087" s="157" t="str">
        <f t="shared" si="21"/>
        <v/>
      </c>
      <c r="J1087" s="17" t="str">
        <f ca="1">IF(E1087="","",IF(N1087="",H1087-TODAY(),""))</f>
        <v/>
      </c>
      <c r="K1087" s="157"/>
      <c r="N1087" s="16"/>
      <c r="O1087" s="16"/>
      <c r="P1087" s="10" t="str">
        <f>IF(ISBLANK(N1087),"",IF(N1087&gt;H1087,"No","Yes"))</f>
        <v/>
      </c>
      <c r="R1087" s="4"/>
      <c r="S1087" s="4"/>
      <c r="T1087" s="7"/>
      <c r="U1087" s="6"/>
      <c r="V1087" s="6"/>
      <c r="W1087" s="6"/>
      <c r="X1087" s="6"/>
      <c r="Y1087" s="6"/>
      <c r="Z1087" s="6"/>
      <c r="AX1087" s="6" t="e">
        <v>#N/A</v>
      </c>
    </row>
    <row r="1088" spans="1:50" ht="31.4" customHeight="1" x14ac:dyDescent="0.35">
      <c r="A1088" s="136"/>
      <c r="B1088" s="7"/>
      <c r="C1088" s="7"/>
      <c r="D1088" s="7"/>
      <c r="E1088" s="25"/>
      <c r="F1088" s="9" t="str">
        <f>IF($E1088="","",WORKDAY($E1088,1,$V$33:$V$41))</f>
        <v/>
      </c>
      <c r="G1088" s="9" t="str">
        <f>IF($E1088="","",WORKDAY($E1088,10,$V$33:$V$41))</f>
        <v/>
      </c>
      <c r="H1088" s="9" t="str">
        <f>IF($E1088="","",WORKDAY($E1088,20,$V$33:$V$41))</f>
        <v/>
      </c>
      <c r="I1088" s="157" t="str">
        <f t="shared" si="21"/>
        <v/>
      </c>
      <c r="J1088" s="17" t="str">
        <f ca="1">IF(E1088="","",IF(N1088="",H1088-TODAY(),""))</f>
        <v/>
      </c>
      <c r="K1088" s="157"/>
      <c r="N1088" s="16"/>
      <c r="O1088" s="16"/>
      <c r="P1088" s="10" t="str">
        <f>IF(ISBLANK(N1088),"",IF(N1088&gt;H1088,"No","Yes"))</f>
        <v/>
      </c>
      <c r="R1088" s="4"/>
      <c r="S1088" s="4"/>
      <c r="T1088" s="7"/>
      <c r="U1088" s="6"/>
      <c r="V1088" s="6"/>
      <c r="W1088" s="6"/>
      <c r="X1088" s="6"/>
      <c r="Y1088" s="6"/>
      <c r="Z1088" s="6"/>
      <c r="AX1088" s="6" t="e">
        <v>#N/A</v>
      </c>
    </row>
    <row r="1089" spans="1:50" ht="31.4" customHeight="1" x14ac:dyDescent="0.35">
      <c r="A1089" s="136"/>
      <c r="B1089" s="7"/>
      <c r="C1089" s="7"/>
      <c r="D1089" s="7"/>
      <c r="E1089" s="25"/>
      <c r="F1089" s="9" t="str">
        <f>IF($E1089="","",WORKDAY($E1089,1,$V$33:$V$41))</f>
        <v/>
      </c>
      <c r="G1089" s="9" t="str">
        <f>IF($E1089="","",WORKDAY($E1089,10,$V$33:$V$41))</f>
        <v/>
      </c>
      <c r="H1089" s="9" t="str">
        <f>IF($E1089="","",WORKDAY($E1089,20,$V$33:$V$41))</f>
        <v/>
      </c>
      <c r="I1089" s="157" t="str">
        <f t="shared" si="21"/>
        <v/>
      </c>
      <c r="J1089" s="17" t="str">
        <f ca="1">IF(E1089="","",IF(N1089="",H1089-TODAY(),""))</f>
        <v/>
      </c>
      <c r="K1089" s="157"/>
      <c r="N1089" s="16"/>
      <c r="O1089" s="16"/>
      <c r="P1089" s="10" t="str">
        <f>IF(ISBLANK(N1089),"",IF(N1089&gt;H1089,"No","Yes"))</f>
        <v/>
      </c>
      <c r="R1089" s="4"/>
      <c r="S1089" s="4"/>
      <c r="T1089" s="7"/>
      <c r="U1089" s="6"/>
      <c r="V1089" s="6"/>
      <c r="W1089" s="6"/>
      <c r="X1089" s="6"/>
      <c r="Y1089" s="6"/>
      <c r="Z1089" s="6"/>
      <c r="AX1089" s="6" t="e">
        <v>#N/A</v>
      </c>
    </row>
    <row r="1090" spans="1:50" ht="31.4" customHeight="1" x14ac:dyDescent="0.35">
      <c r="A1090" s="136"/>
      <c r="B1090" s="7"/>
      <c r="C1090" s="7"/>
      <c r="D1090" s="7"/>
      <c r="E1090" s="25"/>
      <c r="F1090" s="9" t="str">
        <f>IF($E1090="","",WORKDAY($E1090,1,$V$33:$V$41))</f>
        <v/>
      </c>
      <c r="G1090" s="9" t="str">
        <f>IF($E1090="","",WORKDAY($E1090,10,$V$33:$V$41))</f>
        <v/>
      </c>
      <c r="H1090" s="9" t="str">
        <f>IF($E1090="","",WORKDAY($E1090,20,$V$33:$V$41))</f>
        <v/>
      </c>
      <c r="I1090" s="157" t="str">
        <f t="shared" si="21"/>
        <v/>
      </c>
      <c r="J1090" s="17" t="str">
        <f ca="1">IF(E1090="","",IF(N1090="",H1090-TODAY(),""))</f>
        <v/>
      </c>
      <c r="K1090" s="157"/>
      <c r="N1090" s="16"/>
      <c r="O1090" s="16"/>
      <c r="P1090" s="10" t="str">
        <f>IF(ISBLANK(N1090),"",IF(N1090&gt;H1090,"No","Yes"))</f>
        <v/>
      </c>
      <c r="R1090" s="4"/>
      <c r="S1090" s="4"/>
      <c r="T1090" s="7"/>
      <c r="U1090" s="6"/>
      <c r="V1090" s="6"/>
      <c r="W1090" s="6"/>
      <c r="X1090" s="6"/>
      <c r="Y1090" s="6"/>
      <c r="Z1090" s="6"/>
      <c r="AX1090" s="6" t="e">
        <v>#N/A</v>
      </c>
    </row>
    <row r="1091" spans="1:50" ht="31.4" customHeight="1" x14ac:dyDescent="0.35">
      <c r="A1091" s="136"/>
      <c r="B1091" s="7"/>
      <c r="C1091" s="7"/>
      <c r="D1091" s="7"/>
      <c r="E1091" s="25"/>
      <c r="F1091" s="9" t="str">
        <f>IF($E1091="","",WORKDAY($E1091,1,$V$33:$V$41))</f>
        <v/>
      </c>
      <c r="G1091" s="9" t="str">
        <f>IF($E1091="","",WORKDAY($E1091,10,$V$33:$V$41))</f>
        <v/>
      </c>
      <c r="H1091" s="9" t="str">
        <f>IF($E1091="","",WORKDAY($E1091,20,$V$33:$V$41))</f>
        <v/>
      </c>
      <c r="I1091" s="157" t="str">
        <f t="shared" si="21"/>
        <v/>
      </c>
      <c r="J1091" s="17" t="str">
        <f ca="1">IF(E1091="","",IF(N1091="",H1091-TODAY(),""))</f>
        <v/>
      </c>
      <c r="K1091" s="157"/>
      <c r="N1091" s="16"/>
      <c r="O1091" s="16"/>
      <c r="P1091" s="10" t="str">
        <f>IF(ISBLANK(N1091),"",IF(N1091&gt;H1091,"No","Yes"))</f>
        <v/>
      </c>
      <c r="R1091" s="4"/>
      <c r="S1091" s="4"/>
      <c r="T1091" s="7"/>
      <c r="U1091" s="6"/>
      <c r="V1091" s="6"/>
      <c r="W1091" s="6"/>
      <c r="X1091" s="6"/>
      <c r="Y1091" s="6"/>
      <c r="Z1091" s="6"/>
      <c r="AX1091" s="6" t="e">
        <v>#N/A</v>
      </c>
    </row>
    <row r="1092" spans="1:50" ht="31.4" customHeight="1" x14ac:dyDescent="0.35">
      <c r="A1092" s="136"/>
      <c r="B1092" s="7"/>
      <c r="C1092" s="7"/>
      <c r="D1092" s="7"/>
      <c r="E1092" s="25"/>
      <c r="F1092" s="9" t="str">
        <f>IF($E1092="","",WORKDAY($E1092,1,$V$33:$V$41))</f>
        <v/>
      </c>
      <c r="G1092" s="9" t="str">
        <f>IF($E1092="","",WORKDAY($E1092,10,$V$33:$V$41))</f>
        <v/>
      </c>
      <c r="H1092" s="9" t="str">
        <f>IF($E1092="","",WORKDAY($E1092,20,$V$33:$V$41))</f>
        <v/>
      </c>
      <c r="I1092" s="157" t="str">
        <f t="shared" si="21"/>
        <v/>
      </c>
      <c r="J1092" s="17" t="str">
        <f ca="1">IF(E1092="","",IF(N1092="",H1092-TODAY(),""))</f>
        <v/>
      </c>
      <c r="K1092" s="157"/>
      <c r="N1092" s="16"/>
      <c r="O1092" s="16"/>
      <c r="P1092" s="10" t="str">
        <f>IF(ISBLANK(N1092),"",IF(N1092&gt;H1092,"No","Yes"))</f>
        <v/>
      </c>
      <c r="R1092" s="4"/>
      <c r="S1092" s="4"/>
      <c r="T1092" s="7"/>
      <c r="U1092" s="6"/>
      <c r="V1092" s="6"/>
      <c r="W1092" s="6"/>
      <c r="X1092" s="6"/>
      <c r="Y1092" s="6"/>
      <c r="Z1092" s="6"/>
      <c r="AX1092" s="6" t="e">
        <v>#N/A</v>
      </c>
    </row>
    <row r="1093" spans="1:50" ht="31.4" customHeight="1" x14ac:dyDescent="0.35">
      <c r="A1093" s="136"/>
      <c r="B1093" s="7"/>
      <c r="C1093" s="7"/>
      <c r="D1093" s="7"/>
      <c r="E1093" s="25"/>
      <c r="F1093" s="9" t="str">
        <f>IF($E1093="","",WORKDAY($E1093,1,$V$33:$V$41))</f>
        <v/>
      </c>
      <c r="G1093" s="9" t="str">
        <f>IF($E1093="","",WORKDAY($E1093,10,$V$33:$V$41))</f>
        <v/>
      </c>
      <c r="H1093" s="9" t="str">
        <f>IF($E1093="","",WORKDAY($E1093,20,$V$33:$V$41))</f>
        <v/>
      </c>
      <c r="I1093" s="157" t="str">
        <f t="shared" si="21"/>
        <v/>
      </c>
      <c r="J1093" s="17" t="str">
        <f ca="1">IF(E1093="","",IF(N1093="",H1093-TODAY(),""))</f>
        <v/>
      </c>
      <c r="K1093" s="157"/>
      <c r="N1093" s="16"/>
      <c r="O1093" s="16"/>
      <c r="P1093" s="10" t="str">
        <f>IF(ISBLANK(N1093),"",IF(N1093&gt;H1093,"No","Yes"))</f>
        <v/>
      </c>
      <c r="R1093" s="4"/>
      <c r="S1093" s="4"/>
      <c r="T1093" s="7"/>
      <c r="U1093" s="6"/>
      <c r="V1093" s="6"/>
      <c r="W1093" s="6"/>
      <c r="X1093" s="6"/>
      <c r="Y1093" s="6"/>
      <c r="Z1093" s="6"/>
      <c r="AX1093" s="6" t="e">
        <v>#N/A</v>
      </c>
    </row>
    <row r="1094" spans="1:50" ht="31.4" customHeight="1" x14ac:dyDescent="0.35">
      <c r="A1094" s="136"/>
      <c r="B1094" s="7"/>
      <c r="C1094" s="7"/>
      <c r="D1094" s="10"/>
      <c r="E1094" s="25"/>
      <c r="F1094" s="9" t="str">
        <f>IF($E1094="","",WORKDAY($E1094,1,$V$33:$V$41))</f>
        <v/>
      </c>
      <c r="G1094" s="9" t="str">
        <f>IF($E1094="","",WORKDAY($E1094,10,$V$33:$V$41))</f>
        <v/>
      </c>
      <c r="H1094" s="9" t="str">
        <f>IF($E1094="","",WORKDAY($E1094,20,$V$33:$V$41))</f>
        <v/>
      </c>
      <c r="I1094" s="157" t="str">
        <f t="shared" si="21"/>
        <v/>
      </c>
      <c r="J1094" s="17" t="str">
        <f ca="1">IF(E1094="","",IF(N1094="",H1094-TODAY(),""))</f>
        <v/>
      </c>
      <c r="K1094" s="157"/>
      <c r="N1094" s="16"/>
      <c r="O1094" s="16"/>
      <c r="P1094" s="10" t="str">
        <f>IF(ISBLANK(N1094),"",IF(N1094&gt;H1094,"No","Yes"))</f>
        <v/>
      </c>
      <c r="R1094" s="4"/>
      <c r="S1094" s="4"/>
      <c r="T1094" s="7"/>
      <c r="U1094" s="6"/>
      <c r="V1094" s="6"/>
      <c r="W1094" s="6"/>
      <c r="X1094" s="6"/>
      <c r="Y1094" s="6"/>
      <c r="Z1094" s="6"/>
      <c r="AX1094" s="6" t="e">
        <v>#N/A</v>
      </c>
    </row>
    <row r="1095" spans="1:50" ht="31.4" customHeight="1" x14ac:dyDescent="0.35">
      <c r="A1095" s="136"/>
      <c r="B1095" s="7"/>
      <c r="C1095" s="7"/>
      <c r="D1095" s="7"/>
      <c r="E1095" s="25"/>
      <c r="F1095" s="9" t="str">
        <f>IF($E1095="","",WORKDAY($E1095,1,$V$33:$V$41))</f>
        <v/>
      </c>
      <c r="G1095" s="9" t="str">
        <f>IF($E1095="","",WORKDAY($E1095,10,$V$33:$V$41))</f>
        <v/>
      </c>
      <c r="H1095" s="9" t="str">
        <f>IF($E1095="","",WORKDAY($E1095,20,$V$33:$V$41))</f>
        <v/>
      </c>
      <c r="I1095" s="157" t="str">
        <f t="shared" si="21"/>
        <v/>
      </c>
      <c r="J1095" s="17" t="str">
        <f ca="1">IF(E1095="","",IF(N1095="",H1095-TODAY(),""))</f>
        <v/>
      </c>
      <c r="K1095" s="157"/>
      <c r="N1095" s="16"/>
      <c r="O1095" s="16"/>
      <c r="P1095" s="10" t="str">
        <f>IF(ISBLANK(N1095),"",IF(N1095&gt;H1095,"No","Yes"))</f>
        <v/>
      </c>
      <c r="R1095" s="4"/>
      <c r="S1095" s="4"/>
      <c r="T1095" s="7"/>
      <c r="U1095" s="6"/>
      <c r="V1095" s="6"/>
      <c r="W1095" s="6"/>
      <c r="X1095" s="6"/>
      <c r="Y1095" s="6"/>
      <c r="Z1095" s="6"/>
      <c r="AX1095" s="6" t="e">
        <v>#N/A</v>
      </c>
    </row>
    <row r="1096" spans="1:50" ht="31.4" customHeight="1" x14ac:dyDescent="0.35">
      <c r="A1096" s="136"/>
      <c r="B1096" s="7"/>
      <c r="C1096" s="7"/>
      <c r="D1096" s="7"/>
      <c r="E1096" s="25"/>
      <c r="F1096" s="9" t="str">
        <f>IF($E1096="","",WORKDAY($E1096,1,$V$33:$V$41))</f>
        <v/>
      </c>
      <c r="G1096" s="9" t="str">
        <f>IF($E1096="","",WORKDAY($E1096,10,$V$33:$V$41))</f>
        <v/>
      </c>
      <c r="H1096" s="9" t="str">
        <f>IF($E1096="","",WORKDAY($E1096,20,$V$33:$V$41))</f>
        <v/>
      </c>
      <c r="I1096" s="157" t="str">
        <f t="shared" si="21"/>
        <v/>
      </c>
      <c r="J1096" s="17" t="str">
        <f ca="1">IF(E1096="","",IF(N1096="",H1096-TODAY(),""))</f>
        <v/>
      </c>
      <c r="K1096" s="157"/>
      <c r="N1096" s="16"/>
      <c r="O1096" s="16"/>
      <c r="P1096" s="10" t="str">
        <f>IF(ISBLANK(N1096),"",IF(N1096&gt;H1096,"No","Yes"))</f>
        <v/>
      </c>
      <c r="R1096" s="4"/>
      <c r="S1096" s="4"/>
      <c r="T1096" s="7"/>
      <c r="U1096" s="6"/>
      <c r="V1096" s="6"/>
      <c r="W1096" s="6"/>
      <c r="X1096" s="6"/>
      <c r="Y1096" s="6"/>
      <c r="Z1096" s="6"/>
      <c r="AX1096" s="6" t="e">
        <v>#N/A</v>
      </c>
    </row>
    <row r="1097" spans="1:50" ht="31.4" customHeight="1" x14ac:dyDescent="0.35">
      <c r="A1097" s="136"/>
      <c r="B1097" s="7"/>
      <c r="C1097" s="7"/>
      <c r="D1097" s="7"/>
      <c r="E1097" s="25"/>
      <c r="F1097" s="9" t="str">
        <f>IF($E1097="","",WORKDAY($E1097,1,$V$33:$V$41))</f>
        <v/>
      </c>
      <c r="G1097" s="9" t="str">
        <f>IF($E1097="","",WORKDAY($E1097,10,$V$33:$V$41))</f>
        <v/>
      </c>
      <c r="H1097" s="9" t="str">
        <f>IF($E1097="","",WORKDAY($E1097,20,$V$33:$V$41))</f>
        <v/>
      </c>
      <c r="I1097" s="157" t="str">
        <f t="shared" si="21"/>
        <v/>
      </c>
      <c r="J1097" s="17" t="str">
        <f ca="1">IF(E1097="","",IF(N1097="",H1097-TODAY(),""))</f>
        <v/>
      </c>
      <c r="K1097" s="157"/>
      <c r="N1097" s="16"/>
      <c r="O1097" s="16"/>
      <c r="P1097" s="10" t="str">
        <f>IF(ISBLANK(N1097),"",IF(N1097&gt;H1097,"No","Yes"))</f>
        <v/>
      </c>
      <c r="R1097" s="4"/>
      <c r="S1097" s="4"/>
      <c r="T1097" s="7"/>
      <c r="U1097" s="6"/>
      <c r="V1097" s="6"/>
      <c r="W1097" s="6"/>
      <c r="X1097" s="6"/>
      <c r="Y1097" s="6"/>
      <c r="Z1097" s="6"/>
      <c r="AX1097" s="6" t="e">
        <v>#N/A</v>
      </c>
    </row>
    <row r="1098" spans="1:50" ht="31.4" customHeight="1" x14ac:dyDescent="0.35">
      <c r="A1098" s="136"/>
      <c r="B1098" s="7"/>
      <c r="C1098" s="7"/>
      <c r="D1098" s="7"/>
      <c r="E1098" s="25"/>
      <c r="F1098" s="9" t="str">
        <f>IF($E1098="","",WORKDAY($E1098,1,$V$33:$V$41))</f>
        <v/>
      </c>
      <c r="G1098" s="9" t="str">
        <f>IF($E1098="","",WORKDAY($E1098,10,$V$33:$V$41))</f>
        <v/>
      </c>
      <c r="H1098" s="9" t="str">
        <f>IF($E1098="","",WORKDAY($E1098,20,$V$33:$V$41))</f>
        <v/>
      </c>
      <c r="I1098" s="157" t="str">
        <f t="shared" si="21"/>
        <v/>
      </c>
      <c r="J1098" s="17" t="str">
        <f ca="1">IF(E1098="","",IF(N1098="",H1098-TODAY(),""))</f>
        <v/>
      </c>
      <c r="K1098" s="157"/>
      <c r="N1098" s="16"/>
      <c r="O1098" s="16"/>
      <c r="P1098" s="10" t="str">
        <f>IF(ISBLANK(N1098),"",IF(N1098&gt;H1098,"No","Yes"))</f>
        <v/>
      </c>
      <c r="R1098" s="4"/>
      <c r="S1098" s="4"/>
      <c r="T1098" s="7"/>
      <c r="U1098" s="6"/>
      <c r="V1098" s="6"/>
      <c r="W1098" s="6"/>
      <c r="X1098" s="6"/>
      <c r="Y1098" s="6"/>
      <c r="Z1098" s="6"/>
      <c r="AX1098" s="6" t="e">
        <v>#N/A</v>
      </c>
    </row>
    <row r="1099" spans="1:50" ht="31.4" customHeight="1" x14ac:dyDescent="0.35">
      <c r="A1099" s="136"/>
      <c r="B1099" s="7"/>
      <c r="C1099" s="7"/>
      <c r="D1099" s="7"/>
      <c r="E1099" s="25"/>
      <c r="F1099" s="9" t="str">
        <f>IF($E1099="","",WORKDAY($E1099,1,$V$33:$V$41))</f>
        <v/>
      </c>
      <c r="G1099" s="9" t="str">
        <f>IF($E1099="","",WORKDAY($E1099,10,$V$33:$V$41))</f>
        <v/>
      </c>
      <c r="H1099" s="9" t="str">
        <f>IF($E1099="","",WORKDAY($E1099,20,$V$33:$V$41))</f>
        <v/>
      </c>
      <c r="I1099" s="157" t="str">
        <f t="shared" si="21"/>
        <v/>
      </c>
      <c r="J1099" s="17" t="str">
        <f ca="1">IF(E1099="","",IF(N1099="",H1099-TODAY(),""))</f>
        <v/>
      </c>
      <c r="K1099" s="157"/>
      <c r="N1099" s="16"/>
      <c r="O1099" s="16"/>
      <c r="P1099" s="10" t="str">
        <f>IF(ISBLANK(N1099),"",IF(N1099&gt;H1099,"No","Yes"))</f>
        <v/>
      </c>
      <c r="R1099" s="4"/>
      <c r="S1099" s="4"/>
      <c r="T1099" s="7"/>
      <c r="U1099" s="6"/>
      <c r="V1099" s="6"/>
      <c r="W1099" s="6"/>
      <c r="X1099" s="6"/>
      <c r="Y1099" s="6"/>
      <c r="Z1099" s="6"/>
      <c r="AX1099" s="6" t="e">
        <v>#N/A</v>
      </c>
    </row>
    <row r="1100" spans="1:50" ht="31.4" customHeight="1" x14ac:dyDescent="0.35">
      <c r="A1100" s="136"/>
      <c r="B1100" s="7"/>
      <c r="C1100" s="7"/>
      <c r="D1100" s="7"/>
      <c r="E1100" s="25"/>
      <c r="F1100" s="9" t="str">
        <f>IF($E1100="","",WORKDAY($E1100,1,$V$33:$V$41))</f>
        <v/>
      </c>
      <c r="G1100" s="9" t="str">
        <f>IF($E1100="","",WORKDAY($E1100,10,$V$33:$V$41))</f>
        <v/>
      </c>
      <c r="H1100" s="9" t="str">
        <f>IF($E1100="","",WORKDAY($E1100,20,$V$33:$V$41))</f>
        <v/>
      </c>
      <c r="I1100" s="157" t="str">
        <f t="shared" si="21"/>
        <v/>
      </c>
      <c r="J1100" s="17" t="str">
        <f ca="1">IF(E1100="","",IF(N1100="",H1100-TODAY(),""))</f>
        <v/>
      </c>
      <c r="K1100" s="157"/>
      <c r="N1100" s="16"/>
      <c r="O1100" s="16"/>
      <c r="P1100" s="10" t="str">
        <f>IF(ISBLANK(N1100),"",IF(N1100&gt;H1100,"No","Yes"))</f>
        <v/>
      </c>
      <c r="R1100" s="4"/>
      <c r="S1100" s="4"/>
      <c r="T1100" s="7"/>
      <c r="U1100" s="6"/>
      <c r="V1100" s="6"/>
      <c r="W1100" s="6"/>
      <c r="X1100" s="6"/>
      <c r="Y1100" s="6"/>
      <c r="Z1100" s="6"/>
      <c r="AX1100" s="6" t="e">
        <v>#N/A</v>
      </c>
    </row>
    <row r="1101" spans="1:50" ht="31.4" customHeight="1" x14ac:dyDescent="0.35">
      <c r="A1101" s="136"/>
      <c r="B1101" s="7"/>
      <c r="C1101" s="7"/>
      <c r="D1101" s="7"/>
      <c r="E1101" s="25"/>
      <c r="F1101" s="9" t="str">
        <f>IF($E1101="","",WORKDAY($E1101,1,$V$33:$V$41))</f>
        <v/>
      </c>
      <c r="G1101" s="9" t="str">
        <f>IF($E1101="","",WORKDAY($E1101,10,$V$33:$V$41))</f>
        <v/>
      </c>
      <c r="H1101" s="9" t="str">
        <f>IF($E1101="","",WORKDAY($E1101,20,$V$33:$V$41))</f>
        <v/>
      </c>
      <c r="I1101" s="157" t="str">
        <f t="shared" si="21"/>
        <v/>
      </c>
      <c r="J1101" s="17" t="str">
        <f ca="1">IF(E1101="","",IF(N1101="",H1101-TODAY(),""))</f>
        <v/>
      </c>
      <c r="K1101" s="157"/>
      <c r="N1101" s="16"/>
      <c r="O1101" s="16"/>
      <c r="P1101" s="10" t="str">
        <f>IF(ISBLANK(N1101),"",IF(N1101&gt;H1101,"No","Yes"))</f>
        <v/>
      </c>
      <c r="R1101" s="4"/>
      <c r="S1101" s="4"/>
      <c r="T1101" s="7"/>
      <c r="U1101" s="6"/>
      <c r="V1101" s="6"/>
      <c r="W1101" s="6"/>
      <c r="X1101" s="6"/>
      <c r="Y1101" s="6"/>
      <c r="Z1101" s="6"/>
      <c r="AX1101" s="6" t="e">
        <v>#N/A</v>
      </c>
    </row>
    <row r="1102" spans="1:50" ht="31.4" customHeight="1" x14ac:dyDescent="0.35">
      <c r="A1102" s="136"/>
      <c r="B1102" s="7"/>
      <c r="C1102" s="7"/>
      <c r="D1102" s="7"/>
      <c r="E1102" s="25"/>
      <c r="F1102" s="9" t="str">
        <f>IF($E1102="","",WORKDAY($E1102,1,$V$33:$V$41))</f>
        <v/>
      </c>
      <c r="G1102" s="9" t="str">
        <f>IF($E1102="","",WORKDAY($E1102,10,$V$33:$V$41))</f>
        <v/>
      </c>
      <c r="H1102" s="9" t="str">
        <f>IF($E1102="","",WORKDAY($E1102,20,$V$33:$V$41))</f>
        <v/>
      </c>
      <c r="I1102" s="157" t="str">
        <f t="shared" si="21"/>
        <v/>
      </c>
      <c r="J1102" s="17" t="str">
        <f ca="1">IF(E1102="","",IF(N1102="",H1102-TODAY(),""))</f>
        <v/>
      </c>
      <c r="K1102" s="157"/>
      <c r="N1102" s="16"/>
      <c r="O1102" s="16"/>
      <c r="P1102" s="10" t="str">
        <f>IF(ISBLANK(N1102),"",IF(N1102&gt;H1102,"No","Yes"))</f>
        <v/>
      </c>
      <c r="R1102" s="4"/>
      <c r="S1102" s="4"/>
      <c r="T1102" s="7"/>
      <c r="U1102" s="6"/>
      <c r="V1102" s="6"/>
      <c r="W1102" s="6"/>
      <c r="X1102" s="6"/>
      <c r="Y1102" s="6"/>
      <c r="Z1102" s="6"/>
      <c r="AX1102" s="6" t="e">
        <v>#N/A</v>
      </c>
    </row>
    <row r="1103" spans="1:50" ht="31.4" customHeight="1" x14ac:dyDescent="0.35">
      <c r="A1103" s="136"/>
      <c r="B1103" s="7"/>
      <c r="C1103" s="7"/>
      <c r="D1103" s="7"/>
      <c r="E1103" s="25"/>
      <c r="F1103" s="9" t="str">
        <f>IF($E1103="","",WORKDAY($E1103,1,$V$33:$V$41))</f>
        <v/>
      </c>
      <c r="G1103" s="9" t="str">
        <f>IF($E1103="","",WORKDAY($E1103,10,$V$33:$V$41))</f>
        <v/>
      </c>
      <c r="H1103" s="9" t="str">
        <f>IF($E1103="","",WORKDAY($E1103,20,$V$33:$V$41))</f>
        <v/>
      </c>
      <c r="I1103" s="157" t="str">
        <f t="shared" si="21"/>
        <v/>
      </c>
      <c r="J1103" s="17" t="str">
        <f ca="1">IF(E1103="","",IF(N1103="",H1103-TODAY(),""))</f>
        <v/>
      </c>
      <c r="K1103" s="157"/>
      <c r="N1103" s="16"/>
      <c r="O1103" s="16"/>
      <c r="P1103" s="10" t="str">
        <f>IF(ISBLANK(N1103),"",IF(N1103&gt;H1103,"No","Yes"))</f>
        <v/>
      </c>
      <c r="R1103" s="4"/>
      <c r="S1103" s="4"/>
      <c r="T1103" s="7"/>
      <c r="U1103" s="6"/>
      <c r="V1103" s="6"/>
      <c r="W1103" s="6"/>
      <c r="X1103" s="6"/>
      <c r="Y1103" s="6"/>
      <c r="Z1103" s="6"/>
      <c r="AX1103" s="6" t="e">
        <v>#N/A</v>
      </c>
    </row>
    <row r="1104" spans="1:50" ht="31.4" customHeight="1" x14ac:dyDescent="0.35">
      <c r="A1104" s="136"/>
      <c r="B1104" s="7"/>
      <c r="C1104" s="7"/>
      <c r="D1104" s="7"/>
      <c r="E1104" s="25"/>
      <c r="F1104" s="9" t="str">
        <f>IF($E1104="","",WORKDAY($E1104,1,$V$33:$V$41))</f>
        <v/>
      </c>
      <c r="G1104" s="9" t="str">
        <f>IF($E1104="","",WORKDAY($E1104,10,$V$33:$V$41))</f>
        <v/>
      </c>
      <c r="H1104" s="9" t="str">
        <f>IF($E1104="","",WORKDAY($E1104,20,$V$33:$V$41))</f>
        <v/>
      </c>
      <c r="I1104" s="157" t="str">
        <f t="shared" si="21"/>
        <v/>
      </c>
      <c r="J1104" s="17" t="str">
        <f ca="1">IF(E1104="","",IF(N1104="",H1104-TODAY(),""))</f>
        <v/>
      </c>
      <c r="K1104" s="157"/>
      <c r="N1104" s="16"/>
      <c r="O1104" s="16"/>
      <c r="P1104" s="10" t="str">
        <f>IF(ISBLANK(N1104),"",IF(N1104&gt;H1104,"No","Yes"))</f>
        <v/>
      </c>
      <c r="R1104" s="4"/>
      <c r="S1104" s="4"/>
      <c r="T1104" s="7"/>
      <c r="U1104" s="6"/>
      <c r="V1104" s="6"/>
      <c r="W1104" s="6"/>
      <c r="X1104" s="6"/>
      <c r="Y1104" s="6"/>
      <c r="Z1104" s="6"/>
      <c r="AX1104" s="6" t="e">
        <v>#N/A</v>
      </c>
    </row>
    <row r="1105" spans="1:50" ht="31.4" customHeight="1" x14ac:dyDescent="0.35">
      <c r="A1105" s="136"/>
      <c r="B1105" s="7"/>
      <c r="C1105" s="7"/>
      <c r="D1105" s="7"/>
      <c r="E1105" s="25"/>
      <c r="F1105" s="9" t="str">
        <f>IF($E1105="","",WORKDAY($E1105,1,$V$33:$V$41))</f>
        <v/>
      </c>
      <c r="G1105" s="9" t="str">
        <f>IF($E1105="","",WORKDAY($E1105,10,$V$33:$V$41))</f>
        <v/>
      </c>
      <c r="H1105" s="9" t="str">
        <f>IF($E1105="","",WORKDAY($E1105,20,$V$33:$V$41))</f>
        <v/>
      </c>
      <c r="I1105" s="157" t="str">
        <f t="shared" si="21"/>
        <v/>
      </c>
      <c r="J1105" s="17" t="str">
        <f ca="1">IF(E1105="","",IF(N1105="",H1105-TODAY(),""))</f>
        <v/>
      </c>
      <c r="K1105" s="157"/>
      <c r="N1105" s="16"/>
      <c r="O1105" s="16"/>
      <c r="P1105" s="10" t="str">
        <f>IF(ISBLANK(N1105),"",IF(N1105&gt;H1105,"No","Yes"))</f>
        <v/>
      </c>
      <c r="R1105" s="4"/>
      <c r="S1105" s="4"/>
      <c r="T1105" s="7"/>
      <c r="U1105" s="6"/>
      <c r="V1105" s="6"/>
      <c r="W1105" s="6"/>
      <c r="X1105" s="6"/>
      <c r="Y1105" s="6"/>
      <c r="Z1105" s="6"/>
      <c r="AX1105" s="6" t="e">
        <v>#N/A</v>
      </c>
    </row>
    <row r="1106" spans="1:50" ht="31.4" customHeight="1" x14ac:dyDescent="0.35">
      <c r="A1106" s="136"/>
      <c r="B1106" s="7"/>
      <c r="C1106" s="7"/>
      <c r="D1106" s="7"/>
      <c r="E1106" s="25"/>
      <c r="F1106" s="9" t="str">
        <f>IF($E1106="","",WORKDAY($E1106,1,$V$33:$V$41))</f>
        <v/>
      </c>
      <c r="G1106" s="9" t="str">
        <f>IF($E1106="","",WORKDAY($E1106,10,$V$33:$V$41))</f>
        <v/>
      </c>
      <c r="H1106" s="9" t="str">
        <f>IF($E1106="","",WORKDAY($E1106,20,$V$33:$V$41))</f>
        <v/>
      </c>
      <c r="I1106" s="157" t="str">
        <f t="shared" si="21"/>
        <v/>
      </c>
      <c r="J1106" s="17" t="str">
        <f ca="1">IF(E1106="","",IF(N1106="",H1106-TODAY(),""))</f>
        <v/>
      </c>
      <c r="K1106" s="157"/>
      <c r="N1106" s="16"/>
      <c r="O1106" s="16"/>
      <c r="P1106" s="10" t="str">
        <f>IF(ISBLANK(N1106),"",IF(N1106&gt;H1106,"No","Yes"))</f>
        <v/>
      </c>
      <c r="R1106" s="4"/>
      <c r="S1106" s="4"/>
      <c r="T1106" s="7"/>
      <c r="U1106" s="6"/>
      <c r="V1106" s="6"/>
      <c r="W1106" s="6"/>
      <c r="X1106" s="6"/>
      <c r="Y1106" s="6"/>
      <c r="Z1106" s="6"/>
      <c r="AX1106" s="6" t="e">
        <v>#N/A</v>
      </c>
    </row>
    <row r="1107" spans="1:50" ht="31.4" customHeight="1" x14ac:dyDescent="0.35">
      <c r="A1107" s="136"/>
      <c r="B1107" s="7"/>
      <c r="C1107" s="7"/>
      <c r="D1107" s="7"/>
      <c r="E1107" s="25"/>
      <c r="F1107" s="9" t="str">
        <f>IF($E1107="","",WORKDAY($E1107,1,$V$33:$V$41))</f>
        <v/>
      </c>
      <c r="G1107" s="9" t="str">
        <f>IF($E1107="","",WORKDAY($E1107,10,$V$33:$V$41))</f>
        <v/>
      </c>
      <c r="H1107" s="9" t="str">
        <f>IF($E1107="","",WORKDAY($E1107,20,$V$33:$V$41))</f>
        <v/>
      </c>
      <c r="I1107" s="157" t="str">
        <f t="shared" si="21"/>
        <v/>
      </c>
      <c r="J1107" s="17" t="str">
        <f ca="1">IF(E1107="","",IF(N1107="",H1107-TODAY(),""))</f>
        <v/>
      </c>
      <c r="K1107" s="157"/>
      <c r="N1107" s="16"/>
      <c r="O1107" s="16"/>
      <c r="P1107" s="10" t="str">
        <f>IF(ISBLANK(N1107),"",IF(N1107&gt;H1107,"No","Yes"))</f>
        <v/>
      </c>
      <c r="R1107" s="4"/>
      <c r="S1107" s="4"/>
      <c r="T1107" s="7"/>
      <c r="U1107" s="6"/>
      <c r="V1107" s="6"/>
      <c r="W1107" s="6"/>
      <c r="X1107" s="6"/>
      <c r="Y1107" s="6"/>
      <c r="Z1107" s="6"/>
      <c r="AX1107" s="6" t="e">
        <v>#N/A</v>
      </c>
    </row>
    <row r="1108" spans="1:50" ht="31.4" customHeight="1" x14ac:dyDescent="0.35">
      <c r="A1108" s="136"/>
      <c r="B1108" s="7"/>
      <c r="C1108" s="7"/>
      <c r="D1108" s="7"/>
      <c r="E1108" s="25"/>
      <c r="F1108" s="9" t="str">
        <f>IF($E1108="","",WORKDAY($E1108,1,$V$33:$V$41))</f>
        <v/>
      </c>
      <c r="G1108" s="9" t="str">
        <f>IF($E1108="","",WORKDAY($E1108,10,$V$33:$V$41))</f>
        <v/>
      </c>
      <c r="H1108" s="9" t="str">
        <f>IF($E1108="","",WORKDAY($E1108,20,$V$33:$V$41))</f>
        <v/>
      </c>
      <c r="I1108" s="157" t="str">
        <f t="shared" si="21"/>
        <v/>
      </c>
      <c r="J1108" s="17" t="str">
        <f ca="1">IF(E1108="","",IF(N1108="",H1108-TODAY(),""))</f>
        <v/>
      </c>
      <c r="K1108" s="157"/>
      <c r="N1108" s="16"/>
      <c r="O1108" s="16"/>
      <c r="P1108" s="10" t="str">
        <f>IF(ISBLANK(N1108),"",IF(N1108&gt;H1108,"No","Yes"))</f>
        <v/>
      </c>
      <c r="R1108" s="4"/>
      <c r="S1108" s="4"/>
      <c r="T1108" s="7"/>
      <c r="U1108" s="6"/>
      <c r="V1108" s="6"/>
      <c r="W1108" s="6"/>
      <c r="X1108" s="6"/>
      <c r="Y1108" s="6"/>
      <c r="Z1108" s="6"/>
      <c r="AX1108" s="6" t="e">
        <v>#N/A</v>
      </c>
    </row>
    <row r="1109" spans="1:50" ht="31.4" customHeight="1" x14ac:dyDescent="0.35">
      <c r="A1109" s="136"/>
      <c r="B1109" s="7"/>
      <c r="C1109" s="7"/>
      <c r="D1109" s="7"/>
      <c r="E1109" s="25"/>
      <c r="F1109" s="9" t="str">
        <f>IF($E1109="","",WORKDAY($E1109,1,$V$33:$V$41))</f>
        <v/>
      </c>
      <c r="G1109" s="9" t="str">
        <f>IF($E1109="","",WORKDAY($E1109,10,$V$33:$V$41))</f>
        <v/>
      </c>
      <c r="H1109" s="9" t="str">
        <f>IF($E1109="","",WORKDAY($E1109,20,$V$33:$V$41))</f>
        <v/>
      </c>
      <c r="I1109" s="157" t="str">
        <f t="shared" ref="I1109:I1134" si="22">IF(ISBLANK(E1109),"",TEXT(E1109,"mmm"))</f>
        <v/>
      </c>
      <c r="J1109" s="17" t="str">
        <f ca="1">IF(E1109="","",IF(N1109="",H1109-TODAY(),""))</f>
        <v/>
      </c>
      <c r="K1109" s="157"/>
      <c r="N1109" s="16"/>
      <c r="O1109" s="16"/>
      <c r="P1109" s="10" t="str">
        <f>IF(ISBLANK(N1109),"",IF(N1109&gt;H1109,"No","Yes"))</f>
        <v/>
      </c>
      <c r="R1109" s="4"/>
      <c r="S1109" s="4"/>
      <c r="T1109" s="7"/>
      <c r="U1109" s="6"/>
      <c r="V1109" s="6"/>
      <c r="W1109" s="6"/>
      <c r="X1109" s="6"/>
      <c r="Y1109" s="6"/>
      <c r="Z1109" s="6"/>
      <c r="AX1109" s="6" t="e">
        <v>#N/A</v>
      </c>
    </row>
    <row r="1110" spans="1:50" ht="31.4" customHeight="1" x14ac:dyDescent="0.35">
      <c r="A1110" s="136"/>
      <c r="B1110" s="7"/>
      <c r="C1110" s="7"/>
      <c r="D1110" s="7"/>
      <c r="E1110" s="25"/>
      <c r="F1110" s="9" t="str">
        <f>IF($E1110="","",WORKDAY($E1110,1,$V$33:$V$41))</f>
        <v/>
      </c>
      <c r="G1110" s="9" t="str">
        <f>IF($E1110="","",WORKDAY($E1110,10,$V$33:$V$41))</f>
        <v/>
      </c>
      <c r="H1110" s="9" t="str">
        <f>IF($E1110="","",WORKDAY($E1110,20,$V$33:$V$41))</f>
        <v/>
      </c>
      <c r="I1110" s="157" t="str">
        <f t="shared" si="22"/>
        <v/>
      </c>
      <c r="J1110" s="17" t="str">
        <f ca="1">IF(E1110="","",IF(N1110="",H1110-TODAY(),""))</f>
        <v/>
      </c>
      <c r="K1110" s="157"/>
      <c r="N1110" s="16"/>
      <c r="O1110" s="16"/>
      <c r="P1110" s="10" t="str">
        <f>IF(ISBLANK(N1110),"",IF(N1110&gt;H1110,"No","Yes"))</f>
        <v/>
      </c>
      <c r="R1110" s="4"/>
      <c r="S1110" s="4"/>
      <c r="T1110" s="7"/>
      <c r="U1110" s="6"/>
      <c r="V1110" s="6"/>
      <c r="W1110" s="6"/>
      <c r="X1110" s="6"/>
      <c r="Y1110" s="6"/>
      <c r="Z1110" s="6"/>
      <c r="AX1110" s="6" t="e">
        <v>#N/A</v>
      </c>
    </row>
    <row r="1111" spans="1:50" ht="31.4" customHeight="1" x14ac:dyDescent="0.35">
      <c r="A1111" s="136"/>
      <c r="B1111" s="7"/>
      <c r="C1111" s="7"/>
      <c r="D1111" s="7"/>
      <c r="E1111" s="25"/>
      <c r="F1111" s="9" t="str">
        <f>IF($E1111="","",WORKDAY($E1111,1,$V$33:$V$41))</f>
        <v/>
      </c>
      <c r="G1111" s="9" t="str">
        <f>IF($E1111="","",WORKDAY($E1111,10,$V$33:$V$41))</f>
        <v/>
      </c>
      <c r="H1111" s="9" t="str">
        <f>IF($E1111="","",WORKDAY($E1111,20,$V$33:$V$41))</f>
        <v/>
      </c>
      <c r="I1111" s="157" t="str">
        <f t="shared" si="22"/>
        <v/>
      </c>
      <c r="J1111" s="17" t="str">
        <f ca="1">IF(E1111="","",IF(N1111="",H1111-TODAY(),""))</f>
        <v/>
      </c>
      <c r="K1111" s="157"/>
      <c r="N1111" s="16"/>
      <c r="O1111" s="16"/>
      <c r="P1111" s="10" t="str">
        <f>IF(ISBLANK(N1111),"",IF(N1111&gt;H1111,"No","Yes"))</f>
        <v/>
      </c>
      <c r="R1111" s="4"/>
      <c r="S1111" s="4"/>
      <c r="T1111" s="7"/>
      <c r="U1111" s="6"/>
      <c r="V1111" s="6"/>
      <c r="W1111" s="6"/>
      <c r="X1111" s="6"/>
      <c r="Y1111" s="6"/>
      <c r="Z1111" s="6"/>
      <c r="AX1111" s="6" t="e">
        <v>#N/A</v>
      </c>
    </row>
    <row r="1112" spans="1:50" ht="31.4" customHeight="1" x14ac:dyDescent="0.35">
      <c r="A1112" s="136"/>
      <c r="B1112" s="7"/>
      <c r="C1112" s="7"/>
      <c r="D1112" s="7"/>
      <c r="E1112" s="25"/>
      <c r="F1112" s="9" t="str">
        <f>IF($E1112="","",WORKDAY($E1112,1,$V$33:$V$41))</f>
        <v/>
      </c>
      <c r="G1112" s="9" t="str">
        <f>IF($E1112="","",WORKDAY($E1112,10,$V$33:$V$41))</f>
        <v/>
      </c>
      <c r="H1112" s="9" t="str">
        <f>IF($E1112="","",WORKDAY($E1112,20,$V$33:$V$41))</f>
        <v/>
      </c>
      <c r="I1112" s="157" t="str">
        <f t="shared" si="22"/>
        <v/>
      </c>
      <c r="J1112" s="17" t="str">
        <f ca="1">IF(E1112="","",IF(N1112="",H1112-TODAY(),""))</f>
        <v/>
      </c>
      <c r="K1112" s="157"/>
      <c r="N1112" s="16"/>
      <c r="O1112" s="16"/>
      <c r="P1112" s="10" t="str">
        <f>IF(ISBLANK(N1112),"",IF(N1112&gt;H1112,"No","Yes"))</f>
        <v/>
      </c>
      <c r="R1112" s="4"/>
      <c r="S1112" s="4"/>
      <c r="T1112" s="7"/>
      <c r="U1112" s="6"/>
      <c r="V1112" s="6"/>
      <c r="W1112" s="6"/>
      <c r="X1112" s="6"/>
      <c r="Y1112" s="6"/>
      <c r="Z1112" s="6"/>
      <c r="AX1112" s="6" t="e">
        <v>#N/A</v>
      </c>
    </row>
    <row r="1113" spans="1:50" ht="31.4" customHeight="1" x14ac:dyDescent="0.35">
      <c r="A1113" s="136"/>
      <c r="B1113" s="7"/>
      <c r="C1113" s="7"/>
      <c r="D1113" s="7"/>
      <c r="E1113" s="25"/>
      <c r="F1113" s="9" t="str">
        <f>IF($E1113="","",WORKDAY($E1113,1,$V$33:$V$41))</f>
        <v/>
      </c>
      <c r="G1113" s="9" t="str">
        <f>IF($E1113="","",WORKDAY($E1113,10,$V$33:$V$41))</f>
        <v/>
      </c>
      <c r="H1113" s="9" t="str">
        <f>IF($E1113="","",WORKDAY($E1113,20,$V$33:$V$41))</f>
        <v/>
      </c>
      <c r="I1113" s="157" t="str">
        <f t="shared" si="22"/>
        <v/>
      </c>
      <c r="J1113" s="17" t="str">
        <f ca="1">IF(E1113="","",IF(N1113="",H1113-TODAY(),""))</f>
        <v/>
      </c>
      <c r="K1113" s="157"/>
      <c r="N1113" s="16"/>
      <c r="O1113" s="16"/>
      <c r="P1113" s="10" t="str">
        <f>IF(ISBLANK(N1113),"",IF(N1113&gt;H1113,"No","Yes"))</f>
        <v/>
      </c>
      <c r="R1113" s="4"/>
      <c r="S1113" s="4"/>
      <c r="T1113" s="7"/>
      <c r="U1113" s="6"/>
      <c r="V1113" s="6"/>
      <c r="W1113" s="6"/>
      <c r="X1113" s="6"/>
      <c r="Y1113" s="6"/>
      <c r="Z1113" s="6"/>
      <c r="AX1113" s="6" t="e">
        <v>#N/A</v>
      </c>
    </row>
    <row r="1114" spans="1:50" ht="31.4" customHeight="1" x14ac:dyDescent="0.35">
      <c r="A1114" s="136"/>
      <c r="B1114" s="7"/>
      <c r="C1114" s="7"/>
      <c r="D1114" s="7"/>
      <c r="E1114" s="25"/>
      <c r="F1114" s="9" t="str">
        <f>IF($E1114="","",WORKDAY($E1114,1,$V$33:$V$41))</f>
        <v/>
      </c>
      <c r="G1114" s="9" t="str">
        <f>IF($E1114="","",WORKDAY($E1114,10,$V$33:$V$41))</f>
        <v/>
      </c>
      <c r="H1114" s="9" t="str">
        <f>IF($E1114="","",WORKDAY($E1114,20,$V$33:$V$41))</f>
        <v/>
      </c>
      <c r="I1114" s="157" t="str">
        <f t="shared" si="22"/>
        <v/>
      </c>
      <c r="J1114" s="17" t="str">
        <f ca="1">IF(E1114="","",IF(N1114="",H1114-TODAY(),""))</f>
        <v/>
      </c>
      <c r="K1114" s="157"/>
      <c r="N1114" s="16"/>
      <c r="O1114" s="16"/>
      <c r="P1114" s="10" t="str">
        <f>IF(ISBLANK(N1114),"",IF(N1114&gt;H1114,"No","Yes"))</f>
        <v/>
      </c>
      <c r="R1114" s="4"/>
      <c r="S1114" s="4"/>
      <c r="T1114" s="7"/>
      <c r="U1114" s="6"/>
      <c r="V1114" s="6"/>
      <c r="W1114" s="6"/>
      <c r="X1114" s="6"/>
      <c r="Y1114" s="6"/>
      <c r="Z1114" s="6"/>
      <c r="AX1114" s="6" t="e">
        <v>#N/A</v>
      </c>
    </row>
    <row r="1115" spans="1:50" ht="31.4" customHeight="1" x14ac:dyDescent="0.35">
      <c r="A1115" s="136"/>
      <c r="B1115" s="7"/>
      <c r="C1115" s="7"/>
      <c r="D1115" s="7"/>
      <c r="E1115" s="25"/>
      <c r="F1115" s="9" t="str">
        <f>IF($E1115="","",WORKDAY($E1115,1,$V$33:$V$41))</f>
        <v/>
      </c>
      <c r="G1115" s="9" t="str">
        <f>IF($E1115="","",WORKDAY($E1115,10,$V$33:$V$41))</f>
        <v/>
      </c>
      <c r="H1115" s="9" t="str">
        <f>IF($E1115="","",WORKDAY($E1115,20,$V$33:$V$41))</f>
        <v/>
      </c>
      <c r="I1115" s="157" t="str">
        <f t="shared" si="22"/>
        <v/>
      </c>
      <c r="J1115" s="17" t="str">
        <f ca="1">IF(E1115="","",IF(N1115="",H1115-TODAY(),""))</f>
        <v/>
      </c>
      <c r="K1115" s="157"/>
      <c r="N1115" s="16"/>
      <c r="O1115" s="16"/>
      <c r="P1115" s="10" t="str">
        <f>IF(ISBLANK(N1115),"",IF(N1115&gt;H1115,"No","Yes"))</f>
        <v/>
      </c>
      <c r="R1115" s="4"/>
      <c r="S1115" s="4"/>
      <c r="T1115" s="7"/>
      <c r="U1115" s="6"/>
      <c r="V1115" s="6"/>
      <c r="W1115" s="6"/>
      <c r="X1115" s="6"/>
      <c r="Y1115" s="6"/>
      <c r="Z1115" s="6"/>
      <c r="AX1115" s="6" t="e">
        <v>#N/A</v>
      </c>
    </row>
    <row r="1116" spans="1:50" ht="31.4" customHeight="1" x14ac:dyDescent="0.35">
      <c r="A1116" s="136"/>
      <c r="B1116" s="7"/>
      <c r="C1116" s="7"/>
      <c r="D1116" s="7"/>
      <c r="E1116" s="25"/>
      <c r="F1116" s="9" t="str">
        <f>IF($E1116="","",WORKDAY($E1116,1,$V$33:$V$41))</f>
        <v/>
      </c>
      <c r="G1116" s="9" t="str">
        <f>IF($E1116="","",WORKDAY($E1116,10,$V$33:$V$41))</f>
        <v/>
      </c>
      <c r="H1116" s="9" t="str">
        <f>IF($E1116="","",WORKDAY($E1116,20,$V$33:$V$41))</f>
        <v/>
      </c>
      <c r="I1116" s="157" t="str">
        <f t="shared" si="22"/>
        <v/>
      </c>
      <c r="J1116" s="17" t="str">
        <f ca="1">IF(E1116="","",IF(N1116="",H1116-TODAY(),""))</f>
        <v/>
      </c>
      <c r="K1116" s="157"/>
      <c r="N1116" s="16"/>
      <c r="O1116" s="16"/>
      <c r="P1116" s="10" t="str">
        <f>IF(ISBLANK(N1116),"",IF(N1116&gt;H1116,"No","Yes"))</f>
        <v/>
      </c>
      <c r="R1116" s="4"/>
      <c r="S1116" s="4"/>
      <c r="T1116" s="7"/>
      <c r="U1116" s="6"/>
      <c r="V1116" s="6"/>
      <c r="W1116" s="6"/>
      <c r="X1116" s="6"/>
      <c r="Y1116" s="6"/>
      <c r="Z1116" s="6"/>
      <c r="AX1116" s="6" t="e">
        <v>#N/A</v>
      </c>
    </row>
    <row r="1117" spans="1:50" ht="31.4" customHeight="1" x14ac:dyDescent="0.35">
      <c r="A1117" s="136"/>
      <c r="B1117" s="7"/>
      <c r="C1117" s="7"/>
      <c r="D1117" s="7"/>
      <c r="E1117" s="25"/>
      <c r="F1117" s="9" t="str">
        <f>IF($E1117="","",WORKDAY($E1117,1,$V$33:$V$41))</f>
        <v/>
      </c>
      <c r="G1117" s="9" t="str">
        <f>IF($E1117="","",WORKDAY($E1117,10,$V$33:$V$41))</f>
        <v/>
      </c>
      <c r="H1117" s="9" t="str">
        <f>IF($E1117="","",WORKDAY($E1117,20,$V$33:$V$41))</f>
        <v/>
      </c>
      <c r="I1117" s="157" t="str">
        <f t="shared" si="22"/>
        <v/>
      </c>
      <c r="J1117" s="17" t="str">
        <f ca="1">IF(E1117="","",IF(N1117="",H1117-TODAY(),""))</f>
        <v/>
      </c>
      <c r="K1117" s="157"/>
      <c r="N1117" s="16"/>
      <c r="O1117" s="16"/>
      <c r="P1117" s="10" t="str">
        <f>IF(ISBLANK(N1117),"",IF(N1117&gt;H1117,"No","Yes"))</f>
        <v/>
      </c>
      <c r="R1117" s="4"/>
      <c r="S1117" s="4"/>
      <c r="T1117" s="7"/>
      <c r="U1117" s="6"/>
      <c r="V1117" s="6"/>
      <c r="W1117" s="6"/>
      <c r="X1117" s="6"/>
      <c r="Y1117" s="6"/>
      <c r="Z1117" s="6"/>
      <c r="AX1117" s="6" t="e">
        <v>#N/A</v>
      </c>
    </row>
    <row r="1118" spans="1:50" ht="31.4" customHeight="1" x14ac:dyDescent="0.35">
      <c r="A1118" s="136"/>
      <c r="B1118" s="7"/>
      <c r="C1118" s="7"/>
      <c r="D1118" s="7"/>
      <c r="E1118" s="25"/>
      <c r="F1118" s="9" t="str">
        <f>IF($E1118="","",WORKDAY($E1118,1,$V$33:$V$41))</f>
        <v/>
      </c>
      <c r="G1118" s="9" t="str">
        <f>IF($E1118="","",WORKDAY($E1118,10,$V$33:$V$41))</f>
        <v/>
      </c>
      <c r="H1118" s="9" t="str">
        <f>IF($E1118="","",WORKDAY($E1118,20,$V$33:$V$41))</f>
        <v/>
      </c>
      <c r="I1118" s="157" t="str">
        <f t="shared" si="22"/>
        <v/>
      </c>
      <c r="J1118" s="17" t="str">
        <f ca="1">IF(E1118="","",IF(N1118="",H1118-TODAY(),""))</f>
        <v/>
      </c>
      <c r="K1118" s="157"/>
      <c r="N1118" s="16"/>
      <c r="O1118" s="16"/>
      <c r="P1118" s="10" t="str">
        <f>IF(ISBLANK(N1118),"",IF(N1118&gt;H1118,"No","Yes"))</f>
        <v/>
      </c>
      <c r="R1118" s="4"/>
      <c r="S1118" s="4"/>
      <c r="T1118" s="7"/>
      <c r="U1118" s="6"/>
      <c r="V1118" s="6"/>
      <c r="W1118" s="6"/>
      <c r="X1118" s="6"/>
      <c r="Y1118" s="6"/>
      <c r="Z1118" s="6"/>
      <c r="AX1118" s="6" t="e">
        <v>#N/A</v>
      </c>
    </row>
    <row r="1119" spans="1:50" ht="31.4" customHeight="1" x14ac:dyDescent="0.35">
      <c r="A1119" s="136"/>
      <c r="B1119" s="7"/>
      <c r="C1119" s="7"/>
      <c r="D1119" s="7"/>
      <c r="E1119" s="25"/>
      <c r="F1119" s="9" t="str">
        <f>IF($E1119="","",WORKDAY($E1119,1,$V$33:$V$41))</f>
        <v/>
      </c>
      <c r="G1119" s="9" t="str">
        <f>IF($E1119="","",WORKDAY($E1119,10,$V$33:$V$41))</f>
        <v/>
      </c>
      <c r="H1119" s="9" t="str">
        <f>IF($E1119="","",WORKDAY($E1119,20,$V$33:$V$41))</f>
        <v/>
      </c>
      <c r="I1119" s="157" t="str">
        <f t="shared" si="22"/>
        <v/>
      </c>
      <c r="J1119" s="17" t="str">
        <f ca="1">IF(E1119="","",IF(N1119="",H1119-TODAY(),""))</f>
        <v/>
      </c>
      <c r="K1119" s="157"/>
      <c r="N1119" s="16"/>
      <c r="O1119" s="16"/>
      <c r="P1119" s="10" t="str">
        <f>IF(ISBLANK(N1119),"",IF(N1119&gt;H1119,"No","Yes"))</f>
        <v/>
      </c>
      <c r="R1119" s="4"/>
      <c r="S1119" s="4"/>
      <c r="T1119" s="7"/>
      <c r="U1119" s="6"/>
      <c r="V1119" s="6"/>
      <c r="W1119" s="6"/>
      <c r="X1119" s="6"/>
      <c r="Y1119" s="6"/>
      <c r="Z1119" s="6"/>
      <c r="AX1119" s="6" t="e">
        <v>#N/A</v>
      </c>
    </row>
    <row r="1120" spans="1:50" ht="31.4" customHeight="1" x14ac:dyDescent="0.35">
      <c r="A1120" s="136"/>
      <c r="B1120" s="7"/>
      <c r="C1120" s="7"/>
      <c r="D1120" s="7"/>
      <c r="E1120" s="25"/>
      <c r="F1120" s="9" t="str">
        <f>IF($E1120="","",WORKDAY($E1120,1,$V$33:$V$41))</f>
        <v/>
      </c>
      <c r="G1120" s="9" t="str">
        <f>IF($E1120="","",WORKDAY($E1120,10,$V$33:$V$41))</f>
        <v/>
      </c>
      <c r="H1120" s="9" t="str">
        <f>IF($E1120="","",WORKDAY($E1120,20,$V$33:$V$41))</f>
        <v/>
      </c>
      <c r="I1120" s="157" t="str">
        <f t="shared" si="22"/>
        <v/>
      </c>
      <c r="J1120" s="17" t="str">
        <f ca="1">IF(E1120="","",IF(N1120="",H1120-TODAY(),""))</f>
        <v/>
      </c>
      <c r="K1120" s="157"/>
      <c r="N1120" s="16"/>
      <c r="O1120" s="16"/>
      <c r="P1120" s="10" t="str">
        <f>IF(ISBLANK(N1120),"",IF(N1120&gt;H1120,"No","Yes"))</f>
        <v/>
      </c>
      <c r="R1120" s="4"/>
      <c r="S1120" s="4"/>
      <c r="T1120" s="7"/>
      <c r="U1120" s="6"/>
      <c r="V1120" s="6"/>
      <c r="W1120" s="6"/>
      <c r="X1120" s="6"/>
      <c r="Y1120" s="6"/>
      <c r="Z1120" s="6"/>
      <c r="AX1120" s="6" t="e">
        <v>#N/A</v>
      </c>
    </row>
    <row r="1121" spans="1:50" ht="31.4" customHeight="1" x14ac:dyDescent="0.35">
      <c r="A1121" s="136"/>
      <c r="B1121" s="7"/>
      <c r="C1121" s="7"/>
      <c r="D1121" s="7"/>
      <c r="E1121" s="25"/>
      <c r="F1121" s="9" t="str">
        <f>IF($E1121="","",WORKDAY($E1121,1,$V$33:$V$41))</f>
        <v/>
      </c>
      <c r="G1121" s="9" t="str">
        <f>IF($E1121="","",WORKDAY($E1121,10,$V$33:$V$41))</f>
        <v/>
      </c>
      <c r="H1121" s="9" t="str">
        <f>IF($E1121="","",WORKDAY($E1121,20,$V$33:$V$41))</f>
        <v/>
      </c>
      <c r="I1121" s="157" t="str">
        <f t="shared" si="22"/>
        <v/>
      </c>
      <c r="J1121" s="17" t="str">
        <f ca="1">IF(E1121="","",IF(N1121="",H1121-TODAY(),""))</f>
        <v/>
      </c>
      <c r="K1121" s="157"/>
      <c r="N1121" s="16"/>
      <c r="O1121" s="16"/>
      <c r="P1121" s="10" t="str">
        <f>IF(ISBLANK(N1121),"",IF(N1121&gt;H1121,"No","Yes"))</f>
        <v/>
      </c>
      <c r="R1121" s="4"/>
      <c r="S1121" s="4"/>
      <c r="T1121" s="7"/>
      <c r="U1121" s="6"/>
      <c r="V1121" s="6"/>
      <c r="W1121" s="6"/>
      <c r="X1121" s="6"/>
      <c r="Y1121" s="6"/>
      <c r="Z1121" s="6"/>
      <c r="AX1121" s="6" t="e">
        <v>#N/A</v>
      </c>
    </row>
    <row r="1122" spans="1:50" ht="31.4" customHeight="1" x14ac:dyDescent="0.35">
      <c r="A1122" s="136"/>
      <c r="B1122" s="7"/>
      <c r="C1122" s="7"/>
      <c r="D1122" s="7"/>
      <c r="E1122" s="25"/>
      <c r="F1122" s="9" t="str">
        <f>IF($E1122="","",WORKDAY($E1122,1,$V$33:$V$41))</f>
        <v/>
      </c>
      <c r="G1122" s="9" t="str">
        <f>IF($E1122="","",WORKDAY($E1122,10,$V$33:$V$41))</f>
        <v/>
      </c>
      <c r="H1122" s="9" t="str">
        <f>IF($E1122="","",WORKDAY($E1122,20,$V$33:$V$41))</f>
        <v/>
      </c>
      <c r="I1122" s="157" t="str">
        <f t="shared" si="22"/>
        <v/>
      </c>
      <c r="J1122" s="17" t="str">
        <f ca="1">IF(E1122="","",IF(N1122="",H1122-TODAY(),""))</f>
        <v/>
      </c>
      <c r="K1122" s="157"/>
      <c r="N1122" s="16"/>
      <c r="O1122" s="16"/>
      <c r="P1122" s="10" t="str">
        <f>IF(ISBLANK(N1122),"",IF(N1122&gt;H1122,"No","Yes"))</f>
        <v/>
      </c>
      <c r="R1122" s="4"/>
      <c r="S1122" s="4"/>
      <c r="T1122" s="7"/>
      <c r="U1122" s="6"/>
      <c r="V1122" s="6"/>
      <c r="W1122" s="6"/>
      <c r="X1122" s="6"/>
      <c r="Y1122" s="6"/>
      <c r="Z1122" s="6"/>
      <c r="AX1122" s="6" t="e">
        <v>#N/A</v>
      </c>
    </row>
    <row r="1123" spans="1:50" ht="31.4" customHeight="1" x14ac:dyDescent="0.35">
      <c r="A1123" s="136"/>
      <c r="B1123" s="7"/>
      <c r="C1123" s="7"/>
      <c r="D1123" s="7"/>
      <c r="E1123" s="25"/>
      <c r="F1123" s="9" t="str">
        <f>IF($E1123="","",WORKDAY($E1123,1,$V$33:$V$41))</f>
        <v/>
      </c>
      <c r="G1123" s="9" t="str">
        <f>IF($E1123="","",WORKDAY($E1123,10,$V$33:$V$41))</f>
        <v/>
      </c>
      <c r="H1123" s="9" t="str">
        <f>IF($E1123="","",WORKDAY($E1123,20,$V$33:$V$41))</f>
        <v/>
      </c>
      <c r="I1123" s="157" t="str">
        <f t="shared" si="22"/>
        <v/>
      </c>
      <c r="J1123" s="17" t="str">
        <f ca="1">IF(E1123="","",IF(N1123="",H1123-TODAY(),""))</f>
        <v/>
      </c>
      <c r="K1123" s="157"/>
      <c r="N1123" s="16"/>
      <c r="O1123" s="16"/>
      <c r="P1123" s="10" t="str">
        <f>IF(ISBLANK(N1123),"",IF(N1123&gt;H1123,"No","Yes"))</f>
        <v/>
      </c>
      <c r="R1123" s="4"/>
      <c r="S1123" s="4"/>
      <c r="T1123" s="7"/>
      <c r="U1123" s="6"/>
      <c r="V1123" s="6"/>
      <c r="W1123" s="6"/>
      <c r="X1123" s="6"/>
      <c r="Y1123" s="6"/>
      <c r="Z1123" s="6"/>
      <c r="AX1123" s="6" t="e">
        <v>#N/A</v>
      </c>
    </row>
    <row r="1124" spans="1:50" ht="31.4" customHeight="1" x14ac:dyDescent="0.35">
      <c r="A1124" s="136"/>
      <c r="B1124" s="7"/>
      <c r="C1124" s="7"/>
      <c r="D1124" s="7"/>
      <c r="E1124" s="25"/>
      <c r="F1124" s="9" t="str">
        <f>IF($E1124="","",WORKDAY($E1124,1,$V$33:$V$41))</f>
        <v/>
      </c>
      <c r="G1124" s="9" t="str">
        <f>IF($E1124="","",WORKDAY($E1124,10,$V$33:$V$41))</f>
        <v/>
      </c>
      <c r="H1124" s="9" t="str">
        <f>IF($E1124="","",WORKDAY($E1124,20,$V$33:$V$41))</f>
        <v/>
      </c>
      <c r="I1124" s="157" t="str">
        <f t="shared" si="22"/>
        <v/>
      </c>
      <c r="J1124" s="17" t="str">
        <f ca="1">IF(E1124="","",IF(N1124="",H1124-TODAY(),""))</f>
        <v/>
      </c>
      <c r="K1124" s="157"/>
      <c r="N1124" s="16"/>
      <c r="O1124" s="16"/>
      <c r="P1124" s="10" t="str">
        <f>IF(ISBLANK(N1124),"",IF(N1124&gt;H1124,"No","Yes"))</f>
        <v/>
      </c>
      <c r="R1124" s="4"/>
      <c r="S1124" s="4"/>
      <c r="T1124" s="7"/>
      <c r="U1124" s="6"/>
      <c r="V1124" s="6"/>
      <c r="W1124" s="6"/>
      <c r="X1124" s="6"/>
      <c r="Y1124" s="6"/>
      <c r="Z1124" s="6"/>
      <c r="AX1124" s="6" t="e">
        <v>#N/A</v>
      </c>
    </row>
    <row r="1125" spans="1:50" ht="31.4" customHeight="1" x14ac:dyDescent="0.35">
      <c r="A1125" s="136"/>
      <c r="B1125" s="7"/>
      <c r="C1125" s="7"/>
      <c r="D1125" s="7"/>
      <c r="E1125" s="25"/>
      <c r="F1125" s="9" t="str">
        <f>IF($E1125="","",WORKDAY($E1125,1,$V$33:$V$41))</f>
        <v/>
      </c>
      <c r="G1125" s="9" t="str">
        <f>IF($E1125="","",WORKDAY($E1125,10,$V$33:$V$41))</f>
        <v/>
      </c>
      <c r="H1125" s="9" t="str">
        <f>IF($E1125="","",WORKDAY($E1125,20,$V$33:$V$41))</f>
        <v/>
      </c>
      <c r="I1125" s="157" t="str">
        <f t="shared" si="22"/>
        <v/>
      </c>
      <c r="J1125" s="17" t="str">
        <f ca="1">IF(E1125="","",IF(N1125="",H1125-TODAY(),""))</f>
        <v/>
      </c>
      <c r="K1125" s="157"/>
      <c r="N1125" s="16"/>
      <c r="O1125" s="16"/>
      <c r="P1125" s="10" t="str">
        <f>IF(ISBLANK(N1125),"",IF(N1125&gt;H1125,"No","Yes"))</f>
        <v/>
      </c>
      <c r="R1125" s="4"/>
      <c r="S1125" s="4"/>
      <c r="T1125" s="7"/>
      <c r="U1125" s="6"/>
      <c r="V1125" s="6"/>
      <c r="W1125" s="6"/>
      <c r="X1125" s="6"/>
      <c r="Y1125" s="6"/>
      <c r="Z1125" s="6"/>
      <c r="AX1125" s="6" t="e">
        <v>#N/A</v>
      </c>
    </row>
    <row r="1126" spans="1:50" ht="31.4" customHeight="1" x14ac:dyDescent="0.35">
      <c r="A1126" s="136"/>
      <c r="B1126" s="7"/>
      <c r="C1126" s="7"/>
      <c r="D1126" s="7"/>
      <c r="E1126" s="25"/>
      <c r="F1126" s="9" t="str">
        <f>IF($E1126="","",WORKDAY($E1126,1,$V$33:$V$41))</f>
        <v/>
      </c>
      <c r="G1126" s="9" t="str">
        <f>IF($E1126="","",WORKDAY($E1126,10,$V$33:$V$41))</f>
        <v/>
      </c>
      <c r="H1126" s="9" t="str">
        <f>IF($E1126="","",WORKDAY($E1126,20,$V$33:$V$41))</f>
        <v/>
      </c>
      <c r="I1126" s="157" t="str">
        <f t="shared" si="22"/>
        <v/>
      </c>
      <c r="J1126" s="17" t="str">
        <f ca="1">IF(E1126="","",IF(N1126="",H1126-TODAY(),""))</f>
        <v/>
      </c>
      <c r="K1126" s="157"/>
      <c r="N1126" s="16"/>
      <c r="O1126" s="16"/>
      <c r="P1126" s="10" t="str">
        <f>IF(ISBLANK(N1126),"",IF(N1126&gt;H1126,"No","Yes"))</f>
        <v/>
      </c>
      <c r="R1126" s="4"/>
      <c r="S1126" s="4"/>
      <c r="T1126" s="7"/>
      <c r="U1126" s="6"/>
      <c r="V1126" s="6"/>
      <c r="W1126" s="6"/>
      <c r="X1126" s="6"/>
      <c r="Y1126" s="6"/>
      <c r="Z1126" s="6"/>
      <c r="AX1126" s="6" t="e">
        <v>#N/A</v>
      </c>
    </row>
    <row r="1127" spans="1:50" ht="31.4" customHeight="1" x14ac:dyDescent="0.35">
      <c r="A1127" s="136"/>
      <c r="B1127" s="7"/>
      <c r="C1127" s="7"/>
      <c r="D1127" s="7"/>
      <c r="E1127" s="25"/>
      <c r="F1127" s="9" t="str">
        <f>IF($E1127="","",WORKDAY($E1127,1,$V$33:$V$41))</f>
        <v/>
      </c>
      <c r="G1127" s="9" t="str">
        <f>IF($E1127="","",WORKDAY($E1127,10,$V$33:$V$41))</f>
        <v/>
      </c>
      <c r="H1127" s="9" t="str">
        <f>IF($E1127="","",WORKDAY($E1127,20,$V$33:$V$41))</f>
        <v/>
      </c>
      <c r="I1127" s="157" t="str">
        <f t="shared" si="22"/>
        <v/>
      </c>
      <c r="J1127" s="17" t="str">
        <f ca="1">IF(E1127="","",IF(N1127="",H1127-TODAY(),""))</f>
        <v/>
      </c>
      <c r="K1127" s="157"/>
      <c r="N1127" s="16"/>
      <c r="O1127" s="16"/>
      <c r="P1127" s="10" t="str">
        <f>IF(ISBLANK(N1127),"",IF(N1127&gt;H1127,"No","Yes"))</f>
        <v/>
      </c>
      <c r="R1127" s="4"/>
      <c r="S1127" s="4"/>
      <c r="T1127" s="7"/>
      <c r="U1127" s="6"/>
      <c r="V1127" s="6"/>
      <c r="W1127" s="6"/>
      <c r="X1127" s="6"/>
      <c r="Y1127" s="6"/>
      <c r="Z1127" s="6"/>
      <c r="AX1127" s="6" t="e">
        <v>#N/A</v>
      </c>
    </row>
    <row r="1128" spans="1:50" ht="31.4" customHeight="1" x14ac:dyDescent="0.35">
      <c r="A1128" s="136"/>
      <c r="B1128" s="7"/>
      <c r="C1128" s="7"/>
      <c r="D1128" s="7"/>
      <c r="E1128" s="25"/>
      <c r="F1128" s="9" t="str">
        <f>IF($E1128="","",WORKDAY($E1128,1,$V$33:$V$41))</f>
        <v/>
      </c>
      <c r="G1128" s="9" t="str">
        <f>IF($E1128="","",WORKDAY($E1128,10,$V$33:$V$41))</f>
        <v/>
      </c>
      <c r="H1128" s="9" t="str">
        <f>IF($E1128="","",WORKDAY($E1128,20,$V$33:$V$41))</f>
        <v/>
      </c>
      <c r="I1128" s="157" t="str">
        <f t="shared" si="22"/>
        <v/>
      </c>
      <c r="J1128" s="17" t="str">
        <f ca="1">IF(E1128="","",IF(N1128="",H1128-TODAY(),""))</f>
        <v/>
      </c>
      <c r="K1128" s="157"/>
      <c r="N1128" s="16"/>
      <c r="O1128" s="16"/>
      <c r="P1128" s="10" t="str">
        <f>IF(ISBLANK(N1128),"",IF(N1128&gt;H1128,"No","Yes"))</f>
        <v/>
      </c>
      <c r="R1128" s="4"/>
      <c r="S1128" s="4"/>
      <c r="T1128" s="7"/>
      <c r="U1128" s="6"/>
      <c r="V1128" s="6"/>
      <c r="W1128" s="6"/>
      <c r="X1128" s="6"/>
      <c r="Y1128" s="6"/>
      <c r="Z1128" s="6"/>
      <c r="AX1128" s="6" t="e">
        <v>#N/A</v>
      </c>
    </row>
    <row r="1129" spans="1:50" ht="31.4" customHeight="1" x14ac:dyDescent="0.35">
      <c r="A1129" s="136"/>
      <c r="B1129" s="7"/>
      <c r="C1129" s="7"/>
      <c r="D1129" s="7"/>
      <c r="E1129" s="25"/>
      <c r="F1129" s="9" t="str">
        <f>IF($E1129="","",WORKDAY($E1129,1,$V$33:$V$41))</f>
        <v/>
      </c>
      <c r="G1129" s="9" t="str">
        <f>IF($E1129="","",WORKDAY($E1129,10,$V$33:$V$41))</f>
        <v/>
      </c>
      <c r="H1129" s="9" t="str">
        <f>IF($E1129="","",WORKDAY($E1129,20,$V$33:$V$41))</f>
        <v/>
      </c>
      <c r="I1129" s="157" t="str">
        <f t="shared" si="22"/>
        <v/>
      </c>
      <c r="J1129" s="17" t="str">
        <f ca="1">IF(E1129="","",IF(N1129="",H1129-TODAY(),""))</f>
        <v/>
      </c>
      <c r="K1129" s="157"/>
      <c r="N1129" s="16"/>
      <c r="O1129" s="16"/>
      <c r="P1129" s="10" t="str">
        <f>IF(ISBLANK(N1129),"",IF(N1129&gt;H1129,"No","Yes"))</f>
        <v/>
      </c>
      <c r="R1129" s="4"/>
      <c r="S1129" s="4"/>
      <c r="T1129" s="7"/>
      <c r="U1129" s="6"/>
      <c r="V1129" s="6"/>
      <c r="W1129" s="6"/>
      <c r="X1129" s="6"/>
      <c r="Y1129" s="6"/>
      <c r="Z1129" s="6"/>
      <c r="AX1129" s="6" t="e">
        <v>#N/A</v>
      </c>
    </row>
    <row r="1130" spans="1:50" ht="31.4" customHeight="1" x14ac:dyDescent="0.35">
      <c r="A1130" s="136"/>
      <c r="B1130" s="7"/>
      <c r="C1130" s="7"/>
      <c r="D1130" s="7"/>
      <c r="E1130" s="25"/>
      <c r="F1130" s="9" t="str">
        <f>IF($E1130="","",WORKDAY($E1130,1,$V$33:$V$41))</f>
        <v/>
      </c>
      <c r="G1130" s="9" t="str">
        <f>IF($E1130="","",WORKDAY($E1130,10,$V$33:$V$41))</f>
        <v/>
      </c>
      <c r="H1130" s="9" t="str">
        <f>IF($E1130="","",WORKDAY($E1130,20,$V$33:$V$41))</f>
        <v/>
      </c>
      <c r="I1130" s="157" t="str">
        <f t="shared" si="22"/>
        <v/>
      </c>
      <c r="J1130" s="17" t="str">
        <f ca="1">IF(E1130="","",IF(N1130="",H1130-TODAY(),""))</f>
        <v/>
      </c>
      <c r="K1130" s="157"/>
      <c r="N1130" s="16"/>
      <c r="O1130" s="16"/>
      <c r="P1130" s="10" t="str">
        <f>IF(ISBLANK(N1130),"",IF(N1130&gt;H1130,"No","Yes"))</f>
        <v/>
      </c>
      <c r="R1130" s="4"/>
      <c r="S1130" s="4"/>
      <c r="T1130" s="7"/>
      <c r="U1130" s="6"/>
      <c r="V1130" s="6"/>
      <c r="W1130" s="6"/>
      <c r="X1130" s="6"/>
      <c r="Y1130" s="6"/>
      <c r="Z1130" s="6"/>
      <c r="AX1130" s="6" t="e">
        <v>#N/A</v>
      </c>
    </row>
    <row r="1131" spans="1:50" ht="31.4" customHeight="1" x14ac:dyDescent="0.35">
      <c r="A1131" s="136"/>
      <c r="B1131" s="7"/>
      <c r="C1131" s="7"/>
      <c r="D1131" s="7"/>
      <c r="E1131" s="25"/>
      <c r="F1131" s="9" t="str">
        <f>IF($E1131="","",WORKDAY($E1131,1,$V$33:$V$41))</f>
        <v/>
      </c>
      <c r="G1131" s="9" t="str">
        <f>IF($E1131="","",WORKDAY($E1131,10,$V$33:$V$41))</f>
        <v/>
      </c>
      <c r="H1131" s="9" t="str">
        <f>IF($E1131="","",WORKDAY($E1131,20,$V$33:$V$41))</f>
        <v/>
      </c>
      <c r="I1131" s="157" t="str">
        <f t="shared" si="22"/>
        <v/>
      </c>
      <c r="J1131" s="17" t="str">
        <f ca="1">IF(E1131="","",IF(N1131="",H1131-TODAY(),""))</f>
        <v/>
      </c>
      <c r="K1131" s="157"/>
      <c r="N1131" s="16"/>
      <c r="O1131" s="16"/>
      <c r="P1131" s="10" t="str">
        <f>IF(ISBLANK(N1131),"",IF(N1131&gt;H1131,"No","Yes"))</f>
        <v/>
      </c>
      <c r="R1131" s="4"/>
      <c r="S1131" s="4"/>
      <c r="T1131" s="7"/>
      <c r="U1131" s="6"/>
      <c r="V1131" s="6"/>
      <c r="W1131" s="6"/>
      <c r="X1131" s="6"/>
      <c r="Y1131" s="6"/>
      <c r="Z1131" s="6"/>
      <c r="AX1131" s="6" t="e">
        <v>#N/A</v>
      </c>
    </row>
    <row r="1132" spans="1:50" ht="31.4" customHeight="1" x14ac:dyDescent="0.35">
      <c r="A1132" s="136"/>
      <c r="B1132" s="7"/>
      <c r="C1132" s="7"/>
      <c r="D1132" s="7"/>
      <c r="E1132" s="25"/>
      <c r="F1132" s="9" t="str">
        <f>IF($E1132="","",WORKDAY($E1132,1,$V$33:$V$41))</f>
        <v/>
      </c>
      <c r="G1132" s="9" t="str">
        <f>IF($E1132="","",WORKDAY($E1132,10,$V$33:$V$41))</f>
        <v/>
      </c>
      <c r="H1132" s="9" t="str">
        <f>IF($E1132="","",WORKDAY($E1132,20,$V$33:$V$41))</f>
        <v/>
      </c>
      <c r="I1132" s="157" t="str">
        <f t="shared" si="22"/>
        <v/>
      </c>
      <c r="J1132" s="17" t="str">
        <f ca="1">IF(E1132="","",IF(N1132="",H1132-TODAY(),""))</f>
        <v/>
      </c>
      <c r="K1132" s="157"/>
      <c r="N1132" s="16"/>
      <c r="O1132" s="16"/>
      <c r="P1132" s="10" t="str">
        <f>IF(ISBLANK(N1132),"",IF(N1132&gt;H1132,"No","Yes"))</f>
        <v/>
      </c>
      <c r="R1132" s="4"/>
      <c r="S1132" s="4"/>
      <c r="T1132" s="7"/>
      <c r="U1132" s="6"/>
      <c r="V1132" s="6"/>
      <c r="W1132" s="6"/>
      <c r="X1132" s="6"/>
      <c r="Y1132" s="6"/>
      <c r="Z1132" s="6"/>
      <c r="AX1132" s="6" t="e">
        <v>#N/A</v>
      </c>
    </row>
    <row r="1133" spans="1:50" ht="31.4" customHeight="1" x14ac:dyDescent="0.35">
      <c r="A1133" s="136"/>
      <c r="B1133" s="7"/>
      <c r="C1133" s="7"/>
      <c r="D1133" s="7"/>
      <c r="E1133" s="25"/>
      <c r="F1133" s="9" t="str">
        <f>IF($E1133="","",WORKDAY($E1133,1,$V$33:$V$41))</f>
        <v/>
      </c>
      <c r="G1133" s="9" t="str">
        <f>IF($E1133="","",WORKDAY($E1133,10,$V$33:$V$41))</f>
        <v/>
      </c>
      <c r="H1133" s="9" t="str">
        <f>IF($E1133="","",WORKDAY($E1133,20,$V$33:$V$41))</f>
        <v/>
      </c>
      <c r="I1133" s="157" t="str">
        <f t="shared" si="22"/>
        <v/>
      </c>
      <c r="J1133" s="17" t="str">
        <f ca="1">IF(E1133="","",IF(N1133="",H1133-TODAY(),""))</f>
        <v/>
      </c>
      <c r="K1133" s="157"/>
      <c r="N1133" s="16"/>
      <c r="O1133" s="16"/>
      <c r="P1133" s="10" t="str">
        <f>IF(ISBLANK(N1133),"",IF(N1133&gt;H1133,"No","Yes"))</f>
        <v/>
      </c>
      <c r="R1133" s="4"/>
      <c r="S1133" s="4"/>
      <c r="T1133" s="7"/>
      <c r="U1133" s="6"/>
      <c r="V1133" s="6"/>
      <c r="W1133" s="6"/>
      <c r="X1133" s="6"/>
      <c r="Y1133" s="6"/>
      <c r="Z1133" s="6"/>
      <c r="AX1133" s="6" t="e">
        <v>#N/A</v>
      </c>
    </row>
    <row r="1134" spans="1:50" ht="31.4" customHeight="1" x14ac:dyDescent="0.35">
      <c r="A1134" s="136"/>
      <c r="B1134" s="7"/>
      <c r="C1134" s="7"/>
      <c r="D1134" s="7"/>
      <c r="E1134" s="25"/>
      <c r="F1134" s="9" t="str">
        <f>IF($E1134="","",WORKDAY($E1134,1,$V$33:$V$41))</f>
        <v/>
      </c>
      <c r="G1134" s="9" t="str">
        <f>IF($E1134="","",WORKDAY($E1134,10,$V$33:$V$41))</f>
        <v/>
      </c>
      <c r="H1134" s="9" t="str">
        <f>IF($E1134="","",WORKDAY($E1134,20,$V$33:$V$41))</f>
        <v/>
      </c>
      <c r="I1134" s="157" t="str">
        <f t="shared" si="22"/>
        <v/>
      </c>
      <c r="J1134" s="17" t="str">
        <f ca="1">IF(E1134="","",IF(N1134="",H1134-TODAY(),""))</f>
        <v/>
      </c>
      <c r="K1134" s="157"/>
      <c r="N1134" s="16"/>
      <c r="O1134" s="16"/>
      <c r="P1134" s="10" t="str">
        <f>IF(ISBLANK(N1134),"",IF(N1134&gt;H1134,"No","Yes"))</f>
        <v/>
      </c>
      <c r="R1134" s="4"/>
      <c r="S1134" s="4"/>
      <c r="T1134" s="7"/>
      <c r="U1134" s="6"/>
      <c r="V1134" s="6"/>
      <c r="W1134" s="6"/>
      <c r="X1134" s="6"/>
      <c r="Y1134" s="6"/>
      <c r="Z1134" s="6"/>
      <c r="AX1134" s="6" t="e">
        <v>#N/A</v>
      </c>
    </row>
    <row r="1135" spans="1:50" ht="31.4" customHeight="1" x14ac:dyDescent="0.35">
      <c r="A1135" s="136"/>
      <c r="B1135" s="7"/>
      <c r="C1135" s="7"/>
      <c r="D1135" s="7"/>
      <c r="E1135" s="25"/>
      <c r="F1135" s="9" t="str">
        <f>IF($E1135="","",WORKDAY($E1135,1,$V$33:$V$41))</f>
        <v/>
      </c>
      <c r="G1135" s="9" t="str">
        <f>IF($E1135="","",WORKDAY($E1135,10,$V$33:$V$41))</f>
        <v/>
      </c>
      <c r="H1135" s="9" t="str">
        <f>IF($E1135="","",WORKDAY($E1135,20,$V$33:$V$41))</f>
        <v/>
      </c>
      <c r="I1135" s="157" t="str">
        <f t="shared" ref="I1135:I1159" si="23">IF(ISBLANK(E1135),"",TEXT(E1135,"mmm"))</f>
        <v/>
      </c>
      <c r="J1135" s="17" t="str">
        <f ca="1">IF(E1135="","",IF(N1135="",H1135-TODAY(),""))</f>
        <v/>
      </c>
      <c r="K1135" s="157"/>
      <c r="N1135" s="16"/>
      <c r="O1135" s="16"/>
      <c r="P1135" s="10" t="str">
        <f>IF(ISBLANK(N1135),"",IF(N1135&gt;H1135,"No","Yes"))</f>
        <v/>
      </c>
      <c r="R1135" s="4"/>
      <c r="S1135" s="4"/>
      <c r="T1135" s="7"/>
      <c r="U1135" s="6"/>
      <c r="V1135" s="6"/>
      <c r="W1135" s="6"/>
      <c r="X1135" s="6"/>
      <c r="Y1135" s="6"/>
      <c r="Z1135" s="6"/>
      <c r="AX1135" s="6" t="e">
        <v>#N/A</v>
      </c>
    </row>
    <row r="1136" spans="1:50" ht="31.4" customHeight="1" x14ac:dyDescent="0.35">
      <c r="A1136" s="136"/>
      <c r="B1136" s="7"/>
      <c r="C1136" s="7"/>
      <c r="D1136" s="7"/>
      <c r="E1136" s="25"/>
      <c r="F1136" s="9" t="str">
        <f>IF($E1136="","",WORKDAY($E1136,1,$V$33:$V$41))</f>
        <v/>
      </c>
      <c r="G1136" s="9" t="str">
        <f>IF($E1136="","",WORKDAY($E1136,10,$V$33:$V$41))</f>
        <v/>
      </c>
      <c r="H1136" s="9" t="str">
        <f>IF($E1136="","",WORKDAY($E1136,20,$V$33:$V$41))</f>
        <v/>
      </c>
      <c r="I1136" s="157" t="str">
        <f t="shared" si="23"/>
        <v/>
      </c>
      <c r="J1136" s="17" t="str">
        <f ca="1">IF(E1136="","",IF(N1136="",H1136-TODAY(),""))</f>
        <v/>
      </c>
      <c r="K1136" s="157"/>
      <c r="N1136" s="16"/>
      <c r="O1136" s="16"/>
      <c r="P1136" s="10" t="str">
        <f>IF(ISBLANK(N1136),"",IF(N1136&gt;H1136,"No","Yes"))</f>
        <v/>
      </c>
      <c r="R1136" s="4"/>
      <c r="S1136" s="4"/>
      <c r="T1136" s="7"/>
      <c r="U1136" s="6"/>
      <c r="V1136" s="6"/>
      <c r="W1136" s="6"/>
      <c r="X1136" s="6"/>
      <c r="Y1136" s="6"/>
      <c r="Z1136" s="6"/>
      <c r="AX1136" s="6" t="e">
        <v>#N/A</v>
      </c>
    </row>
    <row r="1137" spans="1:50" ht="31.4" customHeight="1" x14ac:dyDescent="0.35">
      <c r="A1137" s="136"/>
      <c r="B1137" s="7"/>
      <c r="C1137" s="7"/>
      <c r="D1137" s="7"/>
      <c r="E1137" s="25"/>
      <c r="F1137" s="9" t="str">
        <f>IF($E1137="","",WORKDAY($E1137,1,$V$33:$V$41))</f>
        <v/>
      </c>
      <c r="G1137" s="9" t="str">
        <f>IF($E1137="","",WORKDAY($E1137,10,$V$33:$V$41))</f>
        <v/>
      </c>
      <c r="H1137" s="9" t="str">
        <f>IF($E1137="","",WORKDAY($E1137,20,$V$33:$V$41))</f>
        <v/>
      </c>
      <c r="I1137" s="157" t="str">
        <f t="shared" si="23"/>
        <v/>
      </c>
      <c r="J1137" s="17" t="str">
        <f ca="1">IF(E1137="","",IF(N1137="",H1137-TODAY(),""))</f>
        <v/>
      </c>
      <c r="K1137" s="157"/>
      <c r="N1137" s="16"/>
      <c r="O1137" s="16"/>
      <c r="P1137" s="10" t="str">
        <f>IF(ISBLANK(N1137),"",IF(N1137&gt;H1137,"No","Yes"))</f>
        <v/>
      </c>
      <c r="R1137" s="4"/>
      <c r="S1137" s="4"/>
      <c r="T1137" s="7"/>
      <c r="U1137" s="6"/>
      <c r="V1137" s="6"/>
      <c r="W1137" s="6"/>
      <c r="X1137" s="6"/>
      <c r="Y1137" s="6"/>
      <c r="Z1137" s="6"/>
      <c r="AX1137" s="6" t="e">
        <v>#N/A</v>
      </c>
    </row>
    <row r="1138" spans="1:50" ht="31.4" customHeight="1" x14ac:dyDescent="0.35">
      <c r="A1138" s="136"/>
      <c r="B1138" s="7"/>
      <c r="C1138" s="7"/>
      <c r="D1138" s="7"/>
      <c r="E1138" s="25"/>
      <c r="F1138" s="9" t="str">
        <f>IF($E1138="","",WORKDAY($E1138,1,$V$33:$V$41))</f>
        <v/>
      </c>
      <c r="G1138" s="9" t="str">
        <f>IF($E1138="","",WORKDAY($E1138,10,$V$33:$V$41))</f>
        <v/>
      </c>
      <c r="H1138" s="9" t="str">
        <f>IF($E1138="","",WORKDAY($E1138,20,$V$33:$V$41))</f>
        <v/>
      </c>
      <c r="I1138" s="157" t="str">
        <f t="shared" si="23"/>
        <v/>
      </c>
      <c r="J1138" s="17" t="str">
        <f ca="1">IF(E1138="","",IF(N1138="",H1138-TODAY(),""))</f>
        <v/>
      </c>
      <c r="K1138" s="157"/>
      <c r="N1138" s="16"/>
      <c r="O1138" s="16"/>
      <c r="P1138" s="10" t="str">
        <f>IF(ISBLANK(N1138),"",IF(N1138&gt;H1138,"No","Yes"))</f>
        <v/>
      </c>
      <c r="R1138" s="4"/>
      <c r="S1138" s="4"/>
      <c r="T1138" s="7"/>
      <c r="U1138" s="6"/>
      <c r="V1138" s="6"/>
      <c r="W1138" s="6"/>
      <c r="X1138" s="6"/>
      <c r="Y1138" s="6"/>
      <c r="Z1138" s="6"/>
      <c r="AX1138" s="6" t="e">
        <v>#N/A</v>
      </c>
    </row>
    <row r="1139" spans="1:50" ht="31.4" customHeight="1" x14ac:dyDescent="0.35">
      <c r="A1139" s="136"/>
      <c r="B1139" s="7"/>
      <c r="C1139" s="7"/>
      <c r="D1139" s="7"/>
      <c r="E1139" s="25"/>
      <c r="F1139" s="9" t="str">
        <f>IF($E1139="","",WORKDAY($E1139,1,$V$33:$V$41))</f>
        <v/>
      </c>
      <c r="G1139" s="9" t="str">
        <f>IF($E1139="","",WORKDAY($E1139,10,$V$33:$V$41))</f>
        <v/>
      </c>
      <c r="H1139" s="9" t="str">
        <f>IF($E1139="","",WORKDAY($E1139,20,$V$33:$V$41))</f>
        <v/>
      </c>
      <c r="I1139" s="157" t="str">
        <f t="shared" si="23"/>
        <v/>
      </c>
      <c r="J1139" s="17" t="str">
        <f ca="1">IF(E1139="","",IF(N1139="",H1139-TODAY(),""))</f>
        <v/>
      </c>
      <c r="K1139" s="157"/>
      <c r="N1139" s="16"/>
      <c r="O1139" s="16"/>
      <c r="P1139" s="10" t="str">
        <f>IF(ISBLANK(N1139),"",IF(N1139&gt;H1139,"No","Yes"))</f>
        <v/>
      </c>
      <c r="R1139" s="4"/>
      <c r="S1139" s="4"/>
      <c r="T1139" s="7"/>
      <c r="U1139" s="6"/>
      <c r="V1139" s="6"/>
      <c r="W1139" s="6"/>
      <c r="X1139" s="6"/>
      <c r="Y1139" s="6"/>
      <c r="Z1139" s="6"/>
      <c r="AX1139" s="6" t="e">
        <v>#N/A</v>
      </c>
    </row>
    <row r="1140" spans="1:50" ht="31.4" customHeight="1" x14ac:dyDescent="0.35">
      <c r="A1140" s="136"/>
      <c r="B1140" s="7"/>
      <c r="C1140" s="7"/>
      <c r="D1140" s="7"/>
      <c r="E1140" s="25"/>
      <c r="F1140" s="9" t="str">
        <f>IF($E1140="","",WORKDAY($E1140,1,$V$33:$V$41))</f>
        <v/>
      </c>
      <c r="G1140" s="9" t="str">
        <f>IF($E1140="","",WORKDAY($E1140,10,$V$33:$V$41))</f>
        <v/>
      </c>
      <c r="H1140" s="9" t="str">
        <f>IF($E1140="","",WORKDAY($E1140,20,$V$33:$V$41))</f>
        <v/>
      </c>
      <c r="I1140" s="157" t="str">
        <f t="shared" si="23"/>
        <v/>
      </c>
      <c r="J1140" s="17" t="str">
        <f ca="1">IF(E1140="","",IF(N1140="",H1140-TODAY(),""))</f>
        <v/>
      </c>
      <c r="K1140" s="157"/>
      <c r="N1140" s="16"/>
      <c r="O1140" s="16"/>
      <c r="P1140" s="10" t="str">
        <f>IF(ISBLANK(N1140),"",IF(N1140&gt;H1140,"No","Yes"))</f>
        <v/>
      </c>
      <c r="R1140" s="4"/>
      <c r="S1140" s="4"/>
      <c r="T1140" s="7"/>
      <c r="U1140" s="6"/>
      <c r="V1140" s="6"/>
      <c r="W1140" s="6"/>
      <c r="X1140" s="6"/>
      <c r="Y1140" s="6"/>
      <c r="Z1140" s="6"/>
      <c r="AX1140" s="6" t="e">
        <v>#N/A</v>
      </c>
    </row>
    <row r="1141" spans="1:50" ht="31.4" customHeight="1" x14ac:dyDescent="0.35">
      <c r="A1141" s="136"/>
      <c r="B1141" s="7"/>
      <c r="C1141" s="7"/>
      <c r="D1141" s="7"/>
      <c r="E1141" s="25"/>
      <c r="F1141" s="9" t="str">
        <f>IF($E1141="","",WORKDAY($E1141,1,$V$33:$V$41))</f>
        <v/>
      </c>
      <c r="G1141" s="9" t="str">
        <f>IF($E1141="","",WORKDAY($E1141,10,$V$33:$V$41))</f>
        <v/>
      </c>
      <c r="H1141" s="9" t="str">
        <f>IF($E1141="","",WORKDAY($E1141,20,$V$33:$V$41))</f>
        <v/>
      </c>
      <c r="I1141" s="157" t="str">
        <f t="shared" si="23"/>
        <v/>
      </c>
      <c r="J1141" s="17" t="str">
        <f ca="1">IF(E1141="","",IF(N1141="",H1141-TODAY(),""))</f>
        <v/>
      </c>
      <c r="K1141" s="157"/>
      <c r="N1141" s="16"/>
      <c r="O1141" s="16"/>
      <c r="P1141" s="10" t="str">
        <f>IF(ISBLANK(N1141),"",IF(N1141&gt;H1141,"No","Yes"))</f>
        <v/>
      </c>
      <c r="R1141" s="4"/>
      <c r="S1141" s="4"/>
      <c r="T1141" s="7"/>
      <c r="U1141" s="6"/>
      <c r="V1141" s="6"/>
      <c r="W1141" s="6"/>
      <c r="X1141" s="6"/>
      <c r="Y1141" s="6"/>
      <c r="Z1141" s="6"/>
      <c r="AX1141" s="6" t="e">
        <v>#N/A</v>
      </c>
    </row>
    <row r="1142" spans="1:50" ht="31.4" customHeight="1" x14ac:dyDescent="0.35">
      <c r="A1142" s="136"/>
      <c r="B1142" s="7"/>
      <c r="C1142" s="7"/>
      <c r="D1142" s="7"/>
      <c r="E1142" s="25"/>
      <c r="F1142" s="9" t="str">
        <f>IF($E1142="","",WORKDAY($E1142,1,$V$33:$V$41))</f>
        <v/>
      </c>
      <c r="G1142" s="9" t="str">
        <f>IF($E1142="","",WORKDAY($E1142,10,$V$33:$V$41))</f>
        <v/>
      </c>
      <c r="H1142" s="9" t="str">
        <f>IF($E1142="","",WORKDAY($E1142,20,$V$33:$V$41))</f>
        <v/>
      </c>
      <c r="I1142" s="157" t="str">
        <f t="shared" si="23"/>
        <v/>
      </c>
      <c r="J1142" s="17" t="str">
        <f ca="1">IF(E1142="","",IF(N1142="",H1142-TODAY(),""))</f>
        <v/>
      </c>
      <c r="K1142" s="157"/>
      <c r="N1142" s="16"/>
      <c r="O1142" s="16"/>
      <c r="P1142" s="10" t="str">
        <f>IF(ISBLANK(N1142),"",IF(N1142&gt;H1142,"No","Yes"))</f>
        <v/>
      </c>
      <c r="R1142" s="4"/>
      <c r="S1142" s="4"/>
      <c r="T1142" s="7"/>
      <c r="U1142" s="6"/>
      <c r="V1142" s="6"/>
      <c r="W1142" s="6"/>
      <c r="X1142" s="6"/>
      <c r="Y1142" s="6"/>
      <c r="Z1142" s="6"/>
      <c r="AX1142" s="6" t="e">
        <v>#N/A</v>
      </c>
    </row>
    <row r="1143" spans="1:50" ht="31.4" customHeight="1" x14ac:dyDescent="0.35">
      <c r="A1143" s="136"/>
      <c r="B1143" s="7"/>
      <c r="C1143" s="7"/>
      <c r="D1143" s="7"/>
      <c r="E1143" s="25"/>
      <c r="F1143" s="9" t="str">
        <f>IF($E1143="","",WORKDAY($E1143,1,$V$33:$V$41))</f>
        <v/>
      </c>
      <c r="G1143" s="9" t="str">
        <f>IF($E1143="","",WORKDAY($E1143,10,$V$33:$V$41))</f>
        <v/>
      </c>
      <c r="H1143" s="9" t="str">
        <f>IF($E1143="","",WORKDAY($E1143,20,$V$33:$V$41))</f>
        <v/>
      </c>
      <c r="I1143" s="157" t="str">
        <f t="shared" si="23"/>
        <v/>
      </c>
      <c r="J1143" s="17" t="str">
        <f ca="1">IF(E1143="","",IF(N1143="",H1143-TODAY(),""))</f>
        <v/>
      </c>
      <c r="K1143" s="157"/>
      <c r="N1143" s="16"/>
      <c r="O1143" s="16"/>
      <c r="P1143" s="10" t="str">
        <f>IF(ISBLANK(N1143),"",IF(N1143&gt;H1143,"No","Yes"))</f>
        <v/>
      </c>
      <c r="R1143" s="4"/>
      <c r="S1143" s="4"/>
      <c r="T1143" s="7"/>
      <c r="U1143" s="6"/>
      <c r="V1143" s="6"/>
      <c r="W1143" s="6"/>
      <c r="X1143" s="6"/>
      <c r="Y1143" s="6"/>
      <c r="Z1143" s="6"/>
      <c r="AX1143" s="6" t="e">
        <v>#N/A</v>
      </c>
    </row>
    <row r="1144" spans="1:50" ht="31.4" customHeight="1" x14ac:dyDescent="0.35">
      <c r="A1144" s="136"/>
      <c r="B1144" s="7"/>
      <c r="C1144" s="7"/>
      <c r="D1144" s="7"/>
      <c r="E1144" s="25"/>
      <c r="F1144" s="9" t="str">
        <f>IF($E1144="","",WORKDAY($E1144,1,$V$33:$V$41))</f>
        <v/>
      </c>
      <c r="G1144" s="9" t="str">
        <f>IF($E1144="","",WORKDAY($E1144,10,$V$33:$V$41))</f>
        <v/>
      </c>
      <c r="H1144" s="9" t="str">
        <f>IF($E1144="","",WORKDAY($E1144,20,$V$33:$V$41))</f>
        <v/>
      </c>
      <c r="I1144" s="157" t="str">
        <f t="shared" si="23"/>
        <v/>
      </c>
      <c r="J1144" s="17" t="str">
        <f ca="1">IF(E1144="","",IF(N1144="",H1144-TODAY(),""))</f>
        <v/>
      </c>
      <c r="K1144" s="157"/>
      <c r="N1144" s="16"/>
      <c r="O1144" s="16"/>
      <c r="P1144" s="10" t="str">
        <f>IF(ISBLANK(N1144),"",IF(N1144&gt;H1144,"No","Yes"))</f>
        <v/>
      </c>
      <c r="R1144" s="4"/>
      <c r="S1144" s="4"/>
      <c r="T1144" s="7"/>
      <c r="U1144" s="6"/>
      <c r="V1144" s="6"/>
      <c r="W1144" s="6"/>
      <c r="X1144" s="6"/>
      <c r="Y1144" s="6"/>
      <c r="Z1144" s="6"/>
      <c r="AX1144" s="6" t="e">
        <v>#N/A</v>
      </c>
    </row>
    <row r="1145" spans="1:50" ht="31.4" customHeight="1" x14ac:dyDescent="0.35">
      <c r="A1145" s="136"/>
      <c r="B1145" s="7"/>
      <c r="C1145" s="7"/>
      <c r="D1145" s="7"/>
      <c r="E1145" s="25"/>
      <c r="F1145" s="9" t="str">
        <f>IF($E1145="","",WORKDAY($E1145,1,$V$33:$V$41))</f>
        <v/>
      </c>
      <c r="G1145" s="9" t="str">
        <f>IF($E1145="","",WORKDAY($E1145,10,$V$33:$V$41))</f>
        <v/>
      </c>
      <c r="H1145" s="9" t="str">
        <f>IF($E1145="","",WORKDAY($E1145,20,$V$33:$V$41))</f>
        <v/>
      </c>
      <c r="I1145" s="157" t="str">
        <f t="shared" si="23"/>
        <v/>
      </c>
      <c r="J1145" s="17" t="str">
        <f ca="1">IF(E1145="","",IF(N1145="",H1145-TODAY(),""))</f>
        <v/>
      </c>
      <c r="K1145" s="157"/>
      <c r="N1145" s="16"/>
      <c r="O1145" s="16"/>
      <c r="P1145" s="10" t="str">
        <f>IF(ISBLANK(N1145),"",IF(N1145&gt;H1145,"No","Yes"))</f>
        <v/>
      </c>
      <c r="R1145" s="4"/>
      <c r="S1145" s="4"/>
      <c r="T1145" s="7"/>
      <c r="U1145" s="6"/>
      <c r="V1145" s="6"/>
      <c r="W1145" s="6"/>
      <c r="X1145" s="6"/>
      <c r="Y1145" s="6"/>
      <c r="Z1145" s="6"/>
      <c r="AX1145" s="6" t="e">
        <v>#N/A</v>
      </c>
    </row>
    <row r="1146" spans="1:50" ht="31.4" customHeight="1" x14ac:dyDescent="0.35">
      <c r="A1146" s="136"/>
      <c r="B1146" s="7"/>
      <c r="C1146" s="7"/>
      <c r="D1146" s="7"/>
      <c r="E1146" s="25"/>
      <c r="F1146" s="9" t="str">
        <f>IF($E1146="","",WORKDAY($E1146,1,$V$33:$V$41))</f>
        <v/>
      </c>
      <c r="G1146" s="9" t="str">
        <f>IF($E1146="","",WORKDAY($E1146,10,$V$33:$V$41))</f>
        <v/>
      </c>
      <c r="H1146" s="9" t="str">
        <f>IF($E1146="","",WORKDAY($E1146,20,$V$33:$V$41))</f>
        <v/>
      </c>
      <c r="I1146" s="157" t="str">
        <f t="shared" si="23"/>
        <v/>
      </c>
      <c r="J1146" s="17" t="str">
        <f ca="1">IF(E1146="","",IF(N1146="",H1146-TODAY(),""))</f>
        <v/>
      </c>
      <c r="K1146" s="157"/>
      <c r="N1146" s="16"/>
      <c r="O1146" s="16"/>
      <c r="P1146" s="10" t="str">
        <f>IF(ISBLANK(N1146),"",IF(N1146&gt;H1146,"No","Yes"))</f>
        <v/>
      </c>
      <c r="R1146" s="4"/>
      <c r="S1146" s="4"/>
      <c r="T1146" s="7"/>
      <c r="U1146" s="6"/>
      <c r="V1146" s="6"/>
      <c r="W1146" s="6"/>
      <c r="X1146" s="6"/>
      <c r="Y1146" s="6"/>
      <c r="Z1146" s="6"/>
      <c r="AX1146" s="6" t="e">
        <v>#N/A</v>
      </c>
    </row>
    <row r="1147" spans="1:50" ht="31.4" customHeight="1" x14ac:dyDescent="0.35">
      <c r="A1147" s="136"/>
      <c r="B1147" s="7"/>
      <c r="C1147" s="7"/>
      <c r="D1147" s="7"/>
      <c r="E1147" s="25"/>
      <c r="F1147" s="9" t="str">
        <f>IF($E1147="","",WORKDAY($E1147,1,$V$33:$V$41))</f>
        <v/>
      </c>
      <c r="G1147" s="9" t="str">
        <f>IF($E1147="","",WORKDAY($E1147,10,$V$33:$V$41))</f>
        <v/>
      </c>
      <c r="H1147" s="9" t="str">
        <f>IF($E1147="","",WORKDAY($E1147,20,$V$33:$V$41))</f>
        <v/>
      </c>
      <c r="I1147" s="157" t="str">
        <f t="shared" si="23"/>
        <v/>
      </c>
      <c r="J1147" s="17" t="str">
        <f ca="1">IF(E1147="","",IF(N1147="",H1147-TODAY(),""))</f>
        <v/>
      </c>
      <c r="K1147" s="157"/>
      <c r="N1147" s="16"/>
      <c r="O1147" s="16"/>
      <c r="P1147" s="10" t="str">
        <f>IF(ISBLANK(N1147),"",IF(N1147&gt;H1147,"No","Yes"))</f>
        <v/>
      </c>
      <c r="R1147" s="4"/>
      <c r="S1147" s="4"/>
      <c r="T1147" s="7"/>
      <c r="U1147" s="6"/>
      <c r="V1147" s="6"/>
      <c r="W1147" s="6"/>
      <c r="X1147" s="6"/>
      <c r="Y1147" s="6"/>
      <c r="Z1147" s="6"/>
      <c r="AX1147" s="6" t="e">
        <v>#N/A</v>
      </c>
    </row>
    <row r="1148" spans="1:50" ht="31.4" customHeight="1" x14ac:dyDescent="0.35">
      <c r="A1148" s="136"/>
      <c r="B1148" s="7"/>
      <c r="C1148" s="7"/>
      <c r="D1148" s="7"/>
      <c r="E1148" s="25"/>
      <c r="F1148" s="9" t="str">
        <f>IF($E1148="","",WORKDAY($E1148,1,$V$33:$V$41))</f>
        <v/>
      </c>
      <c r="G1148" s="9" t="str">
        <f>IF($E1148="","",WORKDAY($E1148,10,$V$33:$V$41))</f>
        <v/>
      </c>
      <c r="H1148" s="9" t="str">
        <f>IF($E1148="","",WORKDAY($E1148,20,$V$33:$V$41))</f>
        <v/>
      </c>
      <c r="I1148" s="157" t="str">
        <f t="shared" si="23"/>
        <v/>
      </c>
      <c r="J1148" s="17" t="str">
        <f ca="1">IF(E1148="","",IF(N1148="",H1148-TODAY(),""))</f>
        <v/>
      </c>
      <c r="K1148" s="157"/>
      <c r="N1148" s="16"/>
      <c r="O1148" s="16"/>
      <c r="P1148" s="10" t="str">
        <f>IF(ISBLANK(N1148),"",IF(N1148&gt;H1148,"No","Yes"))</f>
        <v/>
      </c>
      <c r="R1148" s="4"/>
      <c r="S1148" s="4"/>
      <c r="T1148" s="7"/>
      <c r="U1148" s="6"/>
      <c r="V1148" s="6"/>
      <c r="W1148" s="6"/>
      <c r="X1148" s="6"/>
      <c r="Y1148" s="6"/>
      <c r="Z1148" s="6"/>
      <c r="AX1148" s="6" t="e">
        <v>#N/A</v>
      </c>
    </row>
    <row r="1149" spans="1:50" ht="31.4" customHeight="1" x14ac:dyDescent="0.35">
      <c r="A1149" s="136"/>
      <c r="B1149" s="7"/>
      <c r="C1149" s="7"/>
      <c r="D1149" s="7"/>
      <c r="E1149" s="25"/>
      <c r="F1149" s="9" t="str">
        <f>IF($E1149="","",WORKDAY($E1149,1,$V$33:$V$41))</f>
        <v/>
      </c>
      <c r="G1149" s="9" t="str">
        <f>IF($E1149="","",WORKDAY($E1149,10,$V$33:$V$41))</f>
        <v/>
      </c>
      <c r="H1149" s="9" t="str">
        <f>IF($E1149="","",WORKDAY($E1149,20,$V$33:$V$41))</f>
        <v/>
      </c>
      <c r="I1149" s="157" t="str">
        <f t="shared" si="23"/>
        <v/>
      </c>
      <c r="J1149" s="17" t="str">
        <f ca="1">IF(E1149="","",IF(N1149="",H1149-TODAY(),""))</f>
        <v/>
      </c>
      <c r="K1149" s="157"/>
      <c r="N1149" s="16"/>
      <c r="O1149" s="16"/>
      <c r="P1149" s="10" t="str">
        <f>IF(ISBLANK(N1149),"",IF(N1149&gt;H1149,"No","Yes"))</f>
        <v/>
      </c>
      <c r="R1149" s="4"/>
      <c r="S1149" s="4"/>
      <c r="T1149" s="7"/>
      <c r="U1149" s="6"/>
      <c r="V1149" s="6"/>
      <c r="W1149" s="6"/>
      <c r="X1149" s="6"/>
      <c r="Y1149" s="6"/>
      <c r="Z1149" s="6"/>
      <c r="AX1149" s="6" t="e">
        <v>#N/A</v>
      </c>
    </row>
    <row r="1150" spans="1:50" ht="31.4" customHeight="1" x14ac:dyDescent="0.35">
      <c r="A1150" s="136"/>
      <c r="B1150" s="7"/>
      <c r="C1150" s="7"/>
      <c r="D1150" s="7"/>
      <c r="E1150" s="25"/>
      <c r="F1150" s="9" t="str">
        <f>IF($E1150="","",WORKDAY($E1150,1,$V$33:$V$41))</f>
        <v/>
      </c>
      <c r="G1150" s="9" t="str">
        <f>IF($E1150="","",WORKDAY($E1150,10,$V$33:$V$41))</f>
        <v/>
      </c>
      <c r="H1150" s="9" t="str">
        <f>IF($E1150="","",WORKDAY($E1150,20,$V$33:$V$41))</f>
        <v/>
      </c>
      <c r="I1150" s="157" t="str">
        <f t="shared" si="23"/>
        <v/>
      </c>
      <c r="J1150" s="17" t="str">
        <f ca="1">IF(E1150="","",IF(N1150="",H1150-TODAY(),""))</f>
        <v/>
      </c>
      <c r="K1150" s="157"/>
      <c r="N1150" s="16"/>
      <c r="O1150" s="16"/>
      <c r="P1150" s="10" t="str">
        <f>IF(ISBLANK(N1150),"",IF(N1150&gt;H1150,"No","Yes"))</f>
        <v/>
      </c>
      <c r="R1150" s="4"/>
      <c r="S1150" s="4"/>
      <c r="T1150" s="7"/>
      <c r="U1150" s="6"/>
      <c r="V1150" s="6"/>
      <c r="W1150" s="6"/>
      <c r="X1150" s="6"/>
      <c r="Y1150" s="6"/>
      <c r="Z1150" s="6"/>
      <c r="AX1150" s="6" t="e">
        <v>#N/A</v>
      </c>
    </row>
    <row r="1151" spans="1:50" ht="31.4" customHeight="1" x14ac:dyDescent="0.35">
      <c r="A1151" s="136"/>
      <c r="B1151" s="7"/>
      <c r="C1151" s="7"/>
      <c r="D1151" s="166"/>
      <c r="E1151" s="25"/>
      <c r="F1151" s="9"/>
      <c r="G1151" s="9"/>
      <c r="H1151" s="9"/>
      <c r="I1151" s="157"/>
      <c r="J1151" s="17"/>
      <c r="K1151" s="157"/>
      <c r="N1151" s="16"/>
      <c r="O1151" s="16"/>
      <c r="P1151" s="10"/>
      <c r="R1151" s="4"/>
      <c r="S1151" s="4"/>
      <c r="T1151" s="7"/>
      <c r="U1151" s="6"/>
      <c r="V1151" s="6"/>
      <c r="W1151" s="6"/>
      <c r="X1151" s="6"/>
      <c r="Y1151" s="6"/>
      <c r="Z1151" s="6"/>
      <c r="AX1151" s="6" t="e">
        <v>#N/A</v>
      </c>
    </row>
    <row r="1152" spans="1:50" ht="31.4" customHeight="1" x14ac:dyDescent="0.35">
      <c r="A1152" s="136"/>
      <c r="B1152" s="7"/>
      <c r="C1152" s="7"/>
      <c r="D1152" s="7"/>
      <c r="E1152" s="25"/>
      <c r="F1152" s="9" t="str">
        <f>IF($E1152="","",WORKDAY($E1152,1,$V$33:$V$41))</f>
        <v/>
      </c>
      <c r="G1152" s="9" t="str">
        <f>IF($E1152="","",WORKDAY($E1152,10,$V$33:$V$41))</f>
        <v/>
      </c>
      <c r="H1152" s="9" t="str">
        <f>IF($E1152="","",WORKDAY($E1152,20,$V$33:$V$41))</f>
        <v/>
      </c>
      <c r="I1152" s="157" t="str">
        <f t="shared" si="23"/>
        <v/>
      </c>
      <c r="J1152" s="17" t="str">
        <f ca="1">IF(E1152="","",IF(N1152="",H1152-TODAY(),""))</f>
        <v/>
      </c>
      <c r="K1152" s="157"/>
      <c r="N1152" s="16"/>
      <c r="O1152" s="16"/>
      <c r="P1152" s="10" t="str">
        <f>IF(ISBLANK(N1152),"",IF(N1152&gt;H1152,"No","Yes"))</f>
        <v/>
      </c>
      <c r="R1152" s="4"/>
      <c r="S1152" s="4"/>
      <c r="T1152" s="7"/>
      <c r="U1152" s="6"/>
      <c r="V1152" s="6"/>
      <c r="W1152" s="6"/>
      <c r="X1152" s="6"/>
      <c r="Y1152" s="6"/>
      <c r="Z1152" s="6"/>
      <c r="AX1152" s="6" t="e">
        <v>#N/A</v>
      </c>
    </row>
    <row r="1153" spans="1:50" ht="31.4" customHeight="1" x14ac:dyDescent="0.35">
      <c r="A1153" s="136"/>
      <c r="B1153" s="7"/>
      <c r="C1153" s="7"/>
      <c r="D1153" s="7"/>
      <c r="E1153" s="25"/>
      <c r="F1153" s="9" t="str">
        <f>IF($E1153="","",WORKDAY($E1153,1,$V$33:$V$41))</f>
        <v/>
      </c>
      <c r="G1153" s="9" t="str">
        <f>IF($E1153="","",WORKDAY($E1153,10,$V$33:$V$41))</f>
        <v/>
      </c>
      <c r="H1153" s="9" t="str">
        <f>IF($E1153="","",WORKDAY($E1153,20,$V$33:$V$41))</f>
        <v/>
      </c>
      <c r="I1153" s="157" t="str">
        <f t="shared" si="23"/>
        <v/>
      </c>
      <c r="J1153" s="17" t="str">
        <f ca="1">IF(E1153="","",IF(N1153="",H1153-TODAY(),""))</f>
        <v/>
      </c>
      <c r="K1153" s="157"/>
      <c r="N1153" s="16"/>
      <c r="O1153" s="16"/>
      <c r="P1153" s="10" t="str">
        <f>IF(ISBLANK(N1153),"",IF(N1153&gt;H1153,"No","Yes"))</f>
        <v/>
      </c>
      <c r="R1153" s="4"/>
      <c r="S1153" s="4"/>
      <c r="T1153" s="7"/>
      <c r="U1153" s="6"/>
      <c r="V1153" s="6"/>
      <c r="W1153" s="6"/>
      <c r="X1153" s="6"/>
      <c r="Y1153" s="6"/>
      <c r="Z1153" s="6"/>
      <c r="AX1153" s="6" t="e">
        <v>#N/A</v>
      </c>
    </row>
    <row r="1154" spans="1:50" ht="31.4" customHeight="1" x14ac:dyDescent="0.35">
      <c r="A1154" s="136"/>
      <c r="B1154" s="7"/>
      <c r="C1154" s="7"/>
      <c r="D1154" s="7"/>
      <c r="E1154" s="25"/>
      <c r="F1154" s="9" t="str">
        <f>IF($E1154="","",WORKDAY($E1154,1,$V$33:$V$41))</f>
        <v/>
      </c>
      <c r="G1154" s="9" t="str">
        <f>IF($E1154="","",WORKDAY($E1154,10,$V$33:$V$41))</f>
        <v/>
      </c>
      <c r="H1154" s="9" t="str">
        <f>IF($E1154="","",WORKDAY($E1154,20,$V$33:$V$41))</f>
        <v/>
      </c>
      <c r="I1154" s="157" t="str">
        <f t="shared" si="23"/>
        <v/>
      </c>
      <c r="J1154" s="17" t="str">
        <f ca="1">IF(E1154="","",IF(N1154="",H1154-TODAY(),""))</f>
        <v/>
      </c>
      <c r="K1154" s="157"/>
      <c r="N1154" s="16"/>
      <c r="O1154" s="16"/>
      <c r="P1154" s="10" t="str">
        <f>IF(ISBLANK(N1154),"",IF(N1154&gt;H1154,"No","Yes"))</f>
        <v/>
      </c>
      <c r="R1154" s="4"/>
      <c r="S1154" s="4"/>
      <c r="T1154" s="7"/>
      <c r="U1154" s="6"/>
      <c r="V1154" s="6"/>
      <c r="W1154" s="6"/>
      <c r="X1154" s="6"/>
      <c r="Y1154" s="6"/>
      <c r="Z1154" s="6"/>
      <c r="AX1154" s="6" t="e">
        <v>#N/A</v>
      </c>
    </row>
    <row r="1155" spans="1:50" ht="31.4" customHeight="1" x14ac:dyDescent="0.35">
      <c r="A1155" s="136"/>
      <c r="B1155" s="7"/>
      <c r="C1155" s="7"/>
      <c r="D1155" s="7"/>
      <c r="E1155" s="25"/>
      <c r="F1155" s="9" t="str">
        <f>IF($E1155="","",WORKDAY($E1155,1,$V$33:$V$41))</f>
        <v/>
      </c>
      <c r="G1155" s="9" t="str">
        <f>IF($E1155="","",WORKDAY($E1155,10,$V$33:$V$41))</f>
        <v/>
      </c>
      <c r="H1155" s="9" t="str">
        <f>IF($E1155="","",WORKDAY($E1155,20,$V$33:$V$41))</f>
        <v/>
      </c>
      <c r="I1155" s="157" t="str">
        <f t="shared" si="23"/>
        <v/>
      </c>
      <c r="J1155" s="17" t="str">
        <f ca="1">IF(E1155="","",IF(N1155="",H1155-TODAY(),""))</f>
        <v/>
      </c>
      <c r="K1155" s="157"/>
      <c r="N1155" s="16"/>
      <c r="O1155" s="16"/>
      <c r="P1155" s="10" t="str">
        <f>IF(ISBLANK(N1155),"",IF(N1155&gt;H1155,"No","Yes"))</f>
        <v/>
      </c>
      <c r="R1155" s="4"/>
      <c r="S1155" s="4"/>
      <c r="T1155" s="7"/>
      <c r="U1155" s="6"/>
      <c r="V1155" s="6"/>
      <c r="W1155" s="6"/>
      <c r="X1155" s="6"/>
      <c r="Y1155" s="6"/>
      <c r="Z1155" s="6"/>
      <c r="AX1155" s="6" t="e">
        <v>#N/A</v>
      </c>
    </row>
    <row r="1156" spans="1:50" ht="31.4" customHeight="1" x14ac:dyDescent="0.35">
      <c r="A1156" s="136"/>
      <c r="B1156" s="7"/>
      <c r="C1156" s="7"/>
      <c r="D1156" s="7"/>
      <c r="E1156" s="25"/>
      <c r="F1156" s="9" t="str">
        <f>IF($E1156="","",WORKDAY($E1156,1,$V$33:$V$41))</f>
        <v/>
      </c>
      <c r="G1156" s="9" t="str">
        <f>IF($E1156="","",WORKDAY($E1156,10,$V$33:$V$41))</f>
        <v/>
      </c>
      <c r="H1156" s="9" t="str">
        <f>IF($E1156="","",WORKDAY($E1156,20,$V$33:$V$41))</f>
        <v/>
      </c>
      <c r="I1156" s="157" t="str">
        <f t="shared" si="23"/>
        <v/>
      </c>
      <c r="J1156" s="17" t="str">
        <f ca="1">IF(E1156="","",IF(N1156="",H1156-TODAY(),""))</f>
        <v/>
      </c>
      <c r="K1156" s="157"/>
      <c r="N1156" s="16"/>
      <c r="O1156" s="16"/>
      <c r="P1156" s="10" t="str">
        <f>IF(ISBLANK(N1156),"",IF(N1156&gt;H1156,"No","Yes"))</f>
        <v/>
      </c>
      <c r="R1156" s="4"/>
      <c r="S1156" s="4"/>
      <c r="T1156" s="7"/>
      <c r="U1156" s="6"/>
      <c r="V1156" s="6"/>
      <c r="W1156" s="6"/>
      <c r="X1156" s="6"/>
      <c r="Y1156" s="6"/>
      <c r="Z1156" s="6"/>
      <c r="AX1156" s="6" t="e">
        <v>#N/A</v>
      </c>
    </row>
    <row r="1157" spans="1:50" ht="31.4" customHeight="1" x14ac:dyDescent="0.35">
      <c r="A1157" s="136"/>
      <c r="B1157" s="7"/>
      <c r="C1157" s="7"/>
      <c r="D1157" s="7"/>
      <c r="E1157" s="25"/>
      <c r="F1157" s="9" t="str">
        <f>IF($E1157="","",WORKDAY($E1157,1,$V$33:$V$41))</f>
        <v/>
      </c>
      <c r="G1157" s="9" t="str">
        <f>IF($E1157="","",WORKDAY($E1157,10,$V$33:$V$41))</f>
        <v/>
      </c>
      <c r="H1157" s="9" t="str">
        <f>IF($E1157="","",WORKDAY($E1157,20,$V$33:$V$41))</f>
        <v/>
      </c>
      <c r="I1157" s="157" t="str">
        <f t="shared" si="23"/>
        <v/>
      </c>
      <c r="J1157" s="17" t="str">
        <f ca="1">IF(E1157="","",IF(N1157="",H1157-TODAY(),""))</f>
        <v/>
      </c>
      <c r="K1157" s="157"/>
      <c r="N1157" s="16"/>
      <c r="O1157" s="16"/>
      <c r="P1157" s="10" t="str">
        <f>IF(ISBLANK(N1157),"",IF(N1157&gt;H1157,"No","Yes"))</f>
        <v/>
      </c>
      <c r="R1157" s="4"/>
      <c r="S1157" s="4"/>
      <c r="T1157" s="7"/>
      <c r="U1157" s="6"/>
      <c r="V1157" s="6"/>
      <c r="W1157" s="6"/>
      <c r="X1157" s="6"/>
      <c r="Y1157" s="6"/>
      <c r="Z1157" s="6"/>
      <c r="AX1157" s="6" t="e">
        <v>#N/A</v>
      </c>
    </row>
    <row r="1158" spans="1:50" ht="31.4" customHeight="1" x14ac:dyDescent="0.35">
      <c r="A1158" s="136"/>
      <c r="B1158" s="7"/>
      <c r="C1158" s="7"/>
      <c r="D1158" s="7"/>
      <c r="E1158" s="25"/>
      <c r="F1158" s="9" t="str">
        <f>IF($E1158="","",WORKDAY($E1158,1,$V$33:$V$41))</f>
        <v/>
      </c>
      <c r="G1158" s="9" t="str">
        <f>IF($E1158="","",WORKDAY($E1158,10,$V$33:$V$41))</f>
        <v/>
      </c>
      <c r="H1158" s="9" t="str">
        <f>IF($E1158="","",WORKDAY($E1158,20,$V$33:$V$41))</f>
        <v/>
      </c>
      <c r="I1158" s="157" t="str">
        <f t="shared" si="23"/>
        <v/>
      </c>
      <c r="J1158" s="17" t="str">
        <f ca="1">IF(E1158="","",IF(N1158="",H1158-TODAY(),""))</f>
        <v/>
      </c>
      <c r="K1158" s="157"/>
      <c r="N1158" s="16"/>
      <c r="O1158" s="16"/>
      <c r="P1158" s="10" t="str">
        <f>IF(ISBLANK(N1158),"",IF(N1158&gt;H1158,"No","Yes"))</f>
        <v/>
      </c>
      <c r="R1158" s="4"/>
      <c r="S1158" s="4"/>
      <c r="T1158" s="7"/>
      <c r="U1158" s="6"/>
      <c r="V1158" s="6"/>
      <c r="W1158" s="6"/>
      <c r="X1158" s="6"/>
      <c r="Y1158" s="6"/>
      <c r="Z1158" s="6"/>
      <c r="AX1158" s="6" t="e">
        <v>#N/A</v>
      </c>
    </row>
    <row r="1159" spans="1:50" ht="31.4" customHeight="1" x14ac:dyDescent="0.35">
      <c r="A1159" s="136"/>
      <c r="B1159" s="7"/>
      <c r="C1159" s="7"/>
      <c r="D1159" s="7"/>
      <c r="E1159" s="25"/>
      <c r="F1159" s="9" t="str">
        <f>IF($E1159="","",WORKDAY($E1159,1,$V$33:$V$41))</f>
        <v/>
      </c>
      <c r="G1159" s="9" t="str">
        <f>IF($E1159="","",WORKDAY($E1159,10,$V$33:$V$41))</f>
        <v/>
      </c>
      <c r="H1159" s="9" t="str">
        <f>IF($E1159="","",WORKDAY($E1159,20,$V$33:$V$41))</f>
        <v/>
      </c>
      <c r="I1159" s="157" t="str">
        <f t="shared" si="23"/>
        <v/>
      </c>
      <c r="J1159" s="17" t="str">
        <f ca="1">IF(E1159="","",IF(N1159="",H1159-TODAY(),""))</f>
        <v/>
      </c>
      <c r="K1159" s="157"/>
      <c r="N1159" s="16"/>
      <c r="O1159" s="16"/>
      <c r="P1159" s="10" t="str">
        <f>IF(ISBLANK(N1159),"",IF(N1159&gt;H1159,"No","Yes"))</f>
        <v/>
      </c>
      <c r="R1159" s="4"/>
      <c r="S1159" s="4"/>
      <c r="T1159" s="7"/>
      <c r="U1159" s="6"/>
      <c r="V1159" s="6"/>
      <c r="W1159" s="6"/>
      <c r="X1159" s="6"/>
      <c r="Y1159" s="6"/>
      <c r="Z1159" s="6"/>
      <c r="AX1159" s="6" t="e">
        <v>#N/A</v>
      </c>
    </row>
    <row r="1160" spans="1:50" ht="31.4" customHeight="1" x14ac:dyDescent="0.35">
      <c r="A1160" s="136"/>
      <c r="B1160" s="7"/>
      <c r="C1160" s="7"/>
      <c r="D1160" s="7"/>
      <c r="E1160" s="25"/>
      <c r="F1160" s="9" t="str">
        <f>IF($E1160="","",WORKDAY($E1160,1,$V$33:$V$41))</f>
        <v/>
      </c>
      <c r="G1160" s="9" t="str">
        <f>IF($E1160="","",WORKDAY($E1160,10,$V$33:$V$41))</f>
        <v/>
      </c>
      <c r="H1160" s="9" t="str">
        <f>IF($E1160="","",WORKDAY($E1160,20,$V$33:$V$41))</f>
        <v/>
      </c>
      <c r="I1160" s="157" t="str">
        <f>IF(ISBLANK(E1160),"",TEXT(E1160,"mmm"))</f>
        <v/>
      </c>
      <c r="J1160" s="17" t="str">
        <f ca="1">IF(E1160="","",IF(N1160="",H1160-TODAY(),""))</f>
        <v/>
      </c>
      <c r="K1160" s="157"/>
      <c r="N1160" s="16"/>
      <c r="O1160" s="16"/>
      <c r="P1160" s="10" t="str">
        <f>IF(ISBLANK(N1160),"",IF(N1160&gt;H1160,"No","Yes"))</f>
        <v/>
      </c>
      <c r="R1160" s="4"/>
      <c r="S1160" s="4"/>
      <c r="T1160" s="7"/>
      <c r="U1160" s="6"/>
      <c r="V1160" s="6"/>
      <c r="W1160" s="6"/>
      <c r="X1160" s="6"/>
      <c r="Y1160" s="6"/>
      <c r="Z1160" s="6"/>
      <c r="AX1160" s="6" t="e">
        <v>#N/A</v>
      </c>
    </row>
    <row r="1161" spans="1:50" ht="31.4" customHeight="1" x14ac:dyDescent="0.35">
      <c r="A1161" s="136"/>
      <c r="B1161" s="7"/>
      <c r="C1161" s="7"/>
      <c r="D1161" s="7"/>
      <c r="E1161" s="25"/>
      <c r="F1161" s="9" t="str">
        <f>IF($E1161="","",WORKDAY($E1161,1,$V$33:$V$41))</f>
        <v/>
      </c>
      <c r="G1161" s="9" t="str">
        <f>IF($E1161="","",WORKDAY($E1161,10,$V$33:$V$41))</f>
        <v/>
      </c>
      <c r="H1161" s="9" t="str">
        <f>IF($E1161="","",WORKDAY($E1161,20,$V$33:$V$41))</f>
        <v/>
      </c>
      <c r="I1161" s="157" t="str">
        <f>IF(ISBLANK(E1161),"",TEXT(E1161,"mmm"))</f>
        <v/>
      </c>
      <c r="J1161" s="17" t="str">
        <f ca="1">IF(E1161="","",IF(N1161="",H1161-TODAY(),""))</f>
        <v/>
      </c>
      <c r="K1161" s="157"/>
      <c r="N1161" s="16"/>
      <c r="O1161" s="16"/>
      <c r="P1161" s="10" t="str">
        <f>IF(ISBLANK(N1161),"",IF(N1161&gt;H1161,"No","Yes"))</f>
        <v/>
      </c>
      <c r="R1161" s="4"/>
      <c r="S1161" s="4"/>
      <c r="T1161" s="7"/>
      <c r="U1161" s="6"/>
      <c r="V1161" s="6"/>
      <c r="W1161" s="6"/>
      <c r="X1161" s="6"/>
      <c r="Y1161" s="6"/>
      <c r="Z1161" s="6"/>
      <c r="AX1161" s="6" t="e">
        <v>#N/A</v>
      </c>
    </row>
    <row r="1162" spans="1:50" ht="31.4" customHeight="1" x14ac:dyDescent="0.35">
      <c r="A1162" s="136"/>
      <c r="B1162" s="7"/>
      <c r="C1162" s="7"/>
      <c r="D1162" s="7"/>
      <c r="E1162" s="25"/>
      <c r="F1162" s="9" t="str">
        <f>IF($E1162="","",WORKDAY($E1162,1,$V$33:$V$41))</f>
        <v/>
      </c>
      <c r="G1162" s="9" t="str">
        <f>IF($E1162="","",WORKDAY($E1162,10,$V$33:$V$41))</f>
        <v/>
      </c>
      <c r="H1162" s="9" t="str">
        <f>IF($E1162="","",WORKDAY($E1162,20,$V$33:$V$41))</f>
        <v/>
      </c>
      <c r="I1162" s="157" t="str">
        <f>IF(ISBLANK(E1162),"",TEXT(E1162,"mmm"))</f>
        <v/>
      </c>
      <c r="J1162" s="17" t="str">
        <f ca="1">IF(E1162="","",IF(N1162="",H1162-TODAY(),""))</f>
        <v/>
      </c>
      <c r="K1162" s="157"/>
      <c r="N1162" s="16"/>
      <c r="O1162" s="16"/>
      <c r="P1162" s="10" t="str">
        <f>IF(ISBLANK(N1162),"",IF(N1162&gt;H1162,"No","Yes"))</f>
        <v/>
      </c>
      <c r="R1162" s="4"/>
      <c r="S1162" s="4"/>
      <c r="T1162" s="7"/>
      <c r="U1162" s="6"/>
      <c r="V1162" s="6"/>
      <c r="W1162" s="6"/>
      <c r="X1162" s="6"/>
      <c r="Y1162" s="6"/>
      <c r="Z1162" s="6"/>
      <c r="AX1162" s="6" t="e">
        <v>#N/A</v>
      </c>
    </row>
    <row r="1163" spans="1:50" ht="31.4" customHeight="1" x14ac:dyDescent="0.35">
      <c r="A1163" s="136"/>
      <c r="B1163" s="7"/>
      <c r="C1163" s="7"/>
      <c r="D1163" s="7"/>
      <c r="E1163" s="25"/>
      <c r="F1163" s="9" t="str">
        <f>IF($E1163="","",WORKDAY($E1163,1,$V$33:$V$41))</f>
        <v/>
      </c>
      <c r="G1163" s="9" t="str">
        <f>IF($E1163="","",WORKDAY($E1163,10,$V$33:$V$41))</f>
        <v/>
      </c>
      <c r="H1163" s="9" t="str">
        <f>IF($E1163="","",WORKDAY($E1163,20,$V$33:$V$41))</f>
        <v/>
      </c>
      <c r="I1163" s="157" t="str">
        <f>IF(ISBLANK(E1163),"",TEXT(E1163,"mmm"))</f>
        <v/>
      </c>
      <c r="J1163" s="17" t="str">
        <f ca="1">IF(E1163="","",IF(N1163="",H1163-TODAY(),""))</f>
        <v/>
      </c>
      <c r="K1163" s="157"/>
      <c r="N1163" s="16"/>
      <c r="O1163" s="16"/>
      <c r="P1163" s="10" t="str">
        <f>IF(ISBLANK(N1163),"",IF(N1163&gt;H1163,"No","Yes"))</f>
        <v/>
      </c>
      <c r="R1163" s="4"/>
      <c r="S1163" s="4"/>
      <c r="T1163" s="7"/>
      <c r="U1163" s="6"/>
      <c r="V1163" s="6"/>
      <c r="W1163" s="6"/>
      <c r="X1163" s="6"/>
      <c r="Y1163" s="6"/>
      <c r="Z1163" s="6"/>
      <c r="AX1163" s="6" t="e">
        <v>#N/A</v>
      </c>
    </row>
    <row r="1164" spans="1:50" ht="31.4" customHeight="1" x14ac:dyDescent="0.35">
      <c r="A1164" s="136"/>
      <c r="B1164" s="7"/>
      <c r="C1164" s="7"/>
      <c r="D1164" s="7"/>
      <c r="E1164" s="25"/>
      <c r="F1164" s="9" t="str">
        <f>IF($E1164="","",WORKDAY($E1164,1,$V$33:$V$41))</f>
        <v/>
      </c>
      <c r="G1164" s="9" t="str">
        <f>IF($E1164="","",WORKDAY($E1164,10,$V$33:$V$41))</f>
        <v/>
      </c>
      <c r="H1164" s="9" t="str">
        <f>IF($E1164="","",WORKDAY($E1164,20,$V$33:$V$41))</f>
        <v/>
      </c>
      <c r="I1164" s="157" t="str">
        <f t="shared" ref="I1164:I1171" si="24">IF(ISBLANK(E1164),"",TEXT(E1164,"mmm"))</f>
        <v/>
      </c>
      <c r="J1164" s="17" t="str">
        <f ca="1">IF(E1164="","",IF(N1164="",H1164-TODAY(),""))</f>
        <v/>
      </c>
      <c r="K1164" s="157"/>
      <c r="N1164" s="16"/>
      <c r="O1164" s="16"/>
      <c r="P1164" s="10" t="str">
        <f>IF(ISBLANK(N1164),"",IF(N1164&gt;H1164,"No","Yes"))</f>
        <v/>
      </c>
      <c r="R1164" s="4"/>
      <c r="S1164" s="4"/>
      <c r="T1164" s="7"/>
      <c r="U1164" s="6"/>
      <c r="V1164" s="6"/>
      <c r="W1164" s="6"/>
      <c r="X1164" s="6"/>
      <c r="Y1164" s="6"/>
      <c r="Z1164" s="6"/>
      <c r="AX1164" s="6" t="e">
        <v>#N/A</v>
      </c>
    </row>
    <row r="1165" spans="1:50" ht="31.4" customHeight="1" x14ac:dyDescent="0.35">
      <c r="A1165" s="136"/>
      <c r="B1165" s="7"/>
      <c r="C1165" s="7"/>
      <c r="D1165" s="7"/>
      <c r="E1165" s="25"/>
      <c r="F1165" s="9" t="str">
        <f>IF($E1165="","",WORKDAY($E1165,1,$V$33:$V$41))</f>
        <v/>
      </c>
      <c r="G1165" s="9" t="str">
        <f>IF($E1165="","",WORKDAY($E1165,10,$V$33:$V$41))</f>
        <v/>
      </c>
      <c r="H1165" s="9" t="str">
        <f>IF($E1165="","",WORKDAY($E1165,20,$V$33:$V$41))</f>
        <v/>
      </c>
      <c r="I1165" s="157" t="str">
        <f t="shared" si="24"/>
        <v/>
      </c>
      <c r="J1165" s="17" t="str">
        <f ca="1">IF(E1165="","",IF(N1165="",H1165-TODAY(),""))</f>
        <v/>
      </c>
      <c r="K1165" s="157"/>
      <c r="N1165" s="16"/>
      <c r="O1165" s="16"/>
      <c r="P1165" s="10" t="str">
        <f>IF(ISBLANK(N1165),"",IF(N1165&gt;H1165,"No","Yes"))</f>
        <v/>
      </c>
      <c r="R1165" s="4"/>
      <c r="S1165" s="4"/>
      <c r="T1165" s="7"/>
      <c r="U1165" s="6"/>
      <c r="V1165" s="6"/>
      <c r="W1165" s="6"/>
      <c r="X1165" s="6"/>
      <c r="Y1165" s="6"/>
      <c r="Z1165" s="6"/>
      <c r="AX1165" s="6" t="e">
        <v>#N/A</v>
      </c>
    </row>
    <row r="1166" spans="1:50" ht="31.4" customHeight="1" x14ac:dyDescent="0.35">
      <c r="A1166" s="136"/>
      <c r="B1166" s="7"/>
      <c r="C1166" s="7"/>
      <c r="D1166" s="7"/>
      <c r="E1166" s="25"/>
      <c r="F1166" s="9" t="str">
        <f>IF($E1166="","",WORKDAY($E1166,1,$V$33:$V$41))</f>
        <v/>
      </c>
      <c r="G1166" s="9" t="str">
        <f>IF($E1166="","",WORKDAY($E1166,10,$V$33:$V$41))</f>
        <v/>
      </c>
      <c r="H1166" s="9" t="str">
        <f>IF($E1166="","",WORKDAY($E1166,20,$V$33:$V$41))</f>
        <v/>
      </c>
      <c r="I1166" s="157" t="str">
        <f t="shared" si="24"/>
        <v/>
      </c>
      <c r="J1166" s="17" t="str">
        <f ca="1">IF(E1166="","",IF(N1166="",H1166-TODAY(),""))</f>
        <v/>
      </c>
      <c r="K1166" s="157"/>
      <c r="N1166" s="16"/>
      <c r="O1166" s="16"/>
      <c r="P1166" s="10" t="str">
        <f>IF(ISBLANK(N1166),"",IF(N1166&gt;H1166,"No","Yes"))</f>
        <v/>
      </c>
      <c r="R1166" s="4"/>
      <c r="S1166" s="4"/>
      <c r="T1166" s="7"/>
      <c r="U1166" s="6"/>
      <c r="V1166" s="6"/>
      <c r="W1166" s="6"/>
      <c r="X1166" s="6"/>
      <c r="Y1166" s="6"/>
      <c r="Z1166" s="6"/>
      <c r="AX1166" s="6" t="e">
        <v>#N/A</v>
      </c>
    </row>
    <row r="1167" spans="1:50" ht="31.4" customHeight="1" x14ac:dyDescent="0.35">
      <c r="A1167" s="136"/>
      <c r="B1167" s="7"/>
      <c r="C1167" s="7"/>
      <c r="D1167" s="7"/>
      <c r="E1167" s="25"/>
      <c r="F1167" s="9" t="str">
        <f>IF($E1167="","",WORKDAY($E1167,1,$V$33:$V$41))</f>
        <v/>
      </c>
      <c r="G1167" s="9" t="str">
        <f>IF($E1167="","",WORKDAY($E1167,10,$V$33:$V$41))</f>
        <v/>
      </c>
      <c r="H1167" s="9" t="str">
        <f>IF($E1167="","",WORKDAY($E1167,20,$V$33:$V$41))</f>
        <v/>
      </c>
      <c r="I1167" s="157" t="str">
        <f t="shared" si="24"/>
        <v/>
      </c>
      <c r="J1167" s="17" t="str">
        <f ca="1">IF(E1167="","",IF(N1167="",H1167-TODAY(),""))</f>
        <v/>
      </c>
      <c r="K1167" s="157"/>
      <c r="N1167" s="16"/>
      <c r="O1167" s="16"/>
      <c r="P1167" s="10" t="str">
        <f>IF(ISBLANK(N1167),"",IF(N1167&gt;H1167,"No","Yes"))</f>
        <v/>
      </c>
      <c r="R1167" s="4"/>
      <c r="S1167" s="4"/>
      <c r="T1167" s="7"/>
      <c r="U1167" s="6"/>
      <c r="V1167" s="6"/>
      <c r="W1167" s="6"/>
      <c r="X1167" s="6"/>
      <c r="Y1167" s="6"/>
      <c r="Z1167" s="6"/>
      <c r="AX1167" s="6" t="e">
        <v>#N/A</v>
      </c>
    </row>
    <row r="1168" spans="1:50" ht="31.4" customHeight="1" x14ac:dyDescent="0.35">
      <c r="A1168" s="136"/>
      <c r="B1168" s="7"/>
      <c r="C1168" s="7"/>
      <c r="D1168" s="7"/>
      <c r="E1168" s="25"/>
      <c r="F1168" s="9" t="str">
        <f>IF($E1168="","",WORKDAY($E1168,1,$V$33:$V$41))</f>
        <v/>
      </c>
      <c r="G1168" s="9" t="str">
        <f>IF($E1168="","",WORKDAY($E1168,10,$V$33:$V$41))</f>
        <v/>
      </c>
      <c r="H1168" s="9" t="str">
        <f>IF($E1168="","",WORKDAY($E1168,20,$V$33:$V$41))</f>
        <v/>
      </c>
      <c r="I1168" s="157" t="str">
        <f t="shared" si="24"/>
        <v/>
      </c>
      <c r="J1168" s="17" t="str">
        <f ca="1">IF(E1168="","",IF(N1168="",H1168-TODAY(),""))</f>
        <v/>
      </c>
      <c r="K1168" s="157"/>
      <c r="N1168" s="16"/>
      <c r="O1168" s="16"/>
      <c r="P1168" s="10" t="str">
        <f>IF(ISBLANK(N1168),"",IF(N1168&gt;H1168,"No","Yes"))</f>
        <v/>
      </c>
      <c r="R1168" s="4"/>
      <c r="S1168" s="4"/>
      <c r="T1168" s="7"/>
      <c r="U1168" s="6"/>
      <c r="V1168" s="6"/>
      <c r="W1168" s="6"/>
      <c r="X1168" s="6"/>
      <c r="Y1168" s="6"/>
      <c r="Z1168" s="6"/>
      <c r="AX1168" s="6" t="e">
        <v>#N/A</v>
      </c>
    </row>
    <row r="1169" spans="1:50" ht="31.4" customHeight="1" x14ac:dyDescent="0.35">
      <c r="A1169" s="136"/>
      <c r="B1169" s="7"/>
      <c r="C1169" s="7"/>
      <c r="D1169" s="7"/>
      <c r="E1169" s="25"/>
      <c r="F1169" s="9" t="str">
        <f>IF($E1169="","",WORKDAY($E1169,1,$V$33:$V$41))</f>
        <v/>
      </c>
      <c r="G1169" s="9" t="str">
        <f>IF($E1169="","",WORKDAY($E1169,10,$V$33:$V$41))</f>
        <v/>
      </c>
      <c r="H1169" s="9" t="str">
        <f>IF($E1169="","",WORKDAY($E1169,20,$V$33:$V$41))</f>
        <v/>
      </c>
      <c r="I1169" s="157" t="str">
        <f t="shared" si="24"/>
        <v/>
      </c>
      <c r="J1169" s="17" t="str">
        <f ca="1">IF(E1169="","",IF(N1169="",H1169-TODAY(),""))</f>
        <v/>
      </c>
      <c r="K1169" s="157"/>
      <c r="N1169" s="16"/>
      <c r="O1169" s="16"/>
      <c r="P1169" s="10" t="str">
        <f>IF(ISBLANK(N1169),"",IF(N1169&gt;H1169,"No","Yes"))</f>
        <v/>
      </c>
      <c r="R1169" s="4"/>
      <c r="S1169" s="4"/>
      <c r="T1169" s="7"/>
      <c r="U1169" s="6"/>
      <c r="V1169" s="6"/>
      <c r="W1169" s="6"/>
      <c r="X1169" s="6"/>
      <c r="Y1169" s="6"/>
      <c r="Z1169" s="6"/>
      <c r="AX1169" s="6" t="e">
        <v>#N/A</v>
      </c>
    </row>
    <row r="1170" spans="1:50" ht="31.4" customHeight="1" x14ac:dyDescent="0.35">
      <c r="A1170" s="136"/>
      <c r="B1170" s="7"/>
      <c r="C1170" s="7"/>
      <c r="D1170" s="7"/>
      <c r="E1170" s="25"/>
      <c r="F1170" s="9" t="str">
        <f>IF($E1170="","",WORKDAY($E1170,1,$V$33:$V$41))</f>
        <v/>
      </c>
      <c r="G1170" s="9" t="str">
        <f>IF($E1170="","",WORKDAY($E1170,10,$V$33:$V$41))</f>
        <v/>
      </c>
      <c r="H1170" s="9" t="str">
        <f>IF($E1170="","",WORKDAY($E1170,20,$V$33:$V$41))</f>
        <v/>
      </c>
      <c r="I1170" s="157" t="str">
        <f t="shared" si="24"/>
        <v/>
      </c>
      <c r="J1170" s="17" t="str">
        <f ca="1">IF(E1170="","",IF(N1170="",H1170-TODAY(),""))</f>
        <v/>
      </c>
      <c r="K1170" s="157"/>
      <c r="N1170" s="16"/>
      <c r="O1170" s="16"/>
      <c r="P1170" s="10" t="str">
        <f>IF(ISBLANK(N1170),"",IF(N1170&gt;H1170,"No","Yes"))</f>
        <v/>
      </c>
      <c r="R1170" s="4"/>
      <c r="S1170" s="4"/>
      <c r="T1170" s="7"/>
      <c r="U1170" s="6"/>
      <c r="V1170" s="6"/>
      <c r="W1170" s="6"/>
      <c r="X1170" s="6"/>
      <c r="Y1170" s="6"/>
      <c r="Z1170" s="6"/>
      <c r="AX1170" s="6" t="e">
        <v>#N/A</v>
      </c>
    </row>
    <row r="1171" spans="1:50" ht="31.4" customHeight="1" x14ac:dyDescent="0.35">
      <c r="A1171" s="136"/>
      <c r="B1171" s="7"/>
      <c r="C1171" s="7"/>
      <c r="D1171" s="7"/>
      <c r="E1171" s="25"/>
      <c r="F1171" s="9" t="str">
        <f>IF($E1171="","",WORKDAY($E1171,1,$V$33:$V$41))</f>
        <v/>
      </c>
      <c r="G1171" s="9" t="str">
        <f>IF($E1171="","",WORKDAY($E1171,10,$V$33:$V$41))</f>
        <v/>
      </c>
      <c r="H1171" s="9" t="str">
        <f>IF($E1171="","",WORKDAY($E1171,20,$V$33:$V$41))</f>
        <v/>
      </c>
      <c r="I1171" s="157" t="str">
        <f t="shared" si="24"/>
        <v/>
      </c>
      <c r="J1171" s="17" t="str">
        <f ca="1">IF(E1171="","",IF(N1171="",H1171-TODAY(),""))</f>
        <v/>
      </c>
      <c r="K1171" s="157"/>
      <c r="N1171" s="16"/>
      <c r="O1171" s="16"/>
      <c r="P1171" s="10" t="str">
        <f>IF(ISBLANK(N1171),"",IF(N1171&gt;H1171,"No","Yes"))</f>
        <v/>
      </c>
      <c r="R1171" s="4"/>
      <c r="S1171" s="4"/>
      <c r="T1171" s="7"/>
      <c r="U1171" s="6"/>
      <c r="V1171" s="6"/>
      <c r="W1171" s="6"/>
      <c r="X1171" s="6"/>
      <c r="Y1171" s="6"/>
      <c r="Z1171" s="6"/>
      <c r="AX1171" s="6" t="e">
        <v>#N/A</v>
      </c>
    </row>
    <row r="1172" spans="1:50" ht="31.4" customHeight="1" x14ac:dyDescent="0.35">
      <c r="A1172" s="136"/>
      <c r="B1172" s="7"/>
      <c r="C1172" s="7"/>
      <c r="D1172" s="7"/>
      <c r="E1172" s="25"/>
      <c r="F1172" s="9" t="str">
        <f>IF($E1172="","",WORKDAY($E1172,1,$V$33:$V$41))</f>
        <v/>
      </c>
      <c r="G1172" s="9" t="str">
        <f>IF($E1172="","",WORKDAY($E1172,10,$V$33:$V$41))</f>
        <v/>
      </c>
      <c r="H1172" s="9" t="str">
        <f>IF($E1172="","",WORKDAY($E1172,20,$V$33:$V$41))</f>
        <v/>
      </c>
      <c r="I1172" s="157" t="str">
        <f t="shared" ref="I1172:I1194" si="25">IF(ISBLANK(E1172),"",TEXT(E1172,"mmm"))</f>
        <v/>
      </c>
      <c r="J1172" s="17" t="str">
        <f ca="1">IF(E1172="","",IF(N1172="",H1172-TODAY(),""))</f>
        <v/>
      </c>
      <c r="K1172" s="157"/>
      <c r="N1172" s="16"/>
      <c r="O1172" s="16"/>
      <c r="P1172" s="10" t="str">
        <f>IF(ISBLANK(N1172),"",IF(N1172&gt;H1172,"No","Yes"))</f>
        <v/>
      </c>
      <c r="R1172" s="4"/>
      <c r="S1172" s="4"/>
      <c r="T1172" s="7"/>
      <c r="U1172" s="6"/>
      <c r="V1172" s="6"/>
      <c r="W1172" s="6"/>
      <c r="X1172" s="6"/>
      <c r="Y1172" s="6"/>
      <c r="Z1172" s="6"/>
      <c r="AX1172" s="6" t="e">
        <v>#N/A</v>
      </c>
    </row>
    <row r="1173" spans="1:50" ht="31.4" customHeight="1" x14ac:dyDescent="0.35">
      <c r="A1173" s="136"/>
      <c r="B1173" s="7"/>
      <c r="C1173" s="7"/>
      <c r="D1173" s="7"/>
      <c r="E1173" s="25"/>
      <c r="F1173" s="9" t="str">
        <f>IF($E1173="","",WORKDAY($E1173,1,$V$33:$V$41))</f>
        <v/>
      </c>
      <c r="G1173" s="9" t="str">
        <f>IF($E1173="","",WORKDAY($E1173,10,$V$33:$V$41))</f>
        <v/>
      </c>
      <c r="H1173" s="9" t="str">
        <f>IF($E1173="","",WORKDAY($E1173,20,$V$33:$V$41))</f>
        <v/>
      </c>
      <c r="I1173" s="157" t="str">
        <f t="shared" si="25"/>
        <v/>
      </c>
      <c r="J1173" s="17" t="str">
        <f ca="1">IF(E1173="","",IF(N1173="",H1173-TODAY(),""))</f>
        <v/>
      </c>
      <c r="K1173" s="157"/>
      <c r="N1173" s="16"/>
      <c r="O1173" s="16"/>
      <c r="P1173" s="10" t="str">
        <f>IF(ISBLANK(N1173),"",IF(N1173&gt;H1173,"No","Yes"))</f>
        <v/>
      </c>
      <c r="R1173" s="4"/>
      <c r="S1173" s="4"/>
      <c r="T1173" s="7"/>
      <c r="U1173" s="6"/>
      <c r="V1173" s="6"/>
      <c r="W1173" s="6"/>
      <c r="X1173" s="6"/>
      <c r="Y1173" s="6"/>
      <c r="Z1173" s="6"/>
      <c r="AX1173" s="6" t="e">
        <v>#N/A</v>
      </c>
    </row>
    <row r="1174" spans="1:50" ht="31.4" customHeight="1" x14ac:dyDescent="0.35">
      <c r="A1174" s="136"/>
      <c r="B1174" s="7"/>
      <c r="C1174" s="7"/>
      <c r="D1174" s="7"/>
      <c r="E1174" s="25"/>
      <c r="F1174" s="9" t="str">
        <f>IF($E1174="","",WORKDAY($E1174,1,$V$33:$V$41))</f>
        <v/>
      </c>
      <c r="G1174" s="9" t="str">
        <f>IF($E1174="","",WORKDAY($E1174,10,$V$33:$V$41))</f>
        <v/>
      </c>
      <c r="H1174" s="9" t="str">
        <f>IF($E1174="","",WORKDAY($E1174,20,$V$33:$V$41))</f>
        <v/>
      </c>
      <c r="I1174" s="157" t="str">
        <f t="shared" si="25"/>
        <v/>
      </c>
      <c r="J1174" s="17" t="str">
        <f ca="1">IF(E1174="","",IF(N1174="",H1174-TODAY(),""))</f>
        <v/>
      </c>
      <c r="K1174" s="157"/>
      <c r="N1174" s="16"/>
      <c r="O1174" s="16"/>
      <c r="P1174" s="10" t="str">
        <f>IF(ISBLANK(N1174),"",IF(N1174&gt;H1174,"No","Yes"))</f>
        <v/>
      </c>
      <c r="R1174" s="4"/>
      <c r="S1174" s="4"/>
      <c r="T1174" s="7"/>
      <c r="U1174" s="6"/>
      <c r="V1174" s="6"/>
      <c r="W1174" s="6"/>
      <c r="X1174" s="6"/>
      <c r="Y1174" s="6"/>
      <c r="Z1174" s="6"/>
      <c r="AX1174" s="6" t="e">
        <v>#N/A</v>
      </c>
    </row>
    <row r="1175" spans="1:50" ht="31.4" customHeight="1" x14ac:dyDescent="0.35">
      <c r="A1175" s="136"/>
      <c r="B1175" s="7"/>
      <c r="C1175" s="7"/>
      <c r="D1175" s="7"/>
      <c r="E1175" s="25"/>
      <c r="F1175" s="9" t="str">
        <f>IF($E1175="","",WORKDAY($E1175,1,$V$33:$V$41))</f>
        <v/>
      </c>
      <c r="G1175" s="9" t="str">
        <f>IF($E1175="","",WORKDAY($E1175,10,$V$33:$V$41))</f>
        <v/>
      </c>
      <c r="H1175" s="9" t="str">
        <f>IF($E1175="","",WORKDAY($E1175,20,$V$33:$V$41))</f>
        <v/>
      </c>
      <c r="I1175" s="157" t="str">
        <f t="shared" si="25"/>
        <v/>
      </c>
      <c r="J1175" s="17" t="str">
        <f ca="1">IF(E1175="","",IF(N1175="",H1175-TODAY(),""))</f>
        <v/>
      </c>
      <c r="K1175" s="157"/>
      <c r="N1175" s="16"/>
      <c r="O1175" s="16"/>
      <c r="P1175" s="10" t="str">
        <f>IF(ISBLANK(N1175),"",IF(N1175&gt;H1175,"No","Yes"))</f>
        <v/>
      </c>
      <c r="R1175" s="4"/>
      <c r="S1175" s="4"/>
      <c r="T1175" s="7"/>
      <c r="U1175" s="6"/>
      <c r="V1175" s="6"/>
      <c r="W1175" s="6"/>
      <c r="X1175" s="6"/>
      <c r="Y1175" s="6"/>
      <c r="Z1175" s="6"/>
      <c r="AX1175" s="6" t="e">
        <v>#N/A</v>
      </c>
    </row>
    <row r="1176" spans="1:50" ht="31.4" customHeight="1" x14ac:dyDescent="0.35">
      <c r="A1176" s="136"/>
      <c r="B1176" s="7"/>
      <c r="C1176" s="7"/>
      <c r="D1176" s="7"/>
      <c r="E1176" s="25"/>
      <c r="F1176" s="9" t="str">
        <f>IF($E1176="","",WORKDAY($E1176,1,$V$33:$V$41))</f>
        <v/>
      </c>
      <c r="G1176" s="9" t="str">
        <f>IF($E1176="","",WORKDAY($E1176,10,$V$33:$V$41))</f>
        <v/>
      </c>
      <c r="H1176" s="9" t="str">
        <f>IF($E1176="","",WORKDAY($E1176,20,$V$33:$V$41))</f>
        <v/>
      </c>
      <c r="I1176" s="157" t="str">
        <f t="shared" si="25"/>
        <v/>
      </c>
      <c r="J1176" s="17" t="str">
        <f ca="1">IF(E1176="","",IF(N1176="",H1176-TODAY(),""))</f>
        <v/>
      </c>
      <c r="K1176" s="157"/>
      <c r="N1176" s="16"/>
      <c r="O1176" s="16"/>
      <c r="P1176" s="10" t="str">
        <f>IF(ISBLANK(N1176),"",IF(N1176&gt;H1176,"No","Yes"))</f>
        <v/>
      </c>
      <c r="R1176" s="4"/>
      <c r="S1176" s="4"/>
      <c r="T1176" s="7"/>
      <c r="U1176" s="6"/>
      <c r="V1176" s="6"/>
      <c r="W1176" s="6"/>
      <c r="X1176" s="6"/>
      <c r="Y1176" s="6"/>
      <c r="Z1176" s="6"/>
      <c r="AX1176" s="6" t="e">
        <v>#N/A</v>
      </c>
    </row>
    <row r="1177" spans="1:50" ht="31.4" customHeight="1" x14ac:dyDescent="0.35">
      <c r="A1177" s="136"/>
      <c r="B1177" s="7"/>
      <c r="C1177" s="7"/>
      <c r="D1177" s="7"/>
      <c r="E1177" s="25"/>
      <c r="F1177" s="9" t="str">
        <f>IF($E1177="","",WORKDAY($E1177,1,$V$33:$V$41))</f>
        <v/>
      </c>
      <c r="G1177" s="9" t="str">
        <f>IF($E1177="","",WORKDAY($E1177,10,$V$33:$V$41))</f>
        <v/>
      </c>
      <c r="H1177" s="9" t="str">
        <f>IF($E1177="","",WORKDAY($E1177,20,$V$33:$V$41))</f>
        <v/>
      </c>
      <c r="I1177" s="157" t="str">
        <f t="shared" si="25"/>
        <v/>
      </c>
      <c r="J1177" s="17" t="str">
        <f ca="1">IF(E1177="","",IF(N1177="",H1177-TODAY(),""))</f>
        <v/>
      </c>
      <c r="K1177" s="157"/>
      <c r="N1177" s="16"/>
      <c r="O1177" s="16"/>
      <c r="P1177" s="10" t="str">
        <f>IF(ISBLANK(N1177),"",IF(N1177&gt;H1177,"No","Yes"))</f>
        <v/>
      </c>
      <c r="R1177" s="4"/>
      <c r="S1177" s="4"/>
      <c r="T1177" s="7"/>
      <c r="U1177" s="6"/>
      <c r="V1177" s="6"/>
      <c r="W1177" s="6"/>
      <c r="X1177" s="6"/>
      <c r="Y1177" s="6"/>
      <c r="Z1177" s="6"/>
      <c r="AX1177" s="6" t="e">
        <v>#N/A</v>
      </c>
    </row>
    <row r="1178" spans="1:50" ht="31.4" customHeight="1" x14ac:dyDescent="0.35">
      <c r="A1178" s="136"/>
      <c r="B1178" s="7"/>
      <c r="C1178" s="7"/>
      <c r="D1178" s="7"/>
      <c r="E1178" s="25"/>
      <c r="F1178" s="9" t="str">
        <f>IF($E1178="","",WORKDAY($E1178,1,$V$33:$V$41))</f>
        <v/>
      </c>
      <c r="G1178" s="9" t="str">
        <f>IF($E1178="","",WORKDAY($E1178,10,$V$33:$V$41))</f>
        <v/>
      </c>
      <c r="H1178" s="9" t="str">
        <f>IF($E1178="","",WORKDAY($E1178,20,$V$33:$V$41))</f>
        <v/>
      </c>
      <c r="I1178" s="157" t="str">
        <f t="shared" si="25"/>
        <v/>
      </c>
      <c r="J1178" s="17" t="str">
        <f ca="1">IF(E1178="","",IF(N1178="",H1178-TODAY(),""))</f>
        <v/>
      </c>
      <c r="K1178" s="157"/>
      <c r="N1178" s="16"/>
      <c r="O1178" s="16"/>
      <c r="P1178" s="10" t="str">
        <f>IF(ISBLANK(N1178),"",IF(N1178&gt;H1178,"No","Yes"))</f>
        <v/>
      </c>
      <c r="R1178" s="4"/>
      <c r="S1178" s="4"/>
      <c r="T1178" s="7"/>
      <c r="U1178" s="6"/>
      <c r="V1178" s="6"/>
      <c r="W1178" s="6"/>
      <c r="X1178" s="6"/>
      <c r="Y1178" s="6"/>
      <c r="Z1178" s="6"/>
      <c r="AX1178" s="6" t="e">
        <v>#N/A</v>
      </c>
    </row>
    <row r="1179" spans="1:50" ht="31.4" customHeight="1" x14ac:dyDescent="0.35">
      <c r="A1179" s="136"/>
      <c r="B1179" s="7"/>
      <c r="C1179" s="7"/>
      <c r="D1179" s="7"/>
      <c r="E1179" s="25"/>
      <c r="F1179" s="9" t="str">
        <f>IF($E1179="","",WORKDAY($E1179,1,$V$33:$V$41))</f>
        <v/>
      </c>
      <c r="G1179" s="9" t="str">
        <f>IF($E1179="","",WORKDAY($E1179,10,$V$33:$V$41))</f>
        <v/>
      </c>
      <c r="H1179" s="9" t="str">
        <f>IF($E1179="","",WORKDAY($E1179,20,$V$33:$V$41))</f>
        <v/>
      </c>
      <c r="I1179" s="157" t="str">
        <f t="shared" si="25"/>
        <v/>
      </c>
      <c r="J1179" s="17" t="str">
        <f ca="1">IF(E1179="","",IF(N1179="",H1179-TODAY(),""))</f>
        <v/>
      </c>
      <c r="K1179" s="157"/>
      <c r="N1179" s="16"/>
      <c r="O1179" s="16"/>
      <c r="P1179" s="10" t="str">
        <f>IF(ISBLANK(N1179),"",IF(N1179&gt;H1179,"No","Yes"))</f>
        <v/>
      </c>
      <c r="R1179" s="4"/>
      <c r="S1179" s="4"/>
      <c r="T1179" s="7"/>
      <c r="U1179" s="6"/>
      <c r="V1179" s="6"/>
      <c r="W1179" s="6"/>
      <c r="X1179" s="6"/>
      <c r="Y1179" s="6"/>
      <c r="Z1179" s="6"/>
      <c r="AX1179" s="6" t="e">
        <v>#N/A</v>
      </c>
    </row>
    <row r="1180" spans="1:50" ht="31.4" customHeight="1" x14ac:dyDescent="0.35">
      <c r="A1180" s="136"/>
      <c r="B1180" s="7"/>
      <c r="C1180" s="7"/>
      <c r="D1180" s="7"/>
      <c r="E1180" s="25"/>
      <c r="F1180" s="9" t="str">
        <f>IF($E1180="","",WORKDAY($E1180,1,$V$33:$V$41))</f>
        <v/>
      </c>
      <c r="G1180" s="9" t="str">
        <f>IF($E1180="","",WORKDAY($E1180,10,$V$33:$V$41))</f>
        <v/>
      </c>
      <c r="H1180" s="9" t="str">
        <f>IF($E1180="","",WORKDAY($E1180,20,$V$33:$V$41))</f>
        <v/>
      </c>
      <c r="I1180" s="157" t="str">
        <f t="shared" si="25"/>
        <v/>
      </c>
      <c r="J1180" s="17" t="str">
        <f ca="1">IF(E1180="","",IF(N1180="",H1180-TODAY(),""))</f>
        <v/>
      </c>
      <c r="K1180" s="157"/>
      <c r="N1180" s="16"/>
      <c r="O1180" s="16"/>
      <c r="P1180" s="10" t="str">
        <f>IF(ISBLANK(N1180),"",IF(N1180&gt;H1180,"No","Yes"))</f>
        <v/>
      </c>
      <c r="R1180" s="4"/>
      <c r="S1180" s="4"/>
      <c r="T1180" s="7"/>
      <c r="U1180" s="6"/>
      <c r="V1180" s="6"/>
      <c r="W1180" s="6"/>
      <c r="X1180" s="6"/>
      <c r="Y1180" s="6"/>
      <c r="Z1180" s="6"/>
      <c r="AX1180" s="6" t="e">
        <v>#N/A</v>
      </c>
    </row>
    <row r="1181" spans="1:50" ht="31.4" customHeight="1" x14ac:dyDescent="0.35">
      <c r="A1181" s="136"/>
      <c r="B1181" s="7"/>
      <c r="C1181" s="7"/>
      <c r="D1181" s="7"/>
      <c r="E1181" s="25"/>
      <c r="F1181" s="9" t="str">
        <f>IF($E1181="","",WORKDAY($E1181,1,$V$33:$V$41))</f>
        <v/>
      </c>
      <c r="G1181" s="9" t="str">
        <f>IF($E1181="","",WORKDAY($E1181,10,$V$33:$V$41))</f>
        <v/>
      </c>
      <c r="H1181" s="9" t="str">
        <f>IF($E1181="","",WORKDAY($E1181,20,$V$33:$V$41))</f>
        <v/>
      </c>
      <c r="I1181" s="157" t="str">
        <f t="shared" si="25"/>
        <v/>
      </c>
      <c r="J1181" s="17" t="str">
        <f ca="1">IF(E1181="","",IF(N1181="",H1181-TODAY(),""))</f>
        <v/>
      </c>
      <c r="K1181" s="157"/>
      <c r="N1181" s="16"/>
      <c r="O1181" s="16"/>
      <c r="P1181" s="10" t="str">
        <f>IF(ISBLANK(N1181),"",IF(N1181&gt;H1181,"No","Yes"))</f>
        <v/>
      </c>
      <c r="R1181" s="4"/>
      <c r="S1181" s="4"/>
      <c r="T1181" s="7"/>
      <c r="U1181" s="6"/>
      <c r="V1181" s="6"/>
      <c r="W1181" s="6"/>
      <c r="X1181" s="6"/>
      <c r="Y1181" s="6"/>
      <c r="Z1181" s="6"/>
      <c r="AX1181" s="6" t="e">
        <v>#N/A</v>
      </c>
    </row>
    <row r="1182" spans="1:50" ht="31.4" customHeight="1" x14ac:dyDescent="0.35">
      <c r="A1182" s="136"/>
      <c r="B1182" s="7"/>
      <c r="C1182" s="7"/>
      <c r="D1182" s="7"/>
      <c r="E1182" s="25"/>
      <c r="F1182" s="9" t="str">
        <f>IF($E1182="","",WORKDAY($E1182,1,$V$33:$V$41))</f>
        <v/>
      </c>
      <c r="G1182" s="9" t="str">
        <f>IF($E1182="","",WORKDAY($E1182,10,$V$33:$V$41))</f>
        <v/>
      </c>
      <c r="H1182" s="9" t="str">
        <f>IF($E1182="","",WORKDAY($E1182,20,$V$33:$V$41))</f>
        <v/>
      </c>
      <c r="I1182" s="157" t="str">
        <f t="shared" si="25"/>
        <v/>
      </c>
      <c r="J1182" s="17" t="str">
        <f ca="1">IF(E1182="","",IF(N1182="",H1182-TODAY(),""))</f>
        <v/>
      </c>
      <c r="K1182" s="157"/>
      <c r="N1182" s="16"/>
      <c r="O1182" s="16"/>
      <c r="P1182" s="10" t="str">
        <f>IF(ISBLANK(N1182),"",IF(N1182&gt;H1182,"No","Yes"))</f>
        <v/>
      </c>
      <c r="R1182" s="4"/>
      <c r="S1182" s="4"/>
      <c r="T1182" s="7"/>
      <c r="U1182" s="6"/>
      <c r="V1182" s="6"/>
      <c r="W1182" s="6"/>
      <c r="X1182" s="6"/>
      <c r="Y1182" s="6"/>
      <c r="Z1182" s="6"/>
      <c r="AX1182" s="6" t="e">
        <v>#N/A</v>
      </c>
    </row>
    <row r="1183" spans="1:50" ht="31.4" customHeight="1" x14ac:dyDescent="0.35">
      <c r="A1183" s="136"/>
      <c r="B1183" s="7"/>
      <c r="C1183" s="7"/>
      <c r="D1183" s="7"/>
      <c r="E1183" s="25"/>
      <c r="F1183" s="9" t="str">
        <f>IF($E1183="","",WORKDAY($E1183,1,$V$33:$V$41))</f>
        <v/>
      </c>
      <c r="G1183" s="9" t="str">
        <f>IF($E1183="","",WORKDAY($E1183,10,$V$33:$V$41))</f>
        <v/>
      </c>
      <c r="H1183" s="9" t="str">
        <f>IF($E1183="","",WORKDAY($E1183,20,$V$33:$V$41))</f>
        <v/>
      </c>
      <c r="I1183" s="157" t="str">
        <f t="shared" si="25"/>
        <v/>
      </c>
      <c r="J1183" s="17" t="str">
        <f ca="1">IF(E1183="","",IF(N1183="",H1183-TODAY(),""))</f>
        <v/>
      </c>
      <c r="K1183" s="157"/>
      <c r="N1183" s="16"/>
      <c r="O1183" s="16"/>
      <c r="P1183" s="10" t="str">
        <f>IF(ISBLANK(N1183),"",IF(N1183&gt;H1183,"No","Yes"))</f>
        <v/>
      </c>
      <c r="R1183" s="4"/>
      <c r="S1183" s="4"/>
      <c r="T1183" s="7"/>
      <c r="U1183" s="6"/>
      <c r="V1183" s="6"/>
      <c r="W1183" s="6"/>
      <c r="X1183" s="6"/>
      <c r="Y1183" s="6"/>
      <c r="Z1183" s="6"/>
      <c r="AX1183" s="6" t="e">
        <v>#N/A</v>
      </c>
    </row>
    <row r="1184" spans="1:50" ht="31.4" customHeight="1" x14ac:dyDescent="0.35">
      <c r="A1184" s="136"/>
      <c r="B1184" s="7"/>
      <c r="C1184" s="7"/>
      <c r="D1184" s="7"/>
      <c r="E1184" s="25"/>
      <c r="F1184" s="9" t="str">
        <f>IF($E1184="","",WORKDAY($E1184,1,$V$33:$V$41))</f>
        <v/>
      </c>
      <c r="G1184" s="9" t="str">
        <f>IF($E1184="","",WORKDAY($E1184,10,$V$33:$V$41))</f>
        <v/>
      </c>
      <c r="H1184" s="9" t="str">
        <f>IF($E1184="","",WORKDAY($E1184,20,$V$33:$V$41))</f>
        <v/>
      </c>
      <c r="I1184" s="157" t="str">
        <f t="shared" si="25"/>
        <v/>
      </c>
      <c r="J1184" s="17" t="str">
        <f ca="1">IF(E1184="","",IF(N1184="",H1184-TODAY(),""))</f>
        <v/>
      </c>
      <c r="K1184" s="157"/>
      <c r="N1184" s="16"/>
      <c r="O1184" s="16"/>
      <c r="P1184" s="10" t="str">
        <f>IF(ISBLANK(N1184),"",IF(N1184&gt;H1184,"No","Yes"))</f>
        <v/>
      </c>
      <c r="R1184" s="4"/>
      <c r="S1184" s="4"/>
      <c r="T1184" s="7"/>
      <c r="U1184" s="6"/>
      <c r="V1184" s="6"/>
      <c r="W1184" s="6"/>
      <c r="X1184" s="6"/>
      <c r="Y1184" s="6"/>
      <c r="Z1184" s="6"/>
      <c r="AX1184" s="6" t="e">
        <v>#N/A</v>
      </c>
    </row>
    <row r="1185" spans="1:50" ht="31.4" customHeight="1" x14ac:dyDescent="0.35">
      <c r="A1185" s="136"/>
      <c r="B1185" s="7"/>
      <c r="C1185" s="7"/>
      <c r="D1185" s="7"/>
      <c r="E1185" s="25"/>
      <c r="F1185" s="9" t="str">
        <f>IF($E1185="","",WORKDAY($E1185,1,$V$33:$V$41))</f>
        <v/>
      </c>
      <c r="G1185" s="9" t="str">
        <f>IF($E1185="","",WORKDAY($E1185,10,$V$33:$V$41))</f>
        <v/>
      </c>
      <c r="H1185" s="9" t="str">
        <f>IF($E1185="","",WORKDAY($E1185,20,$V$33:$V$41))</f>
        <v/>
      </c>
      <c r="I1185" s="157" t="str">
        <f t="shared" si="25"/>
        <v/>
      </c>
      <c r="J1185" s="17" t="str">
        <f ca="1">IF(E1185="","",IF(N1185="",H1185-TODAY(),""))</f>
        <v/>
      </c>
      <c r="K1185" s="157"/>
      <c r="N1185" s="16"/>
      <c r="O1185" s="16"/>
      <c r="P1185" s="10" t="str">
        <f>IF(ISBLANK(N1185),"",IF(N1185&gt;H1185,"No","Yes"))</f>
        <v/>
      </c>
      <c r="R1185" s="4"/>
      <c r="S1185" s="4"/>
      <c r="T1185" s="7"/>
      <c r="U1185" s="6"/>
      <c r="V1185" s="6"/>
      <c r="W1185" s="6"/>
      <c r="X1185" s="6"/>
      <c r="Y1185" s="6"/>
      <c r="Z1185" s="6"/>
      <c r="AX1185" s="6" t="e">
        <v>#N/A</v>
      </c>
    </row>
    <row r="1186" spans="1:50" ht="31.4" customHeight="1" x14ac:dyDescent="0.35">
      <c r="A1186" s="136"/>
      <c r="B1186" s="7"/>
      <c r="C1186" s="7"/>
      <c r="D1186" s="7"/>
      <c r="E1186" s="25"/>
      <c r="F1186" s="9" t="str">
        <f>IF($E1186="","",WORKDAY($E1186,1,$V$33:$V$41))</f>
        <v/>
      </c>
      <c r="G1186" s="9" t="str">
        <f>IF($E1186="","",WORKDAY($E1186,10,$V$33:$V$41))</f>
        <v/>
      </c>
      <c r="H1186" s="9" t="str">
        <f>IF($E1186="","",WORKDAY($E1186,20,$V$33:$V$41))</f>
        <v/>
      </c>
      <c r="I1186" s="157" t="str">
        <f t="shared" si="25"/>
        <v/>
      </c>
      <c r="J1186" s="17" t="str">
        <f ca="1">IF(E1186="","",IF(N1186="",H1186-TODAY(),""))</f>
        <v/>
      </c>
      <c r="K1186" s="157"/>
      <c r="N1186" s="16"/>
      <c r="O1186" s="16"/>
      <c r="P1186" s="10" t="str">
        <f>IF(ISBLANK(N1186),"",IF(N1186&gt;H1186,"No","Yes"))</f>
        <v/>
      </c>
      <c r="R1186" s="4"/>
      <c r="S1186" s="4"/>
      <c r="T1186" s="7"/>
      <c r="U1186" s="6"/>
      <c r="V1186" s="6"/>
      <c r="W1186" s="6"/>
      <c r="X1186" s="6"/>
      <c r="Y1186" s="6"/>
      <c r="Z1186" s="6"/>
      <c r="AX1186" s="6" t="e">
        <v>#N/A</v>
      </c>
    </row>
    <row r="1187" spans="1:50" ht="31.4" customHeight="1" x14ac:dyDescent="0.35">
      <c r="A1187" s="136"/>
      <c r="B1187" s="7"/>
      <c r="C1187" s="7"/>
      <c r="D1187" s="7"/>
      <c r="E1187" s="25"/>
      <c r="F1187" s="9" t="str">
        <f>IF($E1187="","",WORKDAY($E1187,1,$V$33:$V$41))</f>
        <v/>
      </c>
      <c r="G1187" s="9" t="str">
        <f>IF($E1187="","",WORKDAY($E1187,10,$V$33:$V$41))</f>
        <v/>
      </c>
      <c r="H1187" s="9" t="str">
        <f>IF($E1187="","",WORKDAY($E1187,20,$V$33:$V$41))</f>
        <v/>
      </c>
      <c r="I1187" s="157" t="str">
        <f t="shared" si="25"/>
        <v/>
      </c>
      <c r="J1187" s="17" t="str">
        <f ca="1">IF(E1187="","",IF(N1187="",H1187-TODAY(),""))</f>
        <v/>
      </c>
      <c r="K1187" s="157"/>
      <c r="N1187" s="16"/>
      <c r="O1187" s="16"/>
      <c r="P1187" s="10" t="str">
        <f>IF(ISBLANK(N1187),"",IF(N1187&gt;H1187,"No","Yes"))</f>
        <v/>
      </c>
      <c r="R1187" s="4"/>
      <c r="S1187" s="4"/>
      <c r="T1187" s="7"/>
      <c r="U1187" s="6"/>
      <c r="V1187" s="6"/>
      <c r="W1187" s="6"/>
      <c r="X1187" s="6"/>
      <c r="Y1187" s="6"/>
      <c r="Z1187" s="6"/>
      <c r="AX1187" s="6" t="e">
        <v>#N/A</v>
      </c>
    </row>
    <row r="1188" spans="1:50" ht="31.4" customHeight="1" x14ac:dyDescent="0.35">
      <c r="A1188" s="136"/>
      <c r="B1188" s="7"/>
      <c r="C1188" s="7"/>
      <c r="D1188" s="7"/>
      <c r="E1188" s="25"/>
      <c r="F1188" s="9" t="str">
        <f>IF($E1188="","",WORKDAY($E1188,1,$V$33:$V$41))</f>
        <v/>
      </c>
      <c r="G1188" s="9" t="str">
        <f>IF($E1188="","",WORKDAY($E1188,10,$V$33:$V$41))</f>
        <v/>
      </c>
      <c r="H1188" s="9" t="str">
        <f>IF($E1188="","",WORKDAY($E1188,20,$V$33:$V$41))</f>
        <v/>
      </c>
      <c r="I1188" s="157" t="str">
        <f t="shared" si="25"/>
        <v/>
      </c>
      <c r="J1188" s="17" t="str">
        <f ca="1">IF(E1188="","",IF(N1188="",H1188-TODAY(),""))</f>
        <v/>
      </c>
      <c r="K1188" s="157"/>
      <c r="N1188" s="16"/>
      <c r="O1188" s="16"/>
      <c r="P1188" s="10" t="str">
        <f>IF(ISBLANK(N1188),"",IF(N1188&gt;H1188,"No","Yes"))</f>
        <v/>
      </c>
      <c r="R1188" s="4"/>
      <c r="S1188" s="4"/>
      <c r="T1188" s="7"/>
      <c r="U1188" s="6"/>
      <c r="V1188" s="6"/>
      <c r="W1188" s="6"/>
      <c r="X1188" s="6"/>
      <c r="Y1188" s="6"/>
      <c r="Z1188" s="6"/>
      <c r="AX1188" s="6" t="e">
        <v>#N/A</v>
      </c>
    </row>
    <row r="1189" spans="1:50" ht="31.4" customHeight="1" x14ac:dyDescent="0.35">
      <c r="A1189" s="136"/>
      <c r="B1189" s="7"/>
      <c r="C1189" s="7"/>
      <c r="D1189" s="7"/>
      <c r="E1189" s="25"/>
      <c r="F1189" s="9" t="str">
        <f>IF($E1189="","",WORKDAY($E1189,1,$V$33:$V$41))</f>
        <v/>
      </c>
      <c r="G1189" s="9" t="str">
        <f>IF($E1189="","",WORKDAY($E1189,10,$V$33:$V$41))</f>
        <v/>
      </c>
      <c r="H1189" s="9" t="str">
        <f>IF($E1189="","",WORKDAY($E1189,20,$V$33:$V$41))</f>
        <v/>
      </c>
      <c r="I1189" s="157" t="str">
        <f t="shared" si="25"/>
        <v/>
      </c>
      <c r="J1189" s="17" t="str">
        <f ca="1">IF(E1189="","",IF(N1189="",H1189-TODAY(),""))</f>
        <v/>
      </c>
      <c r="K1189" s="157"/>
      <c r="N1189" s="16"/>
      <c r="O1189" s="16"/>
      <c r="P1189" s="10" t="str">
        <f>IF(ISBLANK(N1189),"",IF(N1189&gt;H1189,"No","Yes"))</f>
        <v/>
      </c>
      <c r="R1189" s="4"/>
      <c r="S1189" s="4"/>
      <c r="T1189" s="7"/>
      <c r="U1189" s="6"/>
      <c r="V1189" s="6"/>
      <c r="W1189" s="6"/>
      <c r="X1189" s="6"/>
      <c r="Y1189" s="6"/>
      <c r="Z1189" s="6"/>
      <c r="AX1189" s="6" t="e">
        <v>#N/A</v>
      </c>
    </row>
    <row r="1190" spans="1:50" ht="31.4" customHeight="1" x14ac:dyDescent="0.35">
      <c r="A1190" s="136"/>
      <c r="B1190" s="7"/>
      <c r="C1190" s="7"/>
      <c r="D1190" s="7"/>
      <c r="E1190" s="25"/>
      <c r="F1190" s="9" t="str">
        <f>IF($E1190="","",WORKDAY($E1190,1,$V$33:$V$41))</f>
        <v/>
      </c>
      <c r="G1190" s="9" t="str">
        <f>IF($E1190="","",WORKDAY($E1190,10,$V$33:$V$41))</f>
        <v/>
      </c>
      <c r="H1190" s="9" t="str">
        <f>IF($E1190="","",WORKDAY($E1190,20,$V$33:$V$41))</f>
        <v/>
      </c>
      <c r="I1190" s="157" t="str">
        <f t="shared" si="25"/>
        <v/>
      </c>
      <c r="J1190" s="17" t="str">
        <f ca="1">IF(E1190="","",IF(N1190="",H1190-TODAY(),""))</f>
        <v/>
      </c>
      <c r="K1190" s="157"/>
      <c r="N1190" s="16"/>
      <c r="O1190" s="16"/>
      <c r="P1190" s="10" t="str">
        <f>IF(ISBLANK(N1190),"",IF(N1190&gt;H1190,"No","Yes"))</f>
        <v/>
      </c>
      <c r="R1190" s="4"/>
      <c r="S1190" s="4"/>
      <c r="T1190" s="7"/>
      <c r="U1190" s="6"/>
      <c r="V1190" s="6"/>
      <c r="W1190" s="6"/>
      <c r="X1190" s="6"/>
      <c r="Y1190" s="6"/>
      <c r="Z1190" s="6"/>
      <c r="AX1190" s="6" t="e">
        <v>#N/A</v>
      </c>
    </row>
    <row r="1191" spans="1:50" ht="31.4" customHeight="1" x14ac:dyDescent="0.35">
      <c r="A1191" s="136"/>
      <c r="B1191" s="7"/>
      <c r="C1191" s="7"/>
      <c r="D1191" s="7"/>
      <c r="E1191" s="25"/>
      <c r="F1191" s="9" t="str">
        <f>IF($E1191="","",WORKDAY($E1191,1,$V$33:$V$41))</f>
        <v/>
      </c>
      <c r="G1191" s="9" t="str">
        <f>IF($E1191="","",WORKDAY($E1191,10,$V$33:$V$41))</f>
        <v/>
      </c>
      <c r="H1191" s="9" t="str">
        <f>IF($E1191="","",WORKDAY($E1191,20,$V$33:$V$41))</f>
        <v/>
      </c>
      <c r="I1191" s="157" t="str">
        <f t="shared" si="25"/>
        <v/>
      </c>
      <c r="J1191" s="17" t="str">
        <f ca="1">IF(E1191="","",IF(N1191="",H1191-TODAY(),""))</f>
        <v/>
      </c>
      <c r="K1191" s="157"/>
      <c r="N1191" s="16"/>
      <c r="O1191" s="16"/>
      <c r="P1191" s="10" t="str">
        <f>IF(ISBLANK(N1191),"",IF(N1191&gt;H1191,"No","Yes"))</f>
        <v/>
      </c>
      <c r="R1191" s="4"/>
      <c r="S1191" s="4"/>
      <c r="T1191" s="7"/>
      <c r="U1191" s="6"/>
      <c r="V1191" s="6"/>
      <c r="W1191" s="6"/>
      <c r="X1191" s="6"/>
      <c r="Y1191" s="6"/>
      <c r="Z1191" s="6"/>
      <c r="AX1191" s="6" t="e">
        <v>#N/A</v>
      </c>
    </row>
    <row r="1192" spans="1:50" ht="31.4" customHeight="1" x14ac:dyDescent="0.35">
      <c r="A1192" s="136"/>
      <c r="B1192" s="7"/>
      <c r="C1192" s="7"/>
      <c r="D1192" s="7"/>
      <c r="E1192" s="25"/>
      <c r="F1192" s="9" t="str">
        <f>IF($E1192="","",WORKDAY($E1192,1,$V$33:$V$41))</f>
        <v/>
      </c>
      <c r="G1192" s="9" t="str">
        <f>IF($E1192="","",WORKDAY($E1192,10,$V$33:$V$41))</f>
        <v/>
      </c>
      <c r="H1192" s="9" t="str">
        <f>IF($E1192="","",WORKDAY($E1192,20,$V$33:$V$41))</f>
        <v/>
      </c>
      <c r="I1192" s="157" t="str">
        <f t="shared" si="25"/>
        <v/>
      </c>
      <c r="J1192" s="17" t="str">
        <f ca="1">IF(E1192="","",IF(N1192="",H1192-TODAY(),""))</f>
        <v/>
      </c>
      <c r="K1192" s="157"/>
      <c r="N1192" s="16"/>
      <c r="O1192" s="16"/>
      <c r="P1192" s="10" t="str">
        <f>IF(ISBLANK(N1192),"",IF(N1192&gt;H1192,"No","Yes"))</f>
        <v/>
      </c>
      <c r="R1192" s="4"/>
      <c r="S1192" s="4"/>
      <c r="T1192" s="7"/>
      <c r="U1192" s="6"/>
      <c r="V1192" s="6"/>
      <c r="W1192" s="6"/>
      <c r="X1192" s="6"/>
      <c r="Y1192" s="6"/>
      <c r="Z1192" s="6"/>
      <c r="AX1192" s="6" t="e">
        <v>#N/A</v>
      </c>
    </row>
    <row r="1193" spans="1:50" ht="31.4" customHeight="1" x14ac:dyDescent="0.35">
      <c r="A1193" s="136"/>
      <c r="B1193" s="7"/>
      <c r="C1193" s="7"/>
      <c r="D1193" s="7"/>
      <c r="E1193" s="25"/>
      <c r="F1193" s="9" t="str">
        <f>IF($E1193="","",WORKDAY($E1193,1,$V$33:$V$41))</f>
        <v/>
      </c>
      <c r="G1193" s="9" t="str">
        <f>IF($E1193="","",WORKDAY($E1193,10,$V$33:$V$41))</f>
        <v/>
      </c>
      <c r="H1193" s="9" t="str">
        <f>IF($E1193="","",WORKDAY($E1193,20,$V$33:$V$41))</f>
        <v/>
      </c>
      <c r="I1193" s="157" t="str">
        <f t="shared" si="25"/>
        <v/>
      </c>
      <c r="J1193" s="17" t="str">
        <f ca="1">IF(E1193="","",IF(N1193="",H1193-TODAY(),""))</f>
        <v/>
      </c>
      <c r="K1193" s="157"/>
      <c r="N1193" s="16"/>
      <c r="O1193" s="16"/>
      <c r="P1193" s="10" t="str">
        <f>IF(ISBLANK(N1193),"",IF(N1193&gt;H1193,"No","Yes"))</f>
        <v/>
      </c>
      <c r="R1193" s="4"/>
      <c r="S1193" s="4"/>
      <c r="T1193" s="7"/>
      <c r="U1193" s="6"/>
      <c r="V1193" s="6"/>
      <c r="W1193" s="6"/>
      <c r="X1193" s="6"/>
      <c r="Y1193" s="6"/>
      <c r="Z1193" s="6"/>
      <c r="AX1193" s="6" t="e">
        <v>#N/A</v>
      </c>
    </row>
    <row r="1194" spans="1:50" ht="31.4" customHeight="1" x14ac:dyDescent="0.35">
      <c r="A1194" s="136"/>
      <c r="B1194" s="7"/>
      <c r="C1194" s="7"/>
      <c r="D1194" s="7"/>
      <c r="E1194" s="25"/>
      <c r="F1194" s="9" t="str">
        <f>IF($E1194="","",WORKDAY($E1194,1,$V$33:$V$41))</f>
        <v/>
      </c>
      <c r="G1194" s="9" t="str">
        <f>IF($E1194="","",WORKDAY($E1194,10,$V$33:$V$41))</f>
        <v/>
      </c>
      <c r="H1194" s="9" t="str">
        <f>IF($E1194="","",WORKDAY($E1194,20,$V$33:$V$41))</f>
        <v/>
      </c>
      <c r="I1194" s="157" t="str">
        <f t="shared" si="25"/>
        <v/>
      </c>
      <c r="J1194" s="17" t="str">
        <f ca="1">IF(E1194="","",IF(N1194="",H1194-TODAY(),""))</f>
        <v/>
      </c>
      <c r="K1194" s="157"/>
      <c r="N1194" s="16"/>
      <c r="O1194" s="16"/>
      <c r="P1194" s="10" t="str">
        <f>IF(ISBLANK(N1194),"",IF(N1194&gt;H1194,"No","Yes"))</f>
        <v/>
      </c>
      <c r="R1194" s="4"/>
      <c r="S1194" s="4"/>
      <c r="T1194" s="7"/>
      <c r="U1194" s="6"/>
      <c r="V1194" s="6"/>
      <c r="W1194" s="6"/>
      <c r="X1194" s="6"/>
      <c r="Y1194" s="6"/>
      <c r="Z1194" s="6"/>
      <c r="AX1194" s="6" t="e">
        <v>#N/A</v>
      </c>
    </row>
    <row r="1195" spans="1:50" ht="31.4" customHeight="1" x14ac:dyDescent="0.35">
      <c r="A1195" s="136"/>
      <c r="B1195" s="7"/>
      <c r="C1195" s="7"/>
      <c r="D1195" s="7"/>
      <c r="E1195" s="25"/>
      <c r="F1195" s="9" t="str">
        <f>IF($E1195="","",WORKDAY($E1195,1,$V$33:$V$41))</f>
        <v/>
      </c>
      <c r="G1195" s="9" t="str">
        <f>IF($E1195="","",WORKDAY($E1195,10,$V$33:$V$41))</f>
        <v/>
      </c>
      <c r="H1195" s="9" t="str">
        <f>IF($E1195="","",WORKDAY($E1195,20,$V$33:$V$41))</f>
        <v/>
      </c>
      <c r="I1195" s="157" t="str">
        <f t="shared" ref="I1195:I1214" si="26">IF(ISBLANK(E1195),"",TEXT(E1195,"mmm"))</f>
        <v/>
      </c>
      <c r="J1195" s="17" t="str">
        <f ca="1">IF(E1195="","",IF(N1195="",H1195-TODAY(),""))</f>
        <v/>
      </c>
      <c r="K1195" s="157"/>
      <c r="N1195" s="16"/>
      <c r="O1195" s="16"/>
      <c r="P1195" s="10" t="str">
        <f>IF(ISBLANK(N1195),"",IF(N1195&gt;H1195,"No","Yes"))</f>
        <v/>
      </c>
      <c r="R1195" s="4"/>
      <c r="S1195" s="4"/>
      <c r="T1195" s="7"/>
      <c r="U1195" s="6"/>
      <c r="V1195" s="6"/>
      <c r="W1195" s="6"/>
      <c r="X1195" s="6"/>
      <c r="Y1195" s="6"/>
      <c r="Z1195" s="6"/>
      <c r="AX1195" s="6" t="e">
        <v>#N/A</v>
      </c>
    </row>
    <row r="1196" spans="1:50" ht="31.4" customHeight="1" x14ac:dyDescent="0.35">
      <c r="A1196" s="136"/>
      <c r="B1196" s="7"/>
      <c r="C1196" s="7"/>
      <c r="D1196" s="7"/>
      <c r="E1196" s="25"/>
      <c r="F1196" s="9" t="str">
        <f>IF($E1196="","",WORKDAY($E1196,1,$V$33:$V$41))</f>
        <v/>
      </c>
      <c r="G1196" s="9" t="str">
        <f>IF($E1196="","",WORKDAY($E1196,10,$V$33:$V$41))</f>
        <v/>
      </c>
      <c r="H1196" s="9" t="str">
        <f>IF($E1196="","",WORKDAY($E1196,20,$V$33:$V$41))</f>
        <v/>
      </c>
      <c r="I1196" s="157" t="str">
        <f t="shared" si="26"/>
        <v/>
      </c>
      <c r="J1196" s="17" t="str">
        <f ca="1">IF(E1196="","",IF(N1196="",H1196-TODAY(),""))</f>
        <v/>
      </c>
      <c r="K1196" s="157"/>
      <c r="N1196" s="16"/>
      <c r="O1196" s="16"/>
      <c r="P1196" s="10" t="str">
        <f>IF(ISBLANK(N1196),"",IF(N1196&gt;H1196,"No","Yes"))</f>
        <v/>
      </c>
      <c r="R1196" s="4"/>
      <c r="S1196" s="4"/>
      <c r="T1196" s="7"/>
      <c r="U1196" s="6"/>
      <c r="V1196" s="6"/>
      <c r="W1196" s="6"/>
      <c r="X1196" s="6"/>
      <c r="Y1196" s="6"/>
      <c r="Z1196" s="6"/>
      <c r="AX1196" s="6" t="e">
        <v>#N/A</v>
      </c>
    </row>
    <row r="1197" spans="1:50" ht="31.4" customHeight="1" x14ac:dyDescent="0.35">
      <c r="A1197" s="136"/>
      <c r="B1197" s="7"/>
      <c r="C1197" s="7"/>
      <c r="D1197" s="7"/>
      <c r="E1197" s="25"/>
      <c r="F1197" s="9" t="str">
        <f>IF($E1197="","",WORKDAY($E1197,1,$V$33:$V$41))</f>
        <v/>
      </c>
      <c r="G1197" s="9" t="str">
        <f>IF($E1197="","",WORKDAY($E1197,10,$V$33:$V$41))</f>
        <v/>
      </c>
      <c r="H1197" s="9" t="str">
        <f>IF($E1197="","",WORKDAY($E1197,20,$V$33:$V$41))</f>
        <v/>
      </c>
      <c r="I1197" s="157" t="str">
        <f t="shared" si="26"/>
        <v/>
      </c>
      <c r="J1197" s="17" t="str">
        <f ca="1">IF(E1197="","",IF(N1197="",H1197-TODAY(),""))</f>
        <v/>
      </c>
      <c r="K1197" s="157"/>
      <c r="N1197" s="16"/>
      <c r="O1197" s="16"/>
      <c r="P1197" s="10" t="str">
        <f>IF(ISBLANK(N1197),"",IF(N1197&gt;H1197,"No","Yes"))</f>
        <v/>
      </c>
      <c r="R1197" s="4"/>
      <c r="S1197" s="4"/>
      <c r="T1197" s="7"/>
      <c r="U1197" s="6"/>
      <c r="V1197" s="6"/>
      <c r="W1197" s="6"/>
      <c r="X1197" s="6"/>
      <c r="Y1197" s="6"/>
      <c r="Z1197" s="6"/>
      <c r="AX1197" s="6" t="e">
        <v>#N/A</v>
      </c>
    </row>
    <row r="1198" spans="1:50" ht="31.4" customHeight="1" x14ac:dyDescent="0.35">
      <c r="A1198" s="136"/>
      <c r="B1198" s="7"/>
      <c r="C1198" s="7"/>
      <c r="D1198" s="7"/>
      <c r="E1198" s="25"/>
      <c r="F1198" s="9" t="str">
        <f>IF($E1198="","",WORKDAY($E1198,1,$V$33:$V$41))</f>
        <v/>
      </c>
      <c r="G1198" s="9" t="str">
        <f>IF($E1198="","",WORKDAY($E1198,10,$V$33:$V$41))</f>
        <v/>
      </c>
      <c r="H1198" s="9" t="str">
        <f>IF($E1198="","",WORKDAY($E1198,20,$V$33:$V$41))</f>
        <v/>
      </c>
      <c r="I1198" s="157" t="str">
        <f t="shared" si="26"/>
        <v/>
      </c>
      <c r="J1198" s="17" t="str">
        <f ca="1">IF(E1198="","",IF(N1198="",H1198-TODAY(),""))</f>
        <v/>
      </c>
      <c r="K1198" s="157"/>
      <c r="N1198" s="16"/>
      <c r="O1198" s="16"/>
      <c r="P1198" s="10" t="str">
        <f>IF(ISBLANK(N1198),"",IF(N1198&gt;H1198,"No","Yes"))</f>
        <v/>
      </c>
      <c r="R1198" s="4"/>
      <c r="S1198" s="4"/>
      <c r="T1198" s="7"/>
      <c r="U1198" s="6"/>
      <c r="V1198" s="6"/>
      <c r="W1198" s="6"/>
      <c r="X1198" s="6"/>
      <c r="Y1198" s="6"/>
      <c r="Z1198" s="6"/>
      <c r="AX1198" s="6" t="e">
        <v>#N/A</v>
      </c>
    </row>
    <row r="1199" spans="1:50" ht="31.4" customHeight="1" x14ac:dyDescent="0.35">
      <c r="A1199" s="136"/>
      <c r="B1199" s="7"/>
      <c r="C1199" s="7"/>
      <c r="D1199" s="7"/>
      <c r="E1199" s="25"/>
      <c r="F1199" s="9" t="str">
        <f>IF($E1199="","",WORKDAY($E1199,1,$V$33:$V$41))</f>
        <v/>
      </c>
      <c r="G1199" s="9" t="str">
        <f>IF($E1199="","",WORKDAY($E1199,10,$V$33:$V$41))</f>
        <v/>
      </c>
      <c r="H1199" s="9" t="str">
        <f>IF($E1199="","",WORKDAY($E1199,20,$V$33:$V$41))</f>
        <v/>
      </c>
      <c r="I1199" s="157" t="str">
        <f t="shared" si="26"/>
        <v/>
      </c>
      <c r="J1199" s="17" t="str">
        <f ca="1">IF(E1199="","",IF(N1199="",H1199-TODAY(),""))</f>
        <v/>
      </c>
      <c r="K1199" s="157"/>
      <c r="N1199" s="16"/>
      <c r="O1199" s="16"/>
      <c r="P1199" s="10" t="str">
        <f>IF(ISBLANK(N1199),"",IF(N1199&gt;H1199,"No","Yes"))</f>
        <v/>
      </c>
      <c r="R1199" s="4"/>
      <c r="S1199" s="4"/>
      <c r="T1199" s="7"/>
      <c r="U1199" s="6"/>
      <c r="V1199" s="6"/>
      <c r="W1199" s="6"/>
      <c r="X1199" s="6"/>
      <c r="Y1199" s="6"/>
      <c r="Z1199" s="6"/>
      <c r="AX1199" s="6" t="e">
        <v>#N/A</v>
      </c>
    </row>
    <row r="1200" spans="1:50" ht="31.4" customHeight="1" x14ac:dyDescent="0.35">
      <c r="A1200" s="136"/>
      <c r="B1200" s="7"/>
      <c r="C1200" s="7"/>
      <c r="D1200" s="7"/>
      <c r="E1200" s="25"/>
      <c r="F1200" s="9" t="str">
        <f>IF($E1200="","",WORKDAY($E1200,1,$V$33:$V$41))</f>
        <v/>
      </c>
      <c r="G1200" s="9" t="str">
        <f>IF($E1200="","",WORKDAY($E1200,10,$V$33:$V$41))</f>
        <v/>
      </c>
      <c r="H1200" s="9" t="str">
        <f>IF($E1200="","",WORKDAY($E1200,20,$V$33:$V$41))</f>
        <v/>
      </c>
      <c r="I1200" s="157" t="str">
        <f t="shared" si="26"/>
        <v/>
      </c>
      <c r="J1200" s="17" t="str">
        <f ca="1">IF(E1200="","",IF(N1200="",H1200-TODAY(),""))</f>
        <v/>
      </c>
      <c r="K1200" s="157"/>
      <c r="N1200" s="16"/>
      <c r="O1200" s="16"/>
      <c r="P1200" s="10" t="str">
        <f>IF(ISBLANK(N1200),"",IF(N1200&gt;H1200,"No","Yes"))</f>
        <v/>
      </c>
      <c r="R1200" s="4"/>
      <c r="S1200" s="4"/>
      <c r="T1200" s="7"/>
      <c r="U1200" s="6"/>
      <c r="V1200" s="6"/>
      <c r="W1200" s="6"/>
      <c r="X1200" s="6"/>
      <c r="Y1200" s="6"/>
      <c r="Z1200" s="6"/>
      <c r="AX1200" s="6" t="e">
        <v>#N/A</v>
      </c>
    </row>
    <row r="1201" spans="1:50" ht="31.4" customHeight="1" x14ac:dyDescent="0.35">
      <c r="A1201" s="136"/>
      <c r="B1201" s="7"/>
      <c r="C1201" s="7"/>
      <c r="D1201" s="7"/>
      <c r="E1201" s="25"/>
      <c r="F1201" s="9" t="str">
        <f>IF($E1201="","",WORKDAY($E1201,1,$V$33:$V$41))</f>
        <v/>
      </c>
      <c r="G1201" s="9" t="str">
        <f>IF($E1201="","",WORKDAY($E1201,10,$V$33:$V$41))</f>
        <v/>
      </c>
      <c r="H1201" s="9" t="str">
        <f>IF($E1201="","",WORKDAY($E1201,20,$V$33:$V$41))</f>
        <v/>
      </c>
      <c r="I1201" s="157" t="str">
        <f t="shared" si="26"/>
        <v/>
      </c>
      <c r="J1201" s="17" t="str">
        <f ca="1">IF(E1201="","",IF(N1201="",H1201-TODAY(),""))</f>
        <v/>
      </c>
      <c r="K1201" s="157"/>
      <c r="N1201" s="16"/>
      <c r="O1201" s="16"/>
      <c r="P1201" s="10" t="str">
        <f>IF(ISBLANK(N1201),"",IF(N1201&gt;H1201,"No","Yes"))</f>
        <v/>
      </c>
      <c r="R1201" s="4"/>
      <c r="S1201" s="4"/>
      <c r="T1201" s="7"/>
      <c r="U1201" s="6"/>
      <c r="V1201" s="6"/>
      <c r="W1201" s="6"/>
      <c r="X1201" s="6"/>
      <c r="Y1201" s="6"/>
      <c r="Z1201" s="6"/>
      <c r="AX1201" s="6" t="e">
        <v>#N/A</v>
      </c>
    </row>
    <row r="1202" spans="1:50" ht="31.4" customHeight="1" x14ac:dyDescent="0.35">
      <c r="A1202" s="136"/>
      <c r="B1202" s="7"/>
      <c r="C1202" s="7"/>
      <c r="D1202" s="7"/>
      <c r="E1202" s="25"/>
      <c r="F1202" s="9" t="str">
        <f>IF($E1202="","",WORKDAY($E1202,1,$V$33:$V$41))</f>
        <v/>
      </c>
      <c r="G1202" s="9" t="str">
        <f>IF($E1202="","",WORKDAY($E1202,10,$V$33:$V$41))</f>
        <v/>
      </c>
      <c r="H1202" s="9" t="str">
        <f>IF($E1202="","",WORKDAY($E1202,20,$V$33:$V$41))</f>
        <v/>
      </c>
      <c r="I1202" s="157" t="str">
        <f t="shared" si="26"/>
        <v/>
      </c>
      <c r="J1202" s="17" t="str">
        <f ca="1">IF(E1202="","",IF(N1202="",H1202-TODAY(),""))</f>
        <v/>
      </c>
      <c r="K1202" s="157"/>
      <c r="N1202" s="16"/>
      <c r="O1202" s="16"/>
      <c r="P1202" s="10" t="str">
        <f>IF(ISBLANK(N1202),"",IF(N1202&gt;H1202,"No","Yes"))</f>
        <v/>
      </c>
      <c r="R1202" s="4"/>
      <c r="S1202" s="4"/>
      <c r="T1202" s="7"/>
      <c r="U1202" s="6"/>
      <c r="V1202" s="6"/>
      <c r="W1202" s="6"/>
      <c r="X1202" s="6"/>
      <c r="Y1202" s="6"/>
      <c r="Z1202" s="6"/>
      <c r="AX1202" s="6" t="e">
        <v>#N/A</v>
      </c>
    </row>
    <row r="1203" spans="1:50" ht="31.4" customHeight="1" x14ac:dyDescent="0.35">
      <c r="A1203" s="136"/>
      <c r="B1203" s="7"/>
      <c r="C1203" s="7"/>
      <c r="D1203" s="7"/>
      <c r="E1203" s="25"/>
      <c r="F1203" s="9" t="str">
        <f>IF($E1203="","",WORKDAY($E1203,1,$V$33:$V$41))</f>
        <v/>
      </c>
      <c r="G1203" s="9" t="str">
        <f>IF($E1203="","",WORKDAY($E1203,10,$V$33:$V$41))</f>
        <v/>
      </c>
      <c r="H1203" s="9" t="str">
        <f>IF($E1203="","",WORKDAY($E1203,20,$V$33:$V$41))</f>
        <v/>
      </c>
      <c r="I1203" s="157" t="str">
        <f t="shared" si="26"/>
        <v/>
      </c>
      <c r="J1203" s="17" t="str">
        <f ca="1">IF(E1203="","",IF(N1203="",H1203-TODAY(),""))</f>
        <v/>
      </c>
      <c r="K1203" s="157"/>
      <c r="N1203" s="16"/>
      <c r="O1203" s="16"/>
      <c r="P1203" s="10" t="str">
        <f>IF(ISBLANK(N1203),"",IF(N1203&gt;H1203,"No","Yes"))</f>
        <v/>
      </c>
      <c r="R1203" s="4"/>
      <c r="S1203" s="4"/>
      <c r="T1203" s="7"/>
      <c r="U1203" s="6"/>
      <c r="V1203" s="6"/>
      <c r="W1203" s="6"/>
      <c r="X1203" s="6"/>
      <c r="Y1203" s="6"/>
      <c r="Z1203" s="6"/>
      <c r="AX1203" s="6" t="e">
        <v>#N/A</v>
      </c>
    </row>
    <row r="1204" spans="1:50" ht="31.4" customHeight="1" x14ac:dyDescent="0.35">
      <c r="A1204" s="136"/>
      <c r="B1204" s="7"/>
      <c r="C1204" s="7"/>
      <c r="D1204" s="7"/>
      <c r="E1204" s="25"/>
      <c r="F1204" s="9" t="str">
        <f>IF($E1204="","",WORKDAY($E1204,1,$V$33:$V$41))</f>
        <v/>
      </c>
      <c r="G1204" s="9" t="str">
        <f>IF($E1204="","",WORKDAY($E1204,10,$V$33:$V$41))</f>
        <v/>
      </c>
      <c r="H1204" s="9" t="str">
        <f>IF($E1204="","",WORKDAY($E1204,20,$V$33:$V$41))</f>
        <v/>
      </c>
      <c r="I1204" s="157" t="str">
        <f t="shared" si="26"/>
        <v/>
      </c>
      <c r="J1204" s="17" t="str">
        <f ca="1">IF(E1204="","",IF(N1204="",H1204-TODAY(),""))</f>
        <v/>
      </c>
      <c r="K1204" s="157"/>
      <c r="N1204" s="16"/>
      <c r="O1204" s="16"/>
      <c r="P1204" s="10" t="str">
        <f>IF(ISBLANK(N1204),"",IF(N1204&gt;H1204,"No","Yes"))</f>
        <v/>
      </c>
      <c r="R1204" s="4"/>
      <c r="S1204" s="4"/>
      <c r="T1204" s="7"/>
      <c r="U1204" s="6"/>
      <c r="V1204" s="6"/>
      <c r="W1204" s="6"/>
      <c r="X1204" s="6"/>
      <c r="Y1204" s="6"/>
      <c r="Z1204" s="6"/>
      <c r="AX1204" s="6" t="e">
        <v>#N/A</v>
      </c>
    </row>
    <row r="1205" spans="1:50" ht="31.4" customHeight="1" x14ac:dyDescent="0.35">
      <c r="A1205" s="136"/>
      <c r="B1205" s="7"/>
      <c r="C1205" s="7"/>
      <c r="D1205" s="7"/>
      <c r="E1205" s="25"/>
      <c r="F1205" s="9" t="str">
        <f>IF($E1205="","",WORKDAY($E1205,1,$V$33:$V$41))</f>
        <v/>
      </c>
      <c r="G1205" s="9" t="str">
        <f>IF($E1205="","",WORKDAY($E1205,10,$V$33:$V$41))</f>
        <v/>
      </c>
      <c r="H1205" s="9" t="str">
        <f>IF($E1205="","",WORKDAY($E1205,20,$V$33:$V$41))</f>
        <v/>
      </c>
      <c r="I1205" s="157" t="str">
        <f t="shared" si="26"/>
        <v/>
      </c>
      <c r="J1205" s="17" t="str">
        <f ca="1">IF(E1205="","",IF(N1205="",H1205-TODAY(),""))</f>
        <v/>
      </c>
      <c r="K1205" s="157"/>
      <c r="N1205" s="16"/>
      <c r="O1205" s="16"/>
      <c r="P1205" s="10" t="str">
        <f>IF(ISBLANK(N1205),"",IF(N1205&gt;H1205,"No","Yes"))</f>
        <v/>
      </c>
      <c r="R1205" s="4"/>
      <c r="S1205" s="4"/>
      <c r="T1205" s="7"/>
      <c r="U1205" s="6"/>
      <c r="V1205" s="6"/>
      <c r="W1205" s="6"/>
      <c r="X1205" s="6"/>
      <c r="Y1205" s="6"/>
      <c r="Z1205" s="6"/>
      <c r="AX1205" s="6" t="e">
        <v>#N/A</v>
      </c>
    </row>
    <row r="1206" spans="1:50" ht="31.4" customHeight="1" x14ac:dyDescent="0.35">
      <c r="A1206" s="136"/>
      <c r="B1206" s="7"/>
      <c r="C1206" s="7"/>
      <c r="D1206" s="7"/>
      <c r="E1206" s="25"/>
      <c r="F1206" s="9" t="str">
        <f>IF($E1206="","",WORKDAY($E1206,1,$V$33:$V$41))</f>
        <v/>
      </c>
      <c r="G1206" s="9" t="str">
        <f>IF($E1206="","",WORKDAY($E1206,10,$V$33:$V$41))</f>
        <v/>
      </c>
      <c r="H1206" s="9" t="str">
        <f>IF($E1206="","",WORKDAY($E1206,20,$V$33:$V$41))</f>
        <v/>
      </c>
      <c r="I1206" s="157" t="str">
        <f t="shared" si="26"/>
        <v/>
      </c>
      <c r="J1206" s="17" t="str">
        <f ca="1">IF(E1206="","",IF(N1206="",H1206-TODAY(),""))</f>
        <v/>
      </c>
      <c r="K1206" s="157"/>
      <c r="N1206" s="16"/>
      <c r="O1206" s="16"/>
      <c r="P1206" s="10" t="str">
        <f>IF(ISBLANK(N1206),"",IF(N1206&gt;H1206,"No","Yes"))</f>
        <v/>
      </c>
      <c r="R1206" s="4"/>
      <c r="S1206" s="4"/>
      <c r="T1206" s="7"/>
      <c r="U1206" s="6"/>
      <c r="V1206" s="6"/>
      <c r="W1206" s="6"/>
      <c r="X1206" s="6"/>
      <c r="Y1206" s="6"/>
      <c r="Z1206" s="6"/>
      <c r="AX1206" s="6" t="e">
        <v>#N/A</v>
      </c>
    </row>
    <row r="1207" spans="1:50" ht="31.4" customHeight="1" x14ac:dyDescent="0.35">
      <c r="A1207" s="136"/>
      <c r="B1207" s="7"/>
      <c r="C1207" s="7"/>
      <c r="D1207" s="7"/>
      <c r="E1207" s="25"/>
      <c r="F1207" s="9" t="str">
        <f>IF($E1207="","",WORKDAY($E1207,1,$V$33:$V$41))</f>
        <v/>
      </c>
      <c r="G1207" s="9" t="str">
        <f>IF($E1207="","",WORKDAY($E1207,10,$V$33:$V$41))</f>
        <v/>
      </c>
      <c r="H1207" s="9" t="str">
        <f>IF($E1207="","",WORKDAY($E1207,20,$V$33:$V$41))</f>
        <v/>
      </c>
      <c r="I1207" s="157" t="str">
        <f t="shared" si="26"/>
        <v/>
      </c>
      <c r="J1207" s="17" t="str">
        <f ca="1">IF(E1207="","",IF(N1207="",H1207-TODAY(),""))</f>
        <v/>
      </c>
      <c r="K1207" s="157"/>
      <c r="N1207" s="16"/>
      <c r="O1207" s="16"/>
      <c r="P1207" s="10" t="str">
        <f>IF(ISBLANK(N1207),"",IF(N1207&gt;H1207,"No","Yes"))</f>
        <v/>
      </c>
      <c r="R1207" s="4"/>
      <c r="S1207" s="4"/>
      <c r="T1207" s="7"/>
      <c r="U1207" s="6"/>
      <c r="V1207" s="6"/>
      <c r="W1207" s="6"/>
      <c r="X1207" s="6"/>
      <c r="Y1207" s="6"/>
      <c r="Z1207" s="6"/>
      <c r="AX1207" s="6" t="e">
        <v>#N/A</v>
      </c>
    </row>
    <row r="1208" spans="1:50" ht="31.4" customHeight="1" x14ac:dyDescent="0.35">
      <c r="A1208" s="136"/>
      <c r="B1208" s="7"/>
      <c r="C1208" s="7"/>
      <c r="D1208" s="7"/>
      <c r="E1208" s="25"/>
      <c r="F1208" s="9" t="str">
        <f>IF($E1208="","",WORKDAY($E1208,1,$V$33:$V$41))</f>
        <v/>
      </c>
      <c r="G1208" s="9" t="str">
        <f>IF($E1208="","",WORKDAY($E1208,10,$V$33:$V$41))</f>
        <v/>
      </c>
      <c r="H1208" s="9" t="str">
        <f>IF($E1208="","",WORKDAY($E1208,20,$V$33:$V$41))</f>
        <v/>
      </c>
      <c r="I1208" s="157" t="str">
        <f t="shared" si="26"/>
        <v/>
      </c>
      <c r="J1208" s="17" t="str">
        <f ca="1">IF(E1208="","",IF(N1208="",H1208-TODAY(),""))</f>
        <v/>
      </c>
      <c r="K1208" s="157"/>
      <c r="N1208" s="16"/>
      <c r="O1208" s="16"/>
      <c r="P1208" s="10" t="str">
        <f>IF(ISBLANK(N1208),"",IF(N1208&gt;H1208,"No","Yes"))</f>
        <v/>
      </c>
      <c r="R1208" s="4"/>
      <c r="S1208" s="4"/>
      <c r="T1208" s="7"/>
      <c r="U1208" s="6"/>
      <c r="V1208" s="6"/>
      <c r="W1208" s="6"/>
      <c r="X1208" s="6"/>
      <c r="Y1208" s="6"/>
      <c r="Z1208" s="6"/>
      <c r="AX1208" s="6" t="e">
        <v>#N/A</v>
      </c>
    </row>
    <row r="1209" spans="1:50" ht="31.4" customHeight="1" x14ac:dyDescent="0.35">
      <c r="A1209" s="136"/>
      <c r="B1209" s="7"/>
      <c r="C1209" s="7"/>
      <c r="D1209" s="7"/>
      <c r="E1209" s="25"/>
      <c r="F1209" s="9" t="str">
        <f>IF($E1209="","",WORKDAY($E1209,1,$V$33:$V$41))</f>
        <v/>
      </c>
      <c r="G1209" s="9" t="str">
        <f>IF($E1209="","",WORKDAY($E1209,10,$V$33:$V$41))</f>
        <v/>
      </c>
      <c r="H1209" s="9" t="str">
        <f>IF($E1209="","",WORKDAY($E1209,20,$V$33:$V$41))</f>
        <v/>
      </c>
      <c r="I1209" s="157" t="str">
        <f t="shared" si="26"/>
        <v/>
      </c>
      <c r="J1209" s="17" t="str">
        <f ca="1">IF(E1209="","",IF(N1209="",H1209-TODAY(),""))</f>
        <v/>
      </c>
      <c r="K1209" s="157"/>
      <c r="N1209" s="16"/>
      <c r="O1209" s="16"/>
      <c r="P1209" s="10" t="str">
        <f>IF(ISBLANK(N1209),"",IF(N1209&gt;H1209,"No","Yes"))</f>
        <v/>
      </c>
      <c r="R1209" s="4"/>
      <c r="S1209" s="4"/>
      <c r="T1209" s="7"/>
      <c r="U1209" s="6"/>
      <c r="V1209" s="6"/>
      <c r="W1209" s="6"/>
      <c r="X1209" s="6"/>
      <c r="Y1209" s="6"/>
      <c r="Z1209" s="6"/>
      <c r="AX1209" s="6" t="e">
        <v>#N/A</v>
      </c>
    </row>
    <row r="1210" spans="1:50" ht="31.4" customHeight="1" x14ac:dyDescent="0.35">
      <c r="A1210" s="136"/>
      <c r="B1210" s="7"/>
      <c r="C1210" s="7"/>
      <c r="D1210" s="7"/>
      <c r="E1210" s="25"/>
      <c r="F1210" s="9" t="str">
        <f>IF($E1210="","",WORKDAY($E1210,1,$V$33:$V$41))</f>
        <v/>
      </c>
      <c r="G1210" s="9" t="str">
        <f>IF($E1210="","",WORKDAY($E1210,10,$V$33:$V$41))</f>
        <v/>
      </c>
      <c r="H1210" s="9" t="str">
        <f>IF($E1210="","",WORKDAY($E1210,20,$V$33:$V$41))</f>
        <v/>
      </c>
      <c r="I1210" s="157" t="str">
        <f t="shared" si="26"/>
        <v/>
      </c>
      <c r="J1210" s="17" t="str">
        <f ca="1">IF(E1210="","",IF(N1210="",H1210-TODAY(),""))</f>
        <v/>
      </c>
      <c r="K1210" s="157"/>
      <c r="N1210" s="16"/>
      <c r="O1210" s="16"/>
      <c r="P1210" s="10" t="str">
        <f>IF(ISBLANK(N1210),"",IF(N1210&gt;H1210,"No","Yes"))</f>
        <v/>
      </c>
      <c r="R1210" s="4"/>
      <c r="S1210" s="4"/>
      <c r="T1210" s="7"/>
      <c r="U1210" s="6"/>
      <c r="V1210" s="6"/>
      <c r="W1210" s="6"/>
      <c r="X1210" s="6"/>
      <c r="Y1210" s="6"/>
      <c r="Z1210" s="6"/>
      <c r="AX1210" s="6" t="e">
        <v>#N/A</v>
      </c>
    </row>
    <row r="1211" spans="1:50" ht="31.4" customHeight="1" x14ac:dyDescent="0.35">
      <c r="A1211" s="136"/>
      <c r="B1211" s="7"/>
      <c r="C1211" s="7"/>
      <c r="D1211" s="7"/>
      <c r="E1211" s="25"/>
      <c r="F1211" s="9" t="str">
        <f>IF($E1211="","",WORKDAY($E1211,1,$V$33:$V$41))</f>
        <v/>
      </c>
      <c r="G1211" s="9" t="str">
        <f>IF($E1211="","",WORKDAY($E1211,10,$V$33:$V$41))</f>
        <v/>
      </c>
      <c r="H1211" s="9" t="str">
        <f>IF($E1211="","",WORKDAY($E1211,20,$V$33:$V$41))</f>
        <v/>
      </c>
      <c r="I1211" s="157" t="str">
        <f t="shared" si="26"/>
        <v/>
      </c>
      <c r="J1211" s="17" t="str">
        <f ca="1">IF(E1211="","",IF(N1211="",H1211-TODAY(),""))</f>
        <v/>
      </c>
      <c r="K1211" s="157"/>
      <c r="N1211" s="16"/>
      <c r="O1211" s="16"/>
      <c r="P1211" s="10" t="str">
        <f>IF(ISBLANK(N1211),"",IF(N1211&gt;H1211,"No","Yes"))</f>
        <v/>
      </c>
      <c r="R1211" s="4"/>
      <c r="S1211" s="4"/>
      <c r="T1211" s="7"/>
      <c r="U1211" s="6"/>
      <c r="V1211" s="6"/>
      <c r="W1211" s="6"/>
      <c r="X1211" s="6"/>
      <c r="Y1211" s="6"/>
      <c r="Z1211" s="6"/>
      <c r="AX1211" s="6" t="e">
        <v>#N/A</v>
      </c>
    </row>
    <row r="1212" spans="1:50" ht="31.4" customHeight="1" x14ac:dyDescent="0.35">
      <c r="A1212" s="136"/>
      <c r="B1212" s="7"/>
      <c r="C1212" s="7"/>
      <c r="D1212" s="7"/>
      <c r="E1212" s="25"/>
      <c r="F1212" s="9" t="str">
        <f>IF($E1212="","",WORKDAY($E1212,1,$V$33:$V$41))</f>
        <v/>
      </c>
      <c r="G1212" s="9" t="str">
        <f>IF($E1212="","",WORKDAY($E1212,10,$V$33:$V$41))</f>
        <v/>
      </c>
      <c r="H1212" s="9" t="str">
        <f>IF($E1212="","",WORKDAY($E1212,20,$V$33:$V$41))</f>
        <v/>
      </c>
      <c r="I1212" s="157" t="str">
        <f t="shared" si="26"/>
        <v/>
      </c>
      <c r="J1212" s="17" t="str">
        <f ca="1">IF(E1212="","",IF(N1212="",H1212-TODAY(),""))</f>
        <v/>
      </c>
      <c r="K1212" s="157"/>
      <c r="N1212" s="16"/>
      <c r="O1212" s="16"/>
      <c r="P1212" s="10" t="str">
        <f>IF(ISBLANK(N1212),"",IF(N1212&gt;H1212,"No","Yes"))</f>
        <v/>
      </c>
      <c r="R1212" s="4"/>
      <c r="S1212" s="4"/>
      <c r="T1212" s="7"/>
      <c r="U1212" s="6"/>
      <c r="V1212" s="6"/>
      <c r="W1212" s="6"/>
      <c r="X1212" s="6"/>
      <c r="Y1212" s="6"/>
      <c r="Z1212" s="6"/>
      <c r="AX1212" s="6" t="e">
        <v>#N/A</v>
      </c>
    </row>
    <row r="1213" spans="1:50" ht="31.4" customHeight="1" x14ac:dyDescent="0.35">
      <c r="A1213" s="136"/>
      <c r="B1213" s="7"/>
      <c r="C1213" s="7"/>
      <c r="D1213" s="7"/>
      <c r="E1213" s="25"/>
      <c r="F1213" s="9" t="str">
        <f>IF($E1213="","",WORKDAY($E1213,1,$V$33:$V$41))</f>
        <v/>
      </c>
      <c r="G1213" s="9" t="str">
        <f>IF($E1213="","",WORKDAY($E1213,10,$V$33:$V$41))</f>
        <v/>
      </c>
      <c r="H1213" s="9" t="str">
        <f>IF($E1213="","",WORKDAY($E1213,20,$V$33:$V$41))</f>
        <v/>
      </c>
      <c r="I1213" s="157" t="str">
        <f t="shared" si="26"/>
        <v/>
      </c>
      <c r="J1213" s="17" t="str">
        <f ca="1">IF(E1213="","",IF(N1213="",H1213-TODAY(),""))</f>
        <v/>
      </c>
      <c r="K1213" s="157"/>
      <c r="N1213" s="16"/>
      <c r="O1213" s="16"/>
      <c r="P1213" s="10" t="str">
        <f>IF(ISBLANK(N1213),"",IF(N1213&gt;H1213,"No","Yes"))</f>
        <v/>
      </c>
      <c r="R1213" s="4"/>
      <c r="S1213" s="4"/>
      <c r="T1213" s="7"/>
      <c r="U1213" s="6"/>
      <c r="V1213" s="6"/>
      <c r="W1213" s="6"/>
      <c r="X1213" s="6"/>
      <c r="Y1213" s="6"/>
      <c r="Z1213" s="6"/>
      <c r="AX1213" s="6" t="e">
        <v>#N/A</v>
      </c>
    </row>
    <row r="1214" spans="1:50" ht="31.4" customHeight="1" x14ac:dyDescent="0.35">
      <c r="A1214" s="136"/>
      <c r="B1214" s="7"/>
      <c r="C1214" s="7"/>
      <c r="D1214" s="7"/>
      <c r="E1214" s="25"/>
      <c r="F1214" s="9" t="str">
        <f>IF($E1214="","",WORKDAY($E1214,1,$V$33:$V$41))</f>
        <v/>
      </c>
      <c r="G1214" s="9" t="str">
        <f>IF($E1214="","",WORKDAY($E1214,10,$V$33:$V$41))</f>
        <v/>
      </c>
      <c r="H1214" s="9" t="str">
        <f>IF($E1214="","",WORKDAY($E1214,20,$V$33:$V$41))</f>
        <v/>
      </c>
      <c r="I1214" s="157" t="str">
        <f t="shared" si="26"/>
        <v/>
      </c>
      <c r="J1214" s="17" t="str">
        <f ca="1">IF(E1214="","",IF(N1214="",H1214-TODAY(),""))</f>
        <v/>
      </c>
      <c r="K1214" s="157"/>
      <c r="N1214" s="16"/>
      <c r="O1214" s="16"/>
      <c r="P1214" s="10" t="str">
        <f>IF(ISBLANK(N1214),"",IF(N1214&gt;H1214,"No","Yes"))</f>
        <v/>
      </c>
      <c r="R1214" s="4"/>
      <c r="S1214" s="4"/>
      <c r="T1214" s="7"/>
      <c r="U1214" s="6"/>
      <c r="V1214" s="6"/>
      <c r="W1214" s="6"/>
      <c r="X1214" s="6"/>
      <c r="Y1214" s="6"/>
      <c r="Z1214" s="6"/>
      <c r="AX1214" s="6" t="e">
        <v>#N/A</v>
      </c>
    </row>
    <row r="1215" spans="1:50" ht="31.4" customHeight="1" x14ac:dyDescent="0.35">
      <c r="A1215" s="136"/>
      <c r="B1215" s="7"/>
      <c r="C1215" s="7"/>
      <c r="D1215" s="7"/>
      <c r="E1215" s="25"/>
      <c r="F1215" s="9" t="str">
        <f>IF($E1215="","",WORKDAY($E1215,1,$V$33:$V$41))</f>
        <v/>
      </c>
      <c r="G1215" s="9" t="str">
        <f>IF($E1215="","",WORKDAY($E1215,10,$V$33:$V$41))</f>
        <v/>
      </c>
      <c r="H1215" s="9" t="str">
        <f>IF($E1215="","",WORKDAY($E1215,20,$V$33:$V$41))</f>
        <v/>
      </c>
      <c r="I1215" s="157" t="str">
        <f t="shared" ref="I1215:I1246" si="27">IF(ISBLANK(E1215),"",TEXT(E1215,"mmm"))</f>
        <v/>
      </c>
      <c r="J1215" s="17" t="str">
        <f ca="1">IF(E1215="","",IF(N1215="",H1215-TODAY(),""))</f>
        <v/>
      </c>
      <c r="K1215" s="157"/>
      <c r="N1215" s="16"/>
      <c r="O1215" s="16"/>
      <c r="P1215" s="10" t="str">
        <f>IF(ISBLANK(N1215),"",IF(N1215&gt;H1215,"No","Yes"))</f>
        <v/>
      </c>
      <c r="R1215" s="4"/>
      <c r="S1215" s="4"/>
      <c r="T1215" s="7"/>
      <c r="U1215" s="6"/>
      <c r="V1215" s="6"/>
      <c r="W1215" s="6"/>
      <c r="X1215" s="6"/>
      <c r="Y1215" s="6"/>
      <c r="Z1215" s="6"/>
      <c r="AX1215" s="6" t="e">
        <v>#N/A</v>
      </c>
    </row>
    <row r="1216" spans="1:50" ht="31.4" customHeight="1" x14ac:dyDescent="0.35">
      <c r="A1216" s="136"/>
      <c r="B1216" s="7"/>
      <c r="C1216" s="7"/>
      <c r="D1216" s="7"/>
      <c r="E1216" s="25"/>
      <c r="F1216" s="9" t="str">
        <f>IF($E1216="","",WORKDAY($E1216,1,$V$33:$V$41))</f>
        <v/>
      </c>
      <c r="G1216" s="9" t="str">
        <f>IF($E1216="","",WORKDAY($E1216,10,$V$33:$V$41))</f>
        <v/>
      </c>
      <c r="H1216" s="9" t="str">
        <f>IF($E1216="","",WORKDAY($E1216,20,$V$33:$V$41))</f>
        <v/>
      </c>
      <c r="I1216" s="157" t="str">
        <f t="shared" si="27"/>
        <v/>
      </c>
      <c r="J1216" s="17" t="str">
        <f ca="1">IF(E1216="","",IF(N1216="",H1216-TODAY(),""))</f>
        <v/>
      </c>
      <c r="K1216" s="157"/>
      <c r="N1216" s="16"/>
      <c r="O1216" s="16"/>
      <c r="P1216" s="10" t="str">
        <f>IF(ISBLANK(N1216),"",IF(N1216&gt;H1216,"No","Yes"))</f>
        <v/>
      </c>
      <c r="R1216" s="4"/>
      <c r="S1216" s="4"/>
      <c r="T1216" s="7"/>
      <c r="U1216" s="6"/>
      <c r="V1216" s="6"/>
      <c r="W1216" s="6"/>
      <c r="X1216" s="6"/>
      <c r="Y1216" s="6"/>
      <c r="Z1216" s="6"/>
      <c r="AX1216" s="6" t="e">
        <v>#N/A</v>
      </c>
    </row>
    <row r="1217" spans="1:50" ht="31.4" customHeight="1" x14ac:dyDescent="0.35">
      <c r="A1217" s="136"/>
      <c r="B1217" s="7"/>
      <c r="C1217" s="7"/>
      <c r="D1217" s="7"/>
      <c r="E1217" s="25"/>
      <c r="F1217" s="9" t="str">
        <f>IF($E1217="","",WORKDAY($E1217,1,$V$33:$V$41))</f>
        <v/>
      </c>
      <c r="G1217" s="9" t="str">
        <f>IF($E1217="","",WORKDAY($E1217,10,$V$33:$V$41))</f>
        <v/>
      </c>
      <c r="H1217" s="9" t="str">
        <f>IF($E1217="","",WORKDAY($E1217,20,$V$33:$V$41))</f>
        <v/>
      </c>
      <c r="I1217" s="157" t="str">
        <f t="shared" si="27"/>
        <v/>
      </c>
      <c r="J1217" s="17" t="str">
        <f ca="1">IF(E1217="","",IF(N1217="",H1217-TODAY(),""))</f>
        <v/>
      </c>
      <c r="K1217" s="157"/>
      <c r="N1217" s="16"/>
      <c r="O1217" s="16"/>
      <c r="P1217" s="10" t="str">
        <f>IF(ISBLANK(N1217),"",IF(N1217&gt;H1217,"No","Yes"))</f>
        <v/>
      </c>
      <c r="R1217" s="4"/>
      <c r="S1217" s="4"/>
      <c r="T1217" s="7"/>
      <c r="U1217" s="6"/>
      <c r="V1217" s="6"/>
      <c r="W1217" s="6"/>
      <c r="X1217" s="6"/>
      <c r="Y1217" s="6"/>
      <c r="Z1217" s="6"/>
      <c r="AX1217" s="6" t="e">
        <v>#N/A</v>
      </c>
    </row>
    <row r="1218" spans="1:50" ht="31.4" customHeight="1" x14ac:dyDescent="0.35">
      <c r="A1218" s="136"/>
      <c r="B1218" s="7"/>
      <c r="C1218" s="7"/>
      <c r="D1218" s="7"/>
      <c r="E1218" s="25"/>
      <c r="F1218" s="9" t="str">
        <f>IF($E1218="","",WORKDAY($E1218,1,$V$33:$V$41))</f>
        <v/>
      </c>
      <c r="G1218" s="9" t="str">
        <f>IF($E1218="","",WORKDAY($E1218,10,$V$33:$V$41))</f>
        <v/>
      </c>
      <c r="H1218" s="9" t="str">
        <f>IF($E1218="","",WORKDAY($E1218,20,$V$33:$V$41))</f>
        <v/>
      </c>
      <c r="I1218" s="157" t="str">
        <f t="shared" si="27"/>
        <v/>
      </c>
      <c r="J1218" s="17" t="str">
        <f ca="1">IF(E1218="","",IF(N1218="",H1218-TODAY(),""))</f>
        <v/>
      </c>
      <c r="K1218" s="157"/>
      <c r="N1218" s="16"/>
      <c r="O1218" s="16"/>
      <c r="P1218" s="10" t="str">
        <f>IF(ISBLANK(N1218),"",IF(N1218&gt;H1218,"No","Yes"))</f>
        <v/>
      </c>
      <c r="R1218" s="4"/>
      <c r="S1218" s="4"/>
      <c r="T1218" s="7"/>
      <c r="U1218" s="6"/>
      <c r="V1218" s="6"/>
      <c r="W1218" s="6"/>
      <c r="X1218" s="6"/>
      <c r="Y1218" s="6"/>
      <c r="Z1218" s="6"/>
      <c r="AX1218" s="6" t="e">
        <v>#N/A</v>
      </c>
    </row>
    <row r="1219" spans="1:50" ht="31.4" customHeight="1" x14ac:dyDescent="0.35">
      <c r="A1219" s="136"/>
      <c r="B1219" s="7"/>
      <c r="C1219" s="7"/>
      <c r="D1219" s="7"/>
      <c r="E1219" s="25"/>
      <c r="F1219" s="9" t="str">
        <f>IF($E1219="","",WORKDAY($E1219,1,$V$33:$V$41))</f>
        <v/>
      </c>
      <c r="G1219" s="9" t="str">
        <f>IF($E1219="","",WORKDAY($E1219,10,$V$33:$V$41))</f>
        <v/>
      </c>
      <c r="H1219" s="9" t="str">
        <f>IF($E1219="","",WORKDAY($E1219,20,$V$33:$V$41))</f>
        <v/>
      </c>
      <c r="I1219" s="157" t="str">
        <f t="shared" si="27"/>
        <v/>
      </c>
      <c r="J1219" s="17" t="str">
        <f ca="1">IF(E1219="","",IF(N1219="",H1219-TODAY(),""))</f>
        <v/>
      </c>
      <c r="K1219" s="157"/>
      <c r="N1219" s="16"/>
      <c r="O1219" s="16"/>
      <c r="P1219" s="10" t="str">
        <f>IF(ISBLANK(N1219),"",IF(N1219&gt;H1219,"No","Yes"))</f>
        <v/>
      </c>
      <c r="R1219" s="4"/>
      <c r="S1219" s="4"/>
      <c r="T1219" s="7"/>
      <c r="U1219" s="6"/>
      <c r="V1219" s="6"/>
      <c r="W1219" s="6"/>
      <c r="X1219" s="6"/>
      <c r="Y1219" s="6"/>
      <c r="Z1219" s="6"/>
      <c r="AX1219" s="6" t="e">
        <v>#N/A</v>
      </c>
    </row>
    <row r="1220" spans="1:50" ht="31.4" customHeight="1" x14ac:dyDescent="0.35">
      <c r="A1220" s="136"/>
      <c r="B1220" s="7"/>
      <c r="C1220" s="7"/>
      <c r="D1220" s="7"/>
      <c r="E1220" s="25"/>
      <c r="F1220" s="9" t="str">
        <f>IF($E1220="","",WORKDAY($E1220,1,$V$33:$V$41))</f>
        <v/>
      </c>
      <c r="G1220" s="9" t="str">
        <f>IF($E1220="","",WORKDAY($E1220,10,$V$33:$V$41))</f>
        <v/>
      </c>
      <c r="H1220" s="9" t="str">
        <f>IF($E1220="","",WORKDAY($E1220,20,$V$33:$V$41))</f>
        <v/>
      </c>
      <c r="I1220" s="157" t="str">
        <f t="shared" si="27"/>
        <v/>
      </c>
      <c r="J1220" s="17" t="str">
        <f ca="1">IF(E1220="","",IF(N1220="",H1220-TODAY(),""))</f>
        <v/>
      </c>
      <c r="K1220" s="157"/>
      <c r="N1220" s="16"/>
      <c r="O1220" s="16"/>
      <c r="P1220" s="10" t="str">
        <f>IF(ISBLANK(N1220),"",IF(N1220&gt;H1220,"No","Yes"))</f>
        <v/>
      </c>
      <c r="R1220" s="4"/>
      <c r="S1220" s="4"/>
      <c r="T1220" s="7"/>
      <c r="U1220" s="6"/>
      <c r="V1220" s="6"/>
      <c r="W1220" s="6"/>
      <c r="X1220" s="6"/>
      <c r="Y1220" s="6"/>
      <c r="Z1220" s="6"/>
      <c r="AX1220" s="6" t="e">
        <v>#N/A</v>
      </c>
    </row>
    <row r="1221" spans="1:50" ht="31.4" customHeight="1" x14ac:dyDescent="0.35">
      <c r="A1221" s="136"/>
      <c r="B1221" s="7"/>
      <c r="C1221" s="7"/>
      <c r="D1221" s="7"/>
      <c r="E1221" s="25"/>
      <c r="F1221" s="9" t="str">
        <f>IF($E1221="","",WORKDAY($E1221,1,$V$33:$V$41))</f>
        <v/>
      </c>
      <c r="G1221" s="9" t="str">
        <f>IF($E1221="","",WORKDAY($E1221,10,$V$33:$V$41))</f>
        <v/>
      </c>
      <c r="H1221" s="9" t="str">
        <f>IF($E1221="","",WORKDAY($E1221,20,$V$33:$V$41))</f>
        <v/>
      </c>
      <c r="I1221" s="157" t="str">
        <f t="shared" si="27"/>
        <v/>
      </c>
      <c r="J1221" s="17" t="str">
        <f ca="1">IF(E1221="","",IF(N1221="",H1221-TODAY(),""))</f>
        <v/>
      </c>
      <c r="K1221" s="157"/>
      <c r="N1221" s="16"/>
      <c r="O1221" s="16"/>
      <c r="P1221" s="10" t="str">
        <f>IF(ISBLANK(N1221),"",IF(N1221&gt;H1221,"No","Yes"))</f>
        <v/>
      </c>
      <c r="R1221" s="4"/>
      <c r="S1221" s="4"/>
      <c r="T1221" s="7"/>
      <c r="U1221" s="6"/>
      <c r="V1221" s="6"/>
      <c r="W1221" s="6"/>
      <c r="X1221" s="6"/>
      <c r="Y1221" s="6"/>
      <c r="Z1221" s="6"/>
      <c r="AX1221" s="6" t="e">
        <v>#N/A</v>
      </c>
    </row>
    <row r="1222" spans="1:50" ht="31.4" customHeight="1" x14ac:dyDescent="0.35">
      <c r="A1222" s="136"/>
      <c r="B1222" s="7"/>
      <c r="C1222" s="7"/>
      <c r="D1222" s="7"/>
      <c r="E1222" s="25"/>
      <c r="F1222" s="9" t="str">
        <f>IF($E1222="","",WORKDAY($E1222,1,$V$33:$V$41))</f>
        <v/>
      </c>
      <c r="G1222" s="9" t="str">
        <f>IF($E1222="","",WORKDAY($E1222,10,$V$33:$V$41))</f>
        <v/>
      </c>
      <c r="H1222" s="9" t="str">
        <f>IF($E1222="","",WORKDAY($E1222,20,$V$33:$V$41))</f>
        <v/>
      </c>
      <c r="I1222" s="157" t="str">
        <f t="shared" si="27"/>
        <v/>
      </c>
      <c r="J1222" s="17" t="str">
        <f ca="1">IF(E1222="","",IF(N1222="",H1222-TODAY(),""))</f>
        <v/>
      </c>
      <c r="K1222" s="157"/>
      <c r="N1222" s="16"/>
      <c r="O1222" s="16"/>
      <c r="P1222" s="10" t="str">
        <f>IF(ISBLANK(N1222),"",IF(N1222&gt;H1222,"No","Yes"))</f>
        <v/>
      </c>
      <c r="R1222" s="4"/>
      <c r="S1222" s="4"/>
      <c r="T1222" s="7"/>
      <c r="U1222" s="6"/>
      <c r="V1222" s="6"/>
      <c r="W1222" s="6"/>
      <c r="X1222" s="6"/>
      <c r="Y1222" s="6"/>
      <c r="Z1222" s="6"/>
      <c r="AX1222" s="6" t="e">
        <v>#N/A</v>
      </c>
    </row>
    <row r="1223" spans="1:50" ht="31.4" customHeight="1" x14ac:dyDescent="0.35">
      <c r="A1223" s="136"/>
      <c r="B1223" s="7"/>
      <c r="C1223" s="7"/>
      <c r="D1223" s="7"/>
      <c r="E1223" s="25"/>
      <c r="F1223" s="9" t="str">
        <f>IF($E1223="","",WORKDAY($E1223,1,$V$33:$V$41))</f>
        <v/>
      </c>
      <c r="G1223" s="9" t="str">
        <f>IF($E1223="","",WORKDAY($E1223,10,$V$33:$V$41))</f>
        <v/>
      </c>
      <c r="H1223" s="9" t="str">
        <f>IF($E1223="","",WORKDAY($E1223,20,$V$33:$V$41))</f>
        <v/>
      </c>
      <c r="I1223" s="157" t="str">
        <f t="shared" si="27"/>
        <v/>
      </c>
      <c r="J1223" s="17" t="str">
        <f ca="1">IF(E1223="","",IF(N1223="",H1223-TODAY(),""))</f>
        <v/>
      </c>
      <c r="K1223" s="157"/>
      <c r="N1223" s="16"/>
      <c r="O1223" s="16"/>
      <c r="P1223" s="10" t="str">
        <f>IF(ISBLANK(N1223),"",IF(N1223&gt;H1223,"No","Yes"))</f>
        <v/>
      </c>
      <c r="R1223" s="4"/>
      <c r="S1223" s="4"/>
      <c r="T1223" s="7"/>
      <c r="U1223" s="6"/>
      <c r="V1223" s="6"/>
      <c r="W1223" s="6"/>
      <c r="X1223" s="6"/>
      <c r="Y1223" s="6"/>
      <c r="Z1223" s="6"/>
      <c r="AX1223" s="6" t="e">
        <v>#N/A</v>
      </c>
    </row>
    <row r="1224" spans="1:50" ht="31.4" customHeight="1" x14ac:dyDescent="0.35">
      <c r="A1224" s="136"/>
      <c r="B1224" s="7"/>
      <c r="C1224" s="7"/>
      <c r="D1224" s="7"/>
      <c r="E1224" s="25"/>
      <c r="F1224" s="9" t="str">
        <f>IF($E1224="","",WORKDAY($E1224,1,$V$33:$V$41))</f>
        <v/>
      </c>
      <c r="G1224" s="9" t="str">
        <f>IF($E1224="","",WORKDAY($E1224,10,$V$33:$V$41))</f>
        <v/>
      </c>
      <c r="H1224" s="9" t="str">
        <f>IF($E1224="","",WORKDAY($E1224,20,$V$33:$V$41))</f>
        <v/>
      </c>
      <c r="I1224" s="157" t="str">
        <f t="shared" si="27"/>
        <v/>
      </c>
      <c r="J1224" s="17" t="str">
        <f ca="1">IF(E1224="","",IF(N1224="",H1224-TODAY(),""))</f>
        <v/>
      </c>
      <c r="K1224" s="157"/>
      <c r="N1224" s="16"/>
      <c r="O1224" s="16"/>
      <c r="P1224" s="10" t="str">
        <f>IF(ISBLANK(N1224),"",IF(N1224&gt;H1224,"No","Yes"))</f>
        <v/>
      </c>
      <c r="R1224" s="4"/>
      <c r="S1224" s="4"/>
      <c r="T1224" s="7"/>
      <c r="U1224" s="6"/>
      <c r="V1224" s="6"/>
      <c r="W1224" s="6"/>
      <c r="X1224" s="6"/>
      <c r="Y1224" s="6"/>
      <c r="Z1224" s="6"/>
      <c r="AX1224" s="6" t="e">
        <v>#N/A</v>
      </c>
    </row>
    <row r="1225" spans="1:50" ht="31.4" customHeight="1" x14ac:dyDescent="0.35">
      <c r="A1225" s="136"/>
      <c r="B1225" s="7"/>
      <c r="C1225" s="7"/>
      <c r="D1225" s="7"/>
      <c r="E1225" s="25"/>
      <c r="F1225" s="9" t="str">
        <f>IF($E1225="","",WORKDAY($E1225,1,$V$33:$V$41))</f>
        <v/>
      </c>
      <c r="G1225" s="9" t="str">
        <f>IF($E1225="","",WORKDAY($E1225,10,$V$33:$V$41))</f>
        <v/>
      </c>
      <c r="H1225" s="9" t="str">
        <f>IF($E1225="","",WORKDAY($E1225,20,$V$33:$V$41))</f>
        <v/>
      </c>
      <c r="I1225" s="157" t="str">
        <f t="shared" si="27"/>
        <v/>
      </c>
      <c r="J1225" s="17" t="str">
        <f ca="1">IF(E1225="","",IF(N1225="",H1225-TODAY(),""))</f>
        <v/>
      </c>
      <c r="K1225" s="157"/>
      <c r="N1225" s="16"/>
      <c r="O1225" s="16"/>
      <c r="P1225" s="10" t="str">
        <f>IF(ISBLANK(N1225),"",IF(N1225&gt;H1225,"No","Yes"))</f>
        <v/>
      </c>
      <c r="R1225" s="4"/>
      <c r="S1225" s="4"/>
      <c r="T1225" s="7"/>
      <c r="U1225" s="6"/>
      <c r="V1225" s="6"/>
      <c r="W1225" s="6"/>
      <c r="X1225" s="6"/>
      <c r="Y1225" s="6"/>
      <c r="Z1225" s="6"/>
      <c r="AX1225" s="6" t="e">
        <v>#N/A</v>
      </c>
    </row>
    <row r="1226" spans="1:50" ht="31.4" customHeight="1" x14ac:dyDescent="0.35">
      <c r="A1226" s="136"/>
      <c r="B1226" s="7"/>
      <c r="C1226" s="7"/>
      <c r="D1226" s="7"/>
      <c r="E1226" s="25"/>
      <c r="F1226" s="9" t="str">
        <f>IF($E1226="","",WORKDAY($E1226,1,$V$33:$V$41))</f>
        <v/>
      </c>
      <c r="G1226" s="9" t="str">
        <f>IF($E1226="","",WORKDAY($E1226,10,$V$33:$V$41))</f>
        <v/>
      </c>
      <c r="H1226" s="9" t="str">
        <f>IF($E1226="","",WORKDAY($E1226,20,$V$33:$V$41))</f>
        <v/>
      </c>
      <c r="I1226" s="157" t="str">
        <f t="shared" si="27"/>
        <v/>
      </c>
      <c r="J1226" s="17" t="str">
        <f ca="1">IF(E1226="","",IF(N1226="",H1226-TODAY(),""))</f>
        <v/>
      </c>
      <c r="K1226" s="157"/>
      <c r="N1226" s="16"/>
      <c r="O1226" s="16"/>
      <c r="P1226" s="10" t="str">
        <f>IF(ISBLANK(N1226),"",IF(N1226&gt;H1226,"No","Yes"))</f>
        <v/>
      </c>
      <c r="R1226" s="4"/>
      <c r="S1226" s="4"/>
      <c r="T1226" s="7"/>
      <c r="U1226" s="6"/>
      <c r="V1226" s="6"/>
      <c r="W1226" s="6"/>
      <c r="X1226" s="6"/>
      <c r="Y1226" s="6"/>
      <c r="Z1226" s="6"/>
      <c r="AX1226" s="6" t="e">
        <v>#N/A</v>
      </c>
    </row>
    <row r="1227" spans="1:50" ht="31.4" customHeight="1" x14ac:dyDescent="0.35">
      <c r="A1227" s="136"/>
      <c r="B1227" s="7"/>
      <c r="C1227" s="7"/>
      <c r="D1227" s="7"/>
      <c r="E1227" s="25"/>
      <c r="F1227" s="9" t="str">
        <f>IF($E1227="","",WORKDAY($E1227,1,$V$33:$V$41))</f>
        <v/>
      </c>
      <c r="G1227" s="9" t="str">
        <f>IF($E1227="","",WORKDAY($E1227,10,$V$33:$V$41))</f>
        <v/>
      </c>
      <c r="H1227" s="9" t="str">
        <f>IF($E1227="","",WORKDAY($E1227,20,$V$33:$V$41))</f>
        <v/>
      </c>
      <c r="I1227" s="157" t="str">
        <f t="shared" si="27"/>
        <v/>
      </c>
      <c r="J1227" s="17" t="str">
        <f ca="1">IF(E1227="","",IF(N1227="",H1227-TODAY(),""))</f>
        <v/>
      </c>
      <c r="K1227" s="157"/>
      <c r="N1227" s="16"/>
      <c r="O1227" s="16"/>
      <c r="P1227" s="10" t="str">
        <f>IF(ISBLANK(N1227),"",IF(N1227&gt;H1227,"No","Yes"))</f>
        <v/>
      </c>
      <c r="R1227" s="4"/>
      <c r="S1227" s="4"/>
      <c r="T1227" s="7"/>
      <c r="U1227" s="6"/>
      <c r="V1227" s="6"/>
      <c r="W1227" s="6"/>
      <c r="X1227" s="6"/>
      <c r="Y1227" s="6"/>
      <c r="Z1227" s="6"/>
      <c r="AX1227" s="6" t="e">
        <v>#N/A</v>
      </c>
    </row>
    <row r="1228" spans="1:50" ht="31.4" customHeight="1" x14ac:dyDescent="0.35">
      <c r="A1228" s="136"/>
      <c r="B1228" s="7"/>
      <c r="C1228" s="7"/>
      <c r="D1228" s="7"/>
      <c r="E1228" s="25"/>
      <c r="F1228" s="9" t="str">
        <f>IF($E1228="","",WORKDAY($E1228,1,$V$33:$V$41))</f>
        <v/>
      </c>
      <c r="G1228" s="9" t="str">
        <f>IF($E1228="","",WORKDAY($E1228,10,$V$33:$V$41))</f>
        <v/>
      </c>
      <c r="H1228" s="9" t="str">
        <f>IF($E1228="","",WORKDAY($E1228,20,$V$33:$V$41))</f>
        <v/>
      </c>
      <c r="I1228" s="157" t="str">
        <f t="shared" si="27"/>
        <v/>
      </c>
      <c r="J1228" s="17" t="str">
        <f ca="1">IF(E1228="","",IF(N1228="",H1228-TODAY(),""))</f>
        <v/>
      </c>
      <c r="K1228" s="157"/>
      <c r="N1228" s="16"/>
      <c r="O1228" s="16"/>
      <c r="P1228" s="10" t="str">
        <f>IF(ISBLANK(N1228),"",IF(N1228&gt;H1228,"No","Yes"))</f>
        <v/>
      </c>
      <c r="R1228" s="4"/>
      <c r="S1228" s="4"/>
      <c r="T1228" s="7"/>
      <c r="U1228" s="6"/>
      <c r="V1228" s="6"/>
      <c r="W1228" s="6"/>
      <c r="X1228" s="6"/>
      <c r="Y1228" s="6"/>
      <c r="Z1228" s="6"/>
      <c r="AX1228" s="6" t="e">
        <v>#N/A</v>
      </c>
    </row>
    <row r="1229" spans="1:50" ht="31.4" customHeight="1" x14ac:dyDescent="0.35">
      <c r="A1229" s="136"/>
      <c r="B1229" s="7"/>
      <c r="C1229" s="7"/>
      <c r="D1229" s="7"/>
      <c r="E1229" s="25"/>
      <c r="F1229" s="9" t="str">
        <f>IF($E1229="","",WORKDAY($E1229,1,$V$33:$V$41))</f>
        <v/>
      </c>
      <c r="G1229" s="9" t="str">
        <f>IF($E1229="","",WORKDAY($E1229,10,$V$33:$V$41))</f>
        <v/>
      </c>
      <c r="H1229" s="9" t="str">
        <f>IF($E1229="","",WORKDAY($E1229,20,$V$33:$V$41))</f>
        <v/>
      </c>
      <c r="I1229" s="157" t="str">
        <f t="shared" si="27"/>
        <v/>
      </c>
      <c r="J1229" s="17" t="str">
        <f ca="1">IF(E1229="","",IF(N1229="",H1229-TODAY(),""))</f>
        <v/>
      </c>
      <c r="K1229" s="157"/>
      <c r="N1229" s="16"/>
      <c r="O1229" s="16"/>
      <c r="P1229" s="10" t="str">
        <f>IF(ISBLANK(N1229),"",IF(N1229&gt;H1229,"No","Yes"))</f>
        <v/>
      </c>
      <c r="R1229" s="4"/>
      <c r="S1229" s="4"/>
      <c r="T1229" s="7"/>
      <c r="U1229" s="6"/>
      <c r="V1229" s="6"/>
      <c r="W1229" s="6"/>
      <c r="X1229" s="6"/>
      <c r="Y1229" s="6"/>
      <c r="Z1229" s="6"/>
      <c r="AX1229" s="6" t="e">
        <v>#N/A</v>
      </c>
    </row>
    <row r="1230" spans="1:50" ht="31.4" customHeight="1" x14ac:dyDescent="0.35">
      <c r="A1230" s="136"/>
      <c r="B1230" s="7"/>
      <c r="C1230" s="7"/>
      <c r="D1230" s="7"/>
      <c r="E1230" s="25"/>
      <c r="F1230" s="9" t="str">
        <f>IF($E1230="","",WORKDAY($E1230,1,$V$33:$V$41))</f>
        <v/>
      </c>
      <c r="G1230" s="9" t="str">
        <f>IF($E1230="","",WORKDAY($E1230,10,$V$33:$V$41))</f>
        <v/>
      </c>
      <c r="H1230" s="9" t="str">
        <f>IF($E1230="","",WORKDAY($E1230,20,$V$33:$V$41))</f>
        <v/>
      </c>
      <c r="I1230" s="157" t="str">
        <f t="shared" si="27"/>
        <v/>
      </c>
      <c r="J1230" s="17" t="str">
        <f ca="1">IF(E1230="","",IF(N1230="",H1230-TODAY(),""))</f>
        <v/>
      </c>
      <c r="K1230" s="157"/>
      <c r="N1230" s="16"/>
      <c r="O1230" s="16"/>
      <c r="P1230" s="10" t="str">
        <f>IF(ISBLANK(N1230),"",IF(N1230&gt;H1230,"No","Yes"))</f>
        <v/>
      </c>
      <c r="R1230" s="4"/>
      <c r="S1230" s="4"/>
      <c r="T1230" s="7"/>
      <c r="U1230" s="6"/>
      <c r="V1230" s="6"/>
      <c r="W1230" s="6"/>
      <c r="X1230" s="6"/>
      <c r="Y1230" s="6"/>
      <c r="Z1230" s="6"/>
      <c r="AX1230" s="6" t="e">
        <v>#N/A</v>
      </c>
    </row>
    <row r="1231" spans="1:50" ht="31.4" customHeight="1" x14ac:dyDescent="0.35">
      <c r="A1231" s="136"/>
      <c r="B1231" s="7"/>
      <c r="C1231" s="7"/>
      <c r="D1231" s="7"/>
      <c r="E1231" s="25"/>
      <c r="F1231" s="9" t="str">
        <f>IF($E1231="","",WORKDAY($E1231,1,$V$33:$V$41))</f>
        <v/>
      </c>
      <c r="G1231" s="9" t="str">
        <f>IF($E1231="","",WORKDAY($E1231,10,$V$33:$V$41))</f>
        <v/>
      </c>
      <c r="H1231" s="9" t="str">
        <f>IF($E1231="","",WORKDAY($E1231,20,$V$33:$V$41))</f>
        <v/>
      </c>
      <c r="I1231" s="157" t="str">
        <f t="shared" si="27"/>
        <v/>
      </c>
      <c r="J1231" s="17" t="str">
        <f ca="1">IF(E1231="","",IF(N1231="",H1231-TODAY(),""))</f>
        <v/>
      </c>
      <c r="K1231" s="157"/>
      <c r="N1231" s="16"/>
      <c r="O1231" s="16"/>
      <c r="P1231" s="10" t="str">
        <f>IF(ISBLANK(N1231),"",IF(N1231&gt;H1231,"No","Yes"))</f>
        <v/>
      </c>
      <c r="R1231" s="4"/>
      <c r="S1231" s="4"/>
      <c r="T1231" s="7"/>
      <c r="U1231" s="6"/>
      <c r="V1231" s="6"/>
      <c r="W1231" s="6"/>
      <c r="X1231" s="6"/>
      <c r="Y1231" s="6"/>
      <c r="Z1231" s="6"/>
      <c r="AX1231" s="6" t="e">
        <v>#N/A</v>
      </c>
    </row>
    <row r="1232" spans="1:50" ht="31.4" customHeight="1" x14ac:dyDescent="0.35">
      <c r="A1232" s="136"/>
      <c r="B1232" s="7"/>
      <c r="C1232" s="7"/>
      <c r="D1232" s="7"/>
      <c r="E1232" s="25"/>
      <c r="F1232" s="9" t="str">
        <f>IF($E1232="","",WORKDAY($E1232,1,$V$33:$V$41))</f>
        <v/>
      </c>
      <c r="G1232" s="9" t="str">
        <f>IF($E1232="","",WORKDAY($E1232,10,$V$33:$V$41))</f>
        <v/>
      </c>
      <c r="H1232" s="9" t="str">
        <f>IF($E1232="","",WORKDAY($E1232,20,$V$33:$V$41))</f>
        <v/>
      </c>
      <c r="I1232" s="157" t="str">
        <f t="shared" si="27"/>
        <v/>
      </c>
      <c r="J1232" s="17" t="str">
        <f ca="1">IF(E1232="","",IF(N1232="",H1232-TODAY(),""))</f>
        <v/>
      </c>
      <c r="K1232" s="157"/>
      <c r="N1232" s="16"/>
      <c r="O1232" s="16"/>
      <c r="P1232" s="10" t="str">
        <f>IF(ISBLANK(N1232),"",IF(N1232&gt;H1232,"No","Yes"))</f>
        <v/>
      </c>
      <c r="R1232" s="4"/>
      <c r="S1232" s="4"/>
      <c r="T1232" s="7"/>
      <c r="U1232" s="6"/>
      <c r="V1232" s="6"/>
      <c r="W1232" s="6"/>
      <c r="X1232" s="6"/>
      <c r="Y1232" s="6"/>
      <c r="Z1232" s="6"/>
      <c r="AX1232" s="6" t="e">
        <v>#N/A</v>
      </c>
    </row>
    <row r="1233" spans="1:50" ht="31.4" customHeight="1" x14ac:dyDescent="0.35">
      <c r="A1233" s="136"/>
      <c r="B1233" s="7"/>
      <c r="C1233" s="7"/>
      <c r="D1233" s="7"/>
      <c r="E1233" s="25"/>
      <c r="F1233" s="9" t="str">
        <f>IF($E1233="","",WORKDAY($E1233,1,$V$33:$V$41))</f>
        <v/>
      </c>
      <c r="G1233" s="9" t="str">
        <f>IF($E1233="","",WORKDAY($E1233,10,$V$33:$V$41))</f>
        <v/>
      </c>
      <c r="H1233" s="9" t="str">
        <f>IF($E1233="","",WORKDAY($E1233,20,$V$33:$V$41))</f>
        <v/>
      </c>
      <c r="I1233" s="157" t="str">
        <f t="shared" si="27"/>
        <v/>
      </c>
      <c r="J1233" s="17" t="str">
        <f ca="1">IF(E1233="","",IF(N1233="",H1233-TODAY(),""))</f>
        <v/>
      </c>
      <c r="K1233" s="157"/>
      <c r="N1233" s="16"/>
      <c r="O1233" s="16"/>
      <c r="P1233" s="10" t="str">
        <f>IF(ISBLANK(N1233),"",IF(N1233&gt;H1233,"No","Yes"))</f>
        <v/>
      </c>
      <c r="R1233" s="4"/>
      <c r="S1233" s="4"/>
      <c r="T1233" s="7"/>
      <c r="U1233" s="6"/>
      <c r="V1233" s="6"/>
      <c r="W1233" s="6"/>
      <c r="X1233" s="6"/>
      <c r="Y1233" s="6"/>
      <c r="Z1233" s="6"/>
      <c r="AX1233" s="6" t="e">
        <v>#N/A</v>
      </c>
    </row>
    <row r="1234" spans="1:50" ht="31.4" customHeight="1" x14ac:dyDescent="0.35">
      <c r="A1234" s="136"/>
      <c r="B1234" s="7"/>
      <c r="C1234" s="7"/>
      <c r="D1234" s="7"/>
      <c r="E1234" s="25"/>
      <c r="F1234" s="9" t="str">
        <f>IF($E1234="","",WORKDAY($E1234,1,$V$33:$V$41))</f>
        <v/>
      </c>
      <c r="G1234" s="9" t="str">
        <f>IF($E1234="","",WORKDAY($E1234,10,$V$33:$V$41))</f>
        <v/>
      </c>
      <c r="H1234" s="9" t="str">
        <f>IF($E1234="","",WORKDAY($E1234,20,$V$33:$V$41))</f>
        <v/>
      </c>
      <c r="I1234" s="157" t="str">
        <f t="shared" si="27"/>
        <v/>
      </c>
      <c r="J1234" s="17" t="str">
        <f ca="1">IF(E1234="","",IF(N1234="",H1234-TODAY(),""))</f>
        <v/>
      </c>
      <c r="K1234" s="157"/>
      <c r="N1234" s="16"/>
      <c r="O1234" s="16"/>
      <c r="P1234" s="10" t="str">
        <f>IF(ISBLANK(N1234),"",IF(N1234&gt;H1234,"No","Yes"))</f>
        <v/>
      </c>
      <c r="R1234" s="4"/>
      <c r="S1234" s="4"/>
      <c r="T1234" s="7"/>
      <c r="U1234" s="6"/>
      <c r="V1234" s="6"/>
      <c r="W1234" s="6"/>
      <c r="X1234" s="6"/>
      <c r="Y1234" s="6"/>
      <c r="Z1234" s="6"/>
      <c r="AX1234" s="6" t="e">
        <v>#N/A</v>
      </c>
    </row>
    <row r="1235" spans="1:50" ht="31.4" customHeight="1" x14ac:dyDescent="0.35">
      <c r="A1235" s="136"/>
      <c r="B1235" s="7"/>
      <c r="C1235" s="7"/>
      <c r="D1235" s="7"/>
      <c r="E1235" s="25"/>
      <c r="F1235" s="9" t="str">
        <f>IF($E1235="","",WORKDAY($E1235,1,$V$33:$V$41))</f>
        <v/>
      </c>
      <c r="G1235" s="9" t="str">
        <f>IF($E1235="","",WORKDAY($E1235,10,$V$33:$V$41))</f>
        <v/>
      </c>
      <c r="H1235" s="9" t="str">
        <f>IF($E1235="","",WORKDAY($E1235,20,$V$33:$V$41))</f>
        <v/>
      </c>
      <c r="I1235" s="157" t="str">
        <f t="shared" si="27"/>
        <v/>
      </c>
      <c r="J1235" s="17" t="str">
        <f ca="1">IF(E1235="","",IF(N1235="",H1235-TODAY(),""))</f>
        <v/>
      </c>
      <c r="K1235" s="157"/>
      <c r="N1235" s="16"/>
      <c r="O1235" s="16"/>
      <c r="P1235" s="10" t="str">
        <f>IF(ISBLANK(N1235),"",IF(N1235&gt;H1235,"No","Yes"))</f>
        <v/>
      </c>
      <c r="R1235" s="4"/>
      <c r="S1235" s="4"/>
      <c r="T1235" s="7"/>
      <c r="U1235" s="6"/>
      <c r="V1235" s="6"/>
      <c r="W1235" s="6"/>
      <c r="X1235" s="6"/>
      <c r="Y1235" s="6"/>
      <c r="Z1235" s="6"/>
      <c r="AX1235" s="6" t="e">
        <v>#N/A</v>
      </c>
    </row>
    <row r="1236" spans="1:50" ht="31.4" customHeight="1" x14ac:dyDescent="0.35">
      <c r="A1236" s="136"/>
      <c r="B1236" s="7"/>
      <c r="C1236" s="7"/>
      <c r="D1236" s="7"/>
      <c r="E1236" s="25"/>
      <c r="F1236" s="9" t="str">
        <f>IF($E1236="","",WORKDAY($E1236,1,$V$33:$V$41))</f>
        <v/>
      </c>
      <c r="G1236" s="9" t="str">
        <f>IF($E1236="","",WORKDAY($E1236,10,$V$33:$V$41))</f>
        <v/>
      </c>
      <c r="H1236" s="9" t="str">
        <f>IF($E1236="","",WORKDAY($E1236,20,$V$33:$V$41))</f>
        <v/>
      </c>
      <c r="I1236" s="157" t="str">
        <f t="shared" si="27"/>
        <v/>
      </c>
      <c r="J1236" s="17" t="str">
        <f ca="1">IF(E1236="","",IF(N1236="",H1236-TODAY(),""))</f>
        <v/>
      </c>
      <c r="K1236" s="157"/>
      <c r="N1236" s="16"/>
      <c r="O1236" s="16"/>
      <c r="P1236" s="10" t="str">
        <f>IF(ISBLANK(N1236),"",IF(N1236&gt;H1236,"No","Yes"))</f>
        <v/>
      </c>
      <c r="R1236" s="4"/>
      <c r="S1236" s="4"/>
      <c r="T1236" s="7"/>
      <c r="U1236" s="6"/>
      <c r="V1236" s="6"/>
      <c r="W1236" s="6"/>
      <c r="X1236" s="6"/>
      <c r="Y1236" s="6"/>
      <c r="Z1236" s="6"/>
      <c r="AX1236" s="6" t="e">
        <v>#N/A</v>
      </c>
    </row>
    <row r="1237" spans="1:50" ht="31.4" customHeight="1" x14ac:dyDescent="0.35">
      <c r="A1237" s="136"/>
      <c r="B1237" s="7"/>
      <c r="C1237" s="7"/>
      <c r="D1237" s="7"/>
      <c r="E1237" s="25"/>
      <c r="F1237" s="9" t="str">
        <f>IF($E1237="","",WORKDAY($E1237,1,$V$33:$V$41))</f>
        <v/>
      </c>
      <c r="G1237" s="9" t="str">
        <f>IF($E1237="","",WORKDAY($E1237,10,$V$33:$V$41))</f>
        <v/>
      </c>
      <c r="H1237" s="9" t="str">
        <f>IF($E1237="","",WORKDAY($E1237,20,$V$33:$V$41))</f>
        <v/>
      </c>
      <c r="I1237" s="157" t="str">
        <f t="shared" si="27"/>
        <v/>
      </c>
      <c r="J1237" s="17" t="str">
        <f ca="1">IF(E1237="","",IF(N1237="",H1237-TODAY(),""))</f>
        <v/>
      </c>
      <c r="K1237" s="157"/>
      <c r="N1237" s="16"/>
      <c r="O1237" s="16"/>
      <c r="P1237" s="10" t="str">
        <f>IF(ISBLANK(N1237),"",IF(N1237&gt;H1237,"No","Yes"))</f>
        <v/>
      </c>
      <c r="R1237" s="4"/>
      <c r="S1237" s="4"/>
      <c r="T1237" s="7"/>
      <c r="U1237" s="6"/>
      <c r="V1237" s="6"/>
      <c r="W1237" s="6"/>
      <c r="X1237" s="6"/>
      <c r="Y1237" s="6"/>
      <c r="Z1237" s="6"/>
      <c r="AX1237" s="6" t="e">
        <v>#N/A</v>
      </c>
    </row>
    <row r="1238" spans="1:50" ht="31.4" customHeight="1" x14ac:dyDescent="0.35">
      <c r="A1238" s="136"/>
      <c r="B1238" s="7"/>
      <c r="C1238" s="7"/>
      <c r="D1238" s="7"/>
      <c r="E1238" s="25"/>
      <c r="F1238" s="9" t="str">
        <f>IF($E1238="","",WORKDAY($E1238,1,$V$33:$V$41))</f>
        <v/>
      </c>
      <c r="G1238" s="9" t="str">
        <f>IF($E1238="","",WORKDAY($E1238,10,$V$33:$V$41))</f>
        <v/>
      </c>
      <c r="H1238" s="9" t="str">
        <f>IF($E1238="","",WORKDAY($E1238,20,$V$33:$V$41))</f>
        <v/>
      </c>
      <c r="I1238" s="157" t="str">
        <f t="shared" si="27"/>
        <v/>
      </c>
      <c r="J1238" s="17" t="str">
        <f ca="1">IF(E1238="","",IF(N1238="",H1238-TODAY(),""))</f>
        <v/>
      </c>
      <c r="K1238" s="157"/>
      <c r="N1238" s="16"/>
      <c r="O1238" s="16"/>
      <c r="P1238" s="10" t="str">
        <f>IF(ISBLANK(N1238),"",IF(N1238&gt;H1238,"No","Yes"))</f>
        <v/>
      </c>
      <c r="R1238" s="4"/>
      <c r="S1238" s="4"/>
      <c r="T1238" s="7"/>
      <c r="U1238" s="6"/>
      <c r="V1238" s="6"/>
      <c r="W1238" s="6"/>
      <c r="X1238" s="6"/>
      <c r="Y1238" s="6"/>
      <c r="Z1238" s="6"/>
      <c r="AX1238" s="6" t="e">
        <v>#N/A</v>
      </c>
    </row>
    <row r="1239" spans="1:50" ht="31.4" customHeight="1" x14ac:dyDescent="0.35">
      <c r="A1239" s="136"/>
      <c r="B1239" s="7"/>
      <c r="C1239" s="7"/>
      <c r="D1239" s="7"/>
      <c r="E1239" s="25"/>
      <c r="F1239" s="9" t="str">
        <f>IF($E1239="","",WORKDAY($E1239,1,$V$33:$V$41))</f>
        <v/>
      </c>
      <c r="G1239" s="9" t="str">
        <f>IF($E1239="","",WORKDAY($E1239,10,$V$33:$V$41))</f>
        <v/>
      </c>
      <c r="H1239" s="9" t="str">
        <f>IF($E1239="","",WORKDAY($E1239,20,$V$33:$V$41))</f>
        <v/>
      </c>
      <c r="I1239" s="157" t="str">
        <f t="shared" si="27"/>
        <v/>
      </c>
      <c r="J1239" s="17" t="str">
        <f ca="1">IF(E1239="","",IF(N1239="",H1239-TODAY(),""))</f>
        <v/>
      </c>
      <c r="K1239" s="157"/>
      <c r="N1239" s="16"/>
      <c r="O1239" s="16"/>
      <c r="P1239" s="10" t="str">
        <f>IF(ISBLANK(N1239),"",IF(N1239&gt;H1239,"No","Yes"))</f>
        <v/>
      </c>
      <c r="R1239" s="4"/>
      <c r="S1239" s="4"/>
      <c r="T1239" s="7"/>
      <c r="U1239" s="6"/>
      <c r="V1239" s="6"/>
      <c r="W1239" s="6"/>
      <c r="X1239" s="6"/>
      <c r="Y1239" s="6"/>
      <c r="Z1239" s="6"/>
      <c r="AX1239" s="6" t="e">
        <v>#N/A</v>
      </c>
    </row>
    <row r="1240" spans="1:50" ht="31.4" customHeight="1" x14ac:dyDescent="0.35">
      <c r="A1240" s="136"/>
      <c r="B1240" s="7"/>
      <c r="C1240" s="7"/>
      <c r="D1240" s="7"/>
      <c r="E1240" s="25"/>
      <c r="F1240" s="9" t="str">
        <f>IF($E1240="","",WORKDAY($E1240,1,$V$33:$V$41))</f>
        <v/>
      </c>
      <c r="G1240" s="9" t="str">
        <f>IF($E1240="","",WORKDAY($E1240,10,$V$33:$V$41))</f>
        <v/>
      </c>
      <c r="H1240" s="9" t="str">
        <f>IF($E1240="","",WORKDAY($E1240,20,$V$33:$V$41))</f>
        <v/>
      </c>
      <c r="I1240" s="157" t="str">
        <f t="shared" si="27"/>
        <v/>
      </c>
      <c r="J1240" s="17" t="str">
        <f ca="1">IF(E1240="","",IF(N1240="",H1240-TODAY(),""))</f>
        <v/>
      </c>
      <c r="K1240" s="157"/>
      <c r="N1240" s="16"/>
      <c r="O1240" s="16"/>
      <c r="P1240" s="10" t="str">
        <f>IF(ISBLANK(N1240),"",IF(N1240&gt;H1240,"No","Yes"))</f>
        <v/>
      </c>
      <c r="R1240" s="4"/>
      <c r="S1240" s="4"/>
      <c r="T1240" s="7"/>
      <c r="U1240" s="6"/>
      <c r="V1240" s="6"/>
      <c r="W1240" s="6"/>
      <c r="X1240" s="6"/>
      <c r="Y1240" s="6"/>
      <c r="Z1240" s="6"/>
      <c r="AX1240" s="6" t="e">
        <v>#N/A</v>
      </c>
    </row>
    <row r="1241" spans="1:50" ht="31.4" customHeight="1" x14ac:dyDescent="0.35">
      <c r="A1241" s="136"/>
      <c r="B1241" s="7"/>
      <c r="C1241" s="7"/>
      <c r="D1241" s="7"/>
      <c r="E1241" s="25"/>
      <c r="F1241" s="9" t="str">
        <f>IF($E1241="","",WORKDAY($E1241,1,$V$33:$V$41))</f>
        <v/>
      </c>
      <c r="G1241" s="9" t="str">
        <f>IF($E1241="","",WORKDAY($E1241,10,$V$33:$V$41))</f>
        <v/>
      </c>
      <c r="H1241" s="9" t="str">
        <f>IF($E1241="","",WORKDAY($E1241,20,$V$33:$V$41))</f>
        <v/>
      </c>
      <c r="I1241" s="157" t="str">
        <f t="shared" si="27"/>
        <v/>
      </c>
      <c r="J1241" s="17" t="str">
        <f ca="1">IF(E1241="","",IF(N1241="",H1241-TODAY(),""))</f>
        <v/>
      </c>
      <c r="K1241" s="157"/>
      <c r="N1241" s="16"/>
      <c r="O1241" s="16"/>
      <c r="P1241" s="10" t="str">
        <f>IF(ISBLANK(N1241),"",IF(N1241&gt;H1241,"No","Yes"))</f>
        <v/>
      </c>
      <c r="R1241" s="4"/>
      <c r="S1241" s="4"/>
      <c r="T1241" s="7"/>
      <c r="U1241" s="6"/>
      <c r="V1241" s="6"/>
      <c r="W1241" s="6"/>
      <c r="X1241" s="6"/>
      <c r="Y1241" s="6"/>
      <c r="Z1241" s="6"/>
      <c r="AX1241" s="6" t="e">
        <v>#N/A</v>
      </c>
    </row>
    <row r="1242" spans="1:50" ht="31.4" customHeight="1" x14ac:dyDescent="0.35">
      <c r="A1242" s="136"/>
      <c r="B1242" s="7"/>
      <c r="C1242" s="7"/>
      <c r="D1242" s="7"/>
      <c r="E1242" s="25"/>
      <c r="F1242" s="9" t="str">
        <f>IF($E1242="","",WORKDAY($E1242,1,$V$33:$V$41))</f>
        <v/>
      </c>
      <c r="G1242" s="9" t="str">
        <f>IF($E1242="","",WORKDAY($E1242,10,$V$33:$V$41))</f>
        <v/>
      </c>
      <c r="H1242" s="9" t="str">
        <f>IF($E1242="","",WORKDAY($E1242,20,$V$33:$V$41))</f>
        <v/>
      </c>
      <c r="I1242" s="157" t="str">
        <f t="shared" si="27"/>
        <v/>
      </c>
      <c r="J1242" s="17" t="str">
        <f ca="1">IF(E1242="","",IF(N1242="",H1242-TODAY(),""))</f>
        <v/>
      </c>
      <c r="K1242" s="157"/>
      <c r="N1242" s="16"/>
      <c r="O1242" s="16"/>
      <c r="P1242" s="10" t="str">
        <f>IF(ISBLANK(N1242),"",IF(N1242&gt;H1242,"No","Yes"))</f>
        <v/>
      </c>
      <c r="R1242" s="4"/>
      <c r="S1242" s="4"/>
      <c r="T1242" s="7"/>
      <c r="U1242" s="6"/>
      <c r="V1242" s="6"/>
      <c r="W1242" s="6"/>
      <c r="X1242" s="6"/>
      <c r="Y1242" s="6"/>
      <c r="Z1242" s="6"/>
      <c r="AX1242" s="6" t="e">
        <v>#N/A</v>
      </c>
    </row>
    <row r="1243" spans="1:50" ht="31.4" customHeight="1" x14ac:dyDescent="0.35">
      <c r="A1243" s="136"/>
      <c r="B1243" s="7"/>
      <c r="C1243" s="7"/>
      <c r="D1243" s="7"/>
      <c r="E1243" s="25"/>
      <c r="F1243" s="9" t="str">
        <f>IF($E1243="","",WORKDAY($E1243,1,$V$33:$V$41))</f>
        <v/>
      </c>
      <c r="G1243" s="9" t="str">
        <f>IF($E1243="","",WORKDAY($E1243,10,$V$33:$V$41))</f>
        <v/>
      </c>
      <c r="H1243" s="9" t="str">
        <f>IF($E1243="","",WORKDAY($E1243,20,$V$33:$V$41))</f>
        <v/>
      </c>
      <c r="I1243" s="157" t="str">
        <f t="shared" si="27"/>
        <v/>
      </c>
      <c r="J1243" s="17" t="str">
        <f ca="1">IF(E1243="","",IF(N1243="",H1243-TODAY(),""))</f>
        <v/>
      </c>
      <c r="K1243" s="157"/>
      <c r="N1243" s="16"/>
      <c r="O1243" s="16"/>
      <c r="P1243" s="10" t="str">
        <f>IF(ISBLANK(N1243),"",IF(N1243&gt;H1243,"No","Yes"))</f>
        <v/>
      </c>
      <c r="R1243" s="4"/>
      <c r="S1243" s="4"/>
      <c r="T1243" s="7"/>
      <c r="U1243" s="6"/>
      <c r="V1243" s="6"/>
      <c r="W1243" s="6"/>
      <c r="X1243" s="6"/>
      <c r="Y1243" s="6"/>
      <c r="Z1243" s="6"/>
      <c r="AX1243" s="6" t="e">
        <v>#N/A</v>
      </c>
    </row>
    <row r="1244" spans="1:50" ht="31.4" customHeight="1" x14ac:dyDescent="0.35">
      <c r="A1244" s="136"/>
      <c r="B1244" s="7"/>
      <c r="C1244" s="7"/>
      <c r="D1244" s="7"/>
      <c r="E1244" s="25"/>
      <c r="F1244" s="9" t="str">
        <f>IF($E1244="","",WORKDAY($E1244,1,$V$33:$V$41))</f>
        <v/>
      </c>
      <c r="G1244" s="9" t="str">
        <f>IF($E1244="","",WORKDAY($E1244,10,$V$33:$V$41))</f>
        <v/>
      </c>
      <c r="H1244" s="9" t="str">
        <f>IF($E1244="","",WORKDAY($E1244,20,$V$33:$V$41))</f>
        <v/>
      </c>
      <c r="I1244" s="157" t="str">
        <f t="shared" si="27"/>
        <v/>
      </c>
      <c r="J1244" s="17" t="str">
        <f ca="1">IF(E1244="","",IF(N1244="",H1244-TODAY(),""))</f>
        <v/>
      </c>
      <c r="K1244" s="157"/>
      <c r="N1244" s="16"/>
      <c r="O1244" s="16"/>
      <c r="P1244" s="10" t="str">
        <f>IF(ISBLANK(N1244),"",IF(N1244&gt;H1244,"No","Yes"))</f>
        <v/>
      </c>
      <c r="R1244" s="4"/>
      <c r="S1244" s="4"/>
      <c r="T1244" s="7"/>
      <c r="U1244" s="6"/>
      <c r="V1244" s="6"/>
      <c r="W1244" s="6"/>
      <c r="X1244" s="6"/>
      <c r="Y1244" s="6"/>
      <c r="Z1244" s="6"/>
      <c r="AX1244" s="6" t="e">
        <v>#N/A</v>
      </c>
    </row>
    <row r="1245" spans="1:50" ht="31.4" customHeight="1" x14ac:dyDescent="0.35">
      <c r="A1245" s="136"/>
      <c r="B1245" s="7"/>
      <c r="C1245" s="7"/>
      <c r="D1245" s="7"/>
      <c r="E1245" s="25"/>
      <c r="F1245" s="9" t="str">
        <f>IF($E1245="","",WORKDAY($E1245,1,$V$33:$V$41))</f>
        <v/>
      </c>
      <c r="G1245" s="9" t="str">
        <f>IF($E1245="","",WORKDAY($E1245,10,$V$33:$V$41))</f>
        <v/>
      </c>
      <c r="H1245" s="9" t="str">
        <f>IF($E1245="","",WORKDAY($E1245,20,$V$33:$V$41))</f>
        <v/>
      </c>
      <c r="I1245" s="157" t="str">
        <f t="shared" si="27"/>
        <v/>
      </c>
      <c r="J1245" s="17" t="str">
        <f ca="1">IF(E1245="","",IF(N1245="",H1245-TODAY(),""))</f>
        <v/>
      </c>
      <c r="K1245" s="157"/>
      <c r="N1245" s="16"/>
      <c r="O1245" s="16"/>
      <c r="P1245" s="10" t="str">
        <f>IF(ISBLANK(N1245),"",IF(N1245&gt;H1245,"No","Yes"))</f>
        <v/>
      </c>
      <c r="R1245" s="4"/>
      <c r="S1245" s="4"/>
      <c r="T1245" s="7"/>
      <c r="U1245" s="6"/>
      <c r="V1245" s="6"/>
      <c r="W1245" s="6"/>
      <c r="X1245" s="6"/>
      <c r="Y1245" s="6"/>
      <c r="Z1245" s="6"/>
      <c r="AX1245" s="6" t="e">
        <v>#N/A</v>
      </c>
    </row>
    <row r="1246" spans="1:50" ht="31.4" customHeight="1" x14ac:dyDescent="0.35">
      <c r="A1246" s="136"/>
      <c r="B1246" s="7"/>
      <c r="C1246" s="7"/>
      <c r="D1246" s="7"/>
      <c r="E1246" s="25"/>
      <c r="F1246" s="9" t="str">
        <f>IF($E1246="","",WORKDAY($E1246,1,$V$33:$V$41))</f>
        <v/>
      </c>
      <c r="G1246" s="9" t="str">
        <f>IF($E1246="","",WORKDAY($E1246,10,$V$33:$V$41))</f>
        <v/>
      </c>
      <c r="H1246" s="9" t="str">
        <f>IF($E1246="","",WORKDAY($E1246,20,$V$33:$V$41))</f>
        <v/>
      </c>
      <c r="I1246" s="157" t="str">
        <f t="shared" si="27"/>
        <v/>
      </c>
      <c r="J1246" s="17" t="str">
        <f ca="1">IF(E1246="","",IF(N1246="",H1246-TODAY(),""))</f>
        <v/>
      </c>
      <c r="K1246" s="157"/>
      <c r="N1246" s="16"/>
      <c r="O1246" s="16"/>
      <c r="P1246" s="10" t="str">
        <f>IF(ISBLANK(N1246),"",IF(N1246&gt;H1246,"No","Yes"))</f>
        <v/>
      </c>
      <c r="R1246" s="4"/>
      <c r="S1246" s="4"/>
      <c r="T1246" s="7"/>
      <c r="U1246" s="6"/>
      <c r="V1246" s="6"/>
      <c r="W1246" s="6"/>
      <c r="X1246" s="6"/>
      <c r="Y1246" s="6"/>
      <c r="Z1246" s="6"/>
      <c r="AX1246" s="6" t="e">
        <v>#N/A</v>
      </c>
    </row>
    <row r="1247" spans="1:50" ht="31.4" customHeight="1" x14ac:dyDescent="0.35">
      <c r="A1247" s="136"/>
      <c r="B1247" s="7"/>
      <c r="C1247" s="7"/>
      <c r="D1247" s="7"/>
      <c r="E1247" s="25"/>
      <c r="F1247" s="9" t="str">
        <f>IF($E1247="","",WORKDAY($E1247,1,$V$33:$V$41))</f>
        <v/>
      </c>
      <c r="G1247" s="9" t="str">
        <f>IF($E1247="","",WORKDAY($E1247,10,$V$33:$V$41))</f>
        <v/>
      </c>
      <c r="H1247" s="9" t="str">
        <f>IF($E1247="","",WORKDAY($E1247,20,$V$33:$V$41))</f>
        <v/>
      </c>
      <c r="I1247" s="157" t="str">
        <f t="shared" ref="I1247:I1262" si="28">IF(ISBLANK(E1247),"",TEXT(E1247,"mmm"))</f>
        <v/>
      </c>
      <c r="J1247" s="17" t="str">
        <f ca="1">IF(E1247="","",IF(N1247="",H1247-TODAY(),""))</f>
        <v/>
      </c>
      <c r="K1247" s="157"/>
      <c r="N1247" s="16"/>
      <c r="O1247" s="16"/>
      <c r="P1247" s="10" t="str">
        <f>IF(ISBLANK(N1247),"",IF(N1247&gt;H1247,"No","Yes"))</f>
        <v/>
      </c>
      <c r="R1247" s="4"/>
      <c r="S1247" s="4"/>
      <c r="T1247" s="7"/>
      <c r="U1247" s="6"/>
      <c r="V1247" s="6"/>
      <c r="W1247" s="6"/>
      <c r="X1247" s="6"/>
      <c r="Y1247" s="6"/>
      <c r="Z1247" s="6"/>
      <c r="AX1247" s="6" t="e">
        <v>#N/A</v>
      </c>
    </row>
    <row r="1248" spans="1:50" ht="31.4" customHeight="1" x14ac:dyDescent="0.35">
      <c r="A1248" s="136"/>
      <c r="B1248" s="7"/>
      <c r="C1248" s="7"/>
      <c r="D1248" s="7"/>
      <c r="E1248" s="25"/>
      <c r="F1248" s="9" t="str">
        <f>IF($E1248="","",WORKDAY($E1248,1,$V$33:$V$41))</f>
        <v/>
      </c>
      <c r="G1248" s="9" t="str">
        <f>IF($E1248="","",WORKDAY($E1248,10,$V$33:$V$41))</f>
        <v/>
      </c>
      <c r="H1248" s="9" t="str">
        <f>IF($E1248="","",WORKDAY($E1248,20,$V$33:$V$41))</f>
        <v/>
      </c>
      <c r="I1248" s="157" t="str">
        <f t="shared" si="28"/>
        <v/>
      </c>
      <c r="J1248" s="17" t="str">
        <f ca="1">IF(E1248="","",IF(N1248="",H1248-TODAY(),""))</f>
        <v/>
      </c>
      <c r="K1248" s="157"/>
      <c r="N1248" s="16"/>
      <c r="O1248" s="16"/>
      <c r="P1248" s="10" t="str">
        <f>IF(ISBLANK(N1248),"",IF(N1248&gt;H1248,"No","Yes"))</f>
        <v/>
      </c>
      <c r="R1248" s="4"/>
      <c r="S1248" s="4"/>
      <c r="T1248" s="7"/>
      <c r="U1248" s="6"/>
      <c r="V1248" s="6"/>
      <c r="W1248" s="6"/>
      <c r="X1248" s="6"/>
      <c r="Y1248" s="6"/>
      <c r="Z1248" s="6"/>
      <c r="AX1248" s="6" t="e">
        <v>#N/A</v>
      </c>
    </row>
    <row r="1249" spans="1:50" ht="31.4" customHeight="1" x14ac:dyDescent="0.35">
      <c r="A1249" s="136"/>
      <c r="B1249" s="7"/>
      <c r="C1249" s="7"/>
      <c r="D1249" s="7"/>
      <c r="E1249" s="25"/>
      <c r="F1249" s="9" t="str">
        <f>IF($E1249="","",WORKDAY($E1249,1,$V$33:$V$41))</f>
        <v/>
      </c>
      <c r="G1249" s="9" t="str">
        <f>IF($E1249="","",WORKDAY($E1249,10,$V$33:$V$41))</f>
        <v/>
      </c>
      <c r="H1249" s="9" t="str">
        <f>IF($E1249="","",WORKDAY($E1249,20,$V$33:$V$41))</f>
        <v/>
      </c>
      <c r="I1249" s="157" t="str">
        <f t="shared" si="28"/>
        <v/>
      </c>
      <c r="J1249" s="17" t="str">
        <f ca="1">IF(E1249="","",IF(N1249="",H1249-TODAY(),""))</f>
        <v/>
      </c>
      <c r="K1249" s="157"/>
      <c r="N1249" s="16"/>
      <c r="O1249" s="16"/>
      <c r="P1249" s="10" t="str">
        <f>IF(ISBLANK(N1249),"",IF(N1249&gt;H1249,"No","Yes"))</f>
        <v/>
      </c>
      <c r="R1249" s="4"/>
      <c r="S1249" s="4"/>
      <c r="T1249" s="7"/>
      <c r="U1249" s="6"/>
      <c r="V1249" s="6"/>
      <c r="W1249" s="6"/>
      <c r="X1249" s="6"/>
      <c r="Y1249" s="6"/>
      <c r="Z1249" s="6"/>
      <c r="AX1249" s="6" t="e">
        <v>#N/A</v>
      </c>
    </row>
    <row r="1250" spans="1:50" ht="31.4" customHeight="1" x14ac:dyDescent="0.35">
      <c r="A1250" s="136"/>
      <c r="B1250" s="7"/>
      <c r="C1250" s="7"/>
      <c r="D1250" s="7"/>
      <c r="E1250" s="25"/>
      <c r="F1250" s="9" t="str">
        <f>IF($E1250="","",WORKDAY($E1250,1,$V$33:$V$41))</f>
        <v/>
      </c>
      <c r="G1250" s="9" t="str">
        <f>IF($E1250="","",WORKDAY($E1250,10,$V$33:$V$41))</f>
        <v/>
      </c>
      <c r="H1250" s="9" t="str">
        <f>IF($E1250="","",WORKDAY($E1250,20,$V$33:$V$41))</f>
        <v/>
      </c>
      <c r="I1250" s="157" t="str">
        <f t="shared" si="28"/>
        <v/>
      </c>
      <c r="J1250" s="17" t="str">
        <f ca="1">IF(E1250="","",IF(N1250="",H1250-TODAY(),""))</f>
        <v/>
      </c>
      <c r="K1250" s="157"/>
      <c r="N1250" s="16"/>
      <c r="O1250" s="16"/>
      <c r="P1250" s="10" t="str">
        <f>IF(ISBLANK(N1250),"",IF(N1250&gt;H1250,"No","Yes"))</f>
        <v/>
      </c>
      <c r="R1250" s="4"/>
      <c r="S1250" s="4"/>
      <c r="T1250" s="7"/>
      <c r="U1250" s="6"/>
      <c r="V1250" s="6"/>
      <c r="W1250" s="6"/>
      <c r="X1250" s="6"/>
      <c r="Y1250" s="6"/>
      <c r="Z1250" s="6"/>
      <c r="AX1250" s="6" t="e">
        <v>#N/A</v>
      </c>
    </row>
    <row r="1251" spans="1:50" ht="31.4" customHeight="1" x14ac:dyDescent="0.35">
      <c r="A1251" s="136"/>
      <c r="B1251" s="7"/>
      <c r="C1251" s="7"/>
      <c r="D1251" s="7"/>
      <c r="E1251" s="25"/>
      <c r="F1251" s="9" t="str">
        <f>IF($E1251="","",WORKDAY($E1251,1,$V$33:$V$41))</f>
        <v/>
      </c>
      <c r="G1251" s="9" t="str">
        <f>IF($E1251="","",WORKDAY($E1251,10,$V$33:$V$41))</f>
        <v/>
      </c>
      <c r="H1251" s="9" t="str">
        <f>IF($E1251="","",WORKDAY($E1251,20,$V$33:$V$41))</f>
        <v/>
      </c>
      <c r="I1251" s="157" t="str">
        <f t="shared" si="28"/>
        <v/>
      </c>
      <c r="J1251" s="17" t="str">
        <f ca="1">IF(E1251="","",IF(N1251="",H1251-TODAY(),""))</f>
        <v/>
      </c>
      <c r="K1251" s="157"/>
      <c r="N1251" s="16"/>
      <c r="O1251" s="16"/>
      <c r="P1251" s="10" t="str">
        <f>IF(ISBLANK(N1251),"",IF(N1251&gt;H1251,"No","Yes"))</f>
        <v/>
      </c>
      <c r="R1251" s="4"/>
      <c r="S1251" s="4"/>
      <c r="T1251" s="7"/>
      <c r="U1251" s="6"/>
      <c r="V1251" s="6"/>
      <c r="W1251" s="6"/>
      <c r="X1251" s="6"/>
      <c r="Y1251" s="6"/>
      <c r="Z1251" s="6"/>
      <c r="AX1251" s="6" t="e">
        <v>#N/A</v>
      </c>
    </row>
    <row r="1252" spans="1:50" ht="31.4" customHeight="1" x14ac:dyDescent="0.35">
      <c r="A1252" s="136"/>
      <c r="B1252" s="7"/>
      <c r="C1252" s="7"/>
      <c r="D1252" s="7"/>
      <c r="E1252" s="25"/>
      <c r="F1252" s="9" t="str">
        <f>IF($E1252="","",WORKDAY($E1252,1,$V$33:$V$41))</f>
        <v/>
      </c>
      <c r="G1252" s="9" t="str">
        <f>IF($E1252="","",WORKDAY($E1252,10,$V$33:$V$41))</f>
        <v/>
      </c>
      <c r="H1252" s="9" t="str">
        <f>IF($E1252="","",WORKDAY($E1252,20,$V$33:$V$41))</f>
        <v/>
      </c>
      <c r="I1252" s="157" t="str">
        <f t="shared" si="28"/>
        <v/>
      </c>
      <c r="J1252" s="17" t="str">
        <f ca="1">IF(E1252="","",IF(N1252="",H1252-TODAY(),""))</f>
        <v/>
      </c>
      <c r="K1252" s="157"/>
      <c r="N1252" s="16"/>
      <c r="O1252" s="16"/>
      <c r="P1252" s="10" t="str">
        <f>IF(ISBLANK(N1252),"",IF(N1252&gt;H1252,"No","Yes"))</f>
        <v/>
      </c>
      <c r="R1252" s="4"/>
      <c r="S1252" s="4"/>
      <c r="T1252" s="7"/>
      <c r="U1252" s="6"/>
      <c r="V1252" s="6"/>
      <c r="W1252" s="6"/>
      <c r="X1252" s="6"/>
      <c r="Y1252" s="6"/>
      <c r="Z1252" s="6"/>
      <c r="AX1252" s="6" t="e">
        <v>#N/A</v>
      </c>
    </row>
    <row r="1253" spans="1:50" ht="31.4" customHeight="1" x14ac:dyDescent="0.35">
      <c r="A1253" s="136"/>
      <c r="B1253" s="7"/>
      <c r="C1253" s="7"/>
      <c r="D1253" s="7"/>
      <c r="E1253" s="25"/>
      <c r="F1253" s="9" t="str">
        <f>IF($E1253="","",WORKDAY($E1253,1,$V$33:$V$41))</f>
        <v/>
      </c>
      <c r="G1253" s="9" t="str">
        <f>IF($E1253="","",WORKDAY($E1253,10,$V$33:$V$41))</f>
        <v/>
      </c>
      <c r="H1253" s="9" t="str">
        <f>IF($E1253="","",WORKDAY($E1253,20,$V$33:$V$41))</f>
        <v/>
      </c>
      <c r="I1253" s="157" t="str">
        <f t="shared" si="28"/>
        <v/>
      </c>
      <c r="J1253" s="17" t="str">
        <f ca="1">IF(E1253="","",IF(N1253="",H1253-TODAY(),""))</f>
        <v/>
      </c>
      <c r="K1253" s="157"/>
      <c r="N1253" s="16"/>
      <c r="O1253" s="16"/>
      <c r="P1253" s="10" t="str">
        <f>IF(ISBLANK(N1253),"",IF(N1253&gt;H1253,"No","Yes"))</f>
        <v/>
      </c>
      <c r="R1253" s="4"/>
      <c r="S1253" s="4"/>
      <c r="T1253" s="7"/>
      <c r="U1253" s="6"/>
      <c r="V1253" s="6"/>
      <c r="W1253" s="6"/>
      <c r="X1253" s="6"/>
      <c r="Y1253" s="6"/>
      <c r="Z1253" s="6"/>
      <c r="AX1253" s="6" t="e">
        <v>#N/A</v>
      </c>
    </row>
    <row r="1254" spans="1:50" ht="31.4" customHeight="1" x14ac:dyDescent="0.35">
      <c r="A1254" s="136"/>
      <c r="B1254" s="7"/>
      <c r="C1254" s="7"/>
      <c r="D1254" s="7"/>
      <c r="E1254" s="25"/>
      <c r="F1254" s="9" t="str">
        <f>IF($E1254="","",WORKDAY($E1254,1,$V$33:$V$41))</f>
        <v/>
      </c>
      <c r="G1254" s="9" t="str">
        <f>IF($E1254="","",WORKDAY($E1254,10,$V$33:$V$41))</f>
        <v/>
      </c>
      <c r="H1254" s="9" t="str">
        <f>IF($E1254="","",WORKDAY($E1254,20,$V$33:$V$41))</f>
        <v/>
      </c>
      <c r="I1254" s="157" t="str">
        <f t="shared" si="28"/>
        <v/>
      </c>
      <c r="J1254" s="17" t="str">
        <f ca="1">IF(E1254="","",IF(N1254="",H1254-TODAY(),""))</f>
        <v/>
      </c>
      <c r="K1254" s="157"/>
      <c r="N1254" s="16"/>
      <c r="O1254" s="16"/>
      <c r="P1254" s="10" t="str">
        <f>IF(ISBLANK(N1254),"",IF(N1254&gt;H1254,"No","Yes"))</f>
        <v/>
      </c>
      <c r="R1254" s="4"/>
      <c r="S1254" s="4"/>
      <c r="T1254" s="7"/>
      <c r="U1254" s="6"/>
      <c r="V1254" s="6"/>
      <c r="W1254" s="6"/>
      <c r="X1254" s="6"/>
      <c r="Y1254" s="6"/>
      <c r="Z1254" s="6"/>
      <c r="AX1254" s="6" t="e">
        <v>#N/A</v>
      </c>
    </row>
    <row r="1255" spans="1:50" ht="31.4" customHeight="1" x14ac:dyDescent="0.35">
      <c r="A1255" s="136"/>
      <c r="B1255" s="7"/>
      <c r="C1255" s="7"/>
      <c r="D1255" s="7"/>
      <c r="E1255" s="25"/>
      <c r="F1255" s="9" t="str">
        <f>IF($E1255="","",WORKDAY($E1255,1,$V$33:$V$41))</f>
        <v/>
      </c>
      <c r="G1255" s="9" t="str">
        <f>IF($E1255="","",WORKDAY($E1255,10,$V$33:$V$41))</f>
        <v/>
      </c>
      <c r="H1255" s="9" t="str">
        <f>IF($E1255="","",WORKDAY($E1255,20,$V$33:$V$41))</f>
        <v/>
      </c>
      <c r="I1255" s="157" t="str">
        <f t="shared" si="28"/>
        <v/>
      </c>
      <c r="J1255" s="17" t="str">
        <f ca="1">IF(E1255="","",IF(N1255="",H1255-TODAY(),""))</f>
        <v/>
      </c>
      <c r="K1255" s="157"/>
      <c r="N1255" s="16"/>
      <c r="O1255" s="16"/>
      <c r="P1255" s="10" t="str">
        <f>IF(ISBLANK(N1255),"",IF(N1255&gt;H1255,"No","Yes"))</f>
        <v/>
      </c>
      <c r="R1255" s="4"/>
      <c r="S1255" s="4"/>
      <c r="T1255" s="7"/>
      <c r="U1255" s="6"/>
      <c r="V1255" s="6"/>
      <c r="W1255" s="6"/>
      <c r="X1255" s="6"/>
      <c r="Y1255" s="6"/>
      <c r="Z1255" s="6"/>
      <c r="AX1255" s="6" t="e">
        <v>#N/A</v>
      </c>
    </row>
    <row r="1256" spans="1:50" ht="31.4" customHeight="1" x14ac:dyDescent="0.35">
      <c r="A1256" s="136"/>
      <c r="B1256" s="7"/>
      <c r="C1256" s="7"/>
      <c r="D1256" s="7"/>
      <c r="E1256" s="25"/>
      <c r="F1256" s="9" t="str">
        <f>IF($E1256="","",WORKDAY($E1256,1,$V$33:$V$41))</f>
        <v/>
      </c>
      <c r="G1256" s="9" t="str">
        <f>IF($E1256="","",WORKDAY($E1256,10,$V$33:$V$41))</f>
        <v/>
      </c>
      <c r="H1256" s="9" t="str">
        <f>IF($E1256="","",WORKDAY($E1256,20,$V$33:$V$41))</f>
        <v/>
      </c>
      <c r="I1256" s="157" t="str">
        <f t="shared" si="28"/>
        <v/>
      </c>
      <c r="J1256" s="17" t="str">
        <f ca="1">IF(E1256="","",IF(N1256="",H1256-TODAY(),""))</f>
        <v/>
      </c>
      <c r="K1256" s="157"/>
      <c r="N1256" s="16"/>
      <c r="O1256" s="16"/>
      <c r="P1256" s="10" t="str">
        <f>IF(ISBLANK(N1256),"",IF(N1256&gt;H1256,"No","Yes"))</f>
        <v/>
      </c>
      <c r="R1256" s="4"/>
      <c r="S1256" s="4"/>
      <c r="T1256" s="7"/>
      <c r="U1256" s="6"/>
      <c r="V1256" s="6"/>
      <c r="W1256" s="6"/>
      <c r="X1256" s="6"/>
      <c r="Y1256" s="6"/>
      <c r="Z1256" s="6"/>
      <c r="AX1256" s="6" t="e">
        <v>#N/A</v>
      </c>
    </row>
    <row r="1257" spans="1:50" ht="31.4" customHeight="1" x14ac:dyDescent="0.35">
      <c r="A1257" s="136"/>
      <c r="B1257" s="7"/>
      <c r="C1257" s="7"/>
      <c r="D1257" s="7"/>
      <c r="E1257" s="25"/>
      <c r="F1257" s="9" t="str">
        <f>IF($E1257="","",WORKDAY($E1257,1,$V$33:$V$41))</f>
        <v/>
      </c>
      <c r="G1257" s="9" t="str">
        <f>IF($E1257="","",WORKDAY($E1257,10,$V$33:$V$41))</f>
        <v/>
      </c>
      <c r="H1257" s="9" t="str">
        <f>IF($E1257="","",WORKDAY($E1257,20,$V$33:$V$41))</f>
        <v/>
      </c>
      <c r="I1257" s="157" t="str">
        <f t="shared" si="28"/>
        <v/>
      </c>
      <c r="J1257" s="17" t="str">
        <f ca="1">IF(E1257="","",IF(N1257="",H1257-TODAY(),""))</f>
        <v/>
      </c>
      <c r="K1257" s="157"/>
      <c r="N1257" s="16"/>
      <c r="O1257" s="16"/>
      <c r="P1257" s="10" t="str">
        <f>IF(ISBLANK(N1257),"",IF(N1257&gt;H1257,"No","Yes"))</f>
        <v/>
      </c>
      <c r="R1257" s="4"/>
      <c r="S1257" s="4"/>
      <c r="T1257" s="7"/>
      <c r="U1257" s="6"/>
      <c r="V1257" s="6"/>
      <c r="W1257" s="6"/>
      <c r="X1257" s="6"/>
      <c r="Y1257" s="6"/>
      <c r="Z1257" s="6"/>
      <c r="AX1257" s="6" t="e">
        <v>#N/A</v>
      </c>
    </row>
    <row r="1258" spans="1:50" ht="31.4" customHeight="1" x14ac:dyDescent="0.35">
      <c r="A1258" s="136"/>
      <c r="B1258" s="7"/>
      <c r="C1258" s="7"/>
      <c r="D1258" s="7"/>
      <c r="E1258" s="25"/>
      <c r="F1258" s="9" t="str">
        <f>IF($E1258="","",WORKDAY($E1258,1,$V$33:$V$41))</f>
        <v/>
      </c>
      <c r="G1258" s="9" t="str">
        <f>IF($E1258="","",WORKDAY($E1258,10,$V$33:$V$41))</f>
        <v/>
      </c>
      <c r="H1258" s="9" t="str">
        <f>IF($E1258="","",WORKDAY($E1258,20,$V$33:$V$41))</f>
        <v/>
      </c>
      <c r="I1258" s="157" t="str">
        <f t="shared" si="28"/>
        <v/>
      </c>
      <c r="J1258" s="17" t="str">
        <f ca="1">IF(E1258="","",IF(N1258="",H1258-TODAY(),""))</f>
        <v/>
      </c>
      <c r="K1258" s="157"/>
      <c r="N1258" s="16"/>
      <c r="O1258" s="16"/>
      <c r="P1258" s="10" t="str">
        <f>IF(ISBLANK(N1258),"",IF(N1258&gt;H1258,"No","Yes"))</f>
        <v/>
      </c>
      <c r="R1258" s="4"/>
      <c r="S1258" s="4"/>
      <c r="T1258" s="7"/>
      <c r="U1258" s="6"/>
      <c r="V1258" s="6"/>
      <c r="W1258" s="6"/>
      <c r="X1258" s="6"/>
      <c r="Y1258" s="6"/>
      <c r="Z1258" s="6"/>
      <c r="AX1258" s="6" t="e">
        <v>#N/A</v>
      </c>
    </row>
    <row r="1259" spans="1:50" ht="31.4" customHeight="1" x14ac:dyDescent="0.35">
      <c r="A1259" s="136"/>
      <c r="B1259" s="7"/>
      <c r="C1259" s="7"/>
      <c r="D1259" s="7"/>
      <c r="E1259" s="25"/>
      <c r="F1259" s="9" t="str">
        <f>IF($E1259="","",WORKDAY($E1259,1,$V$33:$V$41))</f>
        <v/>
      </c>
      <c r="G1259" s="9" t="str">
        <f>IF($E1259="","",WORKDAY($E1259,10,$V$33:$V$41))</f>
        <v/>
      </c>
      <c r="H1259" s="9" t="str">
        <f>IF($E1259="","",WORKDAY($E1259,20,$V$33:$V$41))</f>
        <v/>
      </c>
      <c r="I1259" s="157" t="str">
        <f t="shared" si="28"/>
        <v/>
      </c>
      <c r="J1259" s="17" t="str">
        <f ca="1">IF(E1259="","",IF(N1259="",H1259-TODAY(),""))</f>
        <v/>
      </c>
      <c r="K1259" s="157"/>
      <c r="N1259" s="16"/>
      <c r="O1259" s="16"/>
      <c r="P1259" s="10" t="str">
        <f>IF(ISBLANK(N1259),"",IF(N1259&gt;H1259,"No","Yes"))</f>
        <v/>
      </c>
      <c r="R1259" s="4"/>
      <c r="S1259" s="4"/>
      <c r="T1259" s="7"/>
      <c r="U1259" s="6"/>
      <c r="V1259" s="6"/>
      <c r="W1259" s="6"/>
      <c r="X1259" s="6"/>
      <c r="Y1259" s="6"/>
      <c r="Z1259" s="6"/>
      <c r="AX1259" s="6" t="e">
        <v>#N/A</v>
      </c>
    </row>
    <row r="1260" spans="1:50" ht="31.4" customHeight="1" x14ac:dyDescent="0.35">
      <c r="A1260" s="136"/>
      <c r="B1260" s="7"/>
      <c r="C1260" s="7"/>
      <c r="D1260" s="7"/>
      <c r="E1260" s="25"/>
      <c r="F1260" s="9" t="str">
        <f>IF($E1260="","",WORKDAY($E1260,1,$V$33:$V$41))</f>
        <v/>
      </c>
      <c r="G1260" s="9" t="str">
        <f>IF($E1260="","",WORKDAY($E1260,10,$V$33:$V$41))</f>
        <v/>
      </c>
      <c r="H1260" s="9" t="str">
        <f>IF($E1260="","",WORKDAY($E1260,20,$V$33:$V$41))</f>
        <v/>
      </c>
      <c r="I1260" s="157" t="str">
        <f t="shared" si="28"/>
        <v/>
      </c>
      <c r="J1260" s="17" t="str">
        <f ca="1">IF(E1260="","",IF(N1260="",H1260-TODAY(),""))</f>
        <v/>
      </c>
      <c r="K1260" s="157"/>
      <c r="N1260" s="16"/>
      <c r="O1260" s="16"/>
      <c r="P1260" s="10" t="str">
        <f>IF(ISBLANK(N1260),"",IF(N1260&gt;H1260,"No","Yes"))</f>
        <v/>
      </c>
      <c r="R1260" s="4"/>
      <c r="S1260" s="4"/>
      <c r="T1260" s="7"/>
      <c r="U1260" s="6"/>
      <c r="V1260" s="6"/>
      <c r="W1260" s="6"/>
      <c r="X1260" s="6"/>
      <c r="Y1260" s="6"/>
      <c r="Z1260" s="6"/>
      <c r="AX1260" s="6" t="e">
        <v>#N/A</v>
      </c>
    </row>
    <row r="1261" spans="1:50" ht="31.4" customHeight="1" x14ac:dyDescent="0.35">
      <c r="A1261" s="136"/>
      <c r="B1261" s="7"/>
      <c r="C1261" s="7"/>
      <c r="D1261" s="7"/>
      <c r="E1261" s="25"/>
      <c r="F1261" s="9" t="str">
        <f>IF($E1261="","",WORKDAY($E1261,1,$V$33:$V$41))</f>
        <v/>
      </c>
      <c r="G1261" s="9" t="str">
        <f>IF($E1261="","",WORKDAY($E1261,10,$V$33:$V$41))</f>
        <v/>
      </c>
      <c r="H1261" s="9" t="str">
        <f>IF($E1261="","",WORKDAY($E1261,20,$V$33:$V$41))</f>
        <v/>
      </c>
      <c r="I1261" s="157" t="str">
        <f t="shared" si="28"/>
        <v/>
      </c>
      <c r="J1261" s="17" t="str">
        <f ca="1">IF(E1261="","",IF(N1261="",H1261-TODAY(),""))</f>
        <v/>
      </c>
      <c r="K1261" s="157"/>
      <c r="N1261" s="16"/>
      <c r="O1261" s="16"/>
      <c r="P1261" s="10" t="str">
        <f>IF(ISBLANK(N1261),"",IF(N1261&gt;H1261,"No","Yes"))</f>
        <v/>
      </c>
      <c r="R1261" s="4"/>
      <c r="S1261" s="4"/>
      <c r="T1261" s="7"/>
      <c r="U1261" s="6"/>
      <c r="V1261" s="6"/>
      <c r="W1261" s="6"/>
      <c r="X1261" s="6"/>
      <c r="Y1261" s="6"/>
      <c r="Z1261" s="6"/>
      <c r="AX1261" s="6" t="e">
        <v>#N/A</v>
      </c>
    </row>
    <row r="1262" spans="1:50" ht="31.4" customHeight="1" x14ac:dyDescent="0.35">
      <c r="A1262" s="136"/>
      <c r="B1262" s="7"/>
      <c r="C1262" s="7"/>
      <c r="D1262" s="7"/>
      <c r="E1262" s="25"/>
      <c r="F1262" s="9" t="str">
        <f>IF($E1262="","",WORKDAY($E1262,1,$V$33:$V$41))</f>
        <v/>
      </c>
      <c r="G1262" s="9" t="str">
        <f>IF($E1262="","",WORKDAY($E1262,10,$V$33:$V$41))</f>
        <v/>
      </c>
      <c r="H1262" s="9" t="str">
        <f>IF($E1262="","",WORKDAY($E1262,20,$V$33:$V$41))</f>
        <v/>
      </c>
      <c r="I1262" s="157" t="str">
        <f t="shared" si="28"/>
        <v/>
      </c>
      <c r="J1262" s="17" t="str">
        <f ca="1">IF(E1262="","",IF(N1262="",H1262-TODAY(),""))</f>
        <v/>
      </c>
      <c r="K1262" s="157"/>
      <c r="N1262" s="16"/>
      <c r="O1262" s="16"/>
      <c r="P1262" s="10" t="str">
        <f>IF(ISBLANK(N1262),"",IF(N1262&gt;H1262,"No","Yes"))</f>
        <v/>
      </c>
      <c r="R1262" s="4"/>
      <c r="S1262" s="4"/>
      <c r="T1262" s="7"/>
      <c r="U1262" s="6"/>
      <c r="V1262" s="6"/>
      <c r="W1262" s="6"/>
      <c r="X1262" s="6"/>
      <c r="Y1262" s="6"/>
      <c r="Z1262" s="6"/>
      <c r="AX1262" s="6" t="e">
        <v>#N/A</v>
      </c>
    </row>
    <row r="1263" spans="1:50" ht="31.4" customHeight="1" x14ac:dyDescent="0.35">
      <c r="A1263" s="136"/>
      <c r="B1263" s="7"/>
      <c r="C1263" s="7"/>
      <c r="D1263" s="7"/>
      <c r="E1263" s="25"/>
      <c r="F1263" s="9" t="str">
        <f>IF($E1263="","",WORKDAY($E1263,1,$V$33:$V$41))</f>
        <v/>
      </c>
      <c r="G1263" s="9" t="str">
        <f>IF($E1263="","",WORKDAY($E1263,10,$V$33:$V$41))</f>
        <v/>
      </c>
      <c r="H1263" s="9" t="str">
        <f>IF($E1263="","",WORKDAY($E1263,20,$V$33:$V$41))</f>
        <v/>
      </c>
      <c r="I1263" s="157" t="str">
        <f t="shared" ref="I1263:I1282" si="29">IF(ISBLANK(E1263),"",TEXT(E1263,"mmm"))</f>
        <v/>
      </c>
      <c r="J1263" s="17" t="str">
        <f ca="1">IF(E1263="","",IF(N1263="",H1263-TODAY(),""))</f>
        <v/>
      </c>
      <c r="K1263" s="157"/>
      <c r="N1263" s="16"/>
      <c r="O1263" s="16"/>
      <c r="P1263" s="10" t="str">
        <f>IF(ISBLANK(N1263),"",IF(N1263&gt;H1263,"No","Yes"))</f>
        <v/>
      </c>
      <c r="R1263" s="4"/>
      <c r="S1263" s="4"/>
      <c r="T1263" s="7"/>
      <c r="U1263" s="6"/>
      <c r="V1263" s="6"/>
      <c r="W1263" s="6"/>
      <c r="X1263" s="6"/>
      <c r="Y1263" s="6"/>
      <c r="Z1263" s="6"/>
      <c r="AX1263" s="6" t="e">
        <v>#N/A</v>
      </c>
    </row>
    <row r="1264" spans="1:50" ht="31.4" customHeight="1" x14ac:dyDescent="0.35">
      <c r="A1264" s="136"/>
      <c r="B1264" s="7"/>
      <c r="C1264" s="7"/>
      <c r="D1264" s="7"/>
      <c r="E1264" s="25"/>
      <c r="F1264" s="9" t="str">
        <f>IF($E1264="","",WORKDAY($E1264,1,$V$33:$V$41))</f>
        <v/>
      </c>
      <c r="G1264" s="9" t="str">
        <f>IF($E1264="","",WORKDAY($E1264,10,$V$33:$V$41))</f>
        <v/>
      </c>
      <c r="H1264" s="9" t="str">
        <f>IF($E1264="","",WORKDAY($E1264,20,$V$33:$V$41))</f>
        <v/>
      </c>
      <c r="I1264" s="157" t="str">
        <f t="shared" si="29"/>
        <v/>
      </c>
      <c r="J1264" s="17" t="str">
        <f ca="1">IF(E1264="","",IF(N1264="",H1264-TODAY(),""))</f>
        <v/>
      </c>
      <c r="K1264" s="157"/>
      <c r="N1264" s="16"/>
      <c r="O1264" s="16"/>
      <c r="P1264" s="10" t="str">
        <f>IF(ISBLANK(N1264),"",IF(N1264&gt;H1264,"No","Yes"))</f>
        <v/>
      </c>
      <c r="R1264" s="4"/>
      <c r="S1264" s="4"/>
      <c r="T1264" s="7"/>
      <c r="U1264" s="6"/>
      <c r="V1264" s="6"/>
      <c r="W1264" s="6"/>
      <c r="X1264" s="6"/>
      <c r="Y1264" s="6"/>
      <c r="Z1264" s="6"/>
      <c r="AX1264" s="6" t="e">
        <v>#N/A</v>
      </c>
    </row>
    <row r="1265" spans="1:50" ht="31.4" customHeight="1" x14ac:dyDescent="0.35">
      <c r="A1265" s="136"/>
      <c r="B1265" s="7"/>
      <c r="C1265" s="7"/>
      <c r="D1265" s="7"/>
      <c r="E1265" s="25"/>
      <c r="F1265" s="9" t="str">
        <f>IF($E1265="","",WORKDAY($E1265,1,$V$33:$V$41))</f>
        <v/>
      </c>
      <c r="G1265" s="9" t="str">
        <f>IF($E1265="","",WORKDAY($E1265,10,$V$33:$V$41))</f>
        <v/>
      </c>
      <c r="H1265" s="9" t="str">
        <f>IF($E1265="","",WORKDAY($E1265,20,$V$33:$V$41))</f>
        <v/>
      </c>
      <c r="I1265" s="157" t="str">
        <f t="shared" si="29"/>
        <v/>
      </c>
      <c r="J1265" s="17" t="str">
        <f ca="1">IF(E1265="","",IF(N1265="",H1265-TODAY(),""))</f>
        <v/>
      </c>
      <c r="K1265" s="157"/>
      <c r="N1265" s="16"/>
      <c r="O1265" s="16"/>
      <c r="P1265" s="10" t="str">
        <f>IF(ISBLANK(N1265),"",IF(N1265&gt;H1265,"No","Yes"))</f>
        <v/>
      </c>
      <c r="R1265" s="4"/>
      <c r="S1265" s="4"/>
      <c r="T1265" s="7"/>
      <c r="U1265" s="6"/>
      <c r="V1265" s="6"/>
      <c r="W1265" s="6"/>
      <c r="X1265" s="6"/>
      <c r="Y1265" s="6"/>
      <c r="Z1265" s="6"/>
      <c r="AX1265" s="6" t="e">
        <v>#N/A</v>
      </c>
    </row>
    <row r="1266" spans="1:50" ht="31.4" customHeight="1" x14ac:dyDescent="0.35">
      <c r="A1266" s="136"/>
      <c r="B1266" s="7"/>
      <c r="C1266" s="7"/>
      <c r="D1266" s="7"/>
      <c r="E1266" s="25"/>
      <c r="F1266" s="9" t="str">
        <f>IF($E1266="","",WORKDAY($E1266,1,$V$33:$V$41))</f>
        <v/>
      </c>
      <c r="G1266" s="9" t="str">
        <f>IF($E1266="","",WORKDAY($E1266,10,$V$33:$V$41))</f>
        <v/>
      </c>
      <c r="H1266" s="9" t="str">
        <f>IF($E1266="","",WORKDAY($E1266,20,$V$33:$V$41))</f>
        <v/>
      </c>
      <c r="I1266" s="157" t="str">
        <f t="shared" si="29"/>
        <v/>
      </c>
      <c r="J1266" s="17" t="str">
        <f ca="1">IF(E1266="","",IF(N1266="",H1266-TODAY(),""))</f>
        <v/>
      </c>
      <c r="K1266" s="157"/>
      <c r="N1266" s="16"/>
      <c r="O1266" s="16"/>
      <c r="P1266" s="10" t="str">
        <f>IF(ISBLANK(N1266),"",IF(N1266&gt;H1266,"No","Yes"))</f>
        <v/>
      </c>
      <c r="R1266" s="4"/>
      <c r="S1266" s="4"/>
      <c r="T1266" s="7"/>
      <c r="U1266" s="6"/>
      <c r="V1266" s="6"/>
      <c r="W1266" s="6"/>
      <c r="X1266" s="6"/>
      <c r="Y1266" s="6"/>
      <c r="Z1266" s="6"/>
      <c r="AX1266" s="6" t="e">
        <v>#N/A</v>
      </c>
    </row>
    <row r="1267" spans="1:50" ht="31.4" customHeight="1" x14ac:dyDescent="0.35">
      <c r="A1267" s="136"/>
      <c r="B1267" s="7"/>
      <c r="C1267" s="7"/>
      <c r="D1267" s="7"/>
      <c r="E1267" s="25"/>
      <c r="F1267" s="9" t="str">
        <f>IF($E1267="","",WORKDAY($E1267,1,$V$33:$V$41))</f>
        <v/>
      </c>
      <c r="G1267" s="9" t="str">
        <f>IF($E1267="","",WORKDAY($E1267,10,$V$33:$V$41))</f>
        <v/>
      </c>
      <c r="H1267" s="9" t="str">
        <f>IF($E1267="","",WORKDAY($E1267,20,$V$33:$V$41))</f>
        <v/>
      </c>
      <c r="I1267" s="157" t="str">
        <f t="shared" si="29"/>
        <v/>
      </c>
      <c r="J1267" s="17" t="str">
        <f ca="1">IF(E1267="","",IF(N1267="",H1267-TODAY(),""))</f>
        <v/>
      </c>
      <c r="K1267" s="157"/>
      <c r="N1267" s="16"/>
      <c r="O1267" s="16"/>
      <c r="P1267" s="10" t="str">
        <f>IF(ISBLANK(N1267),"",IF(N1267&gt;H1267,"No","Yes"))</f>
        <v/>
      </c>
      <c r="R1267" s="4"/>
      <c r="S1267" s="4"/>
      <c r="T1267" s="7"/>
      <c r="U1267" s="6"/>
      <c r="V1267" s="6"/>
      <c r="W1267" s="6"/>
      <c r="X1267" s="6"/>
      <c r="Y1267" s="6"/>
      <c r="Z1267" s="6"/>
      <c r="AX1267" s="6" t="e">
        <v>#N/A</v>
      </c>
    </row>
    <row r="1268" spans="1:50" ht="31.4" customHeight="1" x14ac:dyDescent="0.35">
      <c r="A1268" s="136"/>
      <c r="B1268" s="7"/>
      <c r="C1268" s="7"/>
      <c r="D1268" s="7"/>
      <c r="E1268" s="25"/>
      <c r="F1268" s="9" t="str">
        <f>IF($E1268="","",WORKDAY($E1268,1,$V$33:$V$41))</f>
        <v/>
      </c>
      <c r="G1268" s="9" t="str">
        <f>IF($E1268="","",WORKDAY($E1268,10,$V$33:$V$41))</f>
        <v/>
      </c>
      <c r="H1268" s="9" t="str">
        <f>IF($E1268="","",WORKDAY($E1268,20,$V$33:$V$41))</f>
        <v/>
      </c>
      <c r="I1268" s="157" t="str">
        <f t="shared" si="29"/>
        <v/>
      </c>
      <c r="J1268" s="17" t="str">
        <f ca="1">IF(E1268="","",IF(N1268="",H1268-TODAY(),""))</f>
        <v/>
      </c>
      <c r="K1268" s="157"/>
      <c r="N1268" s="16"/>
      <c r="O1268" s="16"/>
      <c r="P1268" s="10" t="str">
        <f>IF(ISBLANK(N1268),"",IF(N1268&gt;H1268,"No","Yes"))</f>
        <v/>
      </c>
      <c r="R1268" s="4"/>
      <c r="S1268" s="4"/>
      <c r="T1268" s="7"/>
      <c r="U1268" s="6"/>
      <c r="V1268" s="6"/>
      <c r="W1268" s="6"/>
      <c r="X1268" s="6"/>
      <c r="Y1268" s="6"/>
      <c r="Z1268" s="6"/>
      <c r="AX1268" s="6" t="e">
        <v>#N/A</v>
      </c>
    </row>
    <row r="1269" spans="1:50" ht="31.4" customHeight="1" x14ac:dyDescent="0.35">
      <c r="A1269" s="136"/>
      <c r="B1269" s="7"/>
      <c r="C1269" s="7"/>
      <c r="D1269" s="7"/>
      <c r="E1269" s="25"/>
      <c r="F1269" s="9" t="str">
        <f>IF($E1269="","",WORKDAY($E1269,1,$V$33:$V$41))</f>
        <v/>
      </c>
      <c r="G1269" s="9" t="str">
        <f>IF($E1269="","",WORKDAY($E1269,10,$V$33:$V$41))</f>
        <v/>
      </c>
      <c r="H1269" s="9" t="str">
        <f>IF($E1269="","",WORKDAY($E1269,20,$V$33:$V$41))</f>
        <v/>
      </c>
      <c r="I1269" s="157" t="str">
        <f t="shared" si="29"/>
        <v/>
      </c>
      <c r="J1269" s="17" t="str">
        <f ca="1">IF(E1269="","",IF(N1269="",H1269-TODAY(),""))</f>
        <v/>
      </c>
      <c r="K1269" s="157"/>
      <c r="N1269" s="16"/>
      <c r="O1269" s="16"/>
      <c r="P1269" s="10" t="str">
        <f>IF(ISBLANK(N1269),"",IF(N1269&gt;H1269,"No","Yes"))</f>
        <v/>
      </c>
      <c r="R1269" s="4"/>
      <c r="S1269" s="4"/>
      <c r="T1269" s="7"/>
      <c r="U1269" s="6"/>
      <c r="V1269" s="6"/>
      <c r="W1269" s="6"/>
      <c r="X1269" s="6"/>
      <c r="Y1269" s="6"/>
      <c r="Z1269" s="6"/>
      <c r="AX1269" s="6" t="e">
        <v>#N/A</v>
      </c>
    </row>
    <row r="1270" spans="1:50" ht="31.4" customHeight="1" x14ac:dyDescent="0.35">
      <c r="A1270" s="136"/>
      <c r="B1270" s="7"/>
      <c r="C1270" s="7"/>
      <c r="D1270" s="7"/>
      <c r="E1270" s="25"/>
      <c r="F1270" s="9" t="str">
        <f>IF($E1270="","",WORKDAY($E1270,1,$V$33:$V$41))</f>
        <v/>
      </c>
      <c r="G1270" s="9" t="str">
        <f>IF($E1270="","",WORKDAY($E1270,10,$V$33:$V$41))</f>
        <v/>
      </c>
      <c r="H1270" s="9" t="str">
        <f>IF($E1270="","",WORKDAY($E1270,20,$V$33:$V$41))</f>
        <v/>
      </c>
      <c r="I1270" s="157" t="str">
        <f t="shared" si="29"/>
        <v/>
      </c>
      <c r="J1270" s="17" t="str">
        <f ca="1">IF(E1270="","",IF(N1270="",H1270-TODAY(),""))</f>
        <v/>
      </c>
      <c r="K1270" s="157"/>
      <c r="N1270" s="16"/>
      <c r="O1270" s="16"/>
      <c r="P1270" s="10" t="str">
        <f>IF(ISBLANK(N1270),"",IF(N1270&gt;H1270,"No","Yes"))</f>
        <v/>
      </c>
      <c r="R1270" s="4"/>
      <c r="S1270" s="4"/>
      <c r="T1270" s="7"/>
      <c r="U1270" s="6"/>
      <c r="V1270" s="6"/>
      <c r="W1270" s="6"/>
      <c r="X1270" s="6"/>
      <c r="Y1270" s="6"/>
      <c r="Z1270" s="6"/>
      <c r="AX1270" s="6" t="e">
        <v>#N/A</v>
      </c>
    </row>
    <row r="1271" spans="1:50" ht="31.4" customHeight="1" x14ac:dyDescent="0.35">
      <c r="A1271" s="136"/>
      <c r="B1271" s="7"/>
      <c r="C1271" s="7"/>
      <c r="D1271" s="7"/>
      <c r="E1271" s="25"/>
      <c r="F1271" s="9" t="str">
        <f>IF($E1271="","",WORKDAY($E1271,1,$V$33:$V$41))</f>
        <v/>
      </c>
      <c r="G1271" s="9" t="str">
        <f>IF($E1271="","",WORKDAY($E1271,10,$V$33:$V$41))</f>
        <v/>
      </c>
      <c r="H1271" s="9" t="str">
        <f>IF($E1271="","",WORKDAY($E1271,20,$V$33:$V$41))</f>
        <v/>
      </c>
      <c r="I1271" s="157" t="str">
        <f t="shared" si="29"/>
        <v/>
      </c>
      <c r="J1271" s="17" t="str">
        <f ca="1">IF(E1271="","",IF(N1271="",H1271-TODAY(),""))</f>
        <v/>
      </c>
      <c r="K1271" s="157"/>
      <c r="N1271" s="16"/>
      <c r="O1271" s="16"/>
      <c r="P1271" s="10" t="str">
        <f>IF(ISBLANK(N1271),"",IF(N1271&gt;H1271,"No","Yes"))</f>
        <v/>
      </c>
      <c r="R1271" s="4"/>
      <c r="S1271" s="4"/>
      <c r="T1271" s="7"/>
      <c r="U1271" s="6"/>
      <c r="V1271" s="6"/>
      <c r="W1271" s="6"/>
      <c r="X1271" s="6"/>
      <c r="Y1271" s="6"/>
      <c r="Z1271" s="6"/>
      <c r="AX1271" s="6" t="e">
        <v>#N/A</v>
      </c>
    </row>
    <row r="1272" spans="1:50" ht="31.4" customHeight="1" x14ac:dyDescent="0.35">
      <c r="A1272" s="136"/>
      <c r="B1272" s="7"/>
      <c r="C1272" s="7"/>
      <c r="D1272" s="7"/>
      <c r="E1272" s="25"/>
      <c r="F1272" s="9" t="str">
        <f>IF($E1272="","",WORKDAY($E1272,1,$V$33:$V$41))</f>
        <v/>
      </c>
      <c r="G1272" s="9" t="str">
        <f>IF($E1272="","",WORKDAY($E1272,10,$V$33:$V$41))</f>
        <v/>
      </c>
      <c r="H1272" s="9" t="str">
        <f>IF($E1272="","",WORKDAY($E1272,20,$V$33:$V$41))</f>
        <v/>
      </c>
      <c r="I1272" s="157" t="str">
        <f t="shared" si="29"/>
        <v/>
      </c>
      <c r="J1272" s="17" t="str">
        <f ca="1">IF(E1272="","",IF(N1272="",H1272-TODAY(),""))</f>
        <v/>
      </c>
      <c r="K1272" s="157"/>
      <c r="N1272" s="16"/>
      <c r="O1272" s="16"/>
      <c r="P1272" s="10" t="str">
        <f>IF(ISBLANK(N1272),"",IF(N1272&gt;H1272,"No","Yes"))</f>
        <v/>
      </c>
      <c r="R1272" s="4"/>
      <c r="S1272" s="4"/>
      <c r="T1272" s="7"/>
      <c r="U1272" s="6"/>
      <c r="V1272" s="6"/>
      <c r="W1272" s="6"/>
      <c r="X1272" s="6"/>
      <c r="Y1272" s="6"/>
      <c r="Z1272" s="6"/>
      <c r="AX1272" s="6" t="e">
        <v>#N/A</v>
      </c>
    </row>
    <row r="1273" spans="1:50" ht="31.4" customHeight="1" x14ac:dyDescent="0.35">
      <c r="A1273" s="136"/>
      <c r="B1273" s="7"/>
      <c r="C1273" s="7"/>
      <c r="D1273" s="7"/>
      <c r="E1273" s="25"/>
      <c r="F1273" s="9" t="str">
        <f>IF($E1273="","",WORKDAY($E1273,1,$V$33:$V$41))</f>
        <v/>
      </c>
      <c r="G1273" s="9" t="str">
        <f>IF($E1273="","",WORKDAY($E1273,10,$V$33:$V$41))</f>
        <v/>
      </c>
      <c r="H1273" s="9" t="str">
        <f>IF($E1273="","",WORKDAY($E1273,20,$V$33:$V$41))</f>
        <v/>
      </c>
      <c r="I1273" s="157" t="str">
        <f t="shared" si="29"/>
        <v/>
      </c>
      <c r="J1273" s="17" t="str">
        <f ca="1">IF(E1273="","",IF(N1273="",H1273-TODAY(),""))</f>
        <v/>
      </c>
      <c r="K1273" s="157"/>
      <c r="N1273" s="16"/>
      <c r="O1273" s="16"/>
      <c r="P1273" s="10" t="str">
        <f>IF(ISBLANK(N1273),"",IF(N1273&gt;H1273,"No","Yes"))</f>
        <v/>
      </c>
      <c r="R1273" s="4"/>
      <c r="S1273" s="4"/>
      <c r="T1273" s="7"/>
      <c r="U1273" s="6"/>
      <c r="V1273" s="6"/>
      <c r="W1273" s="6"/>
      <c r="X1273" s="6"/>
      <c r="Y1273" s="6"/>
      <c r="Z1273" s="6"/>
      <c r="AX1273" s="6" t="e">
        <v>#N/A</v>
      </c>
    </row>
    <row r="1274" spans="1:50" ht="31.4" customHeight="1" x14ac:dyDescent="0.35">
      <c r="A1274" s="136"/>
      <c r="B1274" s="7"/>
      <c r="C1274" s="7"/>
      <c r="D1274" s="7"/>
      <c r="E1274" s="25"/>
      <c r="F1274" s="9" t="str">
        <f>IF($E1274="","",WORKDAY($E1274,1,$V$33:$V$41))</f>
        <v/>
      </c>
      <c r="G1274" s="9" t="str">
        <f>IF($E1274="","",WORKDAY($E1274,10,$V$33:$V$41))</f>
        <v/>
      </c>
      <c r="H1274" s="9" t="str">
        <f>IF($E1274="","",WORKDAY($E1274,20,$V$33:$V$41))</f>
        <v/>
      </c>
      <c r="I1274" s="157" t="str">
        <f t="shared" si="29"/>
        <v/>
      </c>
      <c r="J1274" s="17" t="str">
        <f ca="1">IF(E1274="","",IF(N1274="",H1274-TODAY(),""))</f>
        <v/>
      </c>
      <c r="K1274" s="157"/>
      <c r="N1274" s="16"/>
      <c r="O1274" s="16"/>
      <c r="P1274" s="10" t="str">
        <f>IF(ISBLANK(N1274),"",IF(N1274&gt;H1274,"No","Yes"))</f>
        <v/>
      </c>
      <c r="R1274" s="4"/>
      <c r="S1274" s="4"/>
      <c r="T1274" s="7"/>
      <c r="U1274" s="6"/>
      <c r="V1274" s="6"/>
      <c r="W1274" s="6"/>
      <c r="X1274" s="6"/>
      <c r="Y1274" s="6"/>
      <c r="Z1274" s="6"/>
      <c r="AX1274" s="6" t="e">
        <v>#N/A</v>
      </c>
    </row>
    <row r="1275" spans="1:50" ht="31.4" customHeight="1" x14ac:dyDescent="0.35">
      <c r="A1275" s="136"/>
      <c r="B1275" s="7"/>
      <c r="C1275" s="7"/>
      <c r="D1275" s="7"/>
      <c r="E1275" s="25"/>
      <c r="F1275" s="9" t="str">
        <f>IF($E1275="","",WORKDAY($E1275,1,$V$33:$V$41))</f>
        <v/>
      </c>
      <c r="G1275" s="9" t="str">
        <f>IF($E1275="","",WORKDAY($E1275,10,$V$33:$V$41))</f>
        <v/>
      </c>
      <c r="H1275" s="9" t="str">
        <f>IF($E1275="","",WORKDAY($E1275,20,$V$33:$V$41))</f>
        <v/>
      </c>
      <c r="I1275" s="157" t="str">
        <f t="shared" si="29"/>
        <v/>
      </c>
      <c r="J1275" s="17" t="str">
        <f ca="1">IF(E1275="","",IF(N1275="",H1275-TODAY(),""))</f>
        <v/>
      </c>
      <c r="K1275" s="157"/>
      <c r="N1275" s="16"/>
      <c r="O1275" s="16"/>
      <c r="P1275" s="10" t="str">
        <f>IF(ISBLANK(N1275),"",IF(N1275&gt;H1275,"No","Yes"))</f>
        <v/>
      </c>
      <c r="R1275" s="4"/>
      <c r="S1275" s="4"/>
      <c r="T1275" s="7"/>
      <c r="U1275" s="6"/>
      <c r="V1275" s="6"/>
      <c r="W1275" s="6"/>
      <c r="X1275" s="6"/>
      <c r="Y1275" s="6"/>
      <c r="Z1275" s="6"/>
      <c r="AX1275" s="6" t="e">
        <v>#N/A</v>
      </c>
    </row>
    <row r="1276" spans="1:50" ht="31.4" customHeight="1" x14ac:dyDescent="0.35">
      <c r="A1276" s="136"/>
      <c r="B1276" s="7"/>
      <c r="C1276" s="7"/>
      <c r="D1276" s="7"/>
      <c r="E1276" s="25"/>
      <c r="F1276" s="9" t="str">
        <f>IF($E1276="","",WORKDAY($E1276,1,$V$33:$V$41))</f>
        <v/>
      </c>
      <c r="G1276" s="9" t="str">
        <f>IF($E1276="","",WORKDAY($E1276,10,$V$33:$V$41))</f>
        <v/>
      </c>
      <c r="H1276" s="9" t="str">
        <f>IF($E1276="","",WORKDAY($E1276,20,$V$33:$V$41))</f>
        <v/>
      </c>
      <c r="I1276" s="157" t="str">
        <f t="shared" si="29"/>
        <v/>
      </c>
      <c r="J1276" s="17" t="str">
        <f ca="1">IF(E1276="","",IF(N1276="",H1276-TODAY(),""))</f>
        <v/>
      </c>
      <c r="K1276" s="157"/>
      <c r="N1276" s="16"/>
      <c r="O1276" s="16"/>
      <c r="P1276" s="10" t="str">
        <f>IF(ISBLANK(N1276),"",IF(N1276&gt;H1276,"No","Yes"))</f>
        <v/>
      </c>
      <c r="R1276" s="4"/>
      <c r="S1276" s="4"/>
      <c r="T1276" s="7"/>
      <c r="U1276" s="6"/>
      <c r="V1276" s="6"/>
      <c r="W1276" s="6"/>
      <c r="X1276" s="6"/>
      <c r="Y1276" s="6"/>
      <c r="Z1276" s="6"/>
      <c r="AX1276" s="6" t="e">
        <v>#N/A</v>
      </c>
    </row>
    <row r="1277" spans="1:50" ht="31.4" customHeight="1" x14ac:dyDescent="0.35">
      <c r="A1277" s="136"/>
      <c r="B1277" s="7"/>
      <c r="C1277" s="7"/>
      <c r="D1277" s="7"/>
      <c r="E1277" s="25"/>
      <c r="F1277" s="9" t="str">
        <f>IF($E1277="","",WORKDAY($E1277,1,$V$33:$V$41))</f>
        <v/>
      </c>
      <c r="G1277" s="9" t="str">
        <f>IF($E1277="","",WORKDAY($E1277,10,$V$33:$V$41))</f>
        <v/>
      </c>
      <c r="H1277" s="9" t="str">
        <f>IF($E1277="","",WORKDAY($E1277,20,$V$33:$V$41))</f>
        <v/>
      </c>
      <c r="I1277" s="157" t="str">
        <f t="shared" si="29"/>
        <v/>
      </c>
      <c r="J1277" s="17" t="str">
        <f ca="1">IF(E1277="","",IF(N1277="",H1277-TODAY(),""))</f>
        <v/>
      </c>
      <c r="K1277" s="157"/>
      <c r="N1277" s="16"/>
      <c r="O1277" s="16"/>
      <c r="P1277" s="10" t="str">
        <f>IF(ISBLANK(N1277),"",IF(N1277&gt;H1277,"No","Yes"))</f>
        <v/>
      </c>
      <c r="R1277" s="4"/>
      <c r="S1277" s="4"/>
      <c r="T1277" s="7"/>
      <c r="U1277" s="6"/>
      <c r="V1277" s="6"/>
      <c r="W1277" s="6"/>
      <c r="X1277" s="6"/>
      <c r="Y1277" s="6"/>
      <c r="Z1277" s="6"/>
      <c r="AX1277" s="6" t="e">
        <v>#N/A</v>
      </c>
    </row>
    <row r="1278" spans="1:50" ht="31.4" customHeight="1" x14ac:dyDescent="0.35">
      <c r="A1278" s="136"/>
      <c r="B1278" s="7"/>
      <c r="C1278" s="7"/>
      <c r="D1278" s="7"/>
      <c r="E1278" s="25"/>
      <c r="F1278" s="9" t="str">
        <f>IF($E1278="","",WORKDAY($E1278,1,$V$33:$V$41))</f>
        <v/>
      </c>
      <c r="G1278" s="9" t="str">
        <f>IF($E1278="","",WORKDAY($E1278,10,$V$33:$V$41))</f>
        <v/>
      </c>
      <c r="H1278" s="9" t="str">
        <f>IF($E1278="","",WORKDAY($E1278,20,$V$33:$V$41))</f>
        <v/>
      </c>
      <c r="I1278" s="157" t="str">
        <f t="shared" si="29"/>
        <v/>
      </c>
      <c r="J1278" s="17" t="str">
        <f ca="1">IF(E1278="","",IF(N1278="",H1278-TODAY(),""))</f>
        <v/>
      </c>
      <c r="K1278" s="157"/>
      <c r="N1278" s="16"/>
      <c r="O1278" s="16"/>
      <c r="P1278" s="10" t="str">
        <f>IF(ISBLANK(N1278),"",IF(N1278&gt;H1278,"No","Yes"))</f>
        <v/>
      </c>
      <c r="R1278" s="4"/>
      <c r="S1278" s="4"/>
      <c r="T1278" s="7"/>
      <c r="U1278" s="6"/>
      <c r="V1278" s="6"/>
      <c r="W1278" s="6"/>
      <c r="X1278" s="6"/>
      <c r="Y1278" s="6"/>
      <c r="Z1278" s="6"/>
      <c r="AX1278" s="6" t="e">
        <v>#N/A</v>
      </c>
    </row>
    <row r="1279" spans="1:50" ht="31.4" customHeight="1" x14ac:dyDescent="0.35">
      <c r="A1279" s="136"/>
      <c r="B1279" s="7"/>
      <c r="C1279" s="7"/>
      <c r="D1279" s="7"/>
      <c r="E1279" s="25"/>
      <c r="F1279" s="9" t="str">
        <f>IF($E1279="","",WORKDAY($E1279,1,$V$33:$V$41))</f>
        <v/>
      </c>
      <c r="G1279" s="9" t="str">
        <f>IF($E1279="","",WORKDAY($E1279,10,$V$33:$V$41))</f>
        <v/>
      </c>
      <c r="H1279" s="9" t="str">
        <f>IF($E1279="","",WORKDAY($E1279,20,$V$33:$V$41))</f>
        <v/>
      </c>
      <c r="I1279" s="157" t="str">
        <f t="shared" si="29"/>
        <v/>
      </c>
      <c r="J1279" s="17" t="str">
        <f ca="1">IF(E1279="","",IF(N1279="",H1279-TODAY(),""))</f>
        <v/>
      </c>
      <c r="K1279" s="157"/>
      <c r="N1279" s="16"/>
      <c r="O1279" s="16"/>
      <c r="P1279" s="10" t="str">
        <f>IF(ISBLANK(N1279),"",IF(N1279&gt;H1279,"No","Yes"))</f>
        <v/>
      </c>
      <c r="R1279" s="4"/>
      <c r="S1279" s="4"/>
      <c r="T1279" s="7"/>
      <c r="U1279" s="6"/>
      <c r="V1279" s="6"/>
      <c r="W1279" s="6"/>
      <c r="X1279" s="6"/>
      <c r="Y1279" s="6"/>
      <c r="Z1279" s="6"/>
      <c r="AX1279" s="6" t="e">
        <v>#N/A</v>
      </c>
    </row>
    <row r="1280" spans="1:50" ht="31.4" customHeight="1" x14ac:dyDescent="0.35">
      <c r="A1280" s="136"/>
      <c r="B1280" s="7"/>
      <c r="C1280" s="7"/>
      <c r="D1280" s="7"/>
      <c r="E1280" s="25"/>
      <c r="F1280" s="9" t="str">
        <f>IF($E1280="","",WORKDAY($E1280,1,$V$33:$V$41))</f>
        <v/>
      </c>
      <c r="G1280" s="9" t="str">
        <f>IF($E1280="","",WORKDAY($E1280,10,$V$33:$V$41))</f>
        <v/>
      </c>
      <c r="H1280" s="9" t="str">
        <f>IF($E1280="","",WORKDAY($E1280,20,$V$33:$V$41))</f>
        <v/>
      </c>
      <c r="I1280" s="157" t="str">
        <f t="shared" si="29"/>
        <v/>
      </c>
      <c r="J1280" s="17" t="str">
        <f ca="1">IF(E1280="","",IF(N1280="",H1280-TODAY(),""))</f>
        <v/>
      </c>
      <c r="K1280" s="157"/>
      <c r="N1280" s="16"/>
      <c r="O1280" s="16"/>
      <c r="P1280" s="10" t="str">
        <f>IF(ISBLANK(N1280),"",IF(N1280&gt;H1280,"No","Yes"))</f>
        <v/>
      </c>
      <c r="R1280" s="4"/>
      <c r="S1280" s="4"/>
      <c r="T1280" s="7"/>
      <c r="U1280" s="6"/>
      <c r="V1280" s="6"/>
      <c r="W1280" s="6"/>
      <c r="X1280" s="6"/>
      <c r="Y1280" s="6"/>
      <c r="Z1280" s="6"/>
      <c r="AX1280" s="6" t="e">
        <v>#N/A</v>
      </c>
    </row>
    <row r="1281" spans="1:50" ht="31.4" customHeight="1" x14ac:dyDescent="0.35">
      <c r="A1281" s="136"/>
      <c r="B1281" s="7"/>
      <c r="C1281" s="7"/>
      <c r="D1281" s="7"/>
      <c r="E1281" s="25"/>
      <c r="F1281" s="9" t="str">
        <f>IF($E1281="","",WORKDAY($E1281,1,$V$33:$V$41))</f>
        <v/>
      </c>
      <c r="G1281" s="9" t="str">
        <f>IF($E1281="","",WORKDAY($E1281,10,$V$33:$V$41))</f>
        <v/>
      </c>
      <c r="H1281" s="9" t="str">
        <f>IF($E1281="","",WORKDAY($E1281,20,$V$33:$V$41))</f>
        <v/>
      </c>
      <c r="I1281" s="157" t="str">
        <f t="shared" si="29"/>
        <v/>
      </c>
      <c r="J1281" s="17" t="str">
        <f ca="1">IF(E1281="","",IF(N1281="",H1281-TODAY(),""))</f>
        <v/>
      </c>
      <c r="K1281" s="157"/>
      <c r="N1281" s="16"/>
      <c r="O1281" s="16"/>
      <c r="P1281" s="10" t="str">
        <f>IF(ISBLANK(N1281),"",IF(N1281&gt;H1281,"No","Yes"))</f>
        <v/>
      </c>
      <c r="R1281" s="4"/>
      <c r="S1281" s="4"/>
      <c r="T1281" s="7"/>
      <c r="U1281" s="6"/>
      <c r="V1281" s="6"/>
      <c r="W1281" s="6"/>
      <c r="X1281" s="6"/>
      <c r="Y1281" s="6"/>
      <c r="Z1281" s="6"/>
      <c r="AX1281" s="6" t="e">
        <v>#N/A</v>
      </c>
    </row>
    <row r="1282" spans="1:50" ht="31.4" customHeight="1" x14ac:dyDescent="0.35">
      <c r="A1282" s="136"/>
      <c r="B1282" s="7"/>
      <c r="C1282" s="7"/>
      <c r="D1282" s="7"/>
      <c r="E1282" s="25"/>
      <c r="F1282" s="9" t="str">
        <f>IF($E1282="","",WORKDAY($E1282,1,$V$33:$V$41))</f>
        <v/>
      </c>
      <c r="G1282" s="9" t="str">
        <f>IF($E1282="","",WORKDAY($E1282,10,$V$33:$V$41))</f>
        <v/>
      </c>
      <c r="H1282" s="9" t="str">
        <f>IF($E1282="","",WORKDAY($E1282,20,$V$33:$V$41))</f>
        <v/>
      </c>
      <c r="I1282" s="157" t="str">
        <f t="shared" si="29"/>
        <v/>
      </c>
      <c r="J1282" s="17" t="str">
        <f ca="1">IF(E1282="","",IF(N1282="",H1282-TODAY(),""))</f>
        <v/>
      </c>
      <c r="K1282" s="157"/>
      <c r="N1282" s="16"/>
      <c r="O1282" s="16"/>
      <c r="P1282" s="10" t="str">
        <f>IF(ISBLANK(N1282),"",IF(N1282&gt;H1282,"No","Yes"))</f>
        <v/>
      </c>
      <c r="R1282" s="4"/>
      <c r="S1282" s="4"/>
      <c r="T1282" s="7"/>
      <c r="U1282" s="6"/>
      <c r="V1282" s="6"/>
      <c r="W1282" s="6"/>
      <c r="X1282" s="6"/>
      <c r="Y1282" s="6"/>
      <c r="Z1282" s="6"/>
      <c r="AX1282" s="6" t="e">
        <v>#N/A</v>
      </c>
    </row>
    <row r="1283" spans="1:50" ht="31.4" customHeight="1" x14ac:dyDescent="0.35">
      <c r="N1283" s="20"/>
      <c r="P1283" s="8"/>
      <c r="Q1283" s="8"/>
      <c r="R1283" s="8"/>
      <c r="S1283" s="8"/>
      <c r="U1283" s="6"/>
      <c r="V1283" s="6"/>
      <c r="W1283" s="6"/>
      <c r="X1283" s="6"/>
      <c r="Y1283" s="6"/>
      <c r="Z1283" s="6"/>
      <c r="AX1283" s="6" t="e">
        <v>#N/A</v>
      </c>
    </row>
    <row r="1284" spans="1:50" ht="31.4" customHeight="1" x14ac:dyDescent="0.35">
      <c r="N1284" s="20"/>
      <c r="P1284" s="8"/>
      <c r="Q1284" s="8"/>
      <c r="R1284" s="8"/>
      <c r="S1284" s="8"/>
      <c r="U1284" s="6"/>
      <c r="V1284" s="6"/>
      <c r="W1284" s="6"/>
      <c r="X1284" s="6"/>
      <c r="Y1284" s="6"/>
      <c r="Z1284" s="6"/>
      <c r="AX1284" s="6" t="e">
        <v>#N/A</v>
      </c>
    </row>
    <row r="1285" spans="1:50" ht="31.4" customHeight="1" x14ac:dyDescent="0.35">
      <c r="N1285" s="20"/>
      <c r="P1285" s="8"/>
      <c r="Q1285" s="8"/>
      <c r="R1285" s="8"/>
      <c r="S1285" s="8"/>
      <c r="U1285" s="6"/>
      <c r="V1285" s="6"/>
      <c r="W1285" s="6"/>
      <c r="X1285" s="6"/>
      <c r="Y1285" s="6"/>
      <c r="Z1285" s="6"/>
      <c r="AX1285" s="6" t="e">
        <v>#N/A</v>
      </c>
    </row>
    <row r="1286" spans="1:50" ht="31.4" customHeight="1" x14ac:dyDescent="0.35">
      <c r="N1286" s="20"/>
      <c r="P1286" s="8"/>
      <c r="Q1286" s="8"/>
      <c r="R1286" s="8"/>
      <c r="S1286" s="8"/>
      <c r="U1286" s="6"/>
      <c r="V1286" s="6"/>
      <c r="W1286" s="6"/>
      <c r="X1286" s="6"/>
      <c r="Y1286" s="6"/>
      <c r="Z1286" s="6"/>
      <c r="AX1286" s="6" t="e">
        <v>#N/A</v>
      </c>
    </row>
    <row r="1287" spans="1:50" ht="31.4" customHeight="1" x14ac:dyDescent="0.35">
      <c r="N1287" s="20"/>
      <c r="P1287" s="8"/>
      <c r="Q1287" s="8"/>
      <c r="R1287" s="8"/>
      <c r="S1287" s="8"/>
      <c r="U1287" s="6"/>
      <c r="V1287" s="6"/>
      <c r="W1287" s="6"/>
      <c r="X1287" s="6"/>
      <c r="Y1287" s="6"/>
      <c r="Z1287" s="6"/>
      <c r="AX1287" s="6" t="e">
        <v>#N/A</v>
      </c>
    </row>
    <row r="1288" spans="1:50" ht="31.4" customHeight="1" x14ac:dyDescent="0.35">
      <c r="N1288" s="20"/>
      <c r="P1288" s="8"/>
      <c r="Q1288" s="8"/>
      <c r="R1288" s="8"/>
      <c r="S1288" s="8"/>
      <c r="U1288" s="6"/>
      <c r="V1288" s="6"/>
      <c r="W1288" s="6"/>
      <c r="X1288" s="6"/>
      <c r="Y1288" s="6"/>
      <c r="Z1288" s="6"/>
      <c r="AX1288" s="6" t="e">
        <v>#N/A</v>
      </c>
    </row>
    <row r="1289" spans="1:50" ht="31.4" customHeight="1" x14ac:dyDescent="0.35">
      <c r="N1289" s="20"/>
      <c r="P1289" s="8"/>
      <c r="Q1289" s="8"/>
      <c r="R1289" s="8"/>
      <c r="S1289" s="8"/>
      <c r="U1289" s="6"/>
      <c r="V1289" s="6"/>
      <c r="W1289" s="6"/>
      <c r="X1289" s="6"/>
      <c r="Y1289" s="6"/>
      <c r="Z1289" s="6"/>
      <c r="AX1289" s="6" t="e">
        <v>#N/A</v>
      </c>
    </row>
    <row r="1290" spans="1:50" ht="31.4" customHeight="1" x14ac:dyDescent="0.35">
      <c r="N1290" s="20"/>
      <c r="P1290" s="8"/>
      <c r="Q1290" s="8"/>
      <c r="R1290" s="8"/>
      <c r="S1290" s="8"/>
      <c r="U1290" s="6"/>
      <c r="V1290" s="6"/>
      <c r="W1290" s="6"/>
      <c r="X1290" s="6"/>
      <c r="Y1290" s="6"/>
      <c r="Z1290" s="6"/>
      <c r="AX1290" s="6" t="e">
        <v>#N/A</v>
      </c>
    </row>
    <row r="1291" spans="1:50" ht="31.4" customHeight="1" x14ac:dyDescent="0.35">
      <c r="N1291" s="20"/>
      <c r="P1291" s="8"/>
      <c r="Q1291" s="8"/>
      <c r="R1291" s="8"/>
      <c r="S1291" s="8"/>
      <c r="U1291" s="6"/>
      <c r="V1291" s="6"/>
      <c r="W1291" s="6"/>
      <c r="X1291" s="6"/>
      <c r="Y1291" s="6"/>
      <c r="Z1291" s="6"/>
      <c r="AX1291" s="6" t="e">
        <v>#N/A</v>
      </c>
    </row>
    <row r="1292" spans="1:50" ht="31.4" customHeight="1" x14ac:dyDescent="0.35">
      <c r="N1292" s="20"/>
      <c r="P1292" s="8"/>
      <c r="Q1292" s="8"/>
      <c r="R1292" s="8"/>
      <c r="S1292" s="8"/>
      <c r="U1292" s="6"/>
      <c r="V1292" s="6"/>
      <c r="W1292" s="6"/>
      <c r="X1292" s="6"/>
      <c r="Y1292" s="6"/>
      <c r="Z1292" s="6"/>
      <c r="AX1292" s="6" t="e">
        <v>#N/A</v>
      </c>
    </row>
    <row r="1293" spans="1:50" ht="31.4" customHeight="1" x14ac:dyDescent="0.35">
      <c r="N1293" s="20"/>
      <c r="P1293" s="8"/>
      <c r="Q1293" s="8"/>
      <c r="R1293" s="8"/>
      <c r="S1293" s="8"/>
      <c r="U1293" s="6"/>
      <c r="V1293" s="6"/>
      <c r="W1293" s="6"/>
      <c r="X1293" s="6"/>
      <c r="Y1293" s="6"/>
      <c r="Z1293" s="6"/>
      <c r="AX1293" s="6" t="e">
        <v>#N/A</v>
      </c>
    </row>
    <row r="1294" spans="1:50" ht="31.4" customHeight="1" x14ac:dyDescent="0.35">
      <c r="N1294" s="20"/>
      <c r="P1294" s="8"/>
      <c r="Q1294" s="8"/>
      <c r="R1294" s="8"/>
      <c r="S1294" s="8"/>
      <c r="U1294" s="6"/>
      <c r="V1294" s="6"/>
      <c r="W1294" s="6"/>
      <c r="X1294" s="6"/>
      <c r="Y1294" s="6"/>
      <c r="Z1294" s="6"/>
      <c r="AX1294" s="6" t="e">
        <v>#N/A</v>
      </c>
    </row>
    <row r="1295" spans="1:50" ht="31.4" customHeight="1" x14ac:dyDescent="0.35">
      <c r="N1295" s="20"/>
      <c r="P1295" s="8"/>
      <c r="Q1295" s="8"/>
      <c r="R1295" s="8"/>
      <c r="S1295" s="8"/>
      <c r="U1295" s="6"/>
      <c r="V1295" s="6"/>
      <c r="W1295" s="6"/>
      <c r="X1295" s="6"/>
      <c r="Y1295" s="6"/>
      <c r="Z1295" s="6"/>
      <c r="AX1295" s="6" t="e">
        <v>#N/A</v>
      </c>
    </row>
    <row r="1296" spans="1:50" ht="31.4" customHeight="1" x14ac:dyDescent="0.35">
      <c r="N1296" s="20"/>
      <c r="P1296" s="8"/>
      <c r="Q1296" s="8"/>
      <c r="R1296" s="8"/>
      <c r="S1296" s="8"/>
      <c r="U1296" s="6"/>
      <c r="V1296" s="6"/>
      <c r="W1296" s="6"/>
      <c r="X1296" s="6"/>
      <c r="Y1296" s="6"/>
      <c r="Z1296" s="6"/>
      <c r="AX1296" s="6" t="e">
        <v>#N/A</v>
      </c>
    </row>
    <row r="1297" spans="14:50" ht="31.4" customHeight="1" x14ac:dyDescent="0.35">
      <c r="N1297" s="20"/>
      <c r="P1297" s="8"/>
      <c r="Q1297" s="8"/>
      <c r="R1297" s="8"/>
      <c r="S1297" s="8"/>
      <c r="U1297" s="6"/>
      <c r="V1297" s="6"/>
      <c r="W1297" s="6"/>
      <c r="X1297" s="6"/>
      <c r="Y1297" s="6"/>
      <c r="Z1297" s="6"/>
      <c r="AX1297" s="6" t="e">
        <v>#N/A</v>
      </c>
    </row>
    <row r="1298" spans="14:50" ht="31.4" customHeight="1" x14ac:dyDescent="0.35">
      <c r="N1298" s="20"/>
      <c r="P1298" s="8"/>
      <c r="Q1298" s="8"/>
      <c r="R1298" s="8"/>
      <c r="S1298" s="8"/>
      <c r="U1298" s="6"/>
      <c r="V1298" s="6"/>
      <c r="W1298" s="6"/>
      <c r="X1298" s="6"/>
      <c r="Y1298" s="6"/>
      <c r="Z1298" s="6"/>
      <c r="AX1298" s="6" t="e">
        <v>#N/A</v>
      </c>
    </row>
    <row r="1299" spans="14:50" ht="31.4" customHeight="1" x14ac:dyDescent="0.35">
      <c r="N1299" s="20"/>
      <c r="P1299" s="8"/>
      <c r="Q1299" s="8"/>
      <c r="R1299" s="8"/>
      <c r="S1299" s="8"/>
      <c r="U1299" s="6"/>
      <c r="V1299" s="6"/>
      <c r="W1299" s="6"/>
      <c r="X1299" s="6"/>
      <c r="Y1299" s="6"/>
      <c r="Z1299" s="6"/>
      <c r="AX1299" s="6" t="e">
        <v>#N/A</v>
      </c>
    </row>
    <row r="1300" spans="14:50" ht="31.4" customHeight="1" x14ac:dyDescent="0.35">
      <c r="N1300" s="20"/>
      <c r="P1300" s="8"/>
      <c r="Q1300" s="8"/>
      <c r="R1300" s="8"/>
      <c r="S1300" s="8"/>
      <c r="U1300" s="6"/>
      <c r="V1300" s="6"/>
      <c r="W1300" s="6"/>
      <c r="X1300" s="6"/>
      <c r="Y1300" s="6"/>
      <c r="Z1300" s="6"/>
      <c r="AX1300" s="6" t="e">
        <v>#N/A</v>
      </c>
    </row>
    <row r="1301" spans="14:50" ht="31.4" customHeight="1" x14ac:dyDescent="0.35">
      <c r="N1301" s="20"/>
      <c r="P1301" s="8"/>
      <c r="Q1301" s="8"/>
      <c r="R1301" s="8"/>
      <c r="S1301" s="8"/>
      <c r="U1301" s="6"/>
      <c r="V1301" s="6"/>
      <c r="W1301" s="6"/>
      <c r="X1301" s="6"/>
      <c r="Y1301" s="6"/>
      <c r="Z1301" s="6"/>
      <c r="AX1301" s="6" t="e">
        <v>#N/A</v>
      </c>
    </row>
    <row r="1302" spans="14:50" ht="31.4" customHeight="1" x14ac:dyDescent="0.35">
      <c r="N1302" s="20"/>
      <c r="P1302" s="8"/>
      <c r="Q1302" s="8"/>
      <c r="R1302" s="8"/>
      <c r="S1302" s="8"/>
      <c r="U1302" s="6"/>
      <c r="V1302" s="6"/>
      <c r="W1302" s="6"/>
      <c r="X1302" s="6"/>
      <c r="Y1302" s="6"/>
      <c r="Z1302" s="6"/>
      <c r="AX1302" s="6" t="e">
        <v>#N/A</v>
      </c>
    </row>
    <row r="1303" spans="14:50" ht="31.4" customHeight="1" x14ac:dyDescent="0.35">
      <c r="N1303" s="20"/>
      <c r="P1303" s="8"/>
      <c r="Q1303" s="8"/>
      <c r="R1303" s="8"/>
      <c r="S1303" s="8"/>
      <c r="U1303" s="6"/>
      <c r="V1303" s="6"/>
      <c r="W1303" s="6"/>
      <c r="X1303" s="6"/>
      <c r="Y1303" s="6"/>
      <c r="Z1303" s="6"/>
      <c r="AX1303" s="6" t="e">
        <v>#N/A</v>
      </c>
    </row>
    <row r="1304" spans="14:50" ht="31.4" customHeight="1" x14ac:dyDescent="0.35">
      <c r="N1304" s="20"/>
      <c r="P1304" s="8"/>
      <c r="Q1304" s="8"/>
      <c r="R1304" s="8"/>
      <c r="S1304" s="8"/>
      <c r="U1304" s="6"/>
      <c r="V1304" s="6"/>
      <c r="W1304" s="6"/>
      <c r="X1304" s="6"/>
      <c r="Y1304" s="6"/>
      <c r="Z1304" s="6"/>
      <c r="AX1304" s="6" t="e">
        <v>#N/A</v>
      </c>
    </row>
    <row r="1305" spans="14:50" ht="31.4" customHeight="1" x14ac:dyDescent="0.35">
      <c r="N1305" s="20"/>
      <c r="P1305" s="8"/>
      <c r="Q1305" s="8"/>
      <c r="R1305" s="8"/>
      <c r="S1305" s="8"/>
      <c r="U1305" s="6"/>
      <c r="V1305" s="6"/>
      <c r="W1305" s="6"/>
      <c r="X1305" s="6"/>
      <c r="Y1305" s="6"/>
      <c r="Z1305" s="6"/>
      <c r="AX1305" s="6" t="e">
        <v>#N/A</v>
      </c>
    </row>
    <row r="1306" spans="14:50" ht="31.4" customHeight="1" x14ac:dyDescent="0.35">
      <c r="N1306" s="20"/>
      <c r="P1306" s="8"/>
      <c r="Q1306" s="8"/>
      <c r="R1306" s="8"/>
      <c r="S1306" s="8"/>
      <c r="U1306" s="6"/>
      <c r="V1306" s="6"/>
      <c r="W1306" s="6"/>
      <c r="X1306" s="6"/>
      <c r="Y1306" s="6"/>
      <c r="Z1306" s="6"/>
      <c r="AX1306" s="6" t="e">
        <v>#N/A</v>
      </c>
    </row>
    <row r="1307" spans="14:50" ht="31.4" customHeight="1" x14ac:dyDescent="0.35">
      <c r="N1307" s="20"/>
      <c r="P1307" s="8"/>
      <c r="Q1307" s="8"/>
      <c r="R1307" s="8"/>
      <c r="S1307" s="8"/>
      <c r="U1307" s="6"/>
      <c r="V1307" s="6"/>
      <c r="W1307" s="6"/>
      <c r="X1307" s="6"/>
      <c r="Y1307" s="6"/>
      <c r="Z1307" s="6"/>
      <c r="AX1307" s="6" t="e">
        <v>#N/A</v>
      </c>
    </row>
    <row r="1308" spans="14:50" ht="31.4" customHeight="1" x14ac:dyDescent="0.35">
      <c r="N1308" s="20"/>
      <c r="P1308" s="8"/>
      <c r="Q1308" s="8"/>
      <c r="R1308" s="8"/>
      <c r="S1308" s="8"/>
      <c r="U1308" s="6"/>
      <c r="V1308" s="6"/>
      <c r="W1308" s="6"/>
      <c r="X1308" s="6"/>
      <c r="Y1308" s="6"/>
      <c r="Z1308" s="6"/>
      <c r="AX1308" s="6" t="e">
        <v>#N/A</v>
      </c>
    </row>
    <row r="1309" spans="14:50" ht="31.4" customHeight="1" x14ac:dyDescent="0.35">
      <c r="N1309" s="20"/>
      <c r="P1309" s="8"/>
      <c r="Q1309" s="8"/>
      <c r="R1309" s="8"/>
      <c r="S1309" s="8"/>
      <c r="U1309" s="6"/>
      <c r="V1309" s="6"/>
      <c r="W1309" s="6"/>
      <c r="X1309" s="6"/>
      <c r="Y1309" s="6"/>
      <c r="Z1309" s="6"/>
      <c r="AX1309" s="6" t="e">
        <v>#N/A</v>
      </c>
    </row>
    <row r="1310" spans="14:50" ht="31.4" customHeight="1" x14ac:dyDescent="0.35">
      <c r="N1310" s="20"/>
      <c r="P1310" s="8"/>
      <c r="Q1310" s="8"/>
      <c r="R1310" s="8"/>
      <c r="S1310" s="8"/>
      <c r="U1310" s="6"/>
      <c r="V1310" s="6"/>
      <c r="W1310" s="6"/>
      <c r="X1310" s="6"/>
      <c r="Y1310" s="6"/>
      <c r="Z1310" s="6"/>
      <c r="AX1310" s="6" t="e">
        <v>#N/A</v>
      </c>
    </row>
    <row r="1311" spans="14:50" ht="31.4" customHeight="1" x14ac:dyDescent="0.35">
      <c r="N1311" s="20"/>
      <c r="P1311" s="8"/>
      <c r="Q1311" s="8"/>
      <c r="R1311" s="8"/>
      <c r="S1311" s="8"/>
      <c r="U1311" s="6"/>
      <c r="V1311" s="6"/>
      <c r="W1311" s="6"/>
      <c r="X1311" s="6"/>
      <c r="Y1311" s="6"/>
      <c r="Z1311" s="6"/>
      <c r="AX1311" s="6" t="e">
        <v>#N/A</v>
      </c>
    </row>
    <row r="1312" spans="14:50" ht="31.4" customHeight="1" x14ac:dyDescent="0.35">
      <c r="N1312" s="20"/>
      <c r="P1312" s="8"/>
      <c r="Q1312" s="8"/>
      <c r="R1312" s="8"/>
      <c r="S1312" s="8"/>
      <c r="U1312" s="6"/>
      <c r="V1312" s="6"/>
      <c r="W1312" s="6"/>
      <c r="X1312" s="6"/>
      <c r="Y1312" s="6"/>
      <c r="Z1312" s="6"/>
      <c r="AX1312" s="6" t="e">
        <v>#N/A</v>
      </c>
    </row>
    <row r="1313" spans="14:50" ht="31.4" customHeight="1" x14ac:dyDescent="0.35">
      <c r="N1313" s="20"/>
      <c r="P1313" s="8"/>
      <c r="Q1313" s="8"/>
      <c r="R1313" s="8"/>
      <c r="S1313" s="8"/>
      <c r="U1313" s="6"/>
      <c r="V1313" s="6"/>
      <c r="W1313" s="6"/>
      <c r="X1313" s="6"/>
      <c r="Y1313" s="6"/>
      <c r="Z1313" s="6"/>
      <c r="AX1313" s="6" t="e">
        <v>#N/A</v>
      </c>
    </row>
    <row r="1314" spans="14:50" ht="31.4" customHeight="1" x14ac:dyDescent="0.35">
      <c r="N1314" s="20"/>
      <c r="P1314" s="8"/>
      <c r="Q1314" s="8"/>
      <c r="R1314" s="8"/>
      <c r="S1314" s="8"/>
      <c r="U1314" s="6"/>
      <c r="V1314" s="6"/>
      <c r="W1314" s="6"/>
      <c r="X1314" s="6"/>
      <c r="Y1314" s="6"/>
      <c r="Z1314" s="6"/>
      <c r="AX1314" s="6" t="e">
        <v>#N/A</v>
      </c>
    </row>
    <row r="1315" spans="14:50" ht="31.4" customHeight="1" x14ac:dyDescent="0.35">
      <c r="N1315" s="20"/>
      <c r="P1315" s="8"/>
      <c r="Q1315" s="8"/>
      <c r="R1315" s="8"/>
      <c r="S1315" s="8"/>
      <c r="U1315" s="6"/>
      <c r="V1315" s="6"/>
      <c r="W1315" s="6"/>
      <c r="X1315" s="6"/>
      <c r="Y1315" s="6"/>
      <c r="Z1315" s="6"/>
      <c r="AX1315" s="6" t="e">
        <v>#N/A</v>
      </c>
    </row>
    <row r="1316" spans="14:50" ht="31.4" customHeight="1" x14ac:dyDescent="0.35">
      <c r="N1316" s="20"/>
      <c r="P1316" s="8"/>
      <c r="Q1316" s="8"/>
      <c r="R1316" s="8"/>
      <c r="S1316" s="8"/>
      <c r="U1316" s="6"/>
      <c r="V1316" s="6"/>
      <c r="W1316" s="6"/>
      <c r="X1316" s="6"/>
      <c r="Y1316" s="6"/>
      <c r="Z1316" s="6"/>
      <c r="AX1316" s="6" t="e">
        <v>#N/A</v>
      </c>
    </row>
    <row r="1317" spans="14:50" ht="31.4" customHeight="1" x14ac:dyDescent="0.35">
      <c r="N1317" s="20"/>
      <c r="P1317" s="8"/>
      <c r="Q1317" s="8"/>
      <c r="R1317" s="8"/>
      <c r="S1317" s="8"/>
      <c r="U1317" s="6"/>
      <c r="V1317" s="6"/>
      <c r="W1317" s="6"/>
      <c r="X1317" s="6"/>
      <c r="Y1317" s="6"/>
      <c r="Z1317" s="6"/>
      <c r="AX1317" s="6" t="e">
        <v>#N/A</v>
      </c>
    </row>
    <row r="1318" spans="14:50" ht="31.4" customHeight="1" x14ac:dyDescent="0.35">
      <c r="N1318" s="20"/>
      <c r="P1318" s="8"/>
      <c r="Q1318" s="8"/>
      <c r="R1318" s="8"/>
      <c r="S1318" s="8"/>
      <c r="U1318" s="6"/>
      <c r="V1318" s="6"/>
      <c r="W1318" s="6"/>
      <c r="X1318" s="6"/>
      <c r="Y1318" s="6"/>
      <c r="Z1318" s="6"/>
      <c r="AX1318" s="6" t="e">
        <v>#N/A</v>
      </c>
    </row>
    <row r="1319" spans="14:50" ht="31.4" customHeight="1" x14ac:dyDescent="0.35">
      <c r="N1319" s="20"/>
      <c r="P1319" s="8"/>
      <c r="Q1319" s="8"/>
      <c r="R1319" s="8"/>
      <c r="S1319" s="8"/>
      <c r="U1319" s="6"/>
      <c r="V1319" s="6"/>
      <c r="W1319" s="6"/>
      <c r="X1319" s="6"/>
      <c r="Y1319" s="6"/>
      <c r="Z1319" s="6"/>
      <c r="AX1319" s="6" t="e">
        <v>#N/A</v>
      </c>
    </row>
    <row r="1320" spans="14:50" ht="31.4" customHeight="1" x14ac:dyDescent="0.35">
      <c r="N1320" s="20"/>
      <c r="P1320" s="8"/>
      <c r="Q1320" s="8"/>
      <c r="R1320" s="8"/>
      <c r="S1320" s="8"/>
      <c r="U1320" s="6"/>
      <c r="V1320" s="6"/>
      <c r="W1320" s="6"/>
      <c r="X1320" s="6"/>
      <c r="Y1320" s="6"/>
      <c r="Z1320" s="6"/>
      <c r="AX1320" s="6" t="e">
        <v>#N/A</v>
      </c>
    </row>
    <row r="1321" spans="14:50" ht="31.4" customHeight="1" x14ac:dyDescent="0.35">
      <c r="N1321" s="20"/>
      <c r="P1321" s="8"/>
      <c r="Q1321" s="8"/>
      <c r="R1321" s="8"/>
      <c r="S1321" s="8"/>
      <c r="U1321" s="6"/>
      <c r="V1321" s="6"/>
      <c r="W1321" s="6"/>
      <c r="X1321" s="6"/>
      <c r="Y1321" s="6"/>
      <c r="Z1321" s="6"/>
      <c r="AX1321" s="6" t="e">
        <v>#N/A</v>
      </c>
    </row>
    <row r="1322" spans="14:50" ht="31.4" customHeight="1" x14ac:dyDescent="0.35">
      <c r="N1322" s="20"/>
      <c r="P1322" s="8"/>
      <c r="Q1322" s="8"/>
      <c r="R1322" s="8"/>
      <c r="S1322" s="8"/>
      <c r="U1322" s="6"/>
      <c r="V1322" s="6"/>
      <c r="W1322" s="6"/>
      <c r="X1322" s="6"/>
      <c r="Y1322" s="6"/>
      <c r="Z1322" s="6"/>
      <c r="AX1322" s="6" t="e">
        <v>#N/A</v>
      </c>
    </row>
    <row r="1323" spans="14:50" ht="31.4" customHeight="1" x14ac:dyDescent="0.35">
      <c r="N1323" s="20"/>
      <c r="P1323" s="8"/>
      <c r="Q1323" s="8"/>
      <c r="R1323" s="8"/>
      <c r="S1323" s="8"/>
      <c r="U1323" s="6"/>
      <c r="V1323" s="6"/>
      <c r="W1323" s="6"/>
      <c r="X1323" s="6"/>
      <c r="Y1323" s="6"/>
      <c r="Z1323" s="6"/>
      <c r="AX1323" s="6" t="e">
        <v>#N/A</v>
      </c>
    </row>
    <row r="1324" spans="14:50" ht="31.4" customHeight="1" x14ac:dyDescent="0.35">
      <c r="N1324" s="20"/>
      <c r="P1324" s="8"/>
      <c r="Q1324" s="8"/>
      <c r="R1324" s="8"/>
      <c r="S1324" s="8"/>
      <c r="U1324" s="6"/>
      <c r="V1324" s="6"/>
      <c r="W1324" s="6"/>
      <c r="X1324" s="6"/>
      <c r="Y1324" s="6"/>
      <c r="Z1324" s="6"/>
      <c r="AX1324" s="6" t="e">
        <v>#N/A</v>
      </c>
    </row>
    <row r="1325" spans="14:50" ht="31.4" customHeight="1" x14ac:dyDescent="0.35">
      <c r="N1325" s="20"/>
      <c r="P1325" s="8"/>
      <c r="Q1325" s="8"/>
      <c r="R1325" s="8"/>
      <c r="S1325" s="8"/>
      <c r="U1325" s="6"/>
      <c r="V1325" s="6"/>
      <c r="W1325" s="6"/>
      <c r="X1325" s="6"/>
      <c r="Y1325" s="6"/>
      <c r="Z1325" s="6"/>
      <c r="AX1325" s="6" t="e">
        <v>#N/A</v>
      </c>
    </row>
    <row r="1326" spans="14:50" ht="31.4" customHeight="1" x14ac:dyDescent="0.35">
      <c r="N1326" s="20"/>
      <c r="P1326" s="8"/>
      <c r="Q1326" s="8"/>
      <c r="R1326" s="8"/>
      <c r="S1326" s="8"/>
      <c r="U1326" s="6"/>
      <c r="V1326" s="6"/>
      <c r="W1326" s="6"/>
      <c r="X1326" s="6"/>
      <c r="Y1326" s="6"/>
      <c r="Z1326" s="6"/>
      <c r="AX1326" s="6" t="e">
        <v>#N/A</v>
      </c>
    </row>
    <row r="1327" spans="14:50" ht="31.4" customHeight="1" x14ac:dyDescent="0.35">
      <c r="N1327" s="20"/>
      <c r="P1327" s="8"/>
      <c r="Q1327" s="8"/>
      <c r="R1327" s="8"/>
      <c r="S1327" s="8"/>
      <c r="U1327" s="6"/>
      <c r="V1327" s="6"/>
      <c r="W1327" s="6"/>
      <c r="X1327" s="6"/>
      <c r="Y1327" s="6"/>
      <c r="Z1327" s="6"/>
      <c r="AX1327" s="6" t="e">
        <v>#N/A</v>
      </c>
    </row>
    <row r="1328" spans="14:50" ht="31.4" customHeight="1" x14ac:dyDescent="0.35">
      <c r="N1328" s="20"/>
      <c r="P1328" s="8"/>
      <c r="Q1328" s="8"/>
      <c r="R1328" s="8"/>
      <c r="S1328" s="8"/>
      <c r="U1328" s="6"/>
      <c r="V1328" s="6"/>
      <c r="W1328" s="6"/>
      <c r="X1328" s="6"/>
      <c r="Y1328" s="6"/>
      <c r="Z1328" s="6"/>
      <c r="AX1328" s="6" t="e">
        <v>#N/A</v>
      </c>
    </row>
    <row r="1329" spans="14:50" ht="31.4" customHeight="1" x14ac:dyDescent="0.35">
      <c r="N1329" s="20"/>
      <c r="P1329" s="8"/>
      <c r="Q1329" s="8"/>
      <c r="R1329" s="8"/>
      <c r="S1329" s="8"/>
      <c r="U1329" s="6"/>
      <c r="V1329" s="6"/>
      <c r="W1329" s="6"/>
      <c r="X1329" s="6"/>
      <c r="Y1329" s="6"/>
      <c r="Z1329" s="6"/>
      <c r="AX1329" s="6" t="e">
        <v>#N/A</v>
      </c>
    </row>
    <row r="1330" spans="14:50" ht="31.4" customHeight="1" x14ac:dyDescent="0.35">
      <c r="N1330" s="20"/>
      <c r="P1330" s="8"/>
      <c r="Q1330" s="8"/>
      <c r="R1330" s="8"/>
      <c r="S1330" s="8"/>
      <c r="U1330" s="6"/>
      <c r="V1330" s="6"/>
      <c r="W1330" s="6"/>
      <c r="X1330" s="6"/>
      <c r="Y1330" s="6"/>
      <c r="Z1330" s="6"/>
      <c r="AX1330" s="6" t="e">
        <v>#N/A</v>
      </c>
    </row>
    <row r="1331" spans="14:50" ht="31.4" customHeight="1" x14ac:dyDescent="0.35">
      <c r="N1331" s="20"/>
      <c r="P1331" s="8"/>
      <c r="Q1331" s="8"/>
      <c r="R1331" s="8"/>
      <c r="S1331" s="8"/>
      <c r="U1331" s="6"/>
      <c r="V1331" s="6"/>
      <c r="W1331" s="6"/>
      <c r="X1331" s="6"/>
      <c r="Y1331" s="6"/>
      <c r="Z1331" s="6"/>
      <c r="AX1331" s="6" t="e">
        <v>#N/A</v>
      </c>
    </row>
    <row r="1332" spans="14:50" ht="31.4" customHeight="1" x14ac:dyDescent="0.35">
      <c r="N1332" s="20"/>
      <c r="P1332" s="8"/>
      <c r="Q1332" s="8"/>
      <c r="R1332" s="8"/>
      <c r="S1332" s="8"/>
      <c r="U1332" s="6"/>
      <c r="V1332" s="6"/>
      <c r="W1332" s="6"/>
      <c r="X1332" s="6"/>
      <c r="Y1332" s="6"/>
      <c r="Z1332" s="6"/>
      <c r="AX1332" s="6" t="e">
        <v>#N/A</v>
      </c>
    </row>
    <row r="1333" spans="14:50" ht="31.4" customHeight="1" x14ac:dyDescent="0.35">
      <c r="N1333" s="20"/>
      <c r="P1333" s="8"/>
      <c r="Q1333" s="8"/>
      <c r="R1333" s="8"/>
      <c r="S1333" s="8"/>
      <c r="U1333" s="6"/>
      <c r="V1333" s="6"/>
      <c r="W1333" s="6"/>
      <c r="X1333" s="6"/>
      <c r="Y1333" s="6"/>
      <c r="Z1333" s="6"/>
      <c r="AX1333" s="6" t="e">
        <v>#N/A</v>
      </c>
    </row>
    <row r="1334" spans="14:50" ht="31.4" customHeight="1" x14ac:dyDescent="0.35">
      <c r="N1334" s="20"/>
      <c r="P1334" s="8"/>
      <c r="Q1334" s="8"/>
      <c r="R1334" s="8"/>
      <c r="S1334" s="8"/>
      <c r="U1334" s="6"/>
      <c r="V1334" s="6"/>
      <c r="W1334" s="6"/>
      <c r="X1334" s="6"/>
      <c r="Y1334" s="6"/>
      <c r="Z1334" s="6"/>
      <c r="AX1334" s="6" t="e">
        <v>#N/A</v>
      </c>
    </row>
    <row r="1335" spans="14:50" ht="31.4" customHeight="1" x14ac:dyDescent="0.35">
      <c r="N1335" s="20"/>
      <c r="P1335" s="8"/>
      <c r="Q1335" s="8"/>
      <c r="R1335" s="8"/>
      <c r="S1335" s="8"/>
      <c r="U1335" s="6"/>
      <c r="V1335" s="6"/>
      <c r="W1335" s="6"/>
      <c r="X1335" s="6"/>
      <c r="Y1335" s="6"/>
      <c r="Z1335" s="6"/>
      <c r="AX1335" s="6" t="e">
        <v>#N/A</v>
      </c>
    </row>
    <row r="1336" spans="14:50" ht="31.4" customHeight="1" x14ac:dyDescent="0.35">
      <c r="N1336" s="20"/>
      <c r="P1336" s="8"/>
      <c r="Q1336" s="8"/>
      <c r="R1336" s="8"/>
      <c r="S1336" s="8"/>
      <c r="U1336" s="6"/>
      <c r="V1336" s="6"/>
      <c r="W1336" s="6"/>
      <c r="X1336" s="6"/>
      <c r="Y1336" s="6"/>
      <c r="Z1336" s="6"/>
      <c r="AX1336" s="6" t="e">
        <v>#N/A</v>
      </c>
    </row>
    <row r="1337" spans="14:50" ht="31.4" customHeight="1" x14ac:dyDescent="0.35">
      <c r="N1337" s="20"/>
      <c r="P1337" s="8"/>
      <c r="Q1337" s="8"/>
      <c r="R1337" s="8"/>
      <c r="S1337" s="8"/>
      <c r="U1337" s="6"/>
      <c r="V1337" s="6"/>
      <c r="W1337" s="6"/>
      <c r="X1337" s="6"/>
      <c r="Y1337" s="6"/>
      <c r="Z1337" s="6"/>
      <c r="AX1337" s="6" t="e">
        <v>#N/A</v>
      </c>
    </row>
    <row r="1338" spans="14:50" ht="31.4" customHeight="1" x14ac:dyDescent="0.35">
      <c r="N1338" s="20"/>
      <c r="P1338" s="8"/>
      <c r="Q1338" s="8"/>
      <c r="R1338" s="8"/>
      <c r="S1338" s="8"/>
      <c r="U1338" s="6"/>
      <c r="V1338" s="6"/>
      <c r="W1338" s="6"/>
      <c r="X1338" s="6"/>
      <c r="Y1338" s="6"/>
      <c r="Z1338" s="6"/>
      <c r="AX1338" s="6" t="e">
        <v>#N/A</v>
      </c>
    </row>
    <row r="1339" spans="14:50" ht="31.4" customHeight="1" x14ac:dyDescent="0.35">
      <c r="N1339" s="20"/>
      <c r="P1339" s="8"/>
      <c r="Q1339" s="8"/>
      <c r="R1339" s="8"/>
      <c r="S1339" s="8"/>
      <c r="U1339" s="6"/>
      <c r="V1339" s="6"/>
      <c r="W1339" s="6"/>
      <c r="X1339" s="6"/>
      <c r="Y1339" s="6"/>
      <c r="Z1339" s="6"/>
      <c r="AX1339" s="6" t="e">
        <v>#N/A</v>
      </c>
    </row>
    <row r="1340" spans="14:50" ht="31.4" customHeight="1" x14ac:dyDescent="0.35">
      <c r="N1340" s="20"/>
      <c r="P1340" s="8"/>
      <c r="Q1340" s="8"/>
      <c r="R1340" s="8"/>
      <c r="S1340" s="8"/>
      <c r="U1340" s="6"/>
      <c r="V1340" s="6"/>
      <c r="W1340" s="6"/>
      <c r="X1340" s="6"/>
      <c r="Y1340" s="6"/>
      <c r="Z1340" s="6"/>
      <c r="AX1340" s="6" t="e">
        <v>#N/A</v>
      </c>
    </row>
    <row r="1341" spans="14:50" ht="31.4" customHeight="1" x14ac:dyDescent="0.35">
      <c r="N1341" s="20"/>
      <c r="P1341" s="8"/>
      <c r="Q1341" s="8"/>
      <c r="R1341" s="8"/>
      <c r="S1341" s="8"/>
      <c r="U1341" s="6"/>
      <c r="V1341" s="6"/>
      <c r="W1341" s="6"/>
      <c r="X1341" s="6"/>
      <c r="Y1341" s="6"/>
      <c r="Z1341" s="6"/>
      <c r="AX1341" s="6" t="e">
        <v>#N/A</v>
      </c>
    </row>
    <row r="1342" spans="14:50" ht="31.4" customHeight="1" x14ac:dyDescent="0.35">
      <c r="N1342" s="20"/>
      <c r="P1342" s="8"/>
      <c r="Q1342" s="8"/>
      <c r="R1342" s="8"/>
      <c r="S1342" s="8"/>
      <c r="U1342" s="6"/>
      <c r="V1342" s="6"/>
      <c r="W1342" s="6"/>
      <c r="X1342" s="6"/>
      <c r="Y1342" s="6"/>
      <c r="Z1342" s="6"/>
      <c r="AX1342" s="6" t="e">
        <v>#N/A</v>
      </c>
    </row>
    <row r="1343" spans="14:50" ht="31.4" customHeight="1" x14ac:dyDescent="0.35">
      <c r="N1343" s="20"/>
      <c r="P1343" s="8"/>
      <c r="Q1343" s="8"/>
      <c r="R1343" s="8"/>
      <c r="S1343" s="8"/>
      <c r="U1343" s="6"/>
      <c r="V1343" s="6"/>
      <c r="W1343" s="6"/>
      <c r="X1343" s="6"/>
      <c r="Y1343" s="6"/>
      <c r="Z1343" s="6"/>
      <c r="AX1343" s="6" t="e">
        <v>#N/A</v>
      </c>
    </row>
    <row r="1344" spans="14:50" ht="31.4" customHeight="1" x14ac:dyDescent="0.35">
      <c r="N1344" s="20"/>
      <c r="P1344" s="8"/>
      <c r="Q1344" s="8"/>
      <c r="R1344" s="8"/>
      <c r="S1344" s="8"/>
      <c r="U1344" s="6"/>
      <c r="V1344" s="6"/>
      <c r="W1344" s="6"/>
      <c r="X1344" s="6"/>
      <c r="Y1344" s="6"/>
      <c r="Z1344" s="6"/>
      <c r="AX1344" s="6" t="e">
        <v>#N/A</v>
      </c>
    </row>
    <row r="1345" spans="14:50" ht="31.4" customHeight="1" x14ac:dyDescent="0.35">
      <c r="N1345" s="20"/>
      <c r="P1345" s="8"/>
      <c r="Q1345" s="8"/>
      <c r="R1345" s="8"/>
      <c r="S1345" s="8"/>
      <c r="U1345" s="6"/>
      <c r="V1345" s="6"/>
      <c r="W1345" s="6"/>
      <c r="X1345" s="6"/>
      <c r="Y1345" s="6"/>
      <c r="Z1345" s="6"/>
      <c r="AX1345" s="6" t="e">
        <v>#N/A</v>
      </c>
    </row>
    <row r="1346" spans="14:50" ht="31.4" customHeight="1" x14ac:dyDescent="0.35">
      <c r="N1346" s="20"/>
      <c r="P1346" s="8"/>
      <c r="Q1346" s="8"/>
      <c r="R1346" s="8"/>
      <c r="S1346" s="8"/>
      <c r="U1346" s="6"/>
      <c r="V1346" s="6"/>
      <c r="W1346" s="6"/>
      <c r="X1346" s="6"/>
      <c r="Y1346" s="6"/>
      <c r="Z1346" s="6"/>
      <c r="AX1346" s="6" t="e">
        <v>#N/A</v>
      </c>
    </row>
    <row r="1347" spans="14:50" ht="31.4" customHeight="1" x14ac:dyDescent="0.35">
      <c r="N1347" s="20"/>
      <c r="P1347" s="8"/>
      <c r="Q1347" s="8"/>
      <c r="R1347" s="8"/>
      <c r="S1347" s="8"/>
      <c r="U1347" s="6"/>
      <c r="V1347" s="6"/>
      <c r="W1347" s="6"/>
      <c r="X1347" s="6"/>
      <c r="Y1347" s="6"/>
      <c r="Z1347" s="6"/>
      <c r="AX1347" s="6" t="e">
        <v>#N/A</v>
      </c>
    </row>
    <row r="1348" spans="14:50" ht="31.4" customHeight="1" x14ac:dyDescent="0.35">
      <c r="N1348" s="20"/>
      <c r="P1348" s="8"/>
      <c r="Q1348" s="8"/>
      <c r="R1348" s="8"/>
      <c r="S1348" s="8"/>
      <c r="U1348" s="6"/>
      <c r="V1348" s="6"/>
      <c r="W1348" s="6"/>
      <c r="X1348" s="6"/>
      <c r="Y1348" s="6"/>
      <c r="Z1348" s="6"/>
      <c r="AX1348" s="6" t="e">
        <v>#N/A</v>
      </c>
    </row>
    <row r="1349" spans="14:50" ht="31.4" customHeight="1" x14ac:dyDescent="0.35">
      <c r="N1349" s="20"/>
      <c r="P1349" s="8"/>
      <c r="Q1349" s="8"/>
      <c r="R1349" s="8"/>
      <c r="S1349" s="8"/>
      <c r="U1349" s="6"/>
      <c r="V1349" s="6"/>
      <c r="W1349" s="6"/>
      <c r="X1349" s="6"/>
      <c r="Y1349" s="6"/>
      <c r="Z1349" s="6"/>
      <c r="AX1349" s="6" t="e">
        <v>#N/A</v>
      </c>
    </row>
    <row r="1350" spans="14:50" ht="31.4" customHeight="1" x14ac:dyDescent="0.35">
      <c r="N1350" s="20"/>
      <c r="P1350" s="8"/>
      <c r="Q1350" s="8"/>
      <c r="R1350" s="8"/>
      <c r="S1350" s="8"/>
      <c r="U1350" s="6"/>
      <c r="V1350" s="6"/>
      <c r="W1350" s="6"/>
      <c r="X1350" s="6"/>
      <c r="Y1350" s="6"/>
      <c r="Z1350" s="6"/>
      <c r="AX1350" s="6" t="e">
        <v>#N/A</v>
      </c>
    </row>
    <row r="1351" spans="14:50" ht="31.4" customHeight="1" x14ac:dyDescent="0.35">
      <c r="N1351" s="20"/>
      <c r="P1351" s="8"/>
      <c r="Q1351" s="8"/>
      <c r="R1351" s="8"/>
      <c r="S1351" s="8"/>
      <c r="U1351" s="6"/>
      <c r="V1351" s="6"/>
      <c r="W1351" s="6"/>
      <c r="X1351" s="6"/>
      <c r="Y1351" s="6"/>
      <c r="Z1351" s="6"/>
      <c r="AX1351" s="6" t="e">
        <v>#N/A</v>
      </c>
    </row>
    <row r="1352" spans="14:50" ht="31.4" customHeight="1" x14ac:dyDescent="0.35">
      <c r="N1352" s="20"/>
      <c r="P1352" s="8"/>
      <c r="Q1352" s="8"/>
      <c r="R1352" s="8"/>
      <c r="S1352" s="8"/>
      <c r="U1352" s="6"/>
      <c r="V1352" s="6"/>
      <c r="W1352" s="6"/>
      <c r="X1352" s="6"/>
      <c r="Y1352" s="6"/>
      <c r="Z1352" s="6"/>
      <c r="AX1352" s="6" t="e">
        <v>#N/A</v>
      </c>
    </row>
    <row r="1353" spans="14:50" ht="31.4" customHeight="1" x14ac:dyDescent="0.35">
      <c r="N1353" s="20"/>
      <c r="P1353" s="8"/>
      <c r="Q1353" s="8"/>
      <c r="R1353" s="8"/>
      <c r="S1353" s="8"/>
      <c r="U1353" s="6"/>
      <c r="V1353" s="6"/>
      <c r="W1353" s="6"/>
      <c r="X1353" s="6"/>
      <c r="Y1353" s="6"/>
      <c r="Z1353" s="6"/>
      <c r="AX1353" s="6" t="e">
        <v>#N/A</v>
      </c>
    </row>
    <row r="1354" spans="14:50" ht="31.4" customHeight="1" x14ac:dyDescent="0.35">
      <c r="N1354" s="20"/>
      <c r="P1354" s="8"/>
      <c r="Q1354" s="8"/>
      <c r="R1354" s="8"/>
      <c r="S1354" s="8"/>
      <c r="U1354" s="6"/>
      <c r="V1354" s="6"/>
      <c r="W1354" s="6"/>
      <c r="X1354" s="6"/>
      <c r="Y1354" s="6"/>
      <c r="Z1354" s="6"/>
      <c r="AX1354" s="6" t="e">
        <v>#N/A</v>
      </c>
    </row>
    <row r="1355" spans="14:50" ht="31.4" customHeight="1" x14ac:dyDescent="0.35">
      <c r="N1355" s="20"/>
      <c r="P1355" s="8"/>
      <c r="Q1355" s="8"/>
      <c r="R1355" s="8"/>
      <c r="S1355" s="8"/>
      <c r="U1355" s="6"/>
      <c r="V1355" s="6"/>
      <c r="W1355" s="6"/>
      <c r="X1355" s="6"/>
      <c r="Y1355" s="6"/>
      <c r="Z1355" s="6"/>
      <c r="AX1355" s="6" t="e">
        <v>#N/A</v>
      </c>
    </row>
    <row r="1356" spans="14:50" ht="31.4" customHeight="1" x14ac:dyDescent="0.35">
      <c r="N1356" s="20"/>
      <c r="P1356" s="8"/>
      <c r="Q1356" s="8"/>
      <c r="R1356" s="8"/>
      <c r="S1356" s="8"/>
      <c r="U1356" s="6"/>
      <c r="V1356" s="6"/>
      <c r="W1356" s="6"/>
      <c r="X1356" s="6"/>
      <c r="Y1356" s="6"/>
      <c r="Z1356" s="6"/>
      <c r="AX1356" s="6" t="e">
        <v>#N/A</v>
      </c>
    </row>
    <row r="1357" spans="14:50" ht="31.4" customHeight="1" x14ac:dyDescent="0.35">
      <c r="N1357" s="20"/>
      <c r="P1357" s="8"/>
      <c r="Q1357" s="8"/>
      <c r="R1357" s="8"/>
      <c r="S1357" s="8"/>
      <c r="U1357" s="6"/>
      <c r="V1357" s="6"/>
      <c r="W1357" s="6"/>
      <c r="X1357" s="6"/>
      <c r="Y1357" s="6"/>
      <c r="Z1357" s="6"/>
      <c r="AX1357" s="6" t="e">
        <v>#N/A</v>
      </c>
    </row>
    <row r="1358" spans="14:50" ht="31.4" customHeight="1" x14ac:dyDescent="0.35">
      <c r="N1358" s="20"/>
      <c r="P1358" s="8"/>
      <c r="Q1358" s="8"/>
      <c r="R1358" s="8"/>
      <c r="S1358" s="8"/>
      <c r="U1358" s="6"/>
      <c r="V1358" s="6"/>
      <c r="W1358" s="6"/>
      <c r="X1358" s="6"/>
      <c r="Y1358" s="6"/>
      <c r="Z1358" s="6"/>
      <c r="AX1358" s="6" t="e">
        <v>#N/A</v>
      </c>
    </row>
    <row r="1359" spans="14:50" ht="31.4" customHeight="1" x14ac:dyDescent="0.35">
      <c r="N1359" s="20"/>
      <c r="P1359" s="8"/>
      <c r="Q1359" s="8"/>
      <c r="R1359" s="8"/>
      <c r="S1359" s="8"/>
      <c r="U1359" s="6"/>
      <c r="V1359" s="6"/>
      <c r="W1359" s="6"/>
      <c r="X1359" s="6"/>
      <c r="Y1359" s="6"/>
      <c r="Z1359" s="6"/>
      <c r="AX1359" s="6" t="e">
        <v>#N/A</v>
      </c>
    </row>
    <row r="1360" spans="14:50" ht="31.4" customHeight="1" x14ac:dyDescent="0.35">
      <c r="N1360" s="20"/>
      <c r="P1360" s="8"/>
      <c r="Q1360" s="8"/>
      <c r="R1360" s="8"/>
      <c r="S1360" s="8"/>
      <c r="U1360" s="6"/>
      <c r="V1360" s="6"/>
      <c r="W1360" s="6"/>
      <c r="X1360" s="6"/>
      <c r="Y1360" s="6"/>
      <c r="Z1360" s="6"/>
      <c r="AX1360" s="6" t="e">
        <v>#N/A</v>
      </c>
    </row>
    <row r="1361" spans="14:50" ht="31.4" customHeight="1" x14ac:dyDescent="0.35">
      <c r="N1361" s="20"/>
      <c r="P1361" s="8"/>
      <c r="Q1361" s="8"/>
      <c r="R1361" s="8"/>
      <c r="S1361" s="8"/>
      <c r="U1361" s="6"/>
      <c r="V1361" s="6"/>
      <c r="W1361" s="6"/>
      <c r="X1361" s="6"/>
      <c r="Y1361" s="6"/>
      <c r="Z1361" s="6"/>
      <c r="AX1361" s="6" t="e">
        <v>#N/A</v>
      </c>
    </row>
    <row r="1362" spans="14:50" ht="31.4" customHeight="1" x14ac:dyDescent="0.35">
      <c r="N1362" s="20"/>
      <c r="P1362" s="8"/>
      <c r="Q1362" s="8"/>
      <c r="R1362" s="8"/>
      <c r="S1362" s="8"/>
      <c r="U1362" s="6"/>
      <c r="V1362" s="6"/>
      <c r="W1362" s="6"/>
      <c r="X1362" s="6"/>
      <c r="Y1362" s="6"/>
      <c r="Z1362" s="6"/>
      <c r="AX1362" s="6" t="e">
        <v>#N/A</v>
      </c>
    </row>
    <row r="1363" spans="14:50" ht="31.4" customHeight="1" x14ac:dyDescent="0.35">
      <c r="N1363" s="20"/>
      <c r="P1363" s="8"/>
      <c r="Q1363" s="8"/>
      <c r="R1363" s="8"/>
      <c r="S1363" s="8"/>
      <c r="U1363" s="6"/>
      <c r="V1363" s="6"/>
      <c r="W1363" s="6"/>
      <c r="X1363" s="6"/>
      <c r="Y1363" s="6"/>
      <c r="Z1363" s="6"/>
      <c r="AX1363" s="6" t="e">
        <v>#N/A</v>
      </c>
    </row>
    <row r="1364" spans="14:50" ht="31.4" customHeight="1" x14ac:dyDescent="0.35">
      <c r="N1364" s="20"/>
      <c r="P1364" s="8"/>
      <c r="Q1364" s="8"/>
      <c r="R1364" s="8"/>
      <c r="S1364" s="8"/>
      <c r="U1364" s="6"/>
      <c r="V1364" s="6"/>
      <c r="W1364" s="6"/>
      <c r="X1364" s="6"/>
      <c r="Y1364" s="6"/>
      <c r="Z1364" s="6"/>
      <c r="AX1364" s="6" t="e">
        <v>#N/A</v>
      </c>
    </row>
    <row r="1365" spans="14:50" ht="31.4" customHeight="1" x14ac:dyDescent="0.35">
      <c r="N1365" s="20"/>
      <c r="P1365" s="8"/>
      <c r="Q1365" s="8"/>
      <c r="R1365" s="8"/>
      <c r="S1365" s="8"/>
      <c r="U1365" s="6"/>
      <c r="V1365" s="6"/>
      <c r="W1365" s="6"/>
      <c r="X1365" s="6"/>
      <c r="Y1365" s="6"/>
      <c r="Z1365" s="6"/>
      <c r="AX1365" s="6" t="e">
        <v>#N/A</v>
      </c>
    </row>
    <row r="1366" spans="14:50" ht="31.4" customHeight="1" x14ac:dyDescent="0.35">
      <c r="N1366" s="20"/>
      <c r="P1366" s="8"/>
      <c r="Q1366" s="8"/>
      <c r="R1366" s="8"/>
      <c r="S1366" s="8"/>
      <c r="U1366" s="6"/>
      <c r="V1366" s="6"/>
      <c r="W1366" s="6"/>
      <c r="X1366" s="6"/>
      <c r="Y1366" s="6"/>
      <c r="Z1366" s="6"/>
      <c r="AX1366" s="6" t="e">
        <v>#N/A</v>
      </c>
    </row>
    <row r="1367" spans="14:50" ht="31.4" customHeight="1" x14ac:dyDescent="0.35">
      <c r="N1367" s="20"/>
      <c r="P1367" s="8"/>
      <c r="Q1367" s="8"/>
      <c r="R1367" s="8"/>
      <c r="S1367" s="8"/>
      <c r="U1367" s="6"/>
      <c r="V1367" s="6"/>
      <c r="W1367" s="6"/>
      <c r="X1367" s="6"/>
      <c r="Y1367" s="6"/>
      <c r="Z1367" s="6"/>
      <c r="AX1367" s="6" t="e">
        <v>#N/A</v>
      </c>
    </row>
    <row r="1368" spans="14:50" ht="31.4" customHeight="1" x14ac:dyDescent="0.35">
      <c r="N1368" s="20"/>
      <c r="P1368" s="8"/>
      <c r="Q1368" s="8"/>
      <c r="R1368" s="8"/>
      <c r="S1368" s="8"/>
      <c r="U1368" s="6"/>
      <c r="V1368" s="6"/>
      <c r="W1368" s="6"/>
      <c r="X1368" s="6"/>
      <c r="Y1368" s="6"/>
      <c r="Z1368" s="6"/>
      <c r="AX1368" s="6" t="e">
        <v>#N/A</v>
      </c>
    </row>
    <row r="1369" spans="14:50" ht="31.4" customHeight="1" x14ac:dyDescent="0.35">
      <c r="N1369" s="20"/>
      <c r="P1369" s="8"/>
      <c r="Q1369" s="8"/>
      <c r="R1369" s="8"/>
      <c r="S1369" s="8"/>
      <c r="U1369" s="6"/>
      <c r="V1369" s="6"/>
      <c r="W1369" s="6"/>
      <c r="X1369" s="6"/>
      <c r="Y1369" s="6"/>
      <c r="Z1369" s="6"/>
      <c r="AX1369" s="6" t="e">
        <v>#N/A</v>
      </c>
    </row>
    <row r="1370" spans="14:50" ht="31.4" customHeight="1" x14ac:dyDescent="0.35">
      <c r="N1370" s="20"/>
      <c r="P1370" s="8"/>
      <c r="Q1370" s="8"/>
      <c r="R1370" s="8"/>
      <c r="S1370" s="8"/>
      <c r="U1370" s="6"/>
      <c r="V1370" s="6"/>
      <c r="W1370" s="6"/>
      <c r="X1370" s="6"/>
      <c r="Y1370" s="6"/>
      <c r="Z1370" s="6"/>
      <c r="AX1370" s="6" t="e">
        <v>#N/A</v>
      </c>
    </row>
    <row r="1371" spans="14:50" ht="31.4" customHeight="1" x14ac:dyDescent="0.35">
      <c r="N1371" s="20"/>
      <c r="P1371" s="8"/>
      <c r="Q1371" s="8"/>
      <c r="R1371" s="8"/>
      <c r="S1371" s="8"/>
      <c r="U1371" s="6"/>
      <c r="V1371" s="6"/>
      <c r="W1371" s="6"/>
      <c r="X1371" s="6"/>
      <c r="Y1371" s="6"/>
      <c r="Z1371" s="6"/>
      <c r="AX1371" s="6" t="e">
        <v>#N/A</v>
      </c>
    </row>
    <row r="1372" spans="14:50" ht="31.4" customHeight="1" x14ac:dyDescent="0.35">
      <c r="N1372" s="20"/>
      <c r="P1372" s="8"/>
      <c r="Q1372" s="8"/>
      <c r="R1372" s="8"/>
      <c r="S1372" s="8"/>
      <c r="U1372" s="6"/>
      <c r="V1372" s="6"/>
      <c r="W1372" s="6"/>
      <c r="X1372" s="6"/>
      <c r="Y1372" s="6"/>
      <c r="Z1372" s="6"/>
      <c r="AX1372" s="6" t="e">
        <v>#N/A</v>
      </c>
    </row>
    <row r="1373" spans="14:50" ht="31.4" customHeight="1" x14ac:dyDescent="0.35">
      <c r="N1373" s="20"/>
      <c r="P1373" s="8"/>
      <c r="Q1373" s="8"/>
      <c r="R1373" s="8"/>
      <c r="S1373" s="8"/>
      <c r="U1373" s="6"/>
      <c r="V1373" s="6"/>
      <c r="W1373" s="6"/>
      <c r="X1373" s="6"/>
      <c r="Y1373" s="6"/>
      <c r="Z1373" s="6"/>
      <c r="AX1373" s="6" t="e">
        <v>#N/A</v>
      </c>
    </row>
    <row r="1374" spans="14:50" ht="31.4" customHeight="1" x14ac:dyDescent="0.35">
      <c r="N1374" s="20"/>
      <c r="P1374" s="8"/>
      <c r="Q1374" s="8"/>
      <c r="R1374" s="8"/>
      <c r="S1374" s="8"/>
      <c r="U1374" s="6"/>
      <c r="V1374" s="6"/>
      <c r="W1374" s="6"/>
      <c r="X1374" s="6"/>
      <c r="Y1374" s="6"/>
      <c r="Z1374" s="6"/>
      <c r="AX1374" s="6" t="e">
        <v>#N/A</v>
      </c>
    </row>
    <row r="1375" spans="14:50" ht="31.4" customHeight="1" x14ac:dyDescent="0.35">
      <c r="N1375" s="20"/>
      <c r="P1375" s="8"/>
      <c r="Q1375" s="8"/>
      <c r="R1375" s="8"/>
      <c r="S1375" s="8"/>
      <c r="U1375" s="6"/>
      <c r="V1375" s="6"/>
      <c r="W1375" s="6"/>
      <c r="X1375" s="6"/>
      <c r="Y1375" s="6"/>
      <c r="Z1375" s="6"/>
      <c r="AX1375" s="6" t="e">
        <v>#N/A</v>
      </c>
    </row>
    <row r="1376" spans="14:50" ht="31.4" customHeight="1" x14ac:dyDescent="0.35">
      <c r="N1376" s="20"/>
      <c r="P1376" s="8"/>
      <c r="Q1376" s="8"/>
      <c r="R1376" s="8"/>
      <c r="S1376" s="8"/>
      <c r="U1376" s="6"/>
      <c r="V1376" s="6"/>
      <c r="W1376" s="6"/>
      <c r="X1376" s="6"/>
      <c r="Y1376" s="6"/>
      <c r="Z1376" s="6"/>
      <c r="AX1376" s="6" t="e">
        <v>#N/A</v>
      </c>
    </row>
    <row r="1377" spans="14:50" ht="31.4" customHeight="1" x14ac:dyDescent="0.35">
      <c r="N1377" s="20"/>
      <c r="P1377" s="8"/>
      <c r="Q1377" s="8"/>
      <c r="R1377" s="8"/>
      <c r="S1377" s="8"/>
      <c r="U1377" s="6"/>
      <c r="V1377" s="6"/>
      <c r="W1377" s="6"/>
      <c r="X1377" s="6"/>
      <c r="Y1377" s="6"/>
      <c r="Z1377" s="6"/>
      <c r="AX1377" s="6" t="e">
        <v>#N/A</v>
      </c>
    </row>
    <row r="1378" spans="14:50" ht="31.4" customHeight="1" x14ac:dyDescent="0.35">
      <c r="N1378" s="20"/>
      <c r="P1378" s="8"/>
      <c r="Q1378" s="8"/>
      <c r="R1378" s="8"/>
      <c r="S1378" s="8"/>
      <c r="U1378" s="6"/>
      <c r="V1378" s="6"/>
      <c r="W1378" s="6"/>
      <c r="X1378" s="6"/>
      <c r="Y1378" s="6"/>
      <c r="Z1378" s="6"/>
      <c r="AX1378" s="6" t="e">
        <v>#N/A</v>
      </c>
    </row>
    <row r="1379" spans="14:50" ht="31.4" customHeight="1" x14ac:dyDescent="0.35">
      <c r="N1379" s="20"/>
      <c r="P1379" s="8"/>
      <c r="Q1379" s="8"/>
      <c r="R1379" s="8"/>
      <c r="S1379" s="8"/>
      <c r="U1379" s="6"/>
      <c r="V1379" s="6"/>
      <c r="W1379" s="6"/>
      <c r="X1379" s="6"/>
      <c r="Y1379" s="6"/>
      <c r="Z1379" s="6"/>
      <c r="AX1379" s="6" t="e">
        <v>#N/A</v>
      </c>
    </row>
    <row r="1380" spans="14:50" ht="31.4" customHeight="1" x14ac:dyDescent="0.35">
      <c r="N1380" s="20"/>
      <c r="P1380" s="8"/>
      <c r="Q1380" s="8"/>
      <c r="R1380" s="8"/>
      <c r="S1380" s="8"/>
      <c r="U1380" s="6"/>
      <c r="V1380" s="6"/>
      <c r="W1380" s="6"/>
      <c r="X1380" s="6"/>
      <c r="Y1380" s="6"/>
      <c r="Z1380" s="6"/>
      <c r="AX1380" s="6" t="e">
        <v>#N/A</v>
      </c>
    </row>
    <row r="1381" spans="14:50" ht="31.4" customHeight="1" x14ac:dyDescent="0.35">
      <c r="N1381" s="20"/>
      <c r="P1381" s="8"/>
      <c r="Q1381" s="8"/>
      <c r="R1381" s="8"/>
      <c r="S1381" s="8"/>
      <c r="U1381" s="6"/>
      <c r="V1381" s="6"/>
      <c r="W1381" s="6"/>
      <c r="X1381" s="6"/>
      <c r="Y1381" s="6"/>
      <c r="Z1381" s="6"/>
      <c r="AX1381" s="6" t="e">
        <v>#N/A</v>
      </c>
    </row>
    <row r="1382" spans="14:50" ht="31.4" customHeight="1" x14ac:dyDescent="0.35">
      <c r="N1382" s="20"/>
      <c r="P1382" s="8"/>
      <c r="Q1382" s="8"/>
      <c r="R1382" s="8"/>
      <c r="S1382" s="8"/>
      <c r="U1382" s="6"/>
      <c r="V1382" s="6"/>
      <c r="W1382" s="6"/>
      <c r="X1382" s="6"/>
      <c r="Y1382" s="6"/>
      <c r="Z1382" s="6"/>
      <c r="AX1382" s="6" t="e">
        <v>#N/A</v>
      </c>
    </row>
    <row r="1383" spans="14:50" ht="31.4" customHeight="1" x14ac:dyDescent="0.35">
      <c r="N1383" s="20"/>
      <c r="P1383" s="8"/>
      <c r="Q1383" s="8"/>
      <c r="R1383" s="8"/>
      <c r="S1383" s="8"/>
      <c r="U1383" s="6"/>
      <c r="V1383" s="6"/>
      <c r="W1383" s="6"/>
      <c r="X1383" s="6"/>
      <c r="Y1383" s="6"/>
      <c r="Z1383" s="6"/>
      <c r="AX1383" s="6" t="e">
        <v>#N/A</v>
      </c>
    </row>
    <row r="1384" spans="14:50" ht="31.4" customHeight="1" x14ac:dyDescent="0.35">
      <c r="N1384" s="20"/>
      <c r="P1384" s="8"/>
      <c r="Q1384" s="8"/>
      <c r="R1384" s="8"/>
      <c r="S1384" s="8"/>
      <c r="U1384" s="6"/>
      <c r="V1384" s="6"/>
      <c r="W1384" s="6"/>
      <c r="X1384" s="6"/>
      <c r="Y1384" s="6"/>
      <c r="Z1384" s="6"/>
      <c r="AX1384" s="6" t="e">
        <v>#N/A</v>
      </c>
    </row>
    <row r="1385" spans="14:50" ht="31.4" customHeight="1" x14ac:dyDescent="0.35">
      <c r="N1385" s="20"/>
      <c r="P1385" s="8"/>
      <c r="Q1385" s="8"/>
      <c r="R1385" s="8"/>
      <c r="S1385" s="8"/>
      <c r="U1385" s="6"/>
      <c r="V1385" s="6"/>
      <c r="W1385" s="6"/>
      <c r="X1385" s="6"/>
      <c r="Y1385" s="6"/>
      <c r="Z1385" s="6"/>
      <c r="AX1385" s="6" t="e">
        <v>#N/A</v>
      </c>
    </row>
    <row r="1386" spans="14:50" ht="31.4" customHeight="1" x14ac:dyDescent="0.35">
      <c r="N1386" s="20"/>
      <c r="P1386" s="8"/>
      <c r="Q1386" s="8"/>
      <c r="R1386" s="8"/>
      <c r="S1386" s="8"/>
      <c r="U1386" s="6"/>
      <c r="V1386" s="6"/>
      <c r="W1386" s="6"/>
      <c r="X1386" s="6"/>
      <c r="Y1386" s="6"/>
      <c r="Z1386" s="6"/>
      <c r="AX1386" s="6" t="e">
        <v>#N/A</v>
      </c>
    </row>
    <row r="1387" spans="14:50" ht="31.4" customHeight="1" x14ac:dyDescent="0.35">
      <c r="N1387" s="20"/>
      <c r="P1387" s="8"/>
      <c r="Q1387" s="8"/>
      <c r="R1387" s="8"/>
      <c r="S1387" s="8"/>
      <c r="U1387" s="6"/>
      <c r="V1387" s="6"/>
      <c r="W1387" s="6"/>
      <c r="X1387" s="6"/>
      <c r="Y1387" s="6"/>
      <c r="Z1387" s="6"/>
      <c r="AX1387" s="6" t="e">
        <v>#N/A</v>
      </c>
    </row>
    <row r="1388" spans="14:50" ht="31.4" customHeight="1" x14ac:dyDescent="0.35">
      <c r="N1388" s="20"/>
      <c r="P1388" s="8"/>
      <c r="Q1388" s="8"/>
      <c r="R1388" s="8"/>
      <c r="S1388" s="8"/>
      <c r="U1388" s="6"/>
      <c r="V1388" s="6"/>
      <c r="W1388" s="6"/>
      <c r="X1388" s="6"/>
      <c r="Y1388" s="6"/>
      <c r="Z1388" s="6"/>
      <c r="AX1388" s="6" t="e">
        <v>#N/A</v>
      </c>
    </row>
    <row r="1389" spans="14:50" ht="31.4" customHeight="1" x14ac:dyDescent="0.35">
      <c r="N1389" s="20"/>
      <c r="P1389" s="8"/>
      <c r="Q1389" s="8"/>
      <c r="R1389" s="8"/>
      <c r="S1389" s="8"/>
      <c r="U1389" s="6"/>
      <c r="V1389" s="6"/>
      <c r="W1389" s="6"/>
      <c r="X1389" s="6"/>
      <c r="Y1389" s="6"/>
      <c r="Z1389" s="6"/>
      <c r="AX1389" s="6" t="e">
        <v>#N/A</v>
      </c>
    </row>
    <row r="1390" spans="14:50" ht="31.4" customHeight="1" x14ac:dyDescent="0.35">
      <c r="N1390" s="20"/>
      <c r="P1390" s="8"/>
      <c r="Q1390" s="8"/>
      <c r="R1390" s="8"/>
      <c r="S1390" s="8"/>
      <c r="U1390" s="6"/>
      <c r="V1390" s="6"/>
      <c r="W1390" s="6"/>
      <c r="X1390" s="6"/>
      <c r="Y1390" s="6"/>
      <c r="Z1390" s="6"/>
      <c r="AX1390" s="6" t="e">
        <v>#N/A</v>
      </c>
    </row>
    <row r="1391" spans="14:50" ht="31.4" customHeight="1" x14ac:dyDescent="0.35">
      <c r="N1391" s="20"/>
      <c r="P1391" s="8"/>
      <c r="Q1391" s="8"/>
      <c r="R1391" s="8"/>
      <c r="S1391" s="8"/>
      <c r="U1391" s="6"/>
      <c r="V1391" s="6"/>
      <c r="W1391" s="6"/>
      <c r="X1391" s="6"/>
      <c r="Y1391" s="6"/>
      <c r="Z1391" s="6"/>
      <c r="AX1391" s="6" t="e">
        <v>#N/A</v>
      </c>
    </row>
    <row r="1392" spans="14:50" ht="31.4" customHeight="1" x14ac:dyDescent="0.35">
      <c r="N1392" s="20"/>
      <c r="P1392" s="8"/>
      <c r="Q1392" s="8"/>
      <c r="R1392" s="8"/>
      <c r="S1392" s="8"/>
      <c r="U1392" s="6"/>
      <c r="V1392" s="6"/>
      <c r="W1392" s="6"/>
      <c r="X1392" s="6"/>
      <c r="Y1392" s="6"/>
      <c r="Z1392" s="6"/>
      <c r="AX1392" s="6" t="e">
        <v>#N/A</v>
      </c>
    </row>
    <row r="1393" spans="14:50" ht="31.4" customHeight="1" x14ac:dyDescent="0.35">
      <c r="N1393" s="20"/>
      <c r="P1393" s="8"/>
      <c r="Q1393" s="8"/>
      <c r="R1393" s="8"/>
      <c r="S1393" s="8"/>
      <c r="U1393" s="6"/>
      <c r="V1393" s="6"/>
      <c r="W1393" s="6"/>
      <c r="X1393" s="6"/>
      <c r="Y1393" s="6"/>
      <c r="Z1393" s="6"/>
      <c r="AX1393" s="6" t="e">
        <v>#N/A</v>
      </c>
    </row>
    <row r="1394" spans="14:50" ht="31.4" customHeight="1" x14ac:dyDescent="0.35">
      <c r="N1394" s="20"/>
      <c r="P1394" s="8"/>
      <c r="Q1394" s="8"/>
      <c r="R1394" s="8"/>
      <c r="S1394" s="8"/>
      <c r="U1394" s="6"/>
      <c r="V1394" s="6"/>
      <c r="W1394" s="6"/>
      <c r="X1394" s="6"/>
      <c r="Y1394" s="6"/>
      <c r="Z1394" s="6"/>
      <c r="AX1394" s="6" t="e">
        <v>#N/A</v>
      </c>
    </row>
    <row r="1395" spans="14:50" ht="31.4" customHeight="1" x14ac:dyDescent="0.35">
      <c r="N1395" s="20"/>
      <c r="P1395" s="8"/>
      <c r="Q1395" s="8"/>
      <c r="R1395" s="8"/>
      <c r="S1395" s="8"/>
      <c r="U1395" s="6"/>
      <c r="V1395" s="6"/>
      <c r="W1395" s="6"/>
      <c r="X1395" s="6"/>
      <c r="Y1395" s="6"/>
      <c r="Z1395" s="6"/>
      <c r="AX1395" s="6" t="e">
        <v>#N/A</v>
      </c>
    </row>
    <row r="1396" spans="14:50" ht="31.4" customHeight="1" x14ac:dyDescent="0.35">
      <c r="N1396" s="20"/>
      <c r="P1396" s="8"/>
      <c r="Q1396" s="8"/>
      <c r="R1396" s="8"/>
      <c r="S1396" s="8"/>
      <c r="U1396" s="6"/>
      <c r="V1396" s="6"/>
      <c r="W1396" s="6"/>
      <c r="X1396" s="6"/>
      <c r="Y1396" s="6"/>
      <c r="Z1396" s="6"/>
      <c r="AX1396" s="6" t="e">
        <v>#N/A</v>
      </c>
    </row>
    <row r="1397" spans="14:50" ht="31.4" customHeight="1" x14ac:dyDescent="0.35">
      <c r="N1397" s="20"/>
      <c r="P1397" s="8"/>
      <c r="Q1397" s="8"/>
      <c r="R1397" s="8"/>
      <c r="S1397" s="8"/>
      <c r="U1397" s="6"/>
      <c r="V1397" s="6"/>
      <c r="W1397" s="6"/>
      <c r="X1397" s="6"/>
      <c r="Y1397" s="6"/>
      <c r="Z1397" s="6"/>
      <c r="AX1397" s="6" t="e">
        <v>#N/A</v>
      </c>
    </row>
    <row r="1398" spans="14:50" ht="31.4" customHeight="1" x14ac:dyDescent="0.35">
      <c r="N1398" s="20"/>
      <c r="P1398" s="8"/>
      <c r="Q1398" s="8"/>
      <c r="R1398" s="8"/>
      <c r="S1398" s="8"/>
      <c r="U1398" s="6"/>
      <c r="V1398" s="6"/>
      <c r="W1398" s="6"/>
      <c r="X1398" s="6"/>
      <c r="Y1398" s="6"/>
      <c r="Z1398" s="6"/>
      <c r="AX1398" s="6" t="e">
        <v>#N/A</v>
      </c>
    </row>
    <row r="1399" spans="14:50" ht="31.4" customHeight="1" x14ac:dyDescent="0.35">
      <c r="N1399" s="20"/>
      <c r="P1399" s="8"/>
      <c r="Q1399" s="8"/>
      <c r="R1399" s="8"/>
      <c r="S1399" s="8"/>
      <c r="U1399" s="6"/>
      <c r="V1399" s="6"/>
      <c r="W1399" s="6"/>
      <c r="X1399" s="6"/>
      <c r="Y1399" s="6"/>
      <c r="Z1399" s="6"/>
      <c r="AX1399" s="6" t="e">
        <v>#N/A</v>
      </c>
    </row>
    <row r="1400" spans="14:50" ht="31.4" customHeight="1" x14ac:dyDescent="0.35">
      <c r="N1400" s="20"/>
      <c r="P1400" s="8"/>
      <c r="Q1400" s="8"/>
      <c r="R1400" s="8"/>
      <c r="S1400" s="8"/>
      <c r="U1400" s="6"/>
      <c r="V1400" s="6"/>
      <c r="W1400" s="6"/>
      <c r="X1400" s="6"/>
      <c r="Y1400" s="6"/>
      <c r="Z1400" s="6"/>
      <c r="AX1400" s="6" t="e">
        <v>#N/A</v>
      </c>
    </row>
    <row r="1401" spans="14:50" ht="31.4" customHeight="1" x14ac:dyDescent="0.35">
      <c r="N1401" s="20"/>
      <c r="P1401" s="8"/>
      <c r="Q1401" s="8"/>
      <c r="R1401" s="8"/>
      <c r="S1401" s="8"/>
      <c r="U1401" s="6"/>
      <c r="V1401" s="6"/>
      <c r="W1401" s="6"/>
      <c r="X1401" s="6"/>
      <c r="Y1401" s="6"/>
      <c r="Z1401" s="6"/>
      <c r="AX1401" s="6" t="e">
        <v>#N/A</v>
      </c>
    </row>
    <row r="1402" spans="14:50" ht="31.4" customHeight="1" x14ac:dyDescent="0.35">
      <c r="N1402" s="20"/>
      <c r="P1402" s="8"/>
      <c r="Q1402" s="8"/>
      <c r="R1402" s="8"/>
      <c r="S1402" s="8"/>
      <c r="U1402" s="6"/>
      <c r="V1402" s="6"/>
      <c r="W1402" s="6"/>
      <c r="X1402" s="6"/>
      <c r="Y1402" s="6"/>
      <c r="Z1402" s="6"/>
      <c r="AX1402" s="6" t="e">
        <v>#N/A</v>
      </c>
    </row>
    <row r="1403" spans="14:50" ht="31.4" customHeight="1" x14ac:dyDescent="0.35">
      <c r="N1403" s="20"/>
      <c r="P1403" s="8"/>
      <c r="Q1403" s="8"/>
      <c r="R1403" s="8"/>
      <c r="S1403" s="8"/>
      <c r="U1403" s="6"/>
      <c r="V1403" s="6"/>
      <c r="W1403" s="6"/>
      <c r="X1403" s="6"/>
      <c r="Y1403" s="6"/>
      <c r="Z1403" s="6"/>
      <c r="AX1403" s="6" t="e">
        <v>#N/A</v>
      </c>
    </row>
    <row r="1404" spans="14:50" ht="31.4" customHeight="1" x14ac:dyDescent="0.35">
      <c r="N1404" s="20"/>
      <c r="P1404" s="8"/>
      <c r="Q1404" s="8"/>
      <c r="R1404" s="8"/>
      <c r="S1404" s="8"/>
      <c r="U1404" s="6"/>
      <c r="V1404" s="6"/>
      <c r="W1404" s="6"/>
      <c r="X1404" s="6"/>
      <c r="Y1404" s="6"/>
      <c r="Z1404" s="6"/>
      <c r="AX1404" s="6" t="e">
        <v>#N/A</v>
      </c>
    </row>
    <row r="1405" spans="14:50" ht="31.4" customHeight="1" x14ac:dyDescent="0.35">
      <c r="N1405" s="20"/>
      <c r="P1405" s="8"/>
      <c r="Q1405" s="8"/>
      <c r="R1405" s="8"/>
      <c r="S1405" s="8"/>
      <c r="U1405" s="6"/>
      <c r="V1405" s="6"/>
      <c r="W1405" s="6"/>
      <c r="X1405" s="6"/>
      <c r="Y1405" s="6"/>
      <c r="Z1405" s="6"/>
      <c r="AX1405" s="6" t="e">
        <v>#N/A</v>
      </c>
    </row>
    <row r="1406" spans="14:50" ht="31.4" customHeight="1" x14ac:dyDescent="0.35">
      <c r="N1406" s="20"/>
      <c r="P1406" s="8"/>
      <c r="Q1406" s="8"/>
      <c r="R1406" s="8"/>
      <c r="S1406" s="8"/>
      <c r="U1406" s="6"/>
      <c r="V1406" s="6"/>
      <c r="W1406" s="6"/>
      <c r="X1406" s="6"/>
      <c r="Y1406" s="6"/>
      <c r="Z1406" s="6"/>
      <c r="AX1406" s="6" t="e">
        <v>#N/A</v>
      </c>
    </row>
    <row r="1407" spans="14:50" ht="31.4" customHeight="1" x14ac:dyDescent="0.35">
      <c r="N1407" s="20"/>
      <c r="P1407" s="8"/>
      <c r="Q1407" s="8"/>
      <c r="R1407" s="8"/>
      <c r="S1407" s="8"/>
      <c r="U1407" s="6"/>
      <c r="V1407" s="6"/>
      <c r="W1407" s="6"/>
      <c r="X1407" s="6"/>
      <c r="Y1407" s="6"/>
      <c r="Z1407" s="6"/>
      <c r="AX1407" s="6" t="e">
        <v>#N/A</v>
      </c>
    </row>
    <row r="1408" spans="14:50" ht="31.4" customHeight="1" x14ac:dyDescent="0.35">
      <c r="N1408" s="20"/>
      <c r="P1408" s="8"/>
      <c r="Q1408" s="8"/>
      <c r="R1408" s="8"/>
      <c r="S1408" s="8"/>
      <c r="U1408" s="6"/>
      <c r="V1408" s="6"/>
      <c r="W1408" s="6"/>
      <c r="X1408" s="6"/>
      <c r="Y1408" s="6"/>
      <c r="Z1408" s="6"/>
      <c r="AX1408" s="6" t="e">
        <v>#N/A</v>
      </c>
    </row>
    <row r="1409" spans="14:50" ht="31.4" customHeight="1" x14ac:dyDescent="0.35">
      <c r="N1409" s="20"/>
      <c r="P1409" s="8"/>
      <c r="Q1409" s="8"/>
      <c r="R1409" s="8"/>
      <c r="S1409" s="8"/>
      <c r="U1409" s="6"/>
      <c r="V1409" s="6"/>
      <c r="W1409" s="6"/>
      <c r="X1409" s="6"/>
      <c r="Y1409" s="6"/>
      <c r="Z1409" s="6"/>
      <c r="AX1409" s="6" t="e">
        <v>#N/A</v>
      </c>
    </row>
    <row r="1410" spans="14:50" ht="31.4" customHeight="1" x14ac:dyDescent="0.35">
      <c r="N1410" s="20"/>
      <c r="P1410" s="8"/>
      <c r="Q1410" s="8"/>
      <c r="R1410" s="8"/>
      <c r="S1410" s="8"/>
      <c r="U1410" s="6"/>
      <c r="V1410" s="6"/>
      <c r="W1410" s="6"/>
      <c r="X1410" s="6"/>
      <c r="Y1410" s="6"/>
      <c r="Z1410" s="6"/>
      <c r="AX1410" s="6" t="e">
        <v>#N/A</v>
      </c>
    </row>
    <row r="1411" spans="14:50" ht="31.4" customHeight="1" x14ac:dyDescent="0.35">
      <c r="N1411" s="20"/>
      <c r="P1411" s="8"/>
      <c r="Q1411" s="8"/>
      <c r="R1411" s="8"/>
      <c r="S1411" s="8"/>
      <c r="U1411" s="6"/>
      <c r="V1411" s="6"/>
      <c r="W1411" s="6"/>
      <c r="X1411" s="6"/>
      <c r="Y1411" s="6"/>
      <c r="Z1411" s="6"/>
      <c r="AX1411" s="6" t="e">
        <v>#N/A</v>
      </c>
    </row>
    <row r="1412" spans="14:50" ht="31.4" customHeight="1" x14ac:dyDescent="0.35">
      <c r="N1412" s="20"/>
      <c r="P1412" s="8"/>
      <c r="Q1412" s="8"/>
      <c r="R1412" s="8"/>
      <c r="S1412" s="8"/>
      <c r="U1412" s="6"/>
      <c r="V1412" s="6"/>
      <c r="W1412" s="6"/>
      <c r="X1412" s="6"/>
      <c r="Y1412" s="6"/>
      <c r="Z1412" s="6"/>
      <c r="AX1412" s="6" t="e">
        <v>#N/A</v>
      </c>
    </row>
    <row r="1413" spans="14:50" ht="31.4" customHeight="1" x14ac:dyDescent="0.35">
      <c r="N1413" s="20"/>
      <c r="P1413" s="8"/>
      <c r="Q1413" s="8"/>
      <c r="R1413" s="8"/>
      <c r="S1413" s="8"/>
      <c r="U1413" s="6"/>
      <c r="V1413" s="6"/>
      <c r="W1413" s="6"/>
      <c r="X1413" s="6"/>
      <c r="Y1413" s="6"/>
      <c r="Z1413" s="6"/>
      <c r="AX1413" s="6" t="e">
        <v>#N/A</v>
      </c>
    </row>
    <row r="1414" spans="14:50" ht="31.4" customHeight="1" x14ac:dyDescent="0.35">
      <c r="N1414" s="20"/>
      <c r="P1414" s="8"/>
      <c r="Q1414" s="8"/>
      <c r="R1414" s="8"/>
      <c r="S1414" s="8"/>
      <c r="U1414" s="6"/>
      <c r="V1414" s="6"/>
      <c r="W1414" s="6"/>
      <c r="X1414" s="6"/>
      <c r="Y1414" s="6"/>
      <c r="Z1414" s="6"/>
      <c r="AX1414" s="6" t="e">
        <v>#N/A</v>
      </c>
    </row>
    <row r="1415" spans="14:50" ht="31.4" customHeight="1" x14ac:dyDescent="0.35">
      <c r="N1415" s="20"/>
      <c r="P1415" s="8"/>
      <c r="Q1415" s="8"/>
      <c r="R1415" s="8"/>
      <c r="S1415" s="8"/>
      <c r="U1415" s="6"/>
      <c r="V1415" s="6"/>
      <c r="W1415" s="6"/>
      <c r="X1415" s="6"/>
      <c r="Y1415" s="6"/>
      <c r="Z1415" s="6"/>
      <c r="AX1415" s="6" t="e">
        <v>#N/A</v>
      </c>
    </row>
    <row r="1416" spans="14:50" ht="31.4" customHeight="1" x14ac:dyDescent="0.35">
      <c r="N1416" s="20"/>
      <c r="P1416" s="8"/>
      <c r="Q1416" s="8"/>
      <c r="R1416" s="8"/>
      <c r="S1416" s="8"/>
      <c r="U1416" s="6"/>
      <c r="V1416" s="6"/>
      <c r="W1416" s="6"/>
      <c r="X1416" s="6"/>
      <c r="Y1416" s="6"/>
      <c r="Z1416" s="6"/>
      <c r="AX1416" s="6" t="e">
        <v>#N/A</v>
      </c>
    </row>
    <row r="1417" spans="14:50" ht="31.4" customHeight="1" x14ac:dyDescent="0.35">
      <c r="N1417" s="20"/>
      <c r="P1417" s="8"/>
      <c r="Q1417" s="8"/>
      <c r="R1417" s="8"/>
      <c r="S1417" s="8"/>
      <c r="U1417" s="6"/>
      <c r="V1417" s="6"/>
      <c r="W1417" s="6"/>
      <c r="X1417" s="6"/>
      <c r="Y1417" s="6"/>
      <c r="Z1417" s="6"/>
      <c r="AX1417" s="6" t="e">
        <v>#N/A</v>
      </c>
    </row>
    <row r="1418" spans="14:50" ht="31.4" customHeight="1" x14ac:dyDescent="0.35">
      <c r="N1418" s="20"/>
      <c r="P1418" s="8"/>
      <c r="Q1418" s="8"/>
      <c r="R1418" s="8"/>
      <c r="S1418" s="8"/>
      <c r="U1418" s="6"/>
      <c r="V1418" s="6"/>
      <c r="W1418" s="6"/>
      <c r="X1418" s="6"/>
      <c r="Y1418" s="6"/>
      <c r="Z1418" s="6"/>
      <c r="AX1418" s="6" t="e">
        <v>#N/A</v>
      </c>
    </row>
    <row r="1419" spans="14:50" ht="31.4" customHeight="1" x14ac:dyDescent="0.35">
      <c r="N1419" s="20"/>
      <c r="P1419" s="8"/>
      <c r="Q1419" s="8"/>
      <c r="R1419" s="8"/>
      <c r="S1419" s="8"/>
      <c r="U1419" s="6"/>
      <c r="V1419" s="6"/>
      <c r="W1419" s="6"/>
      <c r="X1419" s="6"/>
      <c r="Y1419" s="6"/>
      <c r="Z1419" s="6"/>
      <c r="AX1419" s="6" t="e">
        <v>#N/A</v>
      </c>
    </row>
    <row r="1420" spans="14:50" ht="31.4" customHeight="1" x14ac:dyDescent="0.35">
      <c r="N1420" s="20"/>
      <c r="P1420" s="8"/>
      <c r="Q1420" s="8"/>
      <c r="R1420" s="8"/>
      <c r="S1420" s="8"/>
      <c r="U1420" s="6"/>
      <c r="V1420" s="6"/>
      <c r="W1420" s="6"/>
      <c r="X1420" s="6"/>
      <c r="Y1420" s="6"/>
      <c r="Z1420" s="6"/>
      <c r="AX1420" s="6" t="e">
        <v>#N/A</v>
      </c>
    </row>
    <row r="1421" spans="14:50" ht="31.4" customHeight="1" x14ac:dyDescent="0.35">
      <c r="N1421" s="20"/>
      <c r="P1421" s="8"/>
      <c r="Q1421" s="8"/>
      <c r="R1421" s="8"/>
      <c r="S1421" s="8"/>
      <c r="U1421" s="6"/>
      <c r="V1421" s="6"/>
      <c r="W1421" s="6"/>
      <c r="X1421" s="6"/>
      <c r="Y1421" s="6"/>
      <c r="Z1421" s="6"/>
      <c r="AX1421" s="6" t="e">
        <v>#N/A</v>
      </c>
    </row>
    <row r="1422" spans="14:50" ht="31.4" customHeight="1" x14ac:dyDescent="0.35">
      <c r="N1422" s="20"/>
      <c r="P1422" s="8"/>
      <c r="Q1422" s="8"/>
      <c r="R1422" s="8"/>
      <c r="S1422" s="8"/>
      <c r="U1422" s="6"/>
      <c r="V1422" s="6"/>
      <c r="W1422" s="6"/>
      <c r="X1422" s="6"/>
      <c r="Y1422" s="6"/>
      <c r="Z1422" s="6"/>
      <c r="AX1422" s="6" t="e">
        <v>#N/A</v>
      </c>
    </row>
    <row r="1423" spans="14:50" ht="31.4" customHeight="1" x14ac:dyDescent="0.35">
      <c r="N1423" s="20"/>
      <c r="P1423" s="8"/>
      <c r="Q1423" s="8"/>
      <c r="R1423" s="8"/>
      <c r="S1423" s="8"/>
      <c r="U1423" s="6"/>
      <c r="V1423" s="6"/>
      <c r="W1423" s="6"/>
      <c r="X1423" s="6"/>
      <c r="Y1423" s="6"/>
      <c r="Z1423" s="6"/>
      <c r="AX1423" s="6" t="e">
        <v>#N/A</v>
      </c>
    </row>
    <row r="1424" spans="14:50" ht="31.4" customHeight="1" x14ac:dyDescent="0.35">
      <c r="N1424" s="20"/>
      <c r="P1424" s="8"/>
      <c r="Q1424" s="8"/>
      <c r="R1424" s="8"/>
      <c r="S1424" s="8"/>
      <c r="U1424" s="6"/>
      <c r="V1424" s="6"/>
      <c r="W1424" s="6"/>
      <c r="X1424" s="6"/>
      <c r="Y1424" s="6"/>
      <c r="Z1424" s="6"/>
      <c r="AX1424" s="6" t="e">
        <v>#N/A</v>
      </c>
    </row>
    <row r="1425" spans="14:50" ht="31.4" customHeight="1" x14ac:dyDescent="0.35">
      <c r="N1425" s="20"/>
      <c r="P1425" s="8"/>
      <c r="Q1425" s="8"/>
      <c r="R1425" s="8"/>
      <c r="S1425" s="8"/>
      <c r="U1425" s="6"/>
      <c r="V1425" s="6"/>
      <c r="W1425" s="6"/>
      <c r="X1425" s="6"/>
      <c r="Y1425" s="6"/>
      <c r="Z1425" s="6"/>
      <c r="AX1425" s="6" t="e">
        <v>#N/A</v>
      </c>
    </row>
    <row r="1426" spans="14:50" ht="31.4" customHeight="1" x14ac:dyDescent="0.35">
      <c r="N1426" s="20"/>
      <c r="P1426" s="8"/>
      <c r="Q1426" s="8"/>
      <c r="R1426" s="8"/>
      <c r="S1426" s="8"/>
      <c r="U1426" s="6"/>
      <c r="V1426" s="6"/>
      <c r="W1426" s="6"/>
      <c r="X1426" s="6"/>
      <c r="Y1426" s="6"/>
      <c r="Z1426" s="6"/>
      <c r="AX1426" s="6" t="e">
        <v>#N/A</v>
      </c>
    </row>
    <row r="1427" spans="14:50" ht="31.4" customHeight="1" x14ac:dyDescent="0.35">
      <c r="N1427" s="20"/>
      <c r="P1427" s="8"/>
      <c r="Q1427" s="8"/>
      <c r="R1427" s="8"/>
      <c r="S1427" s="8"/>
      <c r="U1427" s="6"/>
      <c r="V1427" s="6"/>
      <c r="W1427" s="6"/>
      <c r="X1427" s="6"/>
      <c r="Y1427" s="6"/>
      <c r="Z1427" s="6"/>
      <c r="AX1427" s="6" t="e">
        <v>#N/A</v>
      </c>
    </row>
    <row r="1428" spans="14:50" ht="31.4" customHeight="1" x14ac:dyDescent="0.35">
      <c r="N1428" s="20"/>
      <c r="P1428" s="8"/>
      <c r="Q1428" s="8"/>
      <c r="R1428" s="8"/>
      <c r="S1428" s="8"/>
      <c r="U1428" s="6"/>
      <c r="V1428" s="6"/>
      <c r="W1428" s="6"/>
      <c r="X1428" s="6"/>
      <c r="Y1428" s="6"/>
      <c r="Z1428" s="6"/>
      <c r="AX1428" s="6" t="e">
        <v>#N/A</v>
      </c>
    </row>
    <row r="1429" spans="14:50" ht="31.4" customHeight="1" x14ac:dyDescent="0.35">
      <c r="N1429" s="20"/>
      <c r="P1429" s="8"/>
      <c r="Q1429" s="8"/>
      <c r="R1429" s="8"/>
      <c r="S1429" s="8"/>
      <c r="U1429" s="6"/>
      <c r="V1429" s="6"/>
      <c r="W1429" s="6"/>
      <c r="X1429" s="6"/>
      <c r="Y1429" s="6"/>
      <c r="Z1429" s="6"/>
      <c r="AX1429" s="6" t="e">
        <v>#N/A</v>
      </c>
    </row>
    <row r="1430" spans="14:50" ht="31.4" customHeight="1" x14ac:dyDescent="0.35">
      <c r="N1430" s="20"/>
      <c r="P1430" s="8"/>
      <c r="Q1430" s="8"/>
      <c r="R1430" s="8"/>
      <c r="S1430" s="8"/>
      <c r="U1430" s="6"/>
      <c r="V1430" s="6"/>
      <c r="W1430" s="6"/>
      <c r="X1430" s="6"/>
      <c r="Y1430" s="6"/>
      <c r="Z1430" s="6"/>
      <c r="AX1430" s="6" t="e">
        <v>#N/A</v>
      </c>
    </row>
    <row r="1431" spans="14:50" ht="31.4" customHeight="1" x14ac:dyDescent="0.35">
      <c r="N1431" s="20"/>
      <c r="P1431" s="8"/>
      <c r="Q1431" s="8"/>
      <c r="R1431" s="8"/>
      <c r="S1431" s="8"/>
      <c r="U1431" s="6"/>
      <c r="V1431" s="6"/>
      <c r="W1431" s="6"/>
      <c r="X1431" s="6"/>
      <c r="Y1431" s="6"/>
      <c r="Z1431" s="6"/>
      <c r="AX1431" s="6" t="e">
        <v>#N/A</v>
      </c>
    </row>
    <row r="1432" spans="14:50" ht="31.4" customHeight="1" x14ac:dyDescent="0.35">
      <c r="N1432" s="20"/>
      <c r="P1432" s="8"/>
      <c r="Q1432" s="8"/>
      <c r="R1432" s="8"/>
      <c r="S1432" s="8"/>
      <c r="U1432" s="6"/>
      <c r="V1432" s="6"/>
      <c r="W1432" s="6"/>
      <c r="X1432" s="6"/>
      <c r="Y1432" s="6"/>
      <c r="Z1432" s="6"/>
      <c r="AX1432" s="6" t="e">
        <v>#N/A</v>
      </c>
    </row>
    <row r="1433" spans="14:50" ht="31.4" customHeight="1" x14ac:dyDescent="0.35">
      <c r="N1433" s="20"/>
      <c r="P1433" s="8"/>
      <c r="Q1433" s="8"/>
      <c r="R1433" s="8"/>
      <c r="S1433" s="8"/>
      <c r="U1433" s="6"/>
      <c r="V1433" s="6"/>
      <c r="W1433" s="6"/>
      <c r="X1433" s="6"/>
      <c r="Y1433" s="6"/>
      <c r="Z1433" s="6"/>
      <c r="AX1433" s="6" t="e">
        <v>#N/A</v>
      </c>
    </row>
    <row r="1434" spans="14:50" ht="31.4" customHeight="1" x14ac:dyDescent="0.35">
      <c r="N1434" s="20"/>
      <c r="P1434" s="8"/>
      <c r="Q1434" s="8"/>
      <c r="R1434" s="8"/>
      <c r="S1434" s="8"/>
      <c r="U1434" s="6"/>
      <c r="V1434" s="6"/>
      <c r="W1434" s="6"/>
      <c r="X1434" s="6"/>
      <c r="Y1434" s="6"/>
      <c r="Z1434" s="6"/>
      <c r="AX1434" s="6" t="e">
        <v>#N/A</v>
      </c>
    </row>
    <row r="1435" spans="14:50" ht="31.4" customHeight="1" x14ac:dyDescent="0.35">
      <c r="N1435" s="20"/>
      <c r="P1435" s="8"/>
      <c r="Q1435" s="8"/>
      <c r="R1435" s="8"/>
      <c r="S1435" s="8"/>
      <c r="U1435" s="6"/>
      <c r="V1435" s="6"/>
      <c r="W1435" s="6"/>
      <c r="X1435" s="6"/>
      <c r="Y1435" s="6"/>
      <c r="Z1435" s="6"/>
      <c r="AX1435" s="6" t="e">
        <v>#N/A</v>
      </c>
    </row>
    <row r="1436" spans="14:50" ht="31.4" customHeight="1" x14ac:dyDescent="0.35">
      <c r="N1436" s="20"/>
      <c r="P1436" s="8"/>
      <c r="Q1436" s="8"/>
      <c r="R1436" s="8"/>
      <c r="S1436" s="8"/>
      <c r="U1436" s="6"/>
      <c r="V1436" s="6"/>
      <c r="W1436" s="6"/>
      <c r="X1436" s="6"/>
      <c r="Y1436" s="6"/>
      <c r="Z1436" s="6"/>
      <c r="AX1436" s="6" t="e">
        <v>#N/A</v>
      </c>
    </row>
    <row r="1437" spans="14:50" ht="31.4" customHeight="1" x14ac:dyDescent="0.35">
      <c r="N1437" s="20"/>
      <c r="P1437" s="8"/>
      <c r="Q1437" s="8"/>
      <c r="R1437" s="8"/>
      <c r="S1437" s="8"/>
      <c r="U1437" s="6"/>
      <c r="V1437" s="6"/>
      <c r="W1437" s="6"/>
      <c r="X1437" s="6"/>
      <c r="Y1437" s="6"/>
      <c r="Z1437" s="6"/>
      <c r="AX1437" s="6" t="e">
        <v>#N/A</v>
      </c>
    </row>
    <row r="1438" spans="14:50" ht="31.4" customHeight="1" x14ac:dyDescent="0.35">
      <c r="N1438" s="20"/>
      <c r="P1438" s="8"/>
      <c r="Q1438" s="8"/>
      <c r="R1438" s="8"/>
      <c r="S1438" s="8"/>
      <c r="U1438" s="6"/>
      <c r="V1438" s="6"/>
      <c r="W1438" s="6"/>
      <c r="X1438" s="6"/>
      <c r="Y1438" s="6"/>
      <c r="Z1438" s="6"/>
      <c r="AX1438" s="6" t="e">
        <v>#N/A</v>
      </c>
    </row>
    <row r="1439" spans="14:50" ht="31.4" customHeight="1" x14ac:dyDescent="0.35">
      <c r="N1439" s="20"/>
      <c r="P1439" s="8"/>
      <c r="Q1439" s="8"/>
      <c r="R1439" s="8"/>
      <c r="S1439" s="8"/>
      <c r="U1439" s="6"/>
      <c r="V1439" s="6"/>
      <c r="W1439" s="6"/>
      <c r="X1439" s="6"/>
      <c r="Y1439" s="6"/>
      <c r="Z1439" s="6"/>
      <c r="AX1439" s="6" t="e">
        <v>#N/A</v>
      </c>
    </row>
    <row r="1440" spans="14:50" ht="31.4" customHeight="1" x14ac:dyDescent="0.35">
      <c r="N1440" s="20"/>
      <c r="P1440" s="8"/>
      <c r="Q1440" s="8"/>
      <c r="R1440" s="8"/>
      <c r="S1440" s="8"/>
      <c r="U1440" s="6"/>
      <c r="V1440" s="6"/>
      <c r="W1440" s="6"/>
      <c r="X1440" s="6"/>
      <c r="Y1440" s="6"/>
      <c r="Z1440" s="6"/>
      <c r="AX1440" s="6" t="e">
        <v>#N/A</v>
      </c>
    </row>
    <row r="1441" spans="14:50" ht="31.4" customHeight="1" x14ac:dyDescent="0.35">
      <c r="N1441" s="20"/>
      <c r="P1441" s="8"/>
      <c r="Q1441" s="8"/>
      <c r="R1441" s="8"/>
      <c r="S1441" s="8"/>
      <c r="U1441" s="6"/>
      <c r="V1441" s="6"/>
      <c r="W1441" s="6"/>
      <c r="X1441" s="6"/>
      <c r="Y1441" s="6"/>
      <c r="Z1441" s="6"/>
      <c r="AX1441" s="6" t="e">
        <v>#N/A</v>
      </c>
    </row>
    <row r="1442" spans="14:50" ht="31.4" customHeight="1" x14ac:dyDescent="0.35">
      <c r="N1442" s="20"/>
      <c r="P1442" s="8"/>
      <c r="Q1442" s="8"/>
      <c r="R1442" s="8"/>
      <c r="S1442" s="8"/>
      <c r="U1442" s="6"/>
      <c r="V1442" s="6"/>
      <c r="W1442" s="6"/>
      <c r="X1442" s="6"/>
      <c r="Y1442" s="6"/>
      <c r="Z1442" s="6"/>
      <c r="AX1442" s="6" t="e">
        <v>#N/A</v>
      </c>
    </row>
    <row r="1443" spans="14:50" ht="31.4" customHeight="1" x14ac:dyDescent="0.35">
      <c r="N1443" s="20"/>
      <c r="P1443" s="8"/>
      <c r="Q1443" s="8"/>
      <c r="R1443" s="8"/>
      <c r="S1443" s="8"/>
      <c r="U1443" s="6"/>
      <c r="V1443" s="6"/>
      <c r="W1443" s="6"/>
      <c r="X1443" s="6"/>
      <c r="Y1443" s="6"/>
      <c r="Z1443" s="6"/>
      <c r="AX1443" s="6" t="e">
        <v>#N/A</v>
      </c>
    </row>
    <row r="1444" spans="14:50" ht="31.4" customHeight="1" x14ac:dyDescent="0.35">
      <c r="N1444" s="20"/>
      <c r="P1444" s="8"/>
      <c r="Q1444" s="8"/>
      <c r="R1444" s="8"/>
      <c r="S1444" s="8"/>
      <c r="U1444" s="6"/>
      <c r="V1444" s="6"/>
      <c r="W1444" s="6"/>
      <c r="X1444" s="6"/>
      <c r="Y1444" s="6"/>
      <c r="Z1444" s="6"/>
      <c r="AX1444" s="6" t="e">
        <v>#N/A</v>
      </c>
    </row>
    <row r="1445" spans="14:50" ht="31.4" customHeight="1" x14ac:dyDescent="0.35">
      <c r="N1445" s="20"/>
      <c r="P1445" s="8"/>
      <c r="Q1445" s="8"/>
      <c r="R1445" s="8"/>
      <c r="S1445" s="8"/>
      <c r="U1445" s="6"/>
      <c r="V1445" s="6"/>
      <c r="W1445" s="6"/>
      <c r="X1445" s="6"/>
      <c r="Y1445" s="6"/>
      <c r="Z1445" s="6"/>
      <c r="AX1445" s="6" t="e">
        <v>#N/A</v>
      </c>
    </row>
    <row r="1446" spans="14:50" ht="31.4" customHeight="1" x14ac:dyDescent="0.35">
      <c r="N1446" s="20"/>
      <c r="P1446" s="8"/>
      <c r="Q1446" s="8"/>
      <c r="R1446" s="8"/>
      <c r="S1446" s="8"/>
      <c r="U1446" s="6"/>
      <c r="V1446" s="6"/>
      <c r="W1446" s="6"/>
      <c r="X1446" s="6"/>
      <c r="Y1446" s="6"/>
      <c r="Z1446" s="6"/>
      <c r="AX1446" s="6" t="e">
        <v>#N/A</v>
      </c>
    </row>
    <row r="1447" spans="14:50" ht="31.4" customHeight="1" x14ac:dyDescent="0.35">
      <c r="N1447" s="20"/>
      <c r="P1447" s="8"/>
      <c r="Q1447" s="8"/>
      <c r="R1447" s="8"/>
      <c r="S1447" s="8"/>
      <c r="U1447" s="6"/>
      <c r="V1447" s="6"/>
      <c r="W1447" s="6"/>
      <c r="X1447" s="6"/>
      <c r="Y1447" s="6"/>
      <c r="Z1447" s="6"/>
      <c r="AX1447" s="6" t="e">
        <v>#N/A</v>
      </c>
    </row>
    <row r="1448" spans="14:50" ht="31.4" customHeight="1" x14ac:dyDescent="0.35">
      <c r="N1448" s="20"/>
      <c r="P1448" s="8"/>
      <c r="Q1448" s="8"/>
      <c r="R1448" s="8"/>
      <c r="S1448" s="8"/>
      <c r="U1448" s="6"/>
      <c r="V1448" s="6"/>
      <c r="W1448" s="6"/>
      <c r="X1448" s="6"/>
      <c r="Y1448" s="6"/>
      <c r="Z1448" s="6"/>
      <c r="AX1448" s="6" t="e">
        <v>#N/A</v>
      </c>
    </row>
    <row r="1449" spans="14:50" ht="31.4" customHeight="1" x14ac:dyDescent="0.35">
      <c r="N1449" s="20"/>
      <c r="P1449" s="8"/>
      <c r="Q1449" s="8"/>
      <c r="R1449" s="8"/>
      <c r="S1449" s="8"/>
      <c r="U1449" s="6"/>
      <c r="V1449" s="6"/>
      <c r="W1449" s="6"/>
      <c r="X1449" s="6"/>
      <c r="Y1449" s="6"/>
      <c r="Z1449" s="6"/>
      <c r="AX1449" s="6" t="e">
        <v>#N/A</v>
      </c>
    </row>
    <row r="1450" spans="14:50" ht="31.4" customHeight="1" x14ac:dyDescent="0.35">
      <c r="N1450" s="20"/>
      <c r="P1450" s="8"/>
      <c r="Q1450" s="8"/>
      <c r="R1450" s="8"/>
      <c r="S1450" s="8"/>
      <c r="U1450" s="6"/>
      <c r="V1450" s="6"/>
      <c r="W1450" s="6"/>
      <c r="X1450" s="6"/>
      <c r="Y1450" s="6"/>
      <c r="Z1450" s="6"/>
      <c r="AX1450" s="6" t="e">
        <v>#N/A</v>
      </c>
    </row>
    <row r="1451" spans="14:50" ht="31.4" customHeight="1" x14ac:dyDescent="0.35">
      <c r="N1451" s="20"/>
      <c r="P1451" s="8"/>
      <c r="Q1451" s="8"/>
      <c r="R1451" s="8"/>
      <c r="S1451" s="8"/>
      <c r="U1451" s="6"/>
      <c r="V1451" s="6"/>
      <c r="W1451" s="6"/>
      <c r="X1451" s="6"/>
      <c r="Y1451" s="6"/>
      <c r="Z1451" s="6"/>
      <c r="AX1451" s="6" t="e">
        <v>#N/A</v>
      </c>
    </row>
    <row r="1452" spans="14:50" ht="31.4" customHeight="1" x14ac:dyDescent="0.35">
      <c r="N1452" s="20"/>
      <c r="P1452" s="8"/>
      <c r="Q1452" s="8"/>
      <c r="R1452" s="8"/>
      <c r="S1452" s="8"/>
      <c r="U1452" s="6"/>
      <c r="V1452" s="6"/>
      <c r="W1452" s="6"/>
      <c r="X1452" s="6"/>
      <c r="Y1452" s="6"/>
      <c r="Z1452" s="6"/>
      <c r="AX1452" s="6" t="e">
        <v>#N/A</v>
      </c>
    </row>
    <row r="1453" spans="14:50" ht="31.4" customHeight="1" x14ac:dyDescent="0.35">
      <c r="N1453" s="20"/>
      <c r="P1453" s="8"/>
      <c r="Q1453" s="8"/>
      <c r="R1453" s="8"/>
      <c r="S1453" s="8"/>
      <c r="U1453" s="6"/>
      <c r="V1453" s="6"/>
      <c r="W1453" s="6"/>
      <c r="X1453" s="6"/>
      <c r="Y1453" s="6"/>
      <c r="Z1453" s="6"/>
      <c r="AX1453" s="6" t="e">
        <v>#N/A</v>
      </c>
    </row>
    <row r="1454" spans="14:50" ht="31.4" customHeight="1" x14ac:dyDescent="0.35">
      <c r="N1454" s="20"/>
      <c r="P1454" s="8"/>
      <c r="Q1454" s="8"/>
      <c r="R1454" s="8"/>
      <c r="S1454" s="8"/>
      <c r="U1454" s="6"/>
      <c r="V1454" s="6"/>
      <c r="W1454" s="6"/>
      <c r="X1454" s="6"/>
      <c r="Y1454" s="6"/>
      <c r="Z1454" s="6"/>
      <c r="AX1454" s="6" t="e">
        <v>#N/A</v>
      </c>
    </row>
    <row r="1455" spans="14:50" ht="31.4" customHeight="1" x14ac:dyDescent="0.35">
      <c r="N1455" s="20"/>
      <c r="P1455" s="8"/>
      <c r="Q1455" s="8"/>
      <c r="R1455" s="8"/>
      <c r="S1455" s="8"/>
      <c r="U1455" s="6"/>
      <c r="V1455" s="6"/>
      <c r="W1455" s="6"/>
      <c r="X1455" s="6"/>
      <c r="Y1455" s="6"/>
      <c r="Z1455" s="6"/>
      <c r="AX1455" s="6" t="e">
        <v>#N/A</v>
      </c>
    </row>
    <row r="1456" spans="14:50" ht="31.4" customHeight="1" x14ac:dyDescent="0.35">
      <c r="N1456" s="20"/>
      <c r="P1456" s="8"/>
      <c r="Q1456" s="8"/>
      <c r="R1456" s="8"/>
      <c r="S1456" s="8"/>
      <c r="U1456" s="6"/>
      <c r="V1456" s="6"/>
      <c r="W1456" s="6"/>
      <c r="X1456" s="6"/>
      <c r="Y1456" s="6"/>
      <c r="Z1456" s="6"/>
      <c r="AX1456" s="6" t="e">
        <v>#N/A</v>
      </c>
    </row>
    <row r="1457" spans="14:50" ht="31.4" customHeight="1" x14ac:dyDescent="0.35">
      <c r="N1457" s="20"/>
      <c r="P1457" s="8"/>
      <c r="Q1457" s="8"/>
      <c r="R1457" s="8"/>
      <c r="S1457" s="8"/>
      <c r="U1457" s="6"/>
      <c r="V1457" s="6"/>
      <c r="W1457" s="6"/>
      <c r="X1457" s="6"/>
      <c r="Y1457" s="6"/>
      <c r="Z1457" s="6"/>
      <c r="AX1457" s="6" t="e">
        <v>#N/A</v>
      </c>
    </row>
    <row r="1458" spans="14:50" ht="31.4" customHeight="1" x14ac:dyDescent="0.35">
      <c r="N1458" s="20"/>
      <c r="P1458" s="8"/>
      <c r="Q1458" s="8"/>
      <c r="R1458" s="8"/>
      <c r="S1458" s="8"/>
      <c r="U1458" s="6"/>
      <c r="V1458" s="6"/>
      <c r="W1458" s="6"/>
      <c r="X1458" s="6"/>
      <c r="Y1458" s="6"/>
      <c r="Z1458" s="6"/>
      <c r="AX1458" s="6" t="e">
        <v>#N/A</v>
      </c>
    </row>
    <row r="1459" spans="14:50" ht="31.4" customHeight="1" x14ac:dyDescent="0.35">
      <c r="N1459" s="20"/>
      <c r="P1459" s="8"/>
      <c r="Q1459" s="8"/>
      <c r="R1459" s="8"/>
      <c r="S1459" s="8"/>
      <c r="U1459" s="6"/>
      <c r="V1459" s="6"/>
      <c r="W1459" s="6"/>
      <c r="X1459" s="6"/>
      <c r="Y1459" s="6"/>
      <c r="Z1459" s="6"/>
      <c r="AX1459" s="6" t="e">
        <v>#N/A</v>
      </c>
    </row>
    <row r="1460" spans="14:50" ht="31.4" customHeight="1" x14ac:dyDescent="0.35">
      <c r="N1460" s="20"/>
      <c r="P1460" s="8"/>
      <c r="Q1460" s="8"/>
      <c r="R1460" s="8"/>
      <c r="S1460" s="8"/>
      <c r="U1460" s="6"/>
      <c r="V1460" s="6"/>
      <c r="W1460" s="6"/>
      <c r="X1460" s="6"/>
      <c r="Y1460" s="6"/>
      <c r="Z1460" s="6"/>
      <c r="AX1460" s="6" t="e">
        <v>#N/A</v>
      </c>
    </row>
    <row r="1461" spans="14:50" ht="31.4" customHeight="1" x14ac:dyDescent="0.35">
      <c r="N1461" s="20"/>
      <c r="P1461" s="8"/>
      <c r="Q1461" s="8"/>
      <c r="R1461" s="8"/>
      <c r="S1461" s="8"/>
      <c r="U1461" s="6"/>
      <c r="V1461" s="6"/>
      <c r="W1461" s="6"/>
      <c r="X1461" s="6"/>
      <c r="Y1461" s="6"/>
      <c r="Z1461" s="6"/>
      <c r="AX1461" s="6" t="e">
        <v>#N/A</v>
      </c>
    </row>
    <row r="1462" spans="14:50" ht="31.4" customHeight="1" x14ac:dyDescent="0.35">
      <c r="N1462" s="20"/>
      <c r="P1462" s="8"/>
      <c r="Q1462" s="8"/>
      <c r="R1462" s="8"/>
      <c r="S1462" s="8"/>
      <c r="U1462" s="6"/>
      <c r="V1462" s="6"/>
      <c r="W1462" s="6"/>
      <c r="X1462" s="6"/>
      <c r="Y1462" s="6"/>
      <c r="Z1462" s="6"/>
      <c r="AX1462" s="6" t="e">
        <v>#N/A</v>
      </c>
    </row>
    <row r="1463" spans="14:50" ht="31.4" customHeight="1" x14ac:dyDescent="0.35">
      <c r="N1463" s="20"/>
      <c r="P1463" s="8"/>
      <c r="Q1463" s="8"/>
      <c r="R1463" s="8"/>
      <c r="S1463" s="8"/>
      <c r="U1463" s="6"/>
      <c r="V1463" s="6"/>
      <c r="W1463" s="6"/>
      <c r="X1463" s="6"/>
      <c r="Y1463" s="6"/>
      <c r="Z1463" s="6"/>
      <c r="AX1463" s="6" t="e">
        <v>#N/A</v>
      </c>
    </row>
    <row r="1464" spans="14:50" ht="31.4" customHeight="1" x14ac:dyDescent="0.35">
      <c r="N1464" s="20"/>
      <c r="P1464" s="8"/>
      <c r="Q1464" s="8"/>
      <c r="R1464" s="8"/>
      <c r="S1464" s="8"/>
      <c r="U1464" s="6"/>
      <c r="V1464" s="6"/>
      <c r="W1464" s="6"/>
      <c r="X1464" s="6"/>
      <c r="Y1464" s="6"/>
      <c r="Z1464" s="6"/>
      <c r="AX1464" s="6" t="e">
        <v>#N/A</v>
      </c>
    </row>
    <row r="1465" spans="14:50" ht="31.4" customHeight="1" x14ac:dyDescent="0.35">
      <c r="N1465" s="20"/>
      <c r="P1465" s="8"/>
      <c r="Q1465" s="8"/>
      <c r="R1465" s="8"/>
      <c r="S1465" s="8"/>
      <c r="U1465" s="6"/>
      <c r="V1465" s="6"/>
      <c r="W1465" s="6"/>
      <c r="X1465" s="6"/>
      <c r="Y1465" s="6"/>
      <c r="Z1465" s="6"/>
      <c r="AX1465" s="6" t="e">
        <v>#N/A</v>
      </c>
    </row>
    <row r="1466" spans="14:50" ht="31.4" customHeight="1" x14ac:dyDescent="0.35">
      <c r="N1466" s="20"/>
      <c r="P1466" s="8"/>
      <c r="Q1466" s="8"/>
      <c r="R1466" s="8"/>
      <c r="S1466" s="8"/>
      <c r="U1466" s="6"/>
      <c r="V1466" s="6"/>
      <c r="W1466" s="6"/>
      <c r="X1466" s="6"/>
      <c r="Y1466" s="6"/>
      <c r="Z1466" s="6"/>
      <c r="AX1466" s="6" t="e">
        <v>#N/A</v>
      </c>
    </row>
    <row r="1467" spans="14:50" ht="31.4" customHeight="1" x14ac:dyDescent="0.35">
      <c r="N1467" s="20"/>
      <c r="P1467" s="8"/>
      <c r="Q1467" s="8"/>
      <c r="R1467" s="8"/>
      <c r="S1467" s="8"/>
      <c r="U1467" s="6"/>
      <c r="V1467" s="6"/>
      <c r="W1467" s="6"/>
      <c r="X1467" s="6"/>
      <c r="Y1467" s="6"/>
      <c r="Z1467" s="6"/>
      <c r="AX1467" s="6" t="e">
        <v>#N/A</v>
      </c>
    </row>
    <row r="1468" spans="14:50" ht="31.4" customHeight="1" x14ac:dyDescent="0.35">
      <c r="N1468" s="20"/>
      <c r="P1468" s="8"/>
      <c r="Q1468" s="8"/>
      <c r="R1468" s="8"/>
      <c r="S1468" s="8"/>
      <c r="U1468" s="6"/>
      <c r="V1468" s="6"/>
      <c r="W1468" s="6"/>
      <c r="X1468" s="6"/>
      <c r="Y1468" s="6"/>
      <c r="Z1468" s="6"/>
      <c r="AX1468" s="6" t="e">
        <v>#N/A</v>
      </c>
    </row>
    <row r="1469" spans="14:50" ht="31.4" customHeight="1" x14ac:dyDescent="0.35">
      <c r="N1469" s="20"/>
      <c r="P1469" s="8"/>
      <c r="Q1469" s="8"/>
      <c r="R1469" s="8"/>
      <c r="S1469" s="8"/>
      <c r="U1469" s="6"/>
      <c r="V1469" s="6"/>
      <c r="W1469" s="6"/>
      <c r="X1469" s="6"/>
      <c r="Y1469" s="6"/>
      <c r="Z1469" s="6"/>
      <c r="AX1469" s="6" t="e">
        <v>#N/A</v>
      </c>
    </row>
    <row r="1470" spans="14:50" ht="31.4" customHeight="1" x14ac:dyDescent="0.35">
      <c r="N1470" s="20"/>
      <c r="P1470" s="8"/>
      <c r="Q1470" s="8"/>
      <c r="R1470" s="8"/>
      <c r="S1470" s="8"/>
      <c r="U1470" s="6"/>
      <c r="V1470" s="6"/>
      <c r="W1470" s="6"/>
      <c r="X1470" s="6"/>
      <c r="Y1470" s="6"/>
      <c r="Z1470" s="6"/>
      <c r="AX1470" s="6" t="e">
        <v>#N/A</v>
      </c>
    </row>
    <row r="1471" spans="14:50" ht="31.4" customHeight="1" x14ac:dyDescent="0.35">
      <c r="N1471" s="20"/>
      <c r="P1471" s="8"/>
      <c r="Q1471" s="8"/>
      <c r="R1471" s="8"/>
      <c r="S1471" s="8"/>
      <c r="U1471" s="6"/>
      <c r="V1471" s="6"/>
      <c r="W1471" s="6"/>
      <c r="X1471" s="6"/>
      <c r="Y1471" s="6"/>
      <c r="Z1471" s="6"/>
      <c r="AX1471" s="6" t="e">
        <v>#N/A</v>
      </c>
    </row>
    <row r="1472" spans="14:50" ht="31.4" customHeight="1" x14ac:dyDescent="0.35">
      <c r="N1472" s="20"/>
      <c r="P1472" s="8"/>
      <c r="Q1472" s="8"/>
      <c r="R1472" s="8"/>
      <c r="S1472" s="8"/>
      <c r="U1472" s="6"/>
      <c r="V1472" s="6"/>
      <c r="W1472" s="6"/>
      <c r="X1472" s="6"/>
      <c r="Y1472" s="6"/>
      <c r="Z1472" s="6"/>
      <c r="AX1472" s="6" t="e">
        <v>#N/A</v>
      </c>
    </row>
    <row r="1473" spans="14:50" ht="31.4" customHeight="1" x14ac:dyDescent="0.35">
      <c r="N1473" s="20"/>
      <c r="P1473" s="8"/>
      <c r="Q1473" s="8"/>
      <c r="R1473" s="8"/>
      <c r="S1473" s="8"/>
      <c r="U1473" s="6"/>
      <c r="V1473" s="6"/>
      <c r="W1473" s="6"/>
      <c r="X1473" s="6"/>
      <c r="Y1473" s="6"/>
      <c r="Z1473" s="6"/>
      <c r="AX1473" s="6" t="e">
        <v>#N/A</v>
      </c>
    </row>
    <row r="1474" spans="14:50" ht="31.4" customHeight="1" x14ac:dyDescent="0.35">
      <c r="N1474" s="20"/>
      <c r="P1474" s="8"/>
      <c r="Q1474" s="8"/>
      <c r="R1474" s="8"/>
      <c r="S1474" s="8"/>
      <c r="U1474" s="6"/>
      <c r="V1474" s="6"/>
      <c r="W1474" s="6"/>
      <c r="X1474" s="6"/>
      <c r="Y1474" s="6"/>
      <c r="Z1474" s="6"/>
      <c r="AX1474" s="6" t="e">
        <v>#N/A</v>
      </c>
    </row>
    <row r="1475" spans="14:50" ht="31.4" customHeight="1" x14ac:dyDescent="0.35">
      <c r="N1475" s="20"/>
      <c r="P1475" s="8"/>
      <c r="Q1475" s="8"/>
      <c r="R1475" s="8"/>
      <c r="S1475" s="8"/>
      <c r="U1475" s="6"/>
      <c r="V1475" s="6"/>
      <c r="W1475" s="6"/>
      <c r="X1475" s="6"/>
      <c r="Y1475" s="6"/>
      <c r="Z1475" s="6"/>
      <c r="AX1475" s="6" t="e">
        <v>#N/A</v>
      </c>
    </row>
    <row r="1476" spans="14:50" ht="31.4" customHeight="1" x14ac:dyDescent="0.35">
      <c r="N1476" s="20"/>
      <c r="P1476" s="8"/>
      <c r="Q1476" s="8"/>
      <c r="R1476" s="8"/>
      <c r="S1476" s="8"/>
      <c r="U1476" s="6"/>
      <c r="V1476" s="6"/>
      <c r="W1476" s="6"/>
      <c r="X1476" s="6"/>
      <c r="Y1476" s="6"/>
      <c r="Z1476" s="6"/>
      <c r="AX1476" s="6" t="e">
        <v>#N/A</v>
      </c>
    </row>
    <row r="1477" spans="14:50" ht="31.4" customHeight="1" x14ac:dyDescent="0.35">
      <c r="N1477" s="20"/>
      <c r="P1477" s="8"/>
      <c r="Q1477" s="8"/>
      <c r="R1477" s="8"/>
      <c r="S1477" s="8"/>
      <c r="U1477" s="6"/>
      <c r="V1477" s="6"/>
      <c r="W1477" s="6"/>
      <c r="X1477" s="6"/>
      <c r="Y1477" s="6"/>
      <c r="Z1477" s="6"/>
      <c r="AX1477" s="6" t="e">
        <v>#N/A</v>
      </c>
    </row>
    <row r="1478" spans="14:50" ht="31.4" customHeight="1" x14ac:dyDescent="0.35">
      <c r="N1478" s="20"/>
      <c r="P1478" s="8"/>
      <c r="Q1478" s="8"/>
      <c r="R1478" s="8"/>
      <c r="S1478" s="8"/>
      <c r="U1478" s="6"/>
      <c r="V1478" s="6"/>
      <c r="W1478" s="6"/>
      <c r="X1478" s="6"/>
      <c r="Y1478" s="6"/>
      <c r="Z1478" s="6"/>
      <c r="AX1478" s="6" t="e">
        <v>#N/A</v>
      </c>
    </row>
    <row r="1479" spans="14:50" ht="31.4" customHeight="1" x14ac:dyDescent="0.35">
      <c r="N1479" s="20"/>
      <c r="P1479" s="8"/>
      <c r="Q1479" s="8"/>
      <c r="R1479" s="8"/>
      <c r="S1479" s="8"/>
      <c r="U1479" s="6"/>
      <c r="V1479" s="6"/>
      <c r="W1479" s="6"/>
      <c r="X1479" s="6"/>
      <c r="Y1479" s="6"/>
      <c r="Z1479" s="6"/>
      <c r="AX1479" s="6" t="e">
        <v>#N/A</v>
      </c>
    </row>
    <row r="1480" spans="14:50" ht="31.4" customHeight="1" x14ac:dyDescent="0.35">
      <c r="N1480" s="20"/>
      <c r="P1480" s="8"/>
      <c r="Q1480" s="8"/>
      <c r="R1480" s="8"/>
      <c r="S1480" s="8"/>
      <c r="U1480" s="6"/>
      <c r="V1480" s="6"/>
      <c r="W1480" s="6"/>
      <c r="X1480" s="6"/>
      <c r="Y1480" s="6"/>
      <c r="Z1480" s="6"/>
      <c r="AX1480" s="6" t="e">
        <v>#N/A</v>
      </c>
    </row>
    <row r="1481" spans="14:50" ht="31.4" customHeight="1" x14ac:dyDescent="0.35">
      <c r="N1481" s="20"/>
      <c r="P1481" s="8"/>
      <c r="Q1481" s="8"/>
      <c r="R1481" s="8"/>
      <c r="S1481" s="8"/>
      <c r="U1481" s="6"/>
      <c r="V1481" s="6"/>
      <c r="W1481" s="6"/>
      <c r="X1481" s="6"/>
      <c r="Y1481" s="6"/>
      <c r="Z1481" s="6"/>
      <c r="AX1481" s="6" t="e">
        <v>#N/A</v>
      </c>
    </row>
    <row r="1482" spans="14:50" ht="31.4" customHeight="1" x14ac:dyDescent="0.35">
      <c r="N1482" s="20"/>
      <c r="P1482" s="8"/>
      <c r="Q1482" s="8"/>
      <c r="R1482" s="8"/>
      <c r="S1482" s="8"/>
      <c r="U1482" s="6"/>
      <c r="V1482" s="6"/>
      <c r="W1482" s="6"/>
      <c r="X1482" s="6"/>
      <c r="Y1482" s="6"/>
      <c r="Z1482" s="6"/>
      <c r="AX1482" s="6" t="e">
        <v>#N/A</v>
      </c>
    </row>
    <row r="1483" spans="14:50" ht="31.4" customHeight="1" x14ac:dyDescent="0.35">
      <c r="N1483" s="20"/>
      <c r="P1483" s="8"/>
      <c r="Q1483" s="8"/>
      <c r="R1483" s="8"/>
      <c r="S1483" s="8"/>
      <c r="U1483" s="6"/>
      <c r="V1483" s="6"/>
      <c r="W1483" s="6"/>
      <c r="X1483" s="6"/>
      <c r="Y1483" s="6"/>
      <c r="Z1483" s="6"/>
      <c r="AX1483" s="6" t="e">
        <v>#N/A</v>
      </c>
    </row>
    <row r="1484" spans="14:50" ht="31.4" customHeight="1" x14ac:dyDescent="0.35">
      <c r="N1484" s="20"/>
      <c r="P1484" s="8"/>
      <c r="Q1484" s="8"/>
      <c r="R1484" s="8"/>
      <c r="S1484" s="8"/>
      <c r="U1484" s="6"/>
      <c r="V1484" s="6"/>
      <c r="W1484" s="6"/>
      <c r="X1484" s="6"/>
      <c r="Y1484" s="6"/>
      <c r="Z1484" s="6"/>
      <c r="AX1484" s="6" t="e">
        <v>#N/A</v>
      </c>
    </row>
    <row r="1485" spans="14:50" ht="31.4" customHeight="1" x14ac:dyDescent="0.35">
      <c r="N1485" s="20"/>
      <c r="P1485" s="8"/>
      <c r="Q1485" s="8"/>
      <c r="R1485" s="8"/>
      <c r="S1485" s="8"/>
      <c r="U1485" s="6"/>
      <c r="V1485" s="6"/>
      <c r="W1485" s="6"/>
      <c r="X1485" s="6"/>
      <c r="Y1485" s="6"/>
      <c r="Z1485" s="6"/>
      <c r="AX1485" s="6" t="e">
        <v>#N/A</v>
      </c>
    </row>
    <row r="1486" spans="14:50" ht="31.4" customHeight="1" x14ac:dyDescent="0.35">
      <c r="N1486" s="20"/>
      <c r="P1486" s="8"/>
      <c r="Q1486" s="8"/>
      <c r="R1486" s="8"/>
      <c r="S1486" s="8"/>
      <c r="U1486" s="6"/>
      <c r="V1486" s="6"/>
      <c r="W1486" s="6"/>
      <c r="X1486" s="6"/>
      <c r="Y1486" s="6"/>
      <c r="Z1486" s="6"/>
      <c r="AX1486" s="6" t="e">
        <v>#N/A</v>
      </c>
    </row>
    <row r="1487" spans="14:50" ht="31.4" customHeight="1" x14ac:dyDescent="0.35">
      <c r="N1487" s="20"/>
      <c r="P1487" s="8"/>
      <c r="Q1487" s="8"/>
      <c r="R1487" s="8"/>
      <c r="S1487" s="8"/>
      <c r="U1487" s="6"/>
      <c r="V1487" s="6"/>
      <c r="W1487" s="6"/>
      <c r="X1487" s="6"/>
      <c r="Y1487" s="6"/>
      <c r="Z1487" s="6"/>
      <c r="AX1487" s="6" t="e">
        <v>#N/A</v>
      </c>
    </row>
    <row r="1488" spans="14:50" ht="31.4" customHeight="1" x14ac:dyDescent="0.35">
      <c r="N1488" s="20"/>
      <c r="P1488" s="8"/>
      <c r="Q1488" s="8"/>
      <c r="R1488" s="8"/>
      <c r="S1488" s="8"/>
      <c r="U1488" s="6"/>
      <c r="V1488" s="6"/>
      <c r="W1488" s="6"/>
      <c r="X1488" s="6"/>
      <c r="Y1488" s="6"/>
      <c r="Z1488" s="6"/>
      <c r="AX1488" s="6" t="e">
        <v>#N/A</v>
      </c>
    </row>
    <row r="1489" spans="14:50" ht="31.4" customHeight="1" x14ac:dyDescent="0.35">
      <c r="N1489" s="20"/>
      <c r="P1489" s="8"/>
      <c r="Q1489" s="8"/>
      <c r="R1489" s="8"/>
      <c r="S1489" s="8"/>
      <c r="U1489" s="6"/>
      <c r="V1489" s="6"/>
      <c r="W1489" s="6"/>
      <c r="X1489" s="6"/>
      <c r="Y1489" s="6"/>
      <c r="Z1489" s="6"/>
      <c r="AX1489" s="6" t="e">
        <v>#N/A</v>
      </c>
    </row>
    <row r="1490" spans="14:50" ht="31.4" customHeight="1" x14ac:dyDescent="0.35">
      <c r="N1490" s="20"/>
      <c r="P1490" s="8"/>
      <c r="Q1490" s="8"/>
      <c r="R1490" s="8"/>
      <c r="S1490" s="8"/>
      <c r="U1490" s="6"/>
      <c r="V1490" s="6"/>
      <c r="W1490" s="6"/>
      <c r="X1490" s="6"/>
      <c r="Y1490" s="6"/>
      <c r="Z1490" s="6"/>
      <c r="AX1490" s="6" t="e">
        <v>#N/A</v>
      </c>
    </row>
    <row r="1491" spans="14:50" ht="31.4" customHeight="1" x14ac:dyDescent="0.35">
      <c r="N1491" s="20"/>
      <c r="P1491" s="8"/>
      <c r="Q1491" s="8"/>
      <c r="R1491" s="8"/>
      <c r="S1491" s="8"/>
      <c r="U1491" s="6"/>
      <c r="V1491" s="6"/>
      <c r="W1491" s="6"/>
      <c r="X1491" s="6"/>
      <c r="Y1491" s="6"/>
      <c r="Z1491" s="6"/>
      <c r="AX1491" s="6" t="e">
        <v>#N/A</v>
      </c>
    </row>
    <row r="1492" spans="14:50" ht="31.4" customHeight="1" x14ac:dyDescent="0.35">
      <c r="N1492" s="20"/>
      <c r="P1492" s="8"/>
      <c r="Q1492" s="8"/>
      <c r="R1492" s="8"/>
      <c r="S1492" s="8"/>
      <c r="U1492" s="6"/>
      <c r="V1492" s="6"/>
      <c r="W1492" s="6"/>
      <c r="X1492" s="6"/>
      <c r="Y1492" s="6"/>
      <c r="Z1492" s="6"/>
      <c r="AX1492" s="6" t="e">
        <v>#N/A</v>
      </c>
    </row>
    <row r="1493" spans="14:50" ht="31.4" customHeight="1" x14ac:dyDescent="0.35">
      <c r="N1493" s="20"/>
      <c r="P1493" s="8"/>
      <c r="Q1493" s="8"/>
      <c r="R1493" s="8"/>
      <c r="S1493" s="8"/>
      <c r="U1493" s="6"/>
      <c r="V1493" s="6"/>
      <c r="W1493" s="6"/>
      <c r="X1493" s="6"/>
      <c r="Y1493" s="6"/>
      <c r="Z1493" s="6"/>
      <c r="AX1493" s="6" t="e">
        <v>#N/A</v>
      </c>
    </row>
    <row r="1494" spans="14:50" ht="31.4" customHeight="1" x14ac:dyDescent="0.35">
      <c r="N1494" s="20"/>
      <c r="P1494" s="8"/>
      <c r="Q1494" s="8"/>
      <c r="R1494" s="8"/>
      <c r="S1494" s="8"/>
      <c r="U1494" s="6"/>
      <c r="V1494" s="6"/>
      <c r="W1494" s="6"/>
      <c r="X1494" s="6"/>
      <c r="Y1494" s="6"/>
      <c r="Z1494" s="6"/>
      <c r="AX1494" s="6" t="e">
        <v>#N/A</v>
      </c>
    </row>
    <row r="1495" spans="14:50" ht="31.4" customHeight="1" x14ac:dyDescent="0.35">
      <c r="N1495" s="20"/>
      <c r="P1495" s="8"/>
      <c r="Q1495" s="8"/>
      <c r="R1495" s="8"/>
      <c r="S1495" s="8"/>
      <c r="U1495" s="6"/>
      <c r="V1495" s="6"/>
      <c r="W1495" s="6"/>
      <c r="X1495" s="6"/>
      <c r="Y1495" s="6"/>
      <c r="Z1495" s="6"/>
      <c r="AX1495" s="6" t="e">
        <v>#N/A</v>
      </c>
    </row>
    <row r="1496" spans="14:50" ht="31.4" customHeight="1" x14ac:dyDescent="0.35">
      <c r="N1496" s="20"/>
      <c r="P1496" s="8"/>
      <c r="Q1496" s="8"/>
      <c r="R1496" s="8"/>
      <c r="S1496" s="8"/>
      <c r="U1496" s="6"/>
      <c r="V1496" s="6"/>
      <c r="W1496" s="6"/>
      <c r="X1496" s="6"/>
      <c r="Y1496" s="6"/>
      <c r="Z1496" s="6"/>
      <c r="AX1496" s="6" t="e">
        <v>#N/A</v>
      </c>
    </row>
    <row r="1497" spans="14:50" ht="31.4" customHeight="1" x14ac:dyDescent="0.35">
      <c r="N1497" s="20"/>
      <c r="P1497" s="8"/>
      <c r="Q1497" s="8"/>
      <c r="R1497" s="8"/>
      <c r="S1497" s="8"/>
      <c r="U1497" s="6"/>
      <c r="V1497" s="6"/>
      <c r="W1497" s="6"/>
      <c r="X1497" s="6"/>
      <c r="Y1497" s="6"/>
      <c r="Z1497" s="6"/>
      <c r="AX1497" s="6" t="e">
        <v>#N/A</v>
      </c>
    </row>
    <row r="1498" spans="14:50" ht="31.4" customHeight="1" x14ac:dyDescent="0.35">
      <c r="N1498" s="20"/>
      <c r="P1498" s="8"/>
      <c r="Q1498" s="8"/>
      <c r="R1498" s="8"/>
      <c r="S1498" s="8"/>
      <c r="U1498" s="6"/>
      <c r="V1498" s="6"/>
      <c r="W1498" s="6"/>
      <c r="X1498" s="6"/>
      <c r="Y1498" s="6"/>
      <c r="Z1498" s="6"/>
      <c r="AX1498" s="6" t="e">
        <v>#N/A</v>
      </c>
    </row>
    <row r="1499" spans="14:50" ht="31.4" customHeight="1" x14ac:dyDescent="0.35">
      <c r="N1499" s="20"/>
      <c r="P1499" s="8"/>
      <c r="Q1499" s="8"/>
      <c r="R1499" s="8"/>
      <c r="S1499" s="8"/>
      <c r="U1499" s="6"/>
      <c r="V1499" s="6"/>
      <c r="W1499" s="6"/>
      <c r="X1499" s="6"/>
      <c r="Y1499" s="6"/>
      <c r="Z1499" s="6"/>
      <c r="AX1499" s="6" t="e">
        <v>#N/A</v>
      </c>
    </row>
    <row r="1500" spans="14:50" ht="31.4" customHeight="1" x14ac:dyDescent="0.35">
      <c r="N1500" s="20"/>
      <c r="P1500" s="8"/>
      <c r="Q1500" s="8"/>
      <c r="R1500" s="8"/>
      <c r="S1500" s="8"/>
      <c r="U1500" s="6"/>
      <c r="V1500" s="6"/>
      <c r="W1500" s="6"/>
      <c r="X1500" s="6"/>
      <c r="Y1500" s="6"/>
      <c r="Z1500" s="6"/>
      <c r="AX1500" s="6" t="e">
        <v>#N/A</v>
      </c>
    </row>
    <row r="1501" spans="14:50" ht="31.4" customHeight="1" x14ac:dyDescent="0.35">
      <c r="N1501" s="20"/>
      <c r="P1501" s="8"/>
      <c r="Q1501" s="8"/>
      <c r="R1501" s="8"/>
      <c r="S1501" s="8"/>
      <c r="U1501" s="6"/>
      <c r="V1501" s="6"/>
      <c r="W1501" s="6"/>
      <c r="X1501" s="6"/>
      <c r="Y1501" s="6"/>
      <c r="Z1501" s="6"/>
      <c r="AX1501" s="6" t="e">
        <v>#N/A</v>
      </c>
    </row>
    <row r="1502" spans="14:50" ht="31.4" customHeight="1" x14ac:dyDescent="0.35">
      <c r="N1502" s="20"/>
      <c r="P1502" s="8"/>
      <c r="Q1502" s="8"/>
      <c r="R1502" s="8"/>
      <c r="S1502" s="8"/>
      <c r="U1502" s="6"/>
      <c r="V1502" s="6"/>
      <c r="W1502" s="6"/>
      <c r="X1502" s="6"/>
      <c r="Y1502" s="6"/>
      <c r="Z1502" s="6"/>
      <c r="AX1502" s="6" t="e">
        <v>#N/A</v>
      </c>
    </row>
    <row r="1503" spans="14:50" ht="31.4" customHeight="1" x14ac:dyDescent="0.35">
      <c r="N1503" s="20"/>
      <c r="P1503" s="8"/>
      <c r="Q1503" s="8"/>
      <c r="R1503" s="8"/>
      <c r="S1503" s="8"/>
      <c r="U1503" s="6"/>
      <c r="V1503" s="6"/>
      <c r="W1503" s="6"/>
      <c r="X1503" s="6"/>
      <c r="Y1503" s="6"/>
      <c r="Z1503" s="6"/>
      <c r="AX1503" s="6" t="e">
        <v>#N/A</v>
      </c>
    </row>
    <row r="1504" spans="14:50" ht="31.4" customHeight="1" x14ac:dyDescent="0.35">
      <c r="N1504" s="20"/>
      <c r="P1504" s="8"/>
      <c r="Q1504" s="8"/>
      <c r="R1504" s="8"/>
      <c r="S1504" s="8"/>
      <c r="U1504" s="6"/>
      <c r="V1504" s="6"/>
      <c r="W1504" s="6"/>
      <c r="X1504" s="6"/>
      <c r="Y1504" s="6"/>
      <c r="Z1504" s="6"/>
      <c r="AX1504" s="6" t="e">
        <v>#N/A</v>
      </c>
    </row>
    <row r="1505" spans="14:50" ht="31.4" customHeight="1" x14ac:dyDescent="0.35">
      <c r="N1505" s="20"/>
      <c r="P1505" s="8"/>
      <c r="Q1505" s="8"/>
      <c r="R1505" s="8"/>
      <c r="S1505" s="8"/>
      <c r="U1505" s="6"/>
      <c r="V1505" s="6"/>
      <c r="W1505" s="6"/>
      <c r="X1505" s="6"/>
      <c r="Y1505" s="6"/>
      <c r="Z1505" s="6"/>
      <c r="AX1505" s="6" t="e">
        <v>#N/A</v>
      </c>
    </row>
    <row r="1506" spans="14:50" ht="31.4" customHeight="1" x14ac:dyDescent="0.35">
      <c r="N1506" s="20"/>
      <c r="P1506" s="8"/>
      <c r="Q1506" s="8"/>
      <c r="R1506" s="8"/>
      <c r="S1506" s="8"/>
      <c r="U1506" s="6"/>
      <c r="V1506" s="6"/>
      <c r="W1506" s="6"/>
      <c r="X1506" s="6"/>
      <c r="Y1506" s="6"/>
      <c r="Z1506" s="6"/>
      <c r="AX1506" s="6" t="e">
        <v>#N/A</v>
      </c>
    </row>
    <row r="1507" spans="14:50" ht="31.4" customHeight="1" x14ac:dyDescent="0.35">
      <c r="N1507" s="20"/>
      <c r="P1507" s="8"/>
      <c r="Q1507" s="8"/>
      <c r="R1507" s="8"/>
      <c r="S1507" s="8"/>
      <c r="U1507" s="6"/>
      <c r="V1507" s="6"/>
      <c r="W1507" s="6"/>
      <c r="X1507" s="6"/>
      <c r="Y1507" s="6"/>
      <c r="Z1507" s="6"/>
      <c r="AX1507" s="6" t="e">
        <v>#N/A</v>
      </c>
    </row>
    <row r="1508" spans="14:50" ht="31.4" customHeight="1" x14ac:dyDescent="0.35">
      <c r="N1508" s="20"/>
      <c r="P1508" s="8"/>
      <c r="Q1508" s="8"/>
      <c r="R1508" s="8"/>
      <c r="S1508" s="8"/>
      <c r="U1508" s="6"/>
      <c r="V1508" s="6"/>
      <c r="W1508" s="6"/>
      <c r="X1508" s="6"/>
      <c r="Y1508" s="6"/>
      <c r="Z1508" s="6"/>
      <c r="AX1508" s="6" t="e">
        <v>#N/A</v>
      </c>
    </row>
    <row r="1509" spans="14:50" ht="31.4" customHeight="1" x14ac:dyDescent="0.35">
      <c r="N1509" s="20"/>
      <c r="P1509" s="8"/>
      <c r="Q1509" s="8"/>
      <c r="R1509" s="8"/>
      <c r="S1509" s="8"/>
      <c r="U1509" s="6"/>
      <c r="V1509" s="6"/>
      <c r="W1509" s="6"/>
      <c r="X1509" s="6"/>
      <c r="Y1509" s="6"/>
      <c r="Z1509" s="6"/>
      <c r="AX1509" s="6" t="e">
        <v>#N/A</v>
      </c>
    </row>
    <row r="1510" spans="14:50" ht="31.4" customHeight="1" x14ac:dyDescent="0.35">
      <c r="N1510" s="20"/>
      <c r="P1510" s="8"/>
      <c r="Q1510" s="8"/>
      <c r="R1510" s="8"/>
      <c r="S1510" s="8"/>
      <c r="U1510" s="6"/>
      <c r="V1510" s="6"/>
      <c r="W1510" s="6"/>
      <c r="X1510" s="6"/>
      <c r="Y1510" s="6"/>
      <c r="Z1510" s="6"/>
      <c r="AX1510" s="6" t="e">
        <v>#N/A</v>
      </c>
    </row>
    <row r="1511" spans="14:50" ht="31.4" customHeight="1" x14ac:dyDescent="0.35">
      <c r="N1511" s="20"/>
      <c r="P1511" s="8"/>
      <c r="Q1511" s="8"/>
      <c r="R1511" s="8"/>
      <c r="S1511" s="8"/>
      <c r="U1511" s="6"/>
      <c r="V1511" s="6"/>
      <c r="W1511" s="6"/>
      <c r="X1511" s="6"/>
      <c r="Y1511" s="6"/>
      <c r="Z1511" s="6"/>
      <c r="AX1511" s="6" t="e">
        <v>#N/A</v>
      </c>
    </row>
    <row r="1512" spans="14:50" ht="31.4" customHeight="1" x14ac:dyDescent="0.35">
      <c r="N1512" s="20"/>
      <c r="P1512" s="8"/>
      <c r="Q1512" s="8"/>
      <c r="R1512" s="8"/>
      <c r="S1512" s="8"/>
      <c r="U1512" s="6"/>
      <c r="V1512" s="6"/>
      <c r="W1512" s="6"/>
      <c r="X1512" s="6"/>
      <c r="Y1512" s="6"/>
      <c r="Z1512" s="6"/>
      <c r="AX1512" s="6" t="e">
        <v>#N/A</v>
      </c>
    </row>
    <row r="1513" spans="14:50" ht="31.4" customHeight="1" x14ac:dyDescent="0.35">
      <c r="N1513" s="20"/>
      <c r="P1513" s="8"/>
      <c r="Q1513" s="8"/>
      <c r="R1513" s="8"/>
      <c r="S1513" s="8"/>
      <c r="U1513" s="6"/>
      <c r="V1513" s="6"/>
      <c r="W1513" s="6"/>
      <c r="X1513" s="6"/>
      <c r="Y1513" s="6"/>
      <c r="Z1513" s="6"/>
      <c r="AX1513" s="6" t="e">
        <v>#N/A</v>
      </c>
    </row>
    <row r="1514" spans="14:50" ht="31.4" customHeight="1" x14ac:dyDescent="0.35">
      <c r="N1514" s="20"/>
      <c r="P1514" s="8"/>
      <c r="Q1514" s="8"/>
      <c r="R1514" s="8"/>
      <c r="S1514" s="8"/>
      <c r="U1514" s="6"/>
      <c r="V1514" s="6"/>
      <c r="W1514" s="6"/>
      <c r="X1514" s="6"/>
      <c r="Y1514" s="6"/>
      <c r="Z1514" s="6"/>
      <c r="AX1514" s="6" t="e">
        <v>#N/A</v>
      </c>
    </row>
    <row r="1515" spans="14:50" ht="31.4" customHeight="1" x14ac:dyDescent="0.35">
      <c r="N1515" s="20"/>
      <c r="P1515" s="8"/>
      <c r="Q1515" s="8"/>
      <c r="R1515" s="8"/>
      <c r="S1515" s="8"/>
      <c r="U1515" s="6"/>
      <c r="V1515" s="6"/>
      <c r="W1515" s="6"/>
      <c r="X1515" s="6"/>
      <c r="Y1515" s="6"/>
      <c r="Z1515" s="6"/>
      <c r="AX1515" s="6" t="e">
        <v>#N/A</v>
      </c>
    </row>
    <row r="1516" spans="14:50" ht="31.4" customHeight="1" x14ac:dyDescent="0.35">
      <c r="N1516" s="20"/>
      <c r="P1516" s="8"/>
      <c r="Q1516" s="8"/>
      <c r="R1516" s="8"/>
      <c r="S1516" s="8"/>
      <c r="U1516" s="6"/>
      <c r="V1516" s="6"/>
      <c r="W1516" s="6"/>
      <c r="X1516" s="6"/>
      <c r="Y1516" s="6"/>
      <c r="Z1516" s="6"/>
      <c r="AX1516" s="6" t="e">
        <v>#N/A</v>
      </c>
    </row>
    <row r="1517" spans="14:50" ht="31.4" customHeight="1" x14ac:dyDescent="0.35">
      <c r="N1517" s="20"/>
      <c r="P1517" s="8"/>
      <c r="Q1517" s="8"/>
      <c r="R1517" s="8"/>
      <c r="S1517" s="8"/>
      <c r="U1517" s="6"/>
      <c r="V1517" s="6"/>
      <c r="W1517" s="6"/>
      <c r="X1517" s="6"/>
      <c r="Y1517" s="6"/>
      <c r="Z1517" s="6"/>
      <c r="AX1517" s="6" t="e">
        <v>#N/A</v>
      </c>
    </row>
    <row r="1518" spans="14:50" ht="31.4" customHeight="1" x14ac:dyDescent="0.35">
      <c r="N1518" s="20"/>
      <c r="P1518" s="8"/>
      <c r="Q1518" s="8"/>
      <c r="R1518" s="8"/>
      <c r="S1518" s="8"/>
      <c r="U1518" s="6"/>
      <c r="V1518" s="6"/>
      <c r="W1518" s="6"/>
      <c r="X1518" s="6"/>
      <c r="Y1518" s="6"/>
      <c r="Z1518" s="6"/>
      <c r="AX1518" s="6" t="e">
        <v>#N/A</v>
      </c>
    </row>
    <row r="1519" spans="14:50" ht="31.4" customHeight="1" x14ac:dyDescent="0.35">
      <c r="N1519" s="20"/>
      <c r="P1519" s="8"/>
      <c r="Q1519" s="8"/>
      <c r="R1519" s="8"/>
      <c r="S1519" s="8"/>
      <c r="U1519" s="6"/>
      <c r="V1519" s="6"/>
      <c r="W1519" s="6"/>
      <c r="X1519" s="6"/>
      <c r="Y1519" s="6"/>
      <c r="Z1519" s="6"/>
      <c r="AX1519" s="6" t="e">
        <v>#N/A</v>
      </c>
    </row>
    <row r="1520" spans="14:50" ht="31.4" customHeight="1" x14ac:dyDescent="0.35">
      <c r="N1520" s="20"/>
      <c r="P1520" s="8"/>
      <c r="Q1520" s="8"/>
      <c r="R1520" s="8"/>
      <c r="S1520" s="8"/>
      <c r="U1520" s="6"/>
      <c r="V1520" s="6"/>
      <c r="W1520" s="6"/>
      <c r="X1520" s="6"/>
      <c r="Y1520" s="6"/>
      <c r="Z1520" s="6"/>
      <c r="AX1520" s="6" t="e">
        <v>#N/A</v>
      </c>
    </row>
    <row r="1521" spans="14:50" ht="31.4" customHeight="1" x14ac:dyDescent="0.35">
      <c r="N1521" s="20"/>
      <c r="P1521" s="8"/>
      <c r="Q1521" s="8"/>
      <c r="R1521" s="8"/>
      <c r="S1521" s="8"/>
      <c r="U1521" s="6"/>
      <c r="V1521" s="6"/>
      <c r="W1521" s="6"/>
      <c r="X1521" s="6"/>
      <c r="Y1521" s="6"/>
      <c r="Z1521" s="6"/>
      <c r="AX1521" s="6" t="e">
        <v>#N/A</v>
      </c>
    </row>
    <row r="1522" spans="14:50" ht="31.4" customHeight="1" x14ac:dyDescent="0.35">
      <c r="N1522" s="20"/>
      <c r="P1522" s="8"/>
      <c r="Q1522" s="8"/>
      <c r="R1522" s="8"/>
      <c r="S1522" s="8"/>
      <c r="U1522" s="6"/>
      <c r="V1522" s="6"/>
      <c r="W1522" s="6"/>
      <c r="X1522" s="6"/>
      <c r="Y1522" s="6"/>
      <c r="Z1522" s="6"/>
      <c r="AX1522" s="6" t="e">
        <v>#N/A</v>
      </c>
    </row>
    <row r="1523" spans="14:50" ht="31.4" customHeight="1" x14ac:dyDescent="0.35">
      <c r="N1523" s="20"/>
      <c r="P1523" s="8"/>
      <c r="Q1523" s="8"/>
      <c r="R1523" s="8"/>
      <c r="S1523" s="8"/>
      <c r="U1523" s="6"/>
      <c r="V1523" s="6"/>
      <c r="W1523" s="6"/>
      <c r="X1523" s="6"/>
      <c r="Y1523" s="6"/>
      <c r="Z1523" s="6"/>
      <c r="AX1523" s="6" t="e">
        <v>#N/A</v>
      </c>
    </row>
    <row r="1524" spans="14:50" ht="31.4" customHeight="1" x14ac:dyDescent="0.35">
      <c r="N1524" s="20"/>
      <c r="P1524" s="8"/>
      <c r="Q1524" s="8"/>
      <c r="R1524" s="8"/>
      <c r="S1524" s="8"/>
      <c r="U1524" s="6"/>
      <c r="V1524" s="6"/>
      <c r="W1524" s="6"/>
      <c r="X1524" s="6"/>
      <c r="Y1524" s="6"/>
      <c r="Z1524" s="6"/>
      <c r="AX1524" s="6" t="e">
        <v>#N/A</v>
      </c>
    </row>
    <row r="1525" spans="14:50" ht="31.4" customHeight="1" x14ac:dyDescent="0.35">
      <c r="N1525" s="20"/>
      <c r="P1525" s="8"/>
      <c r="Q1525" s="8"/>
      <c r="R1525" s="8"/>
      <c r="S1525" s="8"/>
      <c r="U1525" s="6"/>
      <c r="V1525" s="6"/>
      <c r="W1525" s="6"/>
      <c r="X1525" s="6"/>
      <c r="Y1525" s="6"/>
      <c r="Z1525" s="6"/>
      <c r="AX1525" s="6" t="e">
        <v>#N/A</v>
      </c>
    </row>
    <row r="1526" spans="14:50" ht="31.4" customHeight="1" x14ac:dyDescent="0.35">
      <c r="N1526" s="20"/>
      <c r="P1526" s="8"/>
      <c r="Q1526" s="8"/>
      <c r="R1526" s="8"/>
      <c r="S1526" s="8"/>
      <c r="U1526" s="6"/>
      <c r="V1526" s="6"/>
      <c r="W1526" s="6"/>
      <c r="X1526" s="6"/>
      <c r="Y1526" s="6"/>
      <c r="Z1526" s="6"/>
      <c r="AX1526" s="6" t="e">
        <v>#N/A</v>
      </c>
    </row>
    <row r="1527" spans="14:50" ht="31.4" customHeight="1" x14ac:dyDescent="0.35">
      <c r="N1527" s="20"/>
      <c r="P1527" s="8"/>
      <c r="Q1527" s="8"/>
      <c r="R1527" s="8"/>
      <c r="S1527" s="8"/>
      <c r="U1527" s="6"/>
      <c r="V1527" s="6"/>
      <c r="W1527" s="6"/>
      <c r="X1527" s="6"/>
      <c r="Y1527" s="6"/>
      <c r="Z1527" s="6"/>
      <c r="AX1527" s="6" t="e">
        <v>#N/A</v>
      </c>
    </row>
    <row r="1528" spans="14:50" ht="31.4" customHeight="1" x14ac:dyDescent="0.35">
      <c r="N1528" s="20"/>
      <c r="P1528" s="8"/>
      <c r="Q1528" s="8"/>
      <c r="R1528" s="8"/>
      <c r="S1528" s="8"/>
      <c r="U1528" s="6"/>
      <c r="V1528" s="6"/>
      <c r="W1528" s="6"/>
      <c r="X1528" s="6"/>
      <c r="Y1528" s="6"/>
      <c r="Z1528" s="6"/>
      <c r="AX1528" s="6" t="e">
        <v>#N/A</v>
      </c>
    </row>
    <row r="1529" spans="14:50" ht="31.4" customHeight="1" x14ac:dyDescent="0.35">
      <c r="N1529" s="20"/>
      <c r="P1529" s="8"/>
      <c r="Q1529" s="8"/>
      <c r="R1529" s="8"/>
      <c r="S1529" s="8"/>
      <c r="U1529" s="6"/>
      <c r="V1529" s="6"/>
      <c r="W1529" s="6"/>
      <c r="X1529" s="6"/>
      <c r="Y1529" s="6"/>
      <c r="Z1529" s="6"/>
      <c r="AX1529" s="6" t="e">
        <v>#N/A</v>
      </c>
    </row>
    <row r="1530" spans="14:50" ht="31.4" customHeight="1" x14ac:dyDescent="0.35">
      <c r="N1530" s="20"/>
      <c r="P1530" s="8"/>
      <c r="Q1530" s="8"/>
      <c r="R1530" s="8"/>
      <c r="S1530" s="8"/>
      <c r="U1530" s="6"/>
      <c r="V1530" s="6"/>
      <c r="W1530" s="6"/>
      <c r="X1530" s="6"/>
      <c r="Y1530" s="6"/>
      <c r="Z1530" s="6"/>
      <c r="AX1530" s="6" t="e">
        <v>#N/A</v>
      </c>
    </row>
    <row r="1531" spans="14:50" ht="31.4" customHeight="1" x14ac:dyDescent="0.35">
      <c r="N1531" s="20"/>
      <c r="P1531" s="8"/>
      <c r="Q1531" s="8"/>
      <c r="R1531" s="8"/>
      <c r="S1531" s="8"/>
      <c r="U1531" s="6"/>
      <c r="V1531" s="6"/>
      <c r="W1531" s="6"/>
      <c r="X1531" s="6"/>
      <c r="Y1531" s="6"/>
      <c r="Z1531" s="6"/>
      <c r="AX1531" s="6" t="e">
        <v>#N/A</v>
      </c>
    </row>
    <row r="1532" spans="14:50" ht="31.4" customHeight="1" x14ac:dyDescent="0.35">
      <c r="N1532" s="20"/>
      <c r="P1532" s="8"/>
      <c r="Q1532" s="8"/>
      <c r="R1532" s="8"/>
      <c r="S1532" s="8"/>
      <c r="U1532" s="6"/>
      <c r="V1532" s="6"/>
      <c r="W1532" s="6"/>
      <c r="X1532" s="6"/>
      <c r="Y1532" s="6"/>
      <c r="Z1532" s="6"/>
      <c r="AX1532" s="6" t="e">
        <v>#N/A</v>
      </c>
    </row>
    <row r="1533" spans="14:50" ht="31.4" customHeight="1" x14ac:dyDescent="0.35">
      <c r="N1533" s="20"/>
      <c r="P1533" s="8"/>
      <c r="Q1533" s="8"/>
      <c r="R1533" s="8"/>
      <c r="S1533" s="8"/>
      <c r="U1533" s="6"/>
      <c r="V1533" s="6"/>
      <c r="W1533" s="6"/>
      <c r="X1533" s="6"/>
      <c r="Y1533" s="6"/>
      <c r="Z1533" s="6"/>
      <c r="AX1533" s="6" t="e">
        <v>#N/A</v>
      </c>
    </row>
    <row r="1534" spans="14:50" ht="31.4" customHeight="1" x14ac:dyDescent="0.35">
      <c r="N1534" s="20"/>
      <c r="P1534" s="8"/>
      <c r="Q1534" s="8"/>
      <c r="R1534" s="8"/>
      <c r="S1534" s="8"/>
      <c r="U1534" s="6"/>
      <c r="V1534" s="6"/>
      <c r="W1534" s="6"/>
      <c r="X1534" s="6"/>
      <c r="Y1534" s="6"/>
      <c r="Z1534" s="6"/>
      <c r="AX1534" s="6" t="e">
        <v>#N/A</v>
      </c>
    </row>
    <row r="1535" spans="14:50" ht="31.4" customHeight="1" x14ac:dyDescent="0.35">
      <c r="N1535" s="20"/>
      <c r="P1535" s="8"/>
      <c r="Q1535" s="8"/>
      <c r="R1535" s="8"/>
      <c r="S1535" s="8"/>
      <c r="U1535" s="6"/>
      <c r="V1535" s="6"/>
      <c r="W1535" s="6"/>
      <c r="X1535" s="6"/>
      <c r="Y1535" s="6"/>
      <c r="Z1535" s="6"/>
      <c r="AX1535" s="6" t="e">
        <v>#N/A</v>
      </c>
    </row>
    <row r="1536" spans="14:50" ht="31.4" customHeight="1" x14ac:dyDescent="0.35">
      <c r="N1536" s="20"/>
      <c r="P1536" s="8"/>
      <c r="Q1536" s="8"/>
      <c r="R1536" s="8"/>
      <c r="S1536" s="8"/>
      <c r="U1536" s="6"/>
      <c r="V1536" s="6"/>
      <c r="W1536" s="6"/>
      <c r="X1536" s="6"/>
      <c r="Y1536" s="6"/>
      <c r="Z1536" s="6"/>
      <c r="AX1536" s="6" t="e">
        <v>#N/A</v>
      </c>
    </row>
    <row r="1537" spans="14:50" ht="31.4" customHeight="1" x14ac:dyDescent="0.35">
      <c r="N1537" s="20"/>
      <c r="P1537" s="8"/>
      <c r="Q1537" s="8"/>
      <c r="R1537" s="8"/>
      <c r="S1537" s="8"/>
      <c r="U1537" s="6"/>
      <c r="V1537" s="6"/>
      <c r="W1537" s="6"/>
      <c r="X1537" s="6"/>
      <c r="Y1537" s="6"/>
      <c r="Z1537" s="6"/>
      <c r="AX1537" s="6" t="e">
        <v>#N/A</v>
      </c>
    </row>
    <row r="1538" spans="14:50" ht="31.4" customHeight="1" x14ac:dyDescent="0.35">
      <c r="N1538" s="20"/>
      <c r="P1538" s="8"/>
      <c r="Q1538" s="8"/>
      <c r="R1538" s="8"/>
      <c r="S1538" s="8"/>
      <c r="U1538" s="6"/>
      <c r="V1538" s="6"/>
      <c r="W1538" s="6"/>
      <c r="X1538" s="6"/>
      <c r="Y1538" s="6"/>
      <c r="Z1538" s="6"/>
      <c r="AX1538" s="6" t="e">
        <v>#N/A</v>
      </c>
    </row>
    <row r="1539" spans="14:50" ht="31.4" customHeight="1" x14ac:dyDescent="0.35">
      <c r="N1539" s="20"/>
      <c r="P1539" s="8"/>
      <c r="Q1539" s="8"/>
      <c r="R1539" s="8"/>
      <c r="S1539" s="8"/>
      <c r="U1539" s="6"/>
      <c r="V1539" s="6"/>
      <c r="W1539" s="6"/>
      <c r="X1539" s="6"/>
      <c r="Y1539" s="6"/>
      <c r="Z1539" s="6"/>
      <c r="AX1539" s="6" t="e">
        <v>#N/A</v>
      </c>
    </row>
    <row r="1540" spans="14:50" ht="31.4" customHeight="1" x14ac:dyDescent="0.35">
      <c r="N1540" s="20"/>
      <c r="P1540" s="8"/>
      <c r="Q1540" s="8"/>
      <c r="R1540" s="8"/>
      <c r="S1540" s="8"/>
      <c r="U1540" s="6"/>
      <c r="V1540" s="6"/>
      <c r="W1540" s="6"/>
      <c r="X1540" s="6"/>
      <c r="Y1540" s="6"/>
      <c r="Z1540" s="6"/>
      <c r="AX1540" s="6" t="e">
        <v>#N/A</v>
      </c>
    </row>
    <row r="1541" spans="14:50" ht="31.4" customHeight="1" x14ac:dyDescent="0.35">
      <c r="N1541" s="20"/>
      <c r="P1541" s="8"/>
      <c r="Q1541" s="8"/>
      <c r="R1541" s="8"/>
      <c r="S1541" s="8"/>
      <c r="U1541" s="6"/>
      <c r="V1541" s="6"/>
      <c r="W1541" s="6"/>
      <c r="X1541" s="6"/>
      <c r="Y1541" s="6"/>
      <c r="Z1541" s="6"/>
      <c r="AX1541" s="6" t="e">
        <v>#N/A</v>
      </c>
    </row>
    <row r="1542" spans="14:50" ht="31.4" customHeight="1" x14ac:dyDescent="0.35">
      <c r="N1542" s="20"/>
      <c r="P1542" s="8"/>
      <c r="Q1542" s="8"/>
      <c r="R1542" s="8"/>
      <c r="S1542" s="8"/>
      <c r="U1542" s="6"/>
      <c r="V1542" s="6"/>
      <c r="W1542" s="6"/>
      <c r="X1542" s="6"/>
      <c r="Y1542" s="6"/>
      <c r="Z1542" s="6"/>
      <c r="AX1542" s="6" t="e">
        <v>#N/A</v>
      </c>
    </row>
    <row r="1543" spans="14:50" ht="31.4" customHeight="1" x14ac:dyDescent="0.35">
      <c r="N1543" s="20"/>
      <c r="P1543" s="8"/>
      <c r="Q1543" s="8"/>
      <c r="R1543" s="8"/>
      <c r="S1543" s="8"/>
      <c r="U1543" s="6"/>
      <c r="V1543" s="6"/>
      <c r="W1543" s="6"/>
      <c r="X1543" s="6"/>
      <c r="Y1543" s="6"/>
      <c r="Z1543" s="6"/>
      <c r="AX1543" s="6" t="e">
        <v>#N/A</v>
      </c>
    </row>
    <row r="1544" spans="14:50" ht="31.4" customHeight="1" x14ac:dyDescent="0.35">
      <c r="N1544" s="20"/>
      <c r="P1544" s="8"/>
      <c r="Q1544" s="8"/>
      <c r="R1544" s="8"/>
      <c r="S1544" s="8"/>
      <c r="U1544" s="6"/>
      <c r="V1544" s="6"/>
      <c r="W1544" s="6"/>
      <c r="X1544" s="6"/>
      <c r="Y1544" s="6"/>
      <c r="Z1544" s="6"/>
      <c r="AX1544" s="6" t="e">
        <v>#N/A</v>
      </c>
    </row>
    <row r="1545" spans="14:50" ht="31.4" customHeight="1" x14ac:dyDescent="0.35">
      <c r="N1545" s="20"/>
      <c r="P1545" s="8"/>
      <c r="Q1545" s="8"/>
      <c r="R1545" s="8"/>
      <c r="S1545" s="8"/>
      <c r="U1545" s="6"/>
      <c r="V1545" s="6"/>
      <c r="W1545" s="6"/>
      <c r="X1545" s="6"/>
      <c r="Y1545" s="6"/>
      <c r="Z1545" s="6"/>
      <c r="AX1545" s="6" t="e">
        <v>#N/A</v>
      </c>
    </row>
    <row r="1546" spans="14:50" ht="31.4" customHeight="1" x14ac:dyDescent="0.35">
      <c r="N1546" s="20"/>
      <c r="P1546" s="8"/>
      <c r="Q1546" s="8"/>
      <c r="R1546" s="8"/>
      <c r="S1546" s="8"/>
      <c r="U1546" s="6"/>
      <c r="V1546" s="6"/>
      <c r="W1546" s="6"/>
      <c r="X1546" s="6"/>
      <c r="Y1546" s="6"/>
      <c r="Z1546" s="6"/>
      <c r="AX1546" s="6" t="e">
        <v>#N/A</v>
      </c>
    </row>
    <row r="1547" spans="14:50" ht="31.4" customHeight="1" x14ac:dyDescent="0.35">
      <c r="N1547" s="20"/>
      <c r="P1547" s="8"/>
      <c r="Q1547" s="8"/>
      <c r="R1547" s="8"/>
      <c r="S1547" s="8"/>
      <c r="U1547" s="6"/>
      <c r="V1547" s="6"/>
      <c r="W1547" s="6"/>
      <c r="X1547" s="6"/>
      <c r="Y1547" s="6"/>
      <c r="Z1547" s="6"/>
      <c r="AX1547" s="6" t="e">
        <v>#N/A</v>
      </c>
    </row>
    <row r="1548" spans="14:50" ht="31.4" customHeight="1" x14ac:dyDescent="0.35">
      <c r="N1548" s="20"/>
      <c r="P1548" s="8"/>
      <c r="Q1548" s="8"/>
      <c r="R1548" s="8"/>
      <c r="S1548" s="8"/>
      <c r="U1548" s="6"/>
      <c r="V1548" s="6"/>
      <c r="W1548" s="6"/>
      <c r="X1548" s="6"/>
      <c r="Y1548" s="6"/>
      <c r="Z1548" s="6"/>
      <c r="AX1548" s="6" t="e">
        <v>#N/A</v>
      </c>
    </row>
    <row r="1549" spans="14:50" ht="31.4" customHeight="1" x14ac:dyDescent="0.35">
      <c r="N1549" s="20"/>
      <c r="P1549" s="8"/>
      <c r="Q1549" s="8"/>
      <c r="R1549" s="8"/>
      <c r="S1549" s="8"/>
      <c r="U1549" s="6"/>
      <c r="V1549" s="6"/>
      <c r="W1549" s="6"/>
      <c r="X1549" s="6"/>
      <c r="Y1549" s="6"/>
      <c r="Z1549" s="6"/>
      <c r="AX1549" s="6" t="e">
        <v>#N/A</v>
      </c>
    </row>
    <row r="1550" spans="14:50" ht="31.4" customHeight="1" x14ac:dyDescent="0.35">
      <c r="N1550" s="20"/>
      <c r="P1550" s="8"/>
      <c r="Q1550" s="8"/>
      <c r="R1550" s="8"/>
      <c r="S1550" s="8"/>
      <c r="U1550" s="6"/>
      <c r="V1550" s="6"/>
      <c r="W1550" s="6"/>
      <c r="X1550" s="6"/>
      <c r="Y1550" s="6"/>
      <c r="Z1550" s="6"/>
      <c r="AX1550" s="6" t="e">
        <v>#N/A</v>
      </c>
    </row>
    <row r="1551" spans="14:50" ht="31.4" customHeight="1" x14ac:dyDescent="0.35">
      <c r="N1551" s="20"/>
      <c r="P1551" s="8"/>
      <c r="Q1551" s="8"/>
      <c r="R1551" s="8"/>
      <c r="S1551" s="8"/>
      <c r="U1551" s="6"/>
      <c r="V1551" s="6"/>
      <c r="W1551" s="6"/>
      <c r="X1551" s="6"/>
      <c r="Y1551" s="6"/>
      <c r="Z1551" s="6"/>
      <c r="AX1551" s="6" t="e">
        <v>#N/A</v>
      </c>
    </row>
    <row r="1552" spans="14:50" ht="31.4" customHeight="1" x14ac:dyDescent="0.35">
      <c r="N1552" s="20"/>
      <c r="P1552" s="8"/>
      <c r="Q1552" s="8"/>
      <c r="R1552" s="8"/>
      <c r="S1552" s="8"/>
      <c r="U1552" s="6"/>
      <c r="V1552" s="6"/>
      <c r="W1552" s="6"/>
      <c r="X1552" s="6"/>
      <c r="Y1552" s="6"/>
      <c r="Z1552" s="6"/>
      <c r="AX1552" s="6" t="e">
        <v>#N/A</v>
      </c>
    </row>
    <row r="1553" spans="14:50" ht="31.4" customHeight="1" x14ac:dyDescent="0.35">
      <c r="N1553" s="20"/>
      <c r="P1553" s="8"/>
      <c r="Q1553" s="8"/>
      <c r="R1553" s="8"/>
      <c r="S1553" s="8"/>
      <c r="U1553" s="6"/>
      <c r="V1553" s="6"/>
      <c r="W1553" s="6"/>
      <c r="X1553" s="6"/>
      <c r="Y1553" s="6"/>
      <c r="Z1553" s="6"/>
      <c r="AX1553" s="6" t="e">
        <v>#N/A</v>
      </c>
    </row>
    <row r="1554" spans="14:50" ht="31.4" customHeight="1" x14ac:dyDescent="0.35">
      <c r="N1554" s="20"/>
      <c r="P1554" s="8"/>
      <c r="Q1554" s="8"/>
      <c r="R1554" s="8"/>
      <c r="S1554" s="8"/>
      <c r="U1554" s="6"/>
      <c r="V1554" s="6"/>
      <c r="W1554" s="6"/>
      <c r="X1554" s="6"/>
      <c r="Y1554" s="6"/>
      <c r="Z1554" s="6"/>
      <c r="AX1554" s="6" t="e">
        <v>#N/A</v>
      </c>
    </row>
    <row r="1555" spans="14:50" ht="31.4" customHeight="1" x14ac:dyDescent="0.35">
      <c r="N1555" s="20"/>
      <c r="P1555" s="8"/>
      <c r="Q1555" s="8"/>
      <c r="R1555" s="8"/>
      <c r="S1555" s="8"/>
      <c r="U1555" s="6"/>
      <c r="V1555" s="6"/>
      <c r="W1555" s="6"/>
      <c r="X1555" s="6"/>
      <c r="Y1555" s="6"/>
      <c r="Z1555" s="6"/>
      <c r="AX1555" s="6" t="e">
        <v>#N/A</v>
      </c>
    </row>
    <row r="1556" spans="14:50" ht="31.4" customHeight="1" x14ac:dyDescent="0.35">
      <c r="N1556" s="20"/>
      <c r="P1556" s="8"/>
      <c r="Q1556" s="8"/>
      <c r="R1556" s="8"/>
      <c r="S1556" s="8"/>
      <c r="U1556" s="6"/>
      <c r="V1556" s="6"/>
      <c r="W1556" s="6"/>
      <c r="X1556" s="6"/>
      <c r="Y1556" s="6"/>
      <c r="Z1556" s="6"/>
      <c r="AX1556" s="6" t="e">
        <v>#N/A</v>
      </c>
    </row>
    <row r="1557" spans="14:50" ht="31.4" customHeight="1" x14ac:dyDescent="0.35">
      <c r="N1557" s="20"/>
      <c r="P1557" s="8"/>
      <c r="Q1557" s="8"/>
      <c r="R1557" s="8"/>
      <c r="S1557" s="8"/>
      <c r="U1557" s="6"/>
      <c r="V1557" s="6"/>
      <c r="W1557" s="6"/>
      <c r="X1557" s="6"/>
      <c r="Y1557" s="6"/>
      <c r="Z1557" s="6"/>
      <c r="AX1557" s="6" t="e">
        <v>#N/A</v>
      </c>
    </row>
    <row r="1558" spans="14:50" ht="31.4" customHeight="1" x14ac:dyDescent="0.35">
      <c r="N1558" s="20"/>
      <c r="P1558" s="8"/>
      <c r="Q1558" s="8"/>
      <c r="R1558" s="8"/>
      <c r="S1558" s="8"/>
      <c r="U1558" s="6"/>
      <c r="V1558" s="6"/>
      <c r="W1558" s="6"/>
      <c r="X1558" s="6"/>
      <c r="Y1558" s="6"/>
      <c r="Z1558" s="6"/>
      <c r="AX1558" s="6" t="e">
        <v>#N/A</v>
      </c>
    </row>
    <row r="1559" spans="14:50" ht="31.4" customHeight="1" x14ac:dyDescent="0.35">
      <c r="N1559" s="20"/>
      <c r="P1559" s="8"/>
      <c r="Q1559" s="8"/>
      <c r="R1559" s="8"/>
      <c r="S1559" s="8"/>
      <c r="U1559" s="6"/>
      <c r="V1559" s="6"/>
      <c r="W1559" s="6"/>
      <c r="X1559" s="6"/>
      <c r="Y1559" s="6"/>
      <c r="Z1559" s="6"/>
      <c r="AX1559" s="6" t="e">
        <v>#N/A</v>
      </c>
    </row>
    <row r="1560" spans="14:50" ht="31.4" customHeight="1" x14ac:dyDescent="0.35">
      <c r="N1560" s="20"/>
      <c r="P1560" s="8"/>
      <c r="Q1560" s="8"/>
      <c r="R1560" s="8"/>
      <c r="S1560" s="8"/>
      <c r="U1560" s="6"/>
      <c r="V1560" s="6"/>
      <c r="W1560" s="6"/>
      <c r="X1560" s="6"/>
      <c r="Y1560" s="6"/>
      <c r="Z1560" s="6"/>
      <c r="AX1560" s="6" t="e">
        <v>#N/A</v>
      </c>
    </row>
    <row r="1561" spans="14:50" ht="31.4" customHeight="1" x14ac:dyDescent="0.35">
      <c r="N1561" s="20"/>
      <c r="P1561" s="8"/>
      <c r="Q1561" s="8"/>
      <c r="R1561" s="8"/>
      <c r="S1561" s="8"/>
      <c r="U1561" s="6"/>
      <c r="V1561" s="6"/>
      <c r="W1561" s="6"/>
      <c r="X1561" s="6"/>
      <c r="Y1561" s="6"/>
      <c r="Z1561" s="6"/>
      <c r="AX1561" s="6" t="e">
        <v>#N/A</v>
      </c>
    </row>
    <row r="1562" spans="14:50" ht="31.4" customHeight="1" x14ac:dyDescent="0.35">
      <c r="N1562" s="20"/>
      <c r="P1562" s="8"/>
      <c r="Q1562" s="8"/>
      <c r="R1562" s="8"/>
      <c r="S1562" s="8"/>
      <c r="U1562" s="6"/>
      <c r="V1562" s="6"/>
      <c r="W1562" s="6"/>
      <c r="X1562" s="6"/>
      <c r="Y1562" s="6"/>
      <c r="Z1562" s="6"/>
      <c r="AX1562" s="6" t="e">
        <v>#N/A</v>
      </c>
    </row>
    <row r="1563" spans="14:50" ht="31.4" customHeight="1" x14ac:dyDescent="0.35">
      <c r="N1563" s="20"/>
      <c r="P1563" s="8"/>
      <c r="Q1563" s="8"/>
      <c r="R1563" s="8"/>
      <c r="S1563" s="8"/>
      <c r="U1563" s="6"/>
      <c r="V1563" s="6"/>
      <c r="W1563" s="6"/>
      <c r="X1563" s="6"/>
      <c r="Y1563" s="6"/>
      <c r="Z1563" s="6"/>
      <c r="AX1563" s="6" t="e">
        <v>#N/A</v>
      </c>
    </row>
    <row r="1564" spans="14:50" ht="31.4" customHeight="1" x14ac:dyDescent="0.35">
      <c r="N1564" s="20"/>
      <c r="P1564" s="8"/>
      <c r="Q1564" s="8"/>
      <c r="R1564" s="8"/>
      <c r="S1564" s="8"/>
      <c r="U1564" s="6"/>
      <c r="V1564" s="6"/>
      <c r="W1564" s="6"/>
      <c r="X1564" s="6"/>
      <c r="Y1564" s="6"/>
      <c r="Z1564" s="6"/>
      <c r="AX1564" s="6" t="e">
        <v>#N/A</v>
      </c>
    </row>
    <row r="1565" spans="14:50" ht="31.4" customHeight="1" x14ac:dyDescent="0.35">
      <c r="N1565" s="20"/>
      <c r="P1565" s="8"/>
      <c r="Q1565" s="8"/>
      <c r="R1565" s="8"/>
      <c r="S1565" s="8"/>
      <c r="U1565" s="6"/>
      <c r="V1565" s="6"/>
      <c r="W1565" s="6"/>
      <c r="X1565" s="6"/>
      <c r="Y1565" s="6"/>
      <c r="Z1565" s="6"/>
      <c r="AX1565" s="6" t="e">
        <v>#N/A</v>
      </c>
    </row>
    <row r="1566" spans="14:50" ht="31.4" customHeight="1" x14ac:dyDescent="0.35">
      <c r="N1566" s="20"/>
      <c r="P1566" s="8"/>
      <c r="Q1566" s="8"/>
      <c r="R1566" s="8"/>
      <c r="S1566" s="8"/>
      <c r="U1566" s="6"/>
      <c r="V1566" s="6"/>
      <c r="W1566" s="6"/>
      <c r="X1566" s="6"/>
      <c r="Y1566" s="6"/>
      <c r="Z1566" s="6"/>
      <c r="AX1566" s="6" t="e">
        <v>#N/A</v>
      </c>
    </row>
    <row r="1567" spans="14:50" ht="31.4" customHeight="1" x14ac:dyDescent="0.35">
      <c r="N1567" s="20"/>
      <c r="P1567" s="8"/>
      <c r="Q1567" s="8"/>
      <c r="R1567" s="8"/>
      <c r="S1567" s="8"/>
      <c r="U1567" s="6"/>
      <c r="V1567" s="6"/>
      <c r="W1567" s="6"/>
      <c r="X1567" s="6"/>
      <c r="Y1567" s="6"/>
      <c r="Z1567" s="6"/>
      <c r="AX1567" s="6" t="e">
        <v>#N/A</v>
      </c>
    </row>
    <row r="1568" spans="14:50" ht="31.4" customHeight="1" x14ac:dyDescent="0.35">
      <c r="N1568" s="20"/>
      <c r="P1568" s="8"/>
      <c r="Q1568" s="8"/>
      <c r="R1568" s="8"/>
      <c r="S1568" s="8"/>
      <c r="U1568" s="6"/>
      <c r="V1568" s="6"/>
      <c r="W1568" s="6"/>
      <c r="X1568" s="6"/>
      <c r="Y1568" s="6"/>
      <c r="Z1568" s="6"/>
      <c r="AX1568" s="6" t="e">
        <v>#N/A</v>
      </c>
    </row>
    <row r="1569" spans="14:50" ht="31.4" customHeight="1" x14ac:dyDescent="0.35">
      <c r="N1569" s="20"/>
      <c r="P1569" s="8"/>
      <c r="Q1569" s="8"/>
      <c r="R1569" s="8"/>
      <c r="S1569" s="8"/>
      <c r="U1569" s="6"/>
      <c r="V1569" s="6"/>
      <c r="W1569" s="6"/>
      <c r="X1569" s="6"/>
      <c r="Y1569" s="6"/>
      <c r="Z1569" s="6"/>
      <c r="AX1569" s="6" t="e">
        <v>#N/A</v>
      </c>
    </row>
    <row r="1570" spans="14:50" ht="31.4" customHeight="1" x14ac:dyDescent="0.35">
      <c r="N1570" s="20"/>
      <c r="P1570" s="8"/>
      <c r="Q1570" s="8"/>
      <c r="R1570" s="8"/>
      <c r="S1570" s="8"/>
      <c r="U1570" s="6"/>
      <c r="V1570" s="6"/>
      <c r="W1570" s="6"/>
      <c r="X1570" s="6"/>
      <c r="Y1570" s="6"/>
      <c r="Z1570" s="6"/>
      <c r="AX1570" s="6" t="e">
        <v>#N/A</v>
      </c>
    </row>
    <row r="1571" spans="14:50" ht="31.4" customHeight="1" x14ac:dyDescent="0.35">
      <c r="N1571" s="20"/>
      <c r="P1571" s="8"/>
      <c r="Q1571" s="8"/>
      <c r="R1571" s="8"/>
      <c r="S1571" s="8"/>
      <c r="U1571" s="6"/>
      <c r="V1571" s="6"/>
      <c r="W1571" s="6"/>
      <c r="X1571" s="6"/>
      <c r="Y1571" s="6"/>
      <c r="Z1571" s="6"/>
      <c r="AX1571" s="6" t="e">
        <v>#N/A</v>
      </c>
    </row>
    <row r="1572" spans="14:50" ht="31.4" customHeight="1" x14ac:dyDescent="0.35">
      <c r="N1572" s="20"/>
      <c r="P1572" s="8"/>
      <c r="Q1572" s="8"/>
      <c r="R1572" s="8"/>
      <c r="S1572" s="8"/>
      <c r="U1572" s="6"/>
      <c r="V1572" s="6"/>
      <c r="W1572" s="6"/>
      <c r="X1572" s="6"/>
      <c r="Y1572" s="6"/>
      <c r="Z1572" s="6"/>
      <c r="AX1572" s="6" t="e">
        <v>#N/A</v>
      </c>
    </row>
    <row r="1573" spans="14:50" ht="31.4" customHeight="1" x14ac:dyDescent="0.35">
      <c r="N1573" s="20"/>
      <c r="P1573" s="8"/>
      <c r="Q1573" s="8"/>
      <c r="R1573" s="8"/>
      <c r="S1573" s="8"/>
      <c r="U1573" s="6"/>
      <c r="V1573" s="6"/>
      <c r="W1573" s="6"/>
      <c r="X1573" s="6"/>
      <c r="Y1573" s="6"/>
      <c r="Z1573" s="6"/>
      <c r="AX1573" s="6" t="e">
        <v>#N/A</v>
      </c>
    </row>
    <row r="1574" spans="14:50" ht="31.4" customHeight="1" x14ac:dyDescent="0.35">
      <c r="N1574" s="20"/>
      <c r="P1574" s="8"/>
      <c r="Q1574" s="8"/>
      <c r="R1574" s="8"/>
      <c r="S1574" s="8"/>
      <c r="U1574" s="6"/>
      <c r="V1574" s="6"/>
      <c r="W1574" s="6"/>
      <c r="X1574" s="6"/>
      <c r="Y1574" s="6"/>
      <c r="Z1574" s="6"/>
      <c r="AX1574" s="6" t="e">
        <v>#N/A</v>
      </c>
    </row>
    <row r="1575" spans="14:50" ht="31.4" customHeight="1" x14ac:dyDescent="0.35">
      <c r="N1575" s="20"/>
      <c r="P1575" s="8"/>
      <c r="Q1575" s="8"/>
      <c r="R1575" s="8"/>
      <c r="S1575" s="8"/>
      <c r="U1575" s="6"/>
      <c r="V1575" s="6"/>
      <c r="W1575" s="6"/>
      <c r="X1575" s="6"/>
      <c r="Y1575" s="6"/>
      <c r="Z1575" s="6"/>
      <c r="AX1575" s="6" t="e">
        <v>#N/A</v>
      </c>
    </row>
    <row r="1576" spans="14:50" ht="31.4" customHeight="1" x14ac:dyDescent="0.35">
      <c r="N1576" s="20"/>
      <c r="P1576" s="8"/>
      <c r="Q1576" s="8"/>
      <c r="R1576" s="8"/>
      <c r="S1576" s="8"/>
      <c r="U1576" s="6"/>
      <c r="V1576" s="6"/>
      <c r="W1576" s="6"/>
      <c r="X1576" s="6"/>
      <c r="Y1576" s="6"/>
      <c r="Z1576" s="6"/>
      <c r="AX1576" s="6" t="e">
        <v>#N/A</v>
      </c>
    </row>
    <row r="1577" spans="14:50" ht="31.4" customHeight="1" x14ac:dyDescent="0.35">
      <c r="N1577" s="20"/>
      <c r="P1577" s="8"/>
      <c r="Q1577" s="8"/>
      <c r="R1577" s="8"/>
      <c r="S1577" s="8"/>
      <c r="U1577" s="6"/>
      <c r="V1577" s="6"/>
      <c r="W1577" s="6"/>
      <c r="X1577" s="6"/>
      <c r="Y1577" s="6"/>
      <c r="Z1577" s="6"/>
      <c r="AX1577" s="6" t="e">
        <v>#N/A</v>
      </c>
    </row>
    <row r="1578" spans="14:50" ht="31.4" customHeight="1" x14ac:dyDescent="0.35">
      <c r="N1578" s="20"/>
      <c r="P1578" s="8"/>
      <c r="Q1578" s="8"/>
      <c r="R1578" s="8"/>
      <c r="S1578" s="8"/>
      <c r="U1578" s="6"/>
      <c r="V1578" s="6"/>
      <c r="W1578" s="6"/>
      <c r="X1578" s="6"/>
      <c r="Y1578" s="6"/>
      <c r="Z1578" s="6"/>
      <c r="AX1578" s="6" t="e">
        <v>#N/A</v>
      </c>
    </row>
    <row r="1579" spans="14:50" ht="31.4" customHeight="1" x14ac:dyDescent="0.35">
      <c r="N1579" s="20"/>
      <c r="P1579" s="8"/>
      <c r="Q1579" s="8"/>
      <c r="R1579" s="8"/>
      <c r="S1579" s="8"/>
      <c r="U1579" s="6"/>
      <c r="V1579" s="6"/>
      <c r="W1579" s="6"/>
      <c r="X1579" s="6"/>
      <c r="Y1579" s="6"/>
      <c r="Z1579" s="6"/>
      <c r="AX1579" s="6" t="e">
        <v>#N/A</v>
      </c>
    </row>
    <row r="1580" spans="14:50" ht="31.4" customHeight="1" x14ac:dyDescent="0.35">
      <c r="N1580" s="20"/>
      <c r="P1580" s="8"/>
      <c r="Q1580" s="8"/>
      <c r="R1580" s="8"/>
      <c r="S1580" s="8"/>
      <c r="U1580" s="6"/>
      <c r="V1580" s="6"/>
      <c r="W1580" s="6"/>
      <c r="X1580" s="6"/>
      <c r="Y1580" s="6"/>
      <c r="Z1580" s="6"/>
      <c r="AX1580" s="6" t="e">
        <v>#N/A</v>
      </c>
    </row>
    <row r="1581" spans="14:50" ht="31.4" customHeight="1" x14ac:dyDescent="0.35">
      <c r="N1581" s="20"/>
      <c r="P1581" s="8"/>
      <c r="Q1581" s="8"/>
      <c r="R1581" s="8"/>
      <c r="S1581" s="8"/>
      <c r="U1581" s="6"/>
      <c r="V1581" s="6"/>
      <c r="W1581" s="6"/>
      <c r="X1581" s="6"/>
      <c r="Y1581" s="6"/>
      <c r="Z1581" s="6"/>
      <c r="AX1581" s="6" t="e">
        <v>#N/A</v>
      </c>
    </row>
    <row r="1582" spans="14:50" ht="31.4" customHeight="1" x14ac:dyDescent="0.35">
      <c r="N1582" s="20"/>
      <c r="P1582" s="8"/>
      <c r="Q1582" s="8"/>
      <c r="R1582" s="8"/>
      <c r="S1582" s="8"/>
      <c r="U1582" s="6"/>
      <c r="V1582" s="6"/>
      <c r="W1582" s="6"/>
      <c r="X1582" s="6"/>
      <c r="Y1582" s="6"/>
      <c r="Z1582" s="6"/>
      <c r="AX1582" s="6" t="e">
        <v>#N/A</v>
      </c>
    </row>
    <row r="1583" spans="14:50" ht="31.4" customHeight="1" x14ac:dyDescent="0.35">
      <c r="N1583" s="20"/>
      <c r="P1583" s="8"/>
      <c r="Q1583" s="8"/>
      <c r="R1583" s="8"/>
      <c r="S1583" s="8"/>
      <c r="U1583" s="6"/>
      <c r="V1583" s="6"/>
      <c r="W1583" s="6"/>
      <c r="X1583" s="6"/>
      <c r="Y1583" s="6"/>
      <c r="Z1583" s="6"/>
      <c r="AX1583" s="6" t="e">
        <v>#N/A</v>
      </c>
    </row>
    <row r="1584" spans="14:50" ht="31.4" customHeight="1" x14ac:dyDescent="0.35">
      <c r="N1584" s="20"/>
      <c r="P1584" s="8"/>
      <c r="Q1584" s="8"/>
      <c r="R1584" s="8"/>
      <c r="S1584" s="8"/>
      <c r="U1584" s="6"/>
      <c r="V1584" s="6"/>
      <c r="W1584" s="6"/>
      <c r="X1584" s="6"/>
      <c r="Y1584" s="6"/>
      <c r="Z1584" s="6"/>
      <c r="AX1584" s="6" t="e">
        <v>#N/A</v>
      </c>
    </row>
    <row r="1585" spans="14:50" ht="31.4" customHeight="1" x14ac:dyDescent="0.35">
      <c r="N1585" s="20"/>
      <c r="P1585" s="8"/>
      <c r="Q1585" s="8"/>
      <c r="R1585" s="8"/>
      <c r="S1585" s="8"/>
      <c r="U1585" s="6"/>
      <c r="V1585" s="6"/>
      <c r="W1585" s="6"/>
      <c r="X1585" s="6"/>
      <c r="Y1585" s="6"/>
      <c r="Z1585" s="6"/>
      <c r="AX1585" s="6" t="e">
        <v>#N/A</v>
      </c>
    </row>
    <row r="1586" spans="14:50" ht="31.4" customHeight="1" x14ac:dyDescent="0.35">
      <c r="N1586" s="20"/>
      <c r="P1586" s="8"/>
      <c r="Q1586" s="8"/>
      <c r="R1586" s="8"/>
      <c r="S1586" s="8"/>
      <c r="U1586" s="6"/>
      <c r="V1586" s="6"/>
      <c r="W1586" s="6"/>
      <c r="X1586" s="6"/>
      <c r="Y1586" s="6"/>
      <c r="Z1586" s="6"/>
      <c r="AX1586" s="6" t="e">
        <v>#N/A</v>
      </c>
    </row>
    <row r="1587" spans="14:50" ht="31.4" customHeight="1" x14ac:dyDescent="0.35">
      <c r="N1587" s="20"/>
      <c r="P1587" s="8"/>
      <c r="Q1587" s="8"/>
      <c r="R1587" s="8"/>
      <c r="S1587" s="8"/>
      <c r="U1587" s="6"/>
      <c r="V1587" s="6"/>
      <c r="W1587" s="6"/>
      <c r="X1587" s="6"/>
      <c r="Y1587" s="6"/>
      <c r="Z1587" s="6"/>
      <c r="AX1587" s="6" t="e">
        <v>#N/A</v>
      </c>
    </row>
    <row r="1588" spans="14:50" ht="31.4" customHeight="1" x14ac:dyDescent="0.35">
      <c r="N1588" s="20"/>
      <c r="P1588" s="8"/>
      <c r="Q1588" s="8"/>
      <c r="R1588" s="8"/>
      <c r="S1588" s="8"/>
      <c r="U1588" s="6"/>
      <c r="V1588" s="6"/>
      <c r="W1588" s="6"/>
      <c r="X1588" s="6"/>
      <c r="Y1588" s="6"/>
      <c r="Z1588" s="6"/>
      <c r="AX1588" s="6" t="e">
        <v>#N/A</v>
      </c>
    </row>
    <row r="1589" spans="14:50" ht="31.4" customHeight="1" x14ac:dyDescent="0.35">
      <c r="N1589" s="20"/>
      <c r="P1589" s="8"/>
      <c r="Q1589" s="8"/>
      <c r="R1589" s="8"/>
      <c r="S1589" s="8"/>
      <c r="U1589" s="6"/>
      <c r="V1589" s="6"/>
      <c r="W1589" s="6"/>
      <c r="X1589" s="6"/>
      <c r="Y1589" s="6"/>
      <c r="Z1589" s="6"/>
      <c r="AX1589" s="6" t="e">
        <v>#N/A</v>
      </c>
    </row>
    <row r="1590" spans="14:50" ht="31.4" customHeight="1" x14ac:dyDescent="0.35">
      <c r="N1590" s="20"/>
      <c r="P1590" s="8"/>
      <c r="Q1590" s="8"/>
      <c r="R1590" s="8"/>
      <c r="S1590" s="8"/>
      <c r="U1590" s="6"/>
      <c r="V1590" s="6"/>
      <c r="W1590" s="6"/>
      <c r="X1590" s="6"/>
      <c r="Y1590" s="6"/>
      <c r="Z1590" s="6"/>
      <c r="AX1590" s="6" t="e">
        <v>#N/A</v>
      </c>
    </row>
    <row r="1591" spans="14:50" ht="31.4" customHeight="1" x14ac:dyDescent="0.35">
      <c r="N1591" s="20"/>
      <c r="P1591" s="8"/>
      <c r="Q1591" s="8"/>
      <c r="R1591" s="8"/>
      <c r="S1591" s="8"/>
      <c r="U1591" s="6"/>
      <c r="V1591" s="6"/>
      <c r="W1591" s="6"/>
      <c r="X1591" s="6"/>
      <c r="Y1591" s="6"/>
      <c r="Z1591" s="6"/>
      <c r="AX1591" s="6" t="e">
        <v>#N/A</v>
      </c>
    </row>
    <row r="1592" spans="14:50" ht="31.4" customHeight="1" x14ac:dyDescent="0.35">
      <c r="N1592" s="20"/>
      <c r="P1592" s="8"/>
      <c r="Q1592" s="8"/>
      <c r="R1592" s="8"/>
      <c r="S1592" s="8"/>
      <c r="U1592" s="6"/>
      <c r="V1592" s="6"/>
      <c r="W1592" s="6"/>
      <c r="X1592" s="6"/>
      <c r="Y1592" s="6"/>
      <c r="Z1592" s="6"/>
      <c r="AX1592" s="6" t="e">
        <v>#N/A</v>
      </c>
    </row>
    <row r="1593" spans="14:50" ht="31.4" customHeight="1" x14ac:dyDescent="0.35">
      <c r="N1593" s="20"/>
      <c r="P1593" s="8"/>
      <c r="Q1593" s="8"/>
      <c r="R1593" s="8"/>
      <c r="S1593" s="8"/>
      <c r="U1593" s="6"/>
      <c r="V1593" s="6"/>
      <c r="W1593" s="6"/>
      <c r="X1593" s="6"/>
      <c r="Y1593" s="6"/>
      <c r="Z1593" s="6"/>
      <c r="AX1593" s="6" t="e">
        <v>#N/A</v>
      </c>
    </row>
    <row r="1594" spans="14:50" ht="31.4" customHeight="1" x14ac:dyDescent="0.35">
      <c r="N1594" s="20"/>
      <c r="P1594" s="8"/>
      <c r="Q1594" s="8"/>
      <c r="R1594" s="8"/>
      <c r="S1594" s="8"/>
      <c r="U1594" s="6"/>
      <c r="V1594" s="6"/>
      <c r="W1594" s="6"/>
      <c r="X1594" s="6"/>
      <c r="Y1594" s="6"/>
      <c r="Z1594" s="6"/>
      <c r="AX1594" s="6" t="e">
        <v>#N/A</v>
      </c>
    </row>
    <row r="1595" spans="14:50" ht="31.4" customHeight="1" x14ac:dyDescent="0.35">
      <c r="N1595" s="20"/>
      <c r="P1595" s="8"/>
      <c r="Q1595" s="8"/>
      <c r="R1595" s="8"/>
      <c r="S1595" s="8"/>
      <c r="U1595" s="6"/>
      <c r="V1595" s="6"/>
      <c r="W1595" s="6"/>
      <c r="X1595" s="6"/>
      <c r="Y1595" s="6"/>
      <c r="Z1595" s="6"/>
      <c r="AX1595" s="6" t="e">
        <v>#N/A</v>
      </c>
    </row>
    <row r="1596" spans="14:50" ht="31.4" customHeight="1" x14ac:dyDescent="0.35">
      <c r="N1596" s="20"/>
      <c r="P1596" s="8"/>
      <c r="Q1596" s="8"/>
      <c r="R1596" s="8"/>
      <c r="S1596" s="8"/>
      <c r="U1596" s="6"/>
      <c r="V1596" s="6"/>
      <c r="W1596" s="6"/>
      <c r="X1596" s="6"/>
      <c r="Y1596" s="6"/>
      <c r="Z1596" s="6"/>
      <c r="AX1596" s="6" t="e">
        <v>#N/A</v>
      </c>
    </row>
    <row r="1597" spans="14:50" ht="31.4" customHeight="1" x14ac:dyDescent="0.35">
      <c r="N1597" s="20"/>
      <c r="P1597" s="8"/>
      <c r="Q1597" s="8"/>
      <c r="R1597" s="8"/>
      <c r="S1597" s="8"/>
      <c r="U1597" s="6"/>
      <c r="V1597" s="6"/>
      <c r="W1597" s="6"/>
      <c r="X1597" s="6"/>
      <c r="Y1597" s="6"/>
      <c r="Z1597" s="6"/>
      <c r="AX1597" s="6" t="e">
        <v>#N/A</v>
      </c>
    </row>
    <row r="1598" spans="14:50" ht="31.4" customHeight="1" x14ac:dyDescent="0.35">
      <c r="N1598" s="20"/>
      <c r="P1598" s="8"/>
      <c r="Q1598" s="8"/>
      <c r="R1598" s="8"/>
      <c r="S1598" s="8"/>
      <c r="U1598" s="6"/>
      <c r="V1598" s="6"/>
      <c r="W1598" s="6"/>
      <c r="X1598" s="6"/>
      <c r="Y1598" s="6"/>
      <c r="Z1598" s="6"/>
      <c r="AX1598" s="6" t="e">
        <v>#N/A</v>
      </c>
    </row>
    <row r="1599" spans="14:50" ht="31.4" customHeight="1" x14ac:dyDescent="0.35">
      <c r="N1599" s="20"/>
      <c r="P1599" s="8"/>
      <c r="Q1599" s="8"/>
      <c r="R1599" s="8"/>
      <c r="S1599" s="8"/>
      <c r="U1599" s="6"/>
      <c r="V1599" s="6"/>
      <c r="W1599" s="6"/>
      <c r="X1599" s="6"/>
      <c r="Y1599" s="6"/>
      <c r="Z1599" s="6"/>
      <c r="AX1599" s="6" t="e">
        <v>#N/A</v>
      </c>
    </row>
    <row r="1600" spans="14:50" ht="31.4" customHeight="1" x14ac:dyDescent="0.35">
      <c r="N1600" s="20"/>
      <c r="P1600" s="8"/>
      <c r="Q1600" s="8"/>
      <c r="R1600" s="8"/>
      <c r="S1600" s="8"/>
      <c r="U1600" s="6"/>
      <c r="V1600" s="6"/>
      <c r="W1600" s="6"/>
      <c r="X1600" s="6"/>
      <c r="Y1600" s="6"/>
      <c r="Z1600" s="6"/>
      <c r="AX1600" s="6" t="e">
        <v>#N/A</v>
      </c>
    </row>
    <row r="1601" spans="14:50" ht="31.4" customHeight="1" x14ac:dyDescent="0.35">
      <c r="N1601" s="20"/>
      <c r="P1601" s="8"/>
      <c r="Q1601" s="8"/>
      <c r="R1601" s="8"/>
      <c r="S1601" s="8"/>
      <c r="U1601" s="6"/>
      <c r="V1601" s="6"/>
      <c r="W1601" s="6"/>
      <c r="X1601" s="6"/>
      <c r="Y1601" s="6"/>
      <c r="Z1601" s="6"/>
      <c r="AX1601" s="6" t="e">
        <v>#N/A</v>
      </c>
    </row>
    <row r="1602" spans="14:50" ht="31.4" customHeight="1" x14ac:dyDescent="0.35">
      <c r="N1602" s="20"/>
      <c r="P1602" s="8"/>
      <c r="Q1602" s="8"/>
      <c r="R1602" s="8"/>
      <c r="S1602" s="8"/>
      <c r="U1602" s="6"/>
      <c r="V1602" s="6"/>
      <c r="W1602" s="6"/>
      <c r="X1602" s="6"/>
      <c r="Y1602" s="6"/>
      <c r="Z1602" s="6"/>
      <c r="AX1602" s="6" t="e">
        <v>#N/A</v>
      </c>
    </row>
    <row r="1603" spans="14:50" ht="31.4" customHeight="1" x14ac:dyDescent="0.35">
      <c r="N1603" s="20"/>
      <c r="P1603" s="8"/>
      <c r="Q1603" s="8"/>
      <c r="R1603" s="8"/>
      <c r="S1603" s="8"/>
      <c r="U1603" s="6"/>
      <c r="V1603" s="6"/>
      <c r="W1603" s="6"/>
      <c r="X1603" s="6"/>
      <c r="Y1603" s="6"/>
      <c r="Z1603" s="6"/>
      <c r="AX1603" s="6" t="e">
        <v>#N/A</v>
      </c>
    </row>
    <row r="1604" spans="14:50" ht="31.4" customHeight="1" x14ac:dyDescent="0.35">
      <c r="N1604" s="20"/>
      <c r="P1604" s="8"/>
      <c r="Q1604" s="8"/>
      <c r="R1604" s="8"/>
      <c r="S1604" s="8"/>
      <c r="U1604" s="6"/>
      <c r="V1604" s="6"/>
      <c r="W1604" s="6"/>
      <c r="X1604" s="6"/>
      <c r="Y1604" s="6"/>
      <c r="Z1604" s="6"/>
      <c r="AX1604" s="6" t="e">
        <v>#N/A</v>
      </c>
    </row>
    <row r="1605" spans="14:50" ht="31.4" customHeight="1" x14ac:dyDescent="0.35">
      <c r="N1605" s="20"/>
      <c r="P1605" s="8"/>
      <c r="Q1605" s="8"/>
      <c r="R1605" s="8"/>
      <c r="S1605" s="8"/>
      <c r="U1605" s="6"/>
      <c r="V1605" s="6"/>
      <c r="W1605" s="6"/>
      <c r="X1605" s="6"/>
      <c r="Y1605" s="6"/>
      <c r="Z1605" s="6"/>
      <c r="AX1605" s="6" t="e">
        <v>#N/A</v>
      </c>
    </row>
    <row r="1606" spans="14:50" ht="31.4" customHeight="1" x14ac:dyDescent="0.35">
      <c r="N1606" s="20"/>
      <c r="P1606" s="8"/>
      <c r="Q1606" s="8"/>
      <c r="R1606" s="8"/>
      <c r="S1606" s="8"/>
      <c r="U1606" s="6"/>
      <c r="V1606" s="6"/>
      <c r="W1606" s="6"/>
      <c r="X1606" s="6"/>
      <c r="Y1606" s="6"/>
      <c r="Z1606" s="6"/>
      <c r="AX1606" s="6" t="e">
        <v>#N/A</v>
      </c>
    </row>
    <row r="1607" spans="14:50" ht="31.4" customHeight="1" x14ac:dyDescent="0.35">
      <c r="N1607" s="20"/>
      <c r="P1607" s="8"/>
      <c r="Q1607" s="8"/>
      <c r="R1607" s="8"/>
      <c r="S1607" s="8"/>
      <c r="U1607" s="6"/>
      <c r="V1607" s="6"/>
      <c r="W1607" s="6"/>
      <c r="X1607" s="6"/>
      <c r="Y1607" s="6"/>
      <c r="Z1607" s="6"/>
      <c r="AX1607" s="6" t="e">
        <v>#N/A</v>
      </c>
    </row>
    <row r="1608" spans="14:50" ht="31.4" customHeight="1" x14ac:dyDescent="0.35">
      <c r="N1608" s="20"/>
      <c r="P1608" s="8"/>
      <c r="Q1608" s="8"/>
      <c r="R1608" s="8"/>
      <c r="S1608" s="8"/>
      <c r="U1608" s="6"/>
      <c r="V1608" s="6"/>
      <c r="W1608" s="6"/>
      <c r="X1608" s="6"/>
      <c r="Y1608" s="6"/>
      <c r="Z1608" s="6"/>
      <c r="AX1608" s="6" t="e">
        <v>#N/A</v>
      </c>
    </row>
    <row r="1609" spans="14:50" ht="31.4" customHeight="1" x14ac:dyDescent="0.35">
      <c r="N1609" s="20"/>
      <c r="P1609" s="8"/>
      <c r="Q1609" s="8"/>
      <c r="R1609" s="8"/>
      <c r="S1609" s="8"/>
      <c r="U1609" s="6"/>
      <c r="V1609" s="6"/>
      <c r="W1609" s="6"/>
      <c r="X1609" s="6"/>
      <c r="Y1609" s="6"/>
      <c r="Z1609" s="6"/>
      <c r="AX1609" s="6" t="e">
        <v>#N/A</v>
      </c>
    </row>
    <row r="1610" spans="14:50" ht="31.4" customHeight="1" x14ac:dyDescent="0.35">
      <c r="N1610" s="20"/>
      <c r="P1610" s="8"/>
      <c r="Q1610" s="8"/>
      <c r="R1610" s="8"/>
      <c r="S1610" s="8"/>
      <c r="U1610" s="6"/>
      <c r="V1610" s="6"/>
      <c r="W1610" s="6"/>
      <c r="X1610" s="6"/>
      <c r="Y1610" s="6"/>
      <c r="Z1610" s="6"/>
      <c r="AX1610" s="6" t="e">
        <v>#N/A</v>
      </c>
    </row>
    <row r="1611" spans="14:50" ht="31.4" customHeight="1" x14ac:dyDescent="0.35">
      <c r="N1611" s="20"/>
      <c r="P1611" s="8"/>
      <c r="Q1611" s="8"/>
      <c r="R1611" s="8"/>
      <c r="S1611" s="8"/>
      <c r="U1611" s="6"/>
      <c r="V1611" s="6"/>
      <c r="W1611" s="6"/>
      <c r="X1611" s="6"/>
      <c r="Y1611" s="6"/>
      <c r="Z1611" s="6"/>
      <c r="AX1611" s="6" t="e">
        <v>#N/A</v>
      </c>
    </row>
    <row r="1612" spans="14:50" ht="31.4" customHeight="1" x14ac:dyDescent="0.35">
      <c r="N1612" s="20"/>
      <c r="P1612" s="8"/>
      <c r="Q1612" s="8"/>
      <c r="R1612" s="8"/>
      <c r="S1612" s="8"/>
      <c r="U1612" s="6"/>
      <c r="V1612" s="6"/>
      <c r="W1612" s="6"/>
      <c r="X1612" s="6"/>
      <c r="Y1612" s="6"/>
      <c r="Z1612" s="6"/>
      <c r="AX1612" s="6" t="e">
        <v>#N/A</v>
      </c>
    </row>
    <row r="1613" spans="14:50" ht="31.4" customHeight="1" x14ac:dyDescent="0.35">
      <c r="N1613" s="20"/>
      <c r="P1613" s="8"/>
      <c r="Q1613" s="8"/>
      <c r="R1613" s="8"/>
      <c r="S1613" s="8"/>
      <c r="U1613" s="6"/>
      <c r="V1613" s="6"/>
      <c r="W1613" s="6"/>
      <c r="X1613" s="6"/>
      <c r="Y1613" s="6"/>
      <c r="Z1613" s="6"/>
      <c r="AX1613" s="6" t="e">
        <v>#N/A</v>
      </c>
    </row>
    <row r="1614" spans="14:50" ht="31.4" customHeight="1" x14ac:dyDescent="0.35">
      <c r="N1614" s="20"/>
      <c r="P1614" s="8"/>
      <c r="Q1614" s="8"/>
      <c r="R1614" s="8"/>
      <c r="S1614" s="8"/>
      <c r="U1614" s="6"/>
      <c r="V1614" s="6"/>
      <c r="W1614" s="6"/>
      <c r="X1614" s="6"/>
      <c r="Y1614" s="6"/>
      <c r="Z1614" s="6"/>
      <c r="AX1614" s="6" t="e">
        <v>#N/A</v>
      </c>
    </row>
    <row r="1615" spans="14:50" ht="31.4" customHeight="1" x14ac:dyDescent="0.35">
      <c r="N1615" s="20"/>
      <c r="P1615" s="8"/>
      <c r="Q1615" s="8"/>
      <c r="R1615" s="8"/>
      <c r="S1615" s="8"/>
      <c r="U1615" s="6"/>
      <c r="V1615" s="6"/>
      <c r="W1615" s="6"/>
      <c r="X1615" s="6"/>
      <c r="Y1615" s="6"/>
      <c r="Z1615" s="6"/>
      <c r="AX1615" s="6" t="e">
        <v>#N/A</v>
      </c>
    </row>
    <row r="1616" spans="14:50" ht="31.4" customHeight="1" x14ac:dyDescent="0.35">
      <c r="N1616" s="20"/>
      <c r="P1616" s="8"/>
      <c r="Q1616" s="8"/>
      <c r="R1616" s="8"/>
      <c r="S1616" s="8"/>
      <c r="U1616" s="6"/>
      <c r="V1616" s="6"/>
      <c r="W1616" s="6"/>
      <c r="X1616" s="6"/>
      <c r="Y1616" s="6"/>
      <c r="Z1616" s="6"/>
      <c r="AX1616" s="6" t="e">
        <v>#N/A</v>
      </c>
    </row>
    <row r="1617" spans="14:50" ht="31.4" customHeight="1" x14ac:dyDescent="0.35">
      <c r="N1617" s="20"/>
      <c r="P1617" s="8"/>
      <c r="Q1617" s="8"/>
      <c r="R1617" s="8"/>
      <c r="S1617" s="8"/>
      <c r="U1617" s="6"/>
      <c r="V1617" s="6"/>
      <c r="W1617" s="6"/>
      <c r="X1617" s="6"/>
      <c r="Y1617" s="6"/>
      <c r="Z1617" s="6"/>
      <c r="AX1617" s="6" t="e">
        <v>#N/A</v>
      </c>
    </row>
    <row r="1618" spans="14:50" ht="31.4" customHeight="1" x14ac:dyDescent="0.35">
      <c r="N1618" s="20"/>
      <c r="P1618" s="8"/>
      <c r="Q1618" s="8"/>
      <c r="R1618" s="8"/>
      <c r="S1618" s="8"/>
      <c r="U1618" s="6"/>
      <c r="V1618" s="6"/>
      <c r="W1618" s="6"/>
      <c r="X1618" s="6"/>
      <c r="Y1618" s="6"/>
      <c r="Z1618" s="6"/>
      <c r="AX1618" s="6" t="e">
        <v>#N/A</v>
      </c>
    </row>
    <row r="1619" spans="14:50" ht="31.4" customHeight="1" x14ac:dyDescent="0.35">
      <c r="N1619" s="20"/>
      <c r="P1619" s="8"/>
      <c r="Q1619" s="8"/>
      <c r="R1619" s="8"/>
      <c r="S1619" s="8"/>
      <c r="U1619" s="6"/>
      <c r="V1619" s="6"/>
      <c r="W1619" s="6"/>
      <c r="X1619" s="6"/>
      <c r="Y1619" s="6"/>
      <c r="Z1619" s="6"/>
      <c r="AX1619" s="6" t="e">
        <v>#N/A</v>
      </c>
    </row>
    <row r="1620" spans="14:50" ht="31.4" customHeight="1" x14ac:dyDescent="0.35">
      <c r="N1620" s="20"/>
      <c r="P1620" s="8"/>
      <c r="Q1620" s="8"/>
      <c r="R1620" s="8"/>
      <c r="S1620" s="8"/>
      <c r="U1620" s="6"/>
      <c r="V1620" s="6"/>
      <c r="W1620" s="6"/>
      <c r="X1620" s="6"/>
      <c r="Y1620" s="6"/>
      <c r="Z1620" s="6"/>
      <c r="AX1620" s="6" t="e">
        <v>#N/A</v>
      </c>
    </row>
    <row r="1621" spans="14:50" ht="31.4" customHeight="1" x14ac:dyDescent="0.35">
      <c r="N1621" s="20"/>
      <c r="P1621" s="8"/>
      <c r="Q1621" s="8"/>
      <c r="R1621" s="8"/>
      <c r="S1621" s="8"/>
      <c r="U1621" s="6"/>
      <c r="V1621" s="6"/>
      <c r="W1621" s="6"/>
      <c r="X1621" s="6"/>
      <c r="Y1621" s="6"/>
      <c r="Z1621" s="6"/>
      <c r="AX1621" s="6" t="e">
        <v>#N/A</v>
      </c>
    </row>
    <row r="1622" spans="14:50" ht="31.4" customHeight="1" x14ac:dyDescent="0.35">
      <c r="N1622" s="20"/>
      <c r="P1622" s="8"/>
      <c r="Q1622" s="8"/>
      <c r="R1622" s="8"/>
      <c r="S1622" s="8"/>
      <c r="U1622" s="6"/>
      <c r="V1622" s="6"/>
      <c r="W1622" s="6"/>
      <c r="X1622" s="6"/>
      <c r="Y1622" s="6"/>
      <c r="Z1622" s="6"/>
      <c r="AX1622" s="6" t="e">
        <v>#N/A</v>
      </c>
    </row>
    <row r="1623" spans="14:50" ht="31.4" customHeight="1" x14ac:dyDescent="0.35">
      <c r="N1623" s="20"/>
      <c r="P1623" s="8"/>
      <c r="Q1623" s="8"/>
      <c r="R1623" s="8"/>
      <c r="S1623" s="8"/>
      <c r="U1623" s="6"/>
      <c r="V1623" s="6"/>
      <c r="W1623" s="6"/>
      <c r="X1623" s="6"/>
      <c r="Y1623" s="6"/>
      <c r="Z1623" s="6"/>
      <c r="AX1623" s="6" t="e">
        <v>#N/A</v>
      </c>
    </row>
    <row r="1624" spans="14:50" ht="31.4" customHeight="1" x14ac:dyDescent="0.35">
      <c r="N1624" s="20"/>
      <c r="P1624" s="8"/>
      <c r="Q1624" s="8"/>
      <c r="R1624" s="8"/>
      <c r="S1624" s="8"/>
      <c r="U1624" s="6"/>
      <c r="V1624" s="6"/>
      <c r="W1624" s="6"/>
      <c r="X1624" s="6"/>
      <c r="Y1624" s="6"/>
      <c r="Z1624" s="6"/>
      <c r="AX1624" s="6" t="e">
        <v>#N/A</v>
      </c>
    </row>
    <row r="1625" spans="14:50" ht="31.4" customHeight="1" x14ac:dyDescent="0.35">
      <c r="N1625" s="20"/>
      <c r="P1625" s="8"/>
      <c r="Q1625" s="8"/>
      <c r="R1625" s="8"/>
      <c r="S1625" s="8"/>
      <c r="U1625" s="6"/>
      <c r="V1625" s="6"/>
      <c r="W1625" s="6"/>
      <c r="X1625" s="6"/>
      <c r="Y1625" s="6"/>
      <c r="Z1625" s="6"/>
      <c r="AX1625" s="6" t="e">
        <v>#N/A</v>
      </c>
    </row>
    <row r="1626" spans="14:50" ht="31.4" customHeight="1" x14ac:dyDescent="0.35">
      <c r="N1626" s="20"/>
      <c r="P1626" s="8"/>
      <c r="Q1626" s="8"/>
      <c r="R1626" s="8"/>
      <c r="S1626" s="8"/>
      <c r="U1626" s="6"/>
      <c r="V1626" s="6"/>
      <c r="W1626" s="6"/>
      <c r="X1626" s="6"/>
      <c r="Y1626" s="6"/>
      <c r="Z1626" s="6"/>
      <c r="AX1626" s="6" t="e">
        <v>#N/A</v>
      </c>
    </row>
    <row r="1627" spans="14:50" ht="31.4" customHeight="1" x14ac:dyDescent="0.35">
      <c r="N1627" s="20"/>
      <c r="P1627" s="8"/>
      <c r="Q1627" s="8"/>
      <c r="R1627" s="8"/>
      <c r="S1627" s="8"/>
      <c r="U1627" s="6"/>
      <c r="V1627" s="6"/>
      <c r="W1627" s="6"/>
      <c r="X1627" s="6"/>
      <c r="Y1627" s="6"/>
      <c r="Z1627" s="6"/>
      <c r="AX1627" s="6" t="e">
        <v>#N/A</v>
      </c>
    </row>
    <row r="1628" spans="14:50" ht="31.4" customHeight="1" x14ac:dyDescent="0.35">
      <c r="N1628" s="20"/>
      <c r="P1628" s="8"/>
      <c r="Q1628" s="8"/>
      <c r="R1628" s="8"/>
      <c r="S1628" s="8"/>
      <c r="U1628" s="6"/>
      <c r="V1628" s="6"/>
      <c r="W1628" s="6"/>
      <c r="X1628" s="6"/>
      <c r="Y1628" s="6"/>
      <c r="Z1628" s="6"/>
      <c r="AX1628" s="6" t="e">
        <v>#N/A</v>
      </c>
    </row>
    <row r="1629" spans="14:50" ht="31.4" customHeight="1" x14ac:dyDescent="0.35">
      <c r="N1629" s="20"/>
      <c r="P1629" s="8"/>
      <c r="Q1629" s="8"/>
      <c r="R1629" s="8"/>
      <c r="S1629" s="8"/>
      <c r="U1629" s="6"/>
      <c r="V1629" s="6"/>
      <c r="W1629" s="6"/>
      <c r="X1629" s="6"/>
      <c r="Y1629" s="6"/>
      <c r="Z1629" s="6"/>
      <c r="AX1629" s="6" t="e">
        <v>#N/A</v>
      </c>
    </row>
    <row r="1630" spans="14:50" ht="31.4" customHeight="1" x14ac:dyDescent="0.35">
      <c r="N1630" s="20"/>
      <c r="P1630" s="8"/>
      <c r="Q1630" s="8"/>
      <c r="R1630" s="8"/>
      <c r="S1630" s="8"/>
      <c r="U1630" s="6"/>
      <c r="V1630" s="6"/>
      <c r="W1630" s="6"/>
      <c r="X1630" s="6"/>
      <c r="Y1630" s="6"/>
      <c r="Z1630" s="6"/>
      <c r="AX1630" s="6" t="e">
        <v>#N/A</v>
      </c>
    </row>
    <row r="1631" spans="14:50" ht="31.4" customHeight="1" x14ac:dyDescent="0.35">
      <c r="N1631" s="20"/>
      <c r="P1631" s="8"/>
      <c r="Q1631" s="8"/>
      <c r="R1631" s="8"/>
      <c r="S1631" s="8"/>
      <c r="U1631" s="6"/>
      <c r="V1631" s="6"/>
      <c r="W1631" s="6"/>
      <c r="X1631" s="6"/>
      <c r="Y1631" s="6"/>
      <c r="Z1631" s="6"/>
      <c r="AX1631" s="6" t="e">
        <v>#N/A</v>
      </c>
    </row>
    <row r="1632" spans="14:50" ht="31.4" customHeight="1" x14ac:dyDescent="0.35">
      <c r="N1632" s="20"/>
      <c r="P1632" s="8"/>
      <c r="Q1632" s="8"/>
      <c r="R1632" s="8"/>
      <c r="S1632" s="8"/>
      <c r="U1632" s="6"/>
      <c r="V1632" s="6"/>
      <c r="W1632" s="6"/>
      <c r="X1632" s="6"/>
      <c r="Y1632" s="6"/>
      <c r="Z1632" s="6"/>
      <c r="AX1632" s="6" t="e">
        <v>#N/A</v>
      </c>
    </row>
    <row r="1633" spans="14:50" ht="31.4" customHeight="1" x14ac:dyDescent="0.35">
      <c r="N1633" s="20"/>
      <c r="P1633" s="8"/>
      <c r="Q1633" s="8"/>
      <c r="R1633" s="8"/>
      <c r="S1633" s="8"/>
      <c r="U1633" s="6"/>
      <c r="V1633" s="6"/>
      <c r="W1633" s="6"/>
      <c r="X1633" s="6"/>
      <c r="Y1633" s="6"/>
      <c r="Z1633" s="6"/>
      <c r="AX1633" s="6" t="e">
        <v>#N/A</v>
      </c>
    </row>
    <row r="1634" spans="14:50" ht="31.4" customHeight="1" x14ac:dyDescent="0.35">
      <c r="N1634" s="20"/>
      <c r="P1634" s="8"/>
      <c r="Q1634" s="8"/>
      <c r="R1634" s="8"/>
      <c r="S1634" s="8"/>
      <c r="U1634" s="6"/>
      <c r="V1634" s="6"/>
      <c r="W1634" s="6"/>
      <c r="X1634" s="6"/>
      <c r="Y1634" s="6"/>
      <c r="Z1634" s="6"/>
      <c r="AX1634" s="6" t="e">
        <v>#N/A</v>
      </c>
    </row>
    <row r="1635" spans="14:50" ht="31.4" customHeight="1" x14ac:dyDescent="0.35">
      <c r="N1635" s="20"/>
      <c r="P1635" s="8"/>
      <c r="Q1635" s="8"/>
      <c r="R1635" s="8"/>
      <c r="S1635" s="8"/>
      <c r="U1635" s="6"/>
      <c r="V1635" s="6"/>
      <c r="W1635" s="6"/>
      <c r="X1635" s="6"/>
      <c r="Y1635" s="6"/>
      <c r="Z1635" s="6"/>
      <c r="AX1635" s="6" t="e">
        <v>#N/A</v>
      </c>
    </row>
    <row r="1636" spans="14:50" ht="31.4" customHeight="1" x14ac:dyDescent="0.35">
      <c r="N1636" s="20"/>
      <c r="P1636" s="8"/>
      <c r="Q1636" s="8"/>
      <c r="R1636" s="8"/>
      <c r="S1636" s="8"/>
      <c r="U1636" s="6"/>
      <c r="V1636" s="6"/>
      <c r="W1636" s="6"/>
      <c r="X1636" s="6"/>
      <c r="Y1636" s="6"/>
      <c r="Z1636" s="6"/>
      <c r="AX1636" s="6" t="e">
        <v>#N/A</v>
      </c>
    </row>
    <row r="1637" spans="14:50" ht="31.4" customHeight="1" x14ac:dyDescent="0.35">
      <c r="N1637" s="20"/>
      <c r="P1637" s="8"/>
      <c r="Q1637" s="8"/>
      <c r="R1637" s="8"/>
      <c r="S1637" s="8"/>
      <c r="U1637" s="6"/>
      <c r="V1637" s="6"/>
      <c r="W1637" s="6"/>
      <c r="X1637" s="6"/>
      <c r="Y1637" s="6"/>
      <c r="Z1637" s="6"/>
      <c r="AX1637" s="6" t="e">
        <v>#N/A</v>
      </c>
    </row>
    <row r="1638" spans="14:50" ht="31.4" customHeight="1" x14ac:dyDescent="0.35">
      <c r="N1638" s="20"/>
      <c r="P1638" s="8"/>
      <c r="Q1638" s="8"/>
      <c r="R1638" s="8"/>
      <c r="S1638" s="8"/>
      <c r="U1638" s="6"/>
      <c r="V1638" s="6"/>
      <c r="W1638" s="6"/>
      <c r="X1638" s="6"/>
      <c r="Y1638" s="6"/>
      <c r="Z1638" s="6"/>
      <c r="AX1638" s="6" t="e">
        <v>#N/A</v>
      </c>
    </row>
    <row r="1639" spans="14:50" ht="31.4" customHeight="1" x14ac:dyDescent="0.35">
      <c r="N1639" s="20"/>
      <c r="P1639" s="8"/>
      <c r="Q1639" s="8"/>
      <c r="R1639" s="8"/>
      <c r="S1639" s="8"/>
      <c r="U1639" s="6"/>
      <c r="V1639" s="6"/>
      <c r="W1639" s="6"/>
      <c r="X1639" s="6"/>
      <c r="Y1639" s="6"/>
      <c r="Z1639" s="6"/>
      <c r="AX1639" s="6" t="e">
        <v>#N/A</v>
      </c>
    </row>
    <row r="1640" spans="14:50" ht="31.4" customHeight="1" x14ac:dyDescent="0.35">
      <c r="N1640" s="20"/>
      <c r="P1640" s="8"/>
      <c r="Q1640" s="8"/>
      <c r="R1640" s="8"/>
      <c r="S1640" s="8"/>
      <c r="U1640" s="6"/>
      <c r="V1640" s="6"/>
      <c r="W1640" s="6"/>
      <c r="X1640" s="6"/>
      <c r="Y1640" s="6"/>
      <c r="Z1640" s="6"/>
      <c r="AX1640" s="6" t="e">
        <v>#N/A</v>
      </c>
    </row>
    <row r="1641" spans="14:50" ht="31.4" customHeight="1" x14ac:dyDescent="0.35">
      <c r="N1641" s="20"/>
      <c r="P1641" s="8"/>
      <c r="Q1641" s="8"/>
      <c r="R1641" s="8"/>
      <c r="S1641" s="8"/>
      <c r="U1641" s="6"/>
      <c r="V1641" s="6"/>
      <c r="W1641" s="6"/>
      <c r="X1641" s="6"/>
      <c r="Y1641" s="6"/>
      <c r="Z1641" s="6"/>
      <c r="AX1641" s="6" t="e">
        <v>#N/A</v>
      </c>
    </row>
    <row r="1642" spans="14:50" ht="31.4" customHeight="1" x14ac:dyDescent="0.35">
      <c r="N1642" s="20"/>
      <c r="P1642" s="8"/>
      <c r="Q1642" s="8"/>
      <c r="R1642" s="8"/>
      <c r="S1642" s="8"/>
      <c r="U1642" s="6"/>
      <c r="V1642" s="6"/>
      <c r="W1642" s="6"/>
      <c r="X1642" s="6"/>
      <c r="Y1642" s="6"/>
      <c r="Z1642" s="6"/>
      <c r="AX1642" s="6" t="e">
        <v>#N/A</v>
      </c>
    </row>
    <row r="1643" spans="14:50" ht="31.4" customHeight="1" x14ac:dyDescent="0.35">
      <c r="N1643" s="20"/>
      <c r="P1643" s="8"/>
      <c r="Q1643" s="8"/>
      <c r="R1643" s="8"/>
      <c r="S1643" s="8"/>
      <c r="U1643" s="6"/>
      <c r="V1643" s="6"/>
      <c r="W1643" s="6"/>
      <c r="X1643" s="6"/>
      <c r="Y1643" s="6"/>
      <c r="Z1643" s="6"/>
      <c r="AX1643" s="6" t="e">
        <v>#N/A</v>
      </c>
    </row>
    <row r="1644" spans="14:50" ht="31.4" customHeight="1" x14ac:dyDescent="0.35">
      <c r="N1644" s="20"/>
      <c r="P1644" s="8"/>
      <c r="Q1644" s="8"/>
      <c r="R1644" s="8"/>
      <c r="S1644" s="8"/>
      <c r="U1644" s="6"/>
      <c r="V1644" s="6"/>
      <c r="W1644" s="6"/>
      <c r="X1644" s="6"/>
      <c r="Y1644" s="6"/>
      <c r="Z1644" s="6"/>
      <c r="AX1644" s="6" t="e">
        <v>#N/A</v>
      </c>
    </row>
    <row r="1645" spans="14:50" ht="31.4" customHeight="1" x14ac:dyDescent="0.35">
      <c r="N1645" s="20"/>
      <c r="P1645" s="8"/>
      <c r="Q1645" s="8"/>
      <c r="R1645" s="8"/>
      <c r="S1645" s="8"/>
      <c r="U1645" s="6"/>
      <c r="V1645" s="6"/>
      <c r="W1645" s="6"/>
      <c r="X1645" s="6"/>
      <c r="Y1645" s="6"/>
      <c r="Z1645" s="6"/>
      <c r="AX1645" s="6" t="e">
        <v>#N/A</v>
      </c>
    </row>
    <row r="1646" spans="14:50" ht="31.4" customHeight="1" x14ac:dyDescent="0.35">
      <c r="N1646" s="20"/>
      <c r="P1646" s="8"/>
      <c r="Q1646" s="8"/>
      <c r="R1646" s="8"/>
      <c r="S1646" s="8"/>
      <c r="U1646" s="6"/>
      <c r="V1646" s="6"/>
      <c r="W1646" s="6"/>
      <c r="X1646" s="6"/>
      <c r="Y1646" s="6"/>
      <c r="Z1646" s="6"/>
      <c r="AX1646" s="6" t="e">
        <v>#N/A</v>
      </c>
    </row>
    <row r="1647" spans="14:50" ht="31.4" customHeight="1" x14ac:dyDescent="0.35">
      <c r="N1647" s="20"/>
      <c r="P1647" s="8"/>
      <c r="Q1647" s="8"/>
      <c r="R1647" s="8"/>
      <c r="S1647" s="8"/>
      <c r="U1647" s="6"/>
      <c r="V1647" s="6"/>
      <c r="W1647" s="6"/>
      <c r="X1647" s="6"/>
      <c r="Y1647" s="6"/>
      <c r="Z1647" s="6"/>
      <c r="AX1647" s="6" t="e">
        <v>#N/A</v>
      </c>
    </row>
    <row r="1648" spans="14:50" ht="31.4" customHeight="1" x14ac:dyDescent="0.35">
      <c r="N1648" s="20"/>
      <c r="P1648" s="8"/>
      <c r="Q1648" s="8"/>
      <c r="R1648" s="8"/>
      <c r="S1648" s="8"/>
      <c r="U1648" s="6"/>
      <c r="V1648" s="6"/>
      <c r="W1648" s="6"/>
      <c r="X1648" s="6"/>
      <c r="Y1648" s="6"/>
      <c r="Z1648" s="6"/>
      <c r="AX1648" s="6" t="e">
        <v>#N/A</v>
      </c>
    </row>
    <row r="1649" spans="14:50" ht="31.4" customHeight="1" x14ac:dyDescent="0.35">
      <c r="N1649" s="20"/>
      <c r="P1649" s="8"/>
      <c r="Q1649" s="8"/>
      <c r="R1649" s="8"/>
      <c r="S1649" s="8"/>
      <c r="U1649" s="6"/>
      <c r="V1649" s="6"/>
      <c r="W1649" s="6"/>
      <c r="X1649" s="6"/>
      <c r="Y1649" s="6"/>
      <c r="Z1649" s="6"/>
      <c r="AX1649" s="6" t="e">
        <v>#N/A</v>
      </c>
    </row>
    <row r="1650" spans="14:50" ht="31.4" customHeight="1" x14ac:dyDescent="0.35">
      <c r="N1650" s="20"/>
      <c r="P1650" s="8"/>
      <c r="Q1650" s="8"/>
      <c r="R1650" s="8"/>
      <c r="S1650" s="8"/>
      <c r="U1650" s="6"/>
      <c r="V1650" s="6"/>
      <c r="W1650" s="6"/>
      <c r="X1650" s="6"/>
      <c r="Y1650" s="6"/>
      <c r="Z1650" s="6"/>
      <c r="AX1650" s="6" t="e">
        <v>#N/A</v>
      </c>
    </row>
    <row r="1651" spans="14:50" ht="31.4" customHeight="1" x14ac:dyDescent="0.35">
      <c r="N1651" s="20"/>
      <c r="P1651" s="8"/>
      <c r="Q1651" s="8"/>
      <c r="R1651" s="8"/>
      <c r="S1651" s="8"/>
      <c r="U1651" s="6"/>
      <c r="V1651" s="6"/>
      <c r="W1651" s="6"/>
      <c r="X1651" s="6"/>
      <c r="Y1651" s="6"/>
      <c r="Z1651" s="6"/>
      <c r="AX1651" s="6" t="e">
        <v>#N/A</v>
      </c>
    </row>
    <row r="1652" spans="14:50" ht="31.4" customHeight="1" x14ac:dyDescent="0.35">
      <c r="N1652" s="20"/>
      <c r="P1652" s="8"/>
      <c r="Q1652" s="8"/>
      <c r="R1652" s="8"/>
      <c r="S1652" s="8"/>
      <c r="U1652" s="6"/>
      <c r="V1652" s="6"/>
      <c r="W1652" s="6"/>
      <c r="X1652" s="6"/>
      <c r="Y1652" s="6"/>
      <c r="Z1652" s="6"/>
      <c r="AX1652" s="6" t="e">
        <v>#N/A</v>
      </c>
    </row>
    <row r="1653" spans="14:50" ht="31.4" customHeight="1" x14ac:dyDescent="0.35">
      <c r="N1653" s="20"/>
      <c r="P1653" s="8"/>
      <c r="Q1653" s="8"/>
      <c r="R1653" s="8"/>
      <c r="S1653" s="8"/>
      <c r="U1653" s="6"/>
      <c r="V1653" s="6"/>
      <c r="W1653" s="6"/>
      <c r="X1653" s="6"/>
      <c r="Y1653" s="6"/>
      <c r="Z1653" s="6"/>
      <c r="AX1653" s="6" t="e">
        <v>#N/A</v>
      </c>
    </row>
    <row r="1654" spans="14:50" ht="31.4" customHeight="1" x14ac:dyDescent="0.35">
      <c r="N1654" s="20"/>
      <c r="P1654" s="8"/>
      <c r="Q1654" s="8"/>
      <c r="R1654" s="8"/>
      <c r="S1654" s="8"/>
      <c r="U1654" s="6"/>
      <c r="V1654" s="6"/>
      <c r="W1654" s="6"/>
      <c r="X1654" s="6"/>
      <c r="Y1654" s="6"/>
      <c r="Z1654" s="6"/>
      <c r="AX1654" s="6" t="e">
        <v>#N/A</v>
      </c>
    </row>
    <row r="1655" spans="14:50" ht="31.4" customHeight="1" x14ac:dyDescent="0.35">
      <c r="N1655" s="20"/>
      <c r="P1655" s="8"/>
      <c r="Q1655" s="8"/>
      <c r="R1655" s="8"/>
      <c r="S1655" s="8"/>
      <c r="U1655" s="6"/>
      <c r="V1655" s="6"/>
      <c r="W1655" s="6"/>
      <c r="X1655" s="6"/>
      <c r="Y1655" s="6"/>
      <c r="Z1655" s="6"/>
      <c r="AX1655" s="6" t="e">
        <v>#N/A</v>
      </c>
    </row>
    <row r="1656" spans="14:50" ht="31.4" customHeight="1" x14ac:dyDescent="0.35">
      <c r="N1656" s="20"/>
      <c r="P1656" s="8"/>
      <c r="Q1656" s="8"/>
      <c r="R1656" s="8"/>
      <c r="S1656" s="8"/>
      <c r="U1656" s="6"/>
      <c r="V1656" s="6"/>
      <c r="W1656" s="6"/>
      <c r="X1656" s="6"/>
      <c r="Y1656" s="6"/>
      <c r="Z1656" s="6"/>
      <c r="AX1656" s="6" t="e">
        <v>#N/A</v>
      </c>
    </row>
    <row r="1657" spans="14:50" ht="31.4" customHeight="1" x14ac:dyDescent="0.35">
      <c r="N1657" s="20"/>
      <c r="P1657" s="8"/>
      <c r="Q1657" s="8"/>
      <c r="R1657" s="8"/>
      <c r="S1657" s="8"/>
      <c r="U1657" s="6"/>
      <c r="V1657" s="6"/>
      <c r="W1657" s="6"/>
      <c r="X1657" s="6"/>
      <c r="Y1657" s="6"/>
      <c r="Z1657" s="6"/>
      <c r="AX1657" s="6" t="e">
        <v>#N/A</v>
      </c>
    </row>
    <row r="1658" spans="14:50" ht="31.4" customHeight="1" x14ac:dyDescent="0.35">
      <c r="N1658" s="20"/>
      <c r="P1658" s="8"/>
      <c r="Q1658" s="8"/>
      <c r="R1658" s="8"/>
      <c r="S1658" s="8"/>
      <c r="U1658" s="6"/>
      <c r="V1658" s="6"/>
      <c r="W1658" s="6"/>
      <c r="X1658" s="6"/>
      <c r="Y1658" s="6"/>
      <c r="Z1658" s="6"/>
      <c r="AX1658" s="6" t="e">
        <v>#N/A</v>
      </c>
    </row>
    <row r="1659" spans="14:50" ht="31.4" customHeight="1" x14ac:dyDescent="0.35">
      <c r="N1659" s="20"/>
      <c r="P1659" s="8"/>
      <c r="Q1659" s="8"/>
      <c r="R1659" s="8"/>
      <c r="S1659" s="8"/>
      <c r="U1659" s="6"/>
      <c r="V1659" s="6"/>
      <c r="W1659" s="6"/>
      <c r="X1659" s="6"/>
      <c r="Y1659" s="6"/>
      <c r="Z1659" s="6"/>
      <c r="AX1659" s="6" t="e">
        <v>#N/A</v>
      </c>
    </row>
    <row r="1660" spans="14:50" ht="31.4" customHeight="1" x14ac:dyDescent="0.35">
      <c r="N1660" s="20"/>
      <c r="P1660" s="8"/>
      <c r="Q1660" s="8"/>
      <c r="R1660" s="8"/>
      <c r="S1660" s="8"/>
      <c r="U1660" s="6"/>
      <c r="V1660" s="6"/>
      <c r="W1660" s="6"/>
      <c r="X1660" s="6"/>
      <c r="Y1660" s="6"/>
      <c r="Z1660" s="6"/>
      <c r="AX1660" s="6" t="e">
        <v>#N/A</v>
      </c>
    </row>
    <row r="1661" spans="14:50" ht="31.4" customHeight="1" x14ac:dyDescent="0.35">
      <c r="N1661" s="20"/>
      <c r="P1661" s="8"/>
      <c r="Q1661" s="8"/>
      <c r="R1661" s="8"/>
      <c r="S1661" s="8"/>
      <c r="U1661" s="6"/>
      <c r="V1661" s="6"/>
      <c r="W1661" s="6"/>
      <c r="X1661" s="6"/>
      <c r="Y1661" s="6"/>
      <c r="Z1661" s="6"/>
      <c r="AX1661" s="6" t="e">
        <v>#N/A</v>
      </c>
    </row>
    <row r="1662" spans="14:50" ht="31.4" customHeight="1" x14ac:dyDescent="0.35">
      <c r="N1662" s="20"/>
      <c r="P1662" s="8"/>
      <c r="Q1662" s="8"/>
      <c r="R1662" s="8"/>
      <c r="S1662" s="8"/>
      <c r="U1662" s="6"/>
      <c r="V1662" s="6"/>
      <c r="W1662" s="6"/>
      <c r="X1662" s="6"/>
      <c r="Y1662" s="6"/>
      <c r="Z1662" s="6"/>
      <c r="AX1662" s="6" t="e">
        <v>#N/A</v>
      </c>
    </row>
    <row r="1663" spans="14:50" ht="31.4" customHeight="1" x14ac:dyDescent="0.35">
      <c r="N1663" s="20"/>
      <c r="P1663" s="8"/>
      <c r="Q1663" s="8"/>
      <c r="R1663" s="8"/>
      <c r="S1663" s="8"/>
      <c r="U1663" s="6"/>
      <c r="V1663" s="6"/>
      <c r="W1663" s="6"/>
      <c r="X1663" s="6"/>
      <c r="Y1663" s="6"/>
      <c r="Z1663" s="6"/>
      <c r="AX1663" s="6" t="e">
        <v>#N/A</v>
      </c>
    </row>
    <row r="1664" spans="14:50" ht="31.4" customHeight="1" x14ac:dyDescent="0.35">
      <c r="N1664" s="20"/>
      <c r="P1664" s="8"/>
      <c r="Q1664" s="8"/>
      <c r="R1664" s="8"/>
      <c r="S1664" s="8"/>
      <c r="U1664" s="6"/>
      <c r="V1664" s="6"/>
      <c r="W1664" s="6"/>
      <c r="X1664" s="6"/>
      <c r="Y1664" s="6"/>
      <c r="Z1664" s="6"/>
      <c r="AX1664" s="6" t="e">
        <v>#N/A</v>
      </c>
    </row>
    <row r="1665" spans="14:50" ht="31.4" customHeight="1" x14ac:dyDescent="0.35">
      <c r="N1665" s="20"/>
      <c r="P1665" s="8"/>
      <c r="Q1665" s="8"/>
      <c r="R1665" s="8"/>
      <c r="S1665" s="8"/>
      <c r="U1665" s="6"/>
      <c r="V1665" s="6"/>
      <c r="W1665" s="6"/>
      <c r="X1665" s="6"/>
      <c r="Y1665" s="6"/>
      <c r="Z1665" s="6"/>
      <c r="AX1665" s="6" t="e">
        <v>#N/A</v>
      </c>
    </row>
    <row r="1666" spans="14:50" ht="31.4" customHeight="1" x14ac:dyDescent="0.35">
      <c r="N1666" s="20"/>
      <c r="P1666" s="8"/>
      <c r="Q1666" s="8"/>
      <c r="R1666" s="8"/>
      <c r="S1666" s="8"/>
      <c r="U1666" s="6"/>
      <c r="V1666" s="6"/>
      <c r="W1666" s="6"/>
      <c r="X1666" s="6"/>
      <c r="Y1666" s="6"/>
      <c r="Z1666" s="6"/>
      <c r="AX1666" s="6" t="e">
        <v>#N/A</v>
      </c>
    </row>
    <row r="1667" spans="14:50" ht="31.4" customHeight="1" x14ac:dyDescent="0.35">
      <c r="N1667" s="20"/>
      <c r="P1667" s="8"/>
      <c r="Q1667" s="8"/>
      <c r="R1667" s="8"/>
      <c r="S1667" s="8"/>
      <c r="U1667" s="6"/>
      <c r="V1667" s="6"/>
      <c r="W1667" s="6"/>
      <c r="X1667" s="6"/>
      <c r="Y1667" s="6"/>
      <c r="Z1667" s="6"/>
      <c r="AX1667" s="6" t="e">
        <v>#N/A</v>
      </c>
    </row>
    <row r="1668" spans="14:50" ht="31.4" customHeight="1" x14ac:dyDescent="0.35">
      <c r="N1668" s="20"/>
      <c r="P1668" s="8"/>
      <c r="Q1668" s="8"/>
      <c r="R1668" s="8"/>
      <c r="S1668" s="8"/>
      <c r="U1668" s="6"/>
      <c r="V1668" s="6"/>
      <c r="W1668" s="6"/>
      <c r="X1668" s="6"/>
      <c r="Y1668" s="6"/>
      <c r="Z1668" s="6"/>
      <c r="AX1668" s="6" t="e">
        <v>#N/A</v>
      </c>
    </row>
    <row r="1669" spans="14:50" ht="31.4" customHeight="1" x14ac:dyDescent="0.35">
      <c r="N1669" s="20"/>
      <c r="P1669" s="8"/>
      <c r="Q1669" s="8"/>
      <c r="R1669" s="8"/>
      <c r="S1669" s="8"/>
      <c r="U1669" s="6"/>
      <c r="V1669" s="6"/>
      <c r="W1669" s="6"/>
      <c r="X1669" s="6"/>
      <c r="Y1669" s="6"/>
      <c r="Z1669" s="6"/>
      <c r="AX1669" s="6" t="e">
        <v>#N/A</v>
      </c>
    </row>
    <row r="1670" spans="14:50" ht="31.4" customHeight="1" x14ac:dyDescent="0.35">
      <c r="N1670" s="20"/>
      <c r="P1670" s="8"/>
      <c r="Q1670" s="8"/>
      <c r="R1670" s="8"/>
      <c r="S1670" s="8"/>
      <c r="U1670" s="6"/>
      <c r="V1670" s="6"/>
      <c r="W1670" s="6"/>
      <c r="X1670" s="6"/>
      <c r="Y1670" s="6"/>
      <c r="Z1670" s="6"/>
      <c r="AX1670" s="6" t="e">
        <v>#N/A</v>
      </c>
    </row>
    <row r="1671" spans="14:50" ht="31.4" customHeight="1" x14ac:dyDescent="0.35">
      <c r="N1671" s="20"/>
      <c r="P1671" s="8"/>
      <c r="Q1671" s="8"/>
      <c r="R1671" s="8"/>
      <c r="S1671" s="8"/>
      <c r="U1671" s="6"/>
      <c r="V1671" s="6"/>
      <c r="W1671" s="6"/>
      <c r="X1671" s="6"/>
      <c r="Y1671" s="6"/>
      <c r="Z1671" s="6"/>
      <c r="AX1671" s="6" t="e">
        <v>#N/A</v>
      </c>
    </row>
    <row r="1672" spans="14:50" ht="31.4" customHeight="1" x14ac:dyDescent="0.35">
      <c r="N1672" s="20"/>
      <c r="P1672" s="8"/>
      <c r="Q1672" s="8"/>
      <c r="R1672" s="8"/>
      <c r="S1672" s="8"/>
      <c r="U1672" s="6"/>
      <c r="V1672" s="6"/>
      <c r="W1672" s="6"/>
      <c r="X1672" s="6"/>
      <c r="Y1672" s="6"/>
      <c r="Z1672" s="6"/>
      <c r="AX1672" s="6" t="e">
        <v>#N/A</v>
      </c>
    </row>
    <row r="1673" spans="14:50" ht="31.4" customHeight="1" x14ac:dyDescent="0.35">
      <c r="N1673" s="20"/>
      <c r="P1673" s="8"/>
      <c r="Q1673" s="8"/>
      <c r="R1673" s="8"/>
      <c r="S1673" s="8"/>
      <c r="U1673" s="6"/>
      <c r="V1673" s="6"/>
      <c r="W1673" s="6"/>
      <c r="X1673" s="6"/>
      <c r="Y1673" s="6"/>
      <c r="Z1673" s="6"/>
      <c r="AX1673" s="6" t="e">
        <v>#N/A</v>
      </c>
    </row>
    <row r="1674" spans="14:50" ht="31.4" customHeight="1" x14ac:dyDescent="0.35">
      <c r="N1674" s="20"/>
      <c r="P1674" s="8"/>
      <c r="Q1674" s="8"/>
      <c r="R1674" s="8"/>
      <c r="S1674" s="8"/>
      <c r="U1674" s="6"/>
      <c r="V1674" s="6"/>
      <c r="W1674" s="6"/>
      <c r="X1674" s="6"/>
      <c r="Y1674" s="6"/>
      <c r="Z1674" s="6"/>
      <c r="AX1674" s="6" t="e">
        <v>#N/A</v>
      </c>
    </row>
    <row r="1675" spans="14:50" ht="31.4" customHeight="1" x14ac:dyDescent="0.35">
      <c r="N1675" s="20"/>
      <c r="P1675" s="8"/>
      <c r="Q1675" s="8"/>
      <c r="R1675" s="8"/>
      <c r="S1675" s="8"/>
      <c r="U1675" s="6"/>
      <c r="V1675" s="6"/>
      <c r="W1675" s="6"/>
      <c r="X1675" s="6"/>
      <c r="Y1675" s="6"/>
      <c r="Z1675" s="6"/>
      <c r="AX1675" s="6" t="e">
        <v>#N/A</v>
      </c>
    </row>
    <row r="1676" spans="14:50" ht="31.4" customHeight="1" x14ac:dyDescent="0.35">
      <c r="N1676" s="20"/>
      <c r="P1676" s="8"/>
      <c r="Q1676" s="8"/>
      <c r="R1676" s="8"/>
      <c r="S1676" s="8"/>
      <c r="U1676" s="6"/>
      <c r="V1676" s="6"/>
      <c r="W1676" s="6"/>
      <c r="X1676" s="6"/>
      <c r="Y1676" s="6"/>
      <c r="Z1676" s="6"/>
      <c r="AX1676" s="6" t="e">
        <v>#N/A</v>
      </c>
    </row>
    <row r="1677" spans="14:50" ht="31.4" customHeight="1" x14ac:dyDescent="0.35">
      <c r="N1677" s="20"/>
      <c r="P1677" s="8"/>
      <c r="Q1677" s="8"/>
      <c r="R1677" s="8"/>
      <c r="S1677" s="8"/>
      <c r="U1677" s="6"/>
      <c r="V1677" s="6"/>
      <c r="W1677" s="6"/>
      <c r="X1677" s="6"/>
      <c r="Y1677" s="6"/>
      <c r="Z1677" s="6"/>
      <c r="AX1677" s="6" t="e">
        <v>#N/A</v>
      </c>
    </row>
    <row r="1678" spans="14:50" ht="31.4" customHeight="1" x14ac:dyDescent="0.35">
      <c r="N1678" s="20"/>
      <c r="P1678" s="8"/>
      <c r="Q1678" s="8"/>
      <c r="R1678" s="8"/>
      <c r="S1678" s="8"/>
      <c r="U1678" s="6"/>
      <c r="V1678" s="6"/>
      <c r="W1678" s="6"/>
      <c r="X1678" s="6"/>
      <c r="Y1678" s="6"/>
      <c r="Z1678" s="6"/>
      <c r="AX1678" s="6" t="e">
        <v>#N/A</v>
      </c>
    </row>
    <row r="1679" spans="14:50" ht="31.4" customHeight="1" x14ac:dyDescent="0.35">
      <c r="N1679" s="20"/>
      <c r="P1679" s="8"/>
      <c r="Q1679" s="8"/>
      <c r="R1679" s="8"/>
      <c r="S1679" s="8"/>
      <c r="U1679" s="6"/>
      <c r="V1679" s="6"/>
      <c r="W1679" s="6"/>
      <c r="X1679" s="6"/>
      <c r="Y1679" s="6"/>
      <c r="Z1679" s="6"/>
      <c r="AX1679" s="6" t="e">
        <v>#N/A</v>
      </c>
    </row>
    <row r="1680" spans="14:50" ht="31.4" customHeight="1" x14ac:dyDescent="0.35">
      <c r="N1680" s="20"/>
      <c r="P1680" s="8"/>
      <c r="Q1680" s="8"/>
      <c r="R1680" s="8"/>
      <c r="S1680" s="8"/>
      <c r="U1680" s="6"/>
      <c r="V1680" s="6"/>
      <c r="W1680" s="6"/>
      <c r="X1680" s="6"/>
      <c r="Y1680" s="6"/>
      <c r="Z1680" s="6"/>
      <c r="AX1680" s="6" t="e">
        <v>#N/A</v>
      </c>
    </row>
    <row r="1681" spans="14:50" ht="31.4" customHeight="1" x14ac:dyDescent="0.35">
      <c r="N1681" s="20"/>
      <c r="P1681" s="8"/>
      <c r="Q1681" s="8"/>
      <c r="R1681" s="8"/>
      <c r="S1681" s="8"/>
      <c r="U1681" s="6"/>
      <c r="V1681" s="6"/>
      <c r="W1681" s="6"/>
      <c r="X1681" s="6"/>
      <c r="Y1681" s="6"/>
      <c r="Z1681" s="6"/>
      <c r="AX1681" s="6" t="e">
        <v>#N/A</v>
      </c>
    </row>
    <row r="1682" spans="14:50" ht="31.4" customHeight="1" x14ac:dyDescent="0.35">
      <c r="N1682" s="20"/>
      <c r="P1682" s="8"/>
      <c r="Q1682" s="8"/>
      <c r="R1682" s="8"/>
      <c r="S1682" s="8"/>
      <c r="U1682" s="6"/>
      <c r="V1682" s="6"/>
      <c r="W1682" s="6"/>
      <c r="X1682" s="6"/>
      <c r="Y1682" s="6"/>
      <c r="Z1682" s="6"/>
      <c r="AX1682" s="6" t="e">
        <v>#N/A</v>
      </c>
    </row>
    <row r="1683" spans="14:50" ht="31.4" customHeight="1" x14ac:dyDescent="0.35">
      <c r="N1683" s="20"/>
      <c r="P1683" s="8"/>
      <c r="Q1683" s="8"/>
      <c r="R1683" s="8"/>
      <c r="S1683" s="8"/>
      <c r="U1683" s="6"/>
      <c r="V1683" s="6"/>
      <c r="W1683" s="6"/>
      <c r="X1683" s="6"/>
      <c r="Y1683" s="6"/>
      <c r="Z1683" s="6"/>
      <c r="AX1683" s="6" t="e">
        <v>#N/A</v>
      </c>
    </row>
    <row r="1684" spans="14:50" ht="31.4" customHeight="1" x14ac:dyDescent="0.35">
      <c r="N1684" s="20"/>
      <c r="P1684" s="8"/>
      <c r="Q1684" s="8"/>
      <c r="R1684" s="8"/>
      <c r="S1684" s="8"/>
      <c r="U1684" s="6"/>
      <c r="V1684" s="6"/>
      <c r="W1684" s="6"/>
      <c r="X1684" s="6"/>
      <c r="Y1684" s="6"/>
      <c r="Z1684" s="6"/>
      <c r="AX1684" s="6" t="e">
        <v>#N/A</v>
      </c>
    </row>
    <row r="1685" spans="14:50" ht="31.4" customHeight="1" x14ac:dyDescent="0.35">
      <c r="N1685" s="20"/>
      <c r="P1685" s="8"/>
      <c r="Q1685" s="8"/>
      <c r="R1685" s="8"/>
      <c r="S1685" s="8"/>
      <c r="U1685" s="6"/>
      <c r="V1685" s="6"/>
      <c r="W1685" s="6"/>
      <c r="X1685" s="6"/>
      <c r="Y1685" s="6"/>
      <c r="Z1685" s="6"/>
      <c r="AX1685" s="6" t="e">
        <v>#N/A</v>
      </c>
    </row>
    <row r="1686" spans="14:50" ht="31.4" customHeight="1" x14ac:dyDescent="0.35">
      <c r="N1686" s="20"/>
      <c r="P1686" s="8"/>
      <c r="Q1686" s="8"/>
      <c r="R1686" s="8"/>
      <c r="S1686" s="8"/>
      <c r="U1686" s="6"/>
      <c r="V1686" s="6"/>
      <c r="W1686" s="6"/>
      <c r="X1686" s="6"/>
      <c r="Y1686" s="6"/>
      <c r="Z1686" s="6"/>
      <c r="AX1686" s="6" t="e">
        <v>#N/A</v>
      </c>
    </row>
    <row r="1687" spans="14:50" ht="31.4" customHeight="1" x14ac:dyDescent="0.35">
      <c r="N1687" s="20"/>
      <c r="P1687" s="8"/>
      <c r="Q1687" s="8"/>
      <c r="R1687" s="8"/>
      <c r="S1687" s="8"/>
      <c r="U1687" s="6"/>
      <c r="V1687" s="6"/>
      <c r="W1687" s="6"/>
      <c r="X1687" s="6"/>
      <c r="Y1687" s="6"/>
      <c r="Z1687" s="6"/>
      <c r="AX1687" s="6" t="e">
        <v>#N/A</v>
      </c>
    </row>
    <row r="1688" spans="14:50" ht="31.4" customHeight="1" x14ac:dyDescent="0.35">
      <c r="N1688" s="20"/>
      <c r="P1688" s="8"/>
      <c r="Q1688" s="8"/>
      <c r="R1688" s="8"/>
      <c r="S1688" s="8"/>
      <c r="U1688" s="6"/>
      <c r="V1688" s="6"/>
      <c r="W1688" s="6"/>
      <c r="X1688" s="6"/>
      <c r="Y1688" s="6"/>
      <c r="Z1688" s="6"/>
      <c r="AX1688" s="6" t="e">
        <v>#N/A</v>
      </c>
    </row>
    <row r="1689" spans="14:50" ht="31.4" customHeight="1" x14ac:dyDescent="0.35">
      <c r="N1689" s="20"/>
      <c r="P1689" s="8"/>
      <c r="Q1689" s="8"/>
      <c r="R1689" s="8"/>
      <c r="S1689" s="8"/>
      <c r="U1689" s="6"/>
      <c r="V1689" s="6"/>
      <c r="W1689" s="6"/>
      <c r="X1689" s="6"/>
      <c r="Y1689" s="6"/>
      <c r="Z1689" s="6"/>
      <c r="AX1689" s="6" t="e">
        <v>#N/A</v>
      </c>
    </row>
    <row r="1690" spans="14:50" ht="31.4" customHeight="1" x14ac:dyDescent="0.35">
      <c r="N1690" s="20"/>
      <c r="P1690" s="8"/>
      <c r="Q1690" s="8"/>
      <c r="R1690" s="8"/>
      <c r="S1690" s="8"/>
      <c r="U1690" s="6"/>
      <c r="V1690" s="6"/>
      <c r="W1690" s="6"/>
      <c r="X1690" s="6"/>
      <c r="Y1690" s="6"/>
      <c r="Z1690" s="6"/>
      <c r="AX1690" s="6" t="e">
        <v>#N/A</v>
      </c>
    </row>
    <row r="1691" spans="14:50" ht="31.4" customHeight="1" x14ac:dyDescent="0.35">
      <c r="N1691" s="20"/>
      <c r="P1691" s="8"/>
      <c r="Q1691" s="8"/>
      <c r="R1691" s="8"/>
      <c r="S1691" s="8"/>
      <c r="U1691" s="6"/>
      <c r="V1691" s="6"/>
      <c r="W1691" s="6"/>
      <c r="X1691" s="6"/>
      <c r="Y1691" s="6"/>
      <c r="Z1691" s="6"/>
      <c r="AX1691" s="6" t="e">
        <v>#N/A</v>
      </c>
    </row>
    <row r="1692" spans="14:50" ht="31.4" customHeight="1" x14ac:dyDescent="0.35">
      <c r="N1692" s="20"/>
      <c r="P1692" s="8"/>
      <c r="Q1692" s="8"/>
      <c r="R1692" s="8"/>
      <c r="S1692" s="8"/>
      <c r="U1692" s="6"/>
      <c r="V1692" s="6"/>
      <c r="W1692" s="6"/>
      <c r="X1692" s="6"/>
      <c r="Y1692" s="6"/>
      <c r="Z1692" s="6"/>
      <c r="AX1692" s="6" t="e">
        <v>#N/A</v>
      </c>
    </row>
    <row r="1693" spans="14:50" ht="31.4" customHeight="1" x14ac:dyDescent="0.35">
      <c r="N1693" s="20"/>
      <c r="P1693" s="8"/>
      <c r="Q1693" s="8"/>
      <c r="R1693" s="8"/>
      <c r="S1693" s="8"/>
      <c r="U1693" s="6"/>
      <c r="V1693" s="6"/>
      <c r="W1693" s="6"/>
      <c r="X1693" s="6"/>
      <c r="Y1693" s="6"/>
      <c r="Z1693" s="6"/>
      <c r="AX1693" s="6" t="e">
        <v>#N/A</v>
      </c>
    </row>
    <row r="1694" spans="14:50" ht="31.4" customHeight="1" x14ac:dyDescent="0.35">
      <c r="N1694" s="20"/>
      <c r="P1694" s="8"/>
      <c r="Q1694" s="8"/>
      <c r="R1694" s="8"/>
      <c r="S1694" s="8"/>
      <c r="U1694" s="6"/>
      <c r="V1694" s="6"/>
      <c r="W1694" s="6"/>
      <c r="X1694" s="6"/>
      <c r="Y1694" s="6"/>
      <c r="Z1694" s="6"/>
      <c r="AX1694" s="6" t="e">
        <v>#N/A</v>
      </c>
    </row>
    <row r="1695" spans="14:50" ht="31.4" customHeight="1" x14ac:dyDescent="0.35">
      <c r="N1695" s="20"/>
      <c r="P1695" s="8"/>
      <c r="Q1695" s="8"/>
      <c r="R1695" s="8"/>
      <c r="S1695" s="8"/>
      <c r="U1695" s="6"/>
      <c r="V1695" s="6"/>
      <c r="W1695" s="6"/>
      <c r="X1695" s="6"/>
      <c r="Y1695" s="6"/>
      <c r="Z1695" s="6"/>
      <c r="AX1695" s="6" t="e">
        <v>#N/A</v>
      </c>
    </row>
    <row r="1696" spans="14:50" ht="31.4" customHeight="1" x14ac:dyDescent="0.35">
      <c r="N1696" s="20"/>
      <c r="P1696" s="8"/>
      <c r="Q1696" s="8"/>
      <c r="R1696" s="8"/>
      <c r="S1696" s="8"/>
      <c r="U1696" s="6"/>
      <c r="V1696" s="6"/>
      <c r="W1696" s="6"/>
      <c r="X1696" s="6"/>
      <c r="Y1696" s="6"/>
      <c r="Z1696" s="6"/>
      <c r="AX1696" s="6" t="e">
        <v>#N/A</v>
      </c>
    </row>
    <row r="1697" spans="14:50" ht="31.4" customHeight="1" x14ac:dyDescent="0.35">
      <c r="N1697" s="20"/>
      <c r="P1697" s="8"/>
      <c r="Q1697" s="8"/>
      <c r="R1697" s="8"/>
      <c r="S1697" s="8"/>
      <c r="U1697" s="6"/>
      <c r="V1697" s="6"/>
      <c r="W1697" s="6"/>
      <c r="X1697" s="6"/>
      <c r="Y1697" s="6"/>
      <c r="Z1697" s="6"/>
      <c r="AX1697" s="6" t="e">
        <v>#N/A</v>
      </c>
    </row>
    <row r="1698" spans="14:50" ht="31.4" customHeight="1" x14ac:dyDescent="0.35">
      <c r="N1698" s="20"/>
      <c r="P1698" s="8"/>
      <c r="Q1698" s="8"/>
      <c r="R1698" s="8"/>
      <c r="S1698" s="8"/>
      <c r="U1698" s="6"/>
      <c r="V1698" s="6"/>
      <c r="W1698" s="6"/>
      <c r="X1698" s="6"/>
      <c r="Y1698" s="6"/>
      <c r="Z1698" s="6"/>
      <c r="AX1698" s="6" t="e">
        <v>#N/A</v>
      </c>
    </row>
    <row r="1699" spans="14:50" ht="31.4" customHeight="1" x14ac:dyDescent="0.35">
      <c r="N1699" s="20"/>
      <c r="P1699" s="8"/>
      <c r="Q1699" s="8"/>
      <c r="R1699" s="8"/>
      <c r="S1699" s="8"/>
      <c r="U1699" s="6"/>
      <c r="V1699" s="6"/>
      <c r="W1699" s="6"/>
      <c r="X1699" s="6"/>
      <c r="Y1699" s="6"/>
      <c r="Z1699" s="6"/>
      <c r="AX1699" s="6" t="e">
        <v>#N/A</v>
      </c>
    </row>
    <row r="1700" spans="14:50" ht="31.4" customHeight="1" x14ac:dyDescent="0.35">
      <c r="N1700" s="20"/>
      <c r="P1700" s="8"/>
      <c r="Q1700" s="8"/>
      <c r="R1700" s="8"/>
      <c r="S1700" s="8"/>
      <c r="U1700" s="6"/>
      <c r="V1700" s="6"/>
      <c r="W1700" s="6"/>
      <c r="X1700" s="6"/>
      <c r="Y1700" s="6"/>
      <c r="Z1700" s="6"/>
      <c r="AX1700" s="6" t="e">
        <v>#N/A</v>
      </c>
    </row>
    <row r="1701" spans="14:50" ht="31.4" customHeight="1" x14ac:dyDescent="0.35">
      <c r="N1701" s="20"/>
      <c r="P1701" s="8"/>
      <c r="Q1701" s="8"/>
      <c r="R1701" s="8"/>
      <c r="S1701" s="8"/>
      <c r="U1701" s="6"/>
      <c r="V1701" s="6"/>
      <c r="W1701" s="6"/>
      <c r="X1701" s="6"/>
      <c r="Y1701" s="6"/>
      <c r="Z1701" s="6"/>
      <c r="AX1701" s="6" t="e">
        <v>#N/A</v>
      </c>
    </row>
    <row r="1702" spans="14:50" ht="31.4" customHeight="1" x14ac:dyDescent="0.35">
      <c r="N1702" s="20"/>
      <c r="P1702" s="8"/>
      <c r="Q1702" s="8"/>
      <c r="R1702" s="8"/>
      <c r="S1702" s="8"/>
      <c r="U1702" s="6"/>
      <c r="V1702" s="6"/>
      <c r="W1702" s="6"/>
      <c r="X1702" s="6"/>
      <c r="Y1702" s="6"/>
      <c r="Z1702" s="6"/>
      <c r="AX1702" s="6" t="e">
        <v>#N/A</v>
      </c>
    </row>
    <row r="1703" spans="14:50" ht="31.4" customHeight="1" x14ac:dyDescent="0.35">
      <c r="N1703" s="20"/>
      <c r="P1703" s="8"/>
      <c r="Q1703" s="8"/>
      <c r="R1703" s="8"/>
      <c r="S1703" s="8"/>
      <c r="U1703" s="6"/>
      <c r="V1703" s="6"/>
      <c r="W1703" s="6"/>
      <c r="X1703" s="6"/>
      <c r="Y1703" s="6"/>
      <c r="Z1703" s="6"/>
      <c r="AX1703" s="6" t="e">
        <v>#N/A</v>
      </c>
    </row>
    <row r="1704" spans="14:50" ht="31.4" customHeight="1" x14ac:dyDescent="0.35">
      <c r="N1704" s="20"/>
      <c r="P1704" s="8"/>
      <c r="Q1704" s="8"/>
      <c r="R1704" s="8"/>
      <c r="S1704" s="8"/>
      <c r="U1704" s="6"/>
      <c r="V1704" s="6"/>
      <c r="W1704" s="6"/>
      <c r="X1704" s="6"/>
      <c r="Y1704" s="6"/>
      <c r="Z1704" s="6"/>
      <c r="AX1704" s="6" t="e">
        <v>#N/A</v>
      </c>
    </row>
    <row r="1705" spans="14:50" ht="31.4" customHeight="1" x14ac:dyDescent="0.35">
      <c r="N1705" s="20"/>
      <c r="P1705" s="8"/>
      <c r="Q1705" s="8"/>
      <c r="R1705" s="8"/>
      <c r="S1705" s="8"/>
      <c r="U1705" s="6"/>
      <c r="V1705" s="6"/>
      <c r="W1705" s="6"/>
      <c r="X1705" s="6"/>
      <c r="Y1705" s="6"/>
      <c r="Z1705" s="6"/>
      <c r="AX1705" s="6" t="e">
        <v>#N/A</v>
      </c>
    </row>
    <row r="1706" spans="14:50" ht="31.4" customHeight="1" x14ac:dyDescent="0.35">
      <c r="N1706" s="20"/>
      <c r="P1706" s="8"/>
      <c r="Q1706" s="8"/>
      <c r="R1706" s="8"/>
      <c r="S1706" s="8"/>
      <c r="U1706" s="6"/>
      <c r="V1706" s="6"/>
      <c r="W1706" s="6"/>
      <c r="X1706" s="6"/>
      <c r="Y1706" s="6"/>
      <c r="Z1706" s="6"/>
      <c r="AX1706" s="6" t="e">
        <v>#N/A</v>
      </c>
    </row>
    <row r="1707" spans="14:50" ht="31.4" customHeight="1" x14ac:dyDescent="0.35">
      <c r="N1707" s="20"/>
      <c r="P1707" s="8"/>
      <c r="Q1707" s="8"/>
      <c r="R1707" s="8"/>
      <c r="S1707" s="8"/>
      <c r="U1707" s="6"/>
      <c r="V1707" s="6"/>
      <c r="W1707" s="6"/>
      <c r="X1707" s="6"/>
      <c r="Y1707" s="6"/>
      <c r="Z1707" s="6"/>
      <c r="AX1707" s="6" t="e">
        <v>#N/A</v>
      </c>
    </row>
    <row r="1708" spans="14:50" ht="31.4" customHeight="1" x14ac:dyDescent="0.35">
      <c r="N1708" s="20"/>
      <c r="P1708" s="8"/>
      <c r="Q1708" s="8"/>
      <c r="R1708" s="8"/>
      <c r="S1708" s="8"/>
      <c r="U1708" s="6"/>
      <c r="V1708" s="6"/>
      <c r="W1708" s="6"/>
      <c r="X1708" s="6"/>
      <c r="Y1708" s="6"/>
      <c r="Z1708" s="6"/>
      <c r="AX1708" s="6" t="e">
        <v>#N/A</v>
      </c>
    </row>
    <row r="1709" spans="14:50" ht="31.4" customHeight="1" x14ac:dyDescent="0.35">
      <c r="N1709" s="20"/>
      <c r="P1709" s="8"/>
      <c r="Q1709" s="8"/>
      <c r="R1709" s="8"/>
      <c r="S1709" s="8"/>
      <c r="U1709" s="6"/>
      <c r="V1709" s="6"/>
      <c r="W1709" s="6"/>
      <c r="X1709" s="6"/>
      <c r="Y1709" s="6"/>
      <c r="Z1709" s="6"/>
      <c r="AX1709" s="6" t="e">
        <v>#N/A</v>
      </c>
    </row>
    <row r="1710" spans="14:50" ht="31.4" customHeight="1" x14ac:dyDescent="0.35">
      <c r="N1710" s="20"/>
      <c r="P1710" s="8"/>
      <c r="Q1710" s="8"/>
      <c r="R1710" s="8"/>
      <c r="S1710" s="8"/>
      <c r="U1710" s="6"/>
      <c r="V1710" s="6"/>
      <c r="W1710" s="6"/>
      <c r="X1710" s="6"/>
      <c r="Y1710" s="6"/>
      <c r="Z1710" s="6"/>
      <c r="AX1710" s="6" t="e">
        <v>#N/A</v>
      </c>
    </row>
    <row r="1711" spans="14:50" ht="31.4" customHeight="1" x14ac:dyDescent="0.35">
      <c r="N1711" s="20"/>
      <c r="P1711" s="8"/>
      <c r="Q1711" s="8"/>
      <c r="R1711" s="8"/>
      <c r="S1711" s="8"/>
      <c r="U1711" s="6"/>
      <c r="V1711" s="6"/>
      <c r="W1711" s="6"/>
      <c r="X1711" s="6"/>
      <c r="Y1711" s="6"/>
      <c r="Z1711" s="6"/>
      <c r="AX1711" s="6" t="e">
        <v>#N/A</v>
      </c>
    </row>
    <row r="1712" spans="14:50" ht="31.4" customHeight="1" x14ac:dyDescent="0.35">
      <c r="N1712" s="20"/>
      <c r="P1712" s="8"/>
      <c r="Q1712" s="8"/>
      <c r="R1712" s="8"/>
      <c r="S1712" s="8"/>
      <c r="U1712" s="6"/>
      <c r="V1712" s="6"/>
      <c r="W1712" s="6"/>
      <c r="X1712" s="6"/>
      <c r="Y1712" s="6"/>
      <c r="Z1712" s="6"/>
      <c r="AX1712" s="6" t="e">
        <v>#N/A</v>
      </c>
    </row>
    <row r="1713" spans="14:50" ht="31.4" customHeight="1" x14ac:dyDescent="0.35">
      <c r="N1713" s="20"/>
      <c r="P1713" s="8"/>
      <c r="Q1713" s="8"/>
      <c r="R1713" s="8"/>
      <c r="S1713" s="8"/>
      <c r="U1713" s="6"/>
      <c r="V1713" s="6"/>
      <c r="W1713" s="6"/>
      <c r="X1713" s="6"/>
      <c r="Y1713" s="6"/>
      <c r="Z1713" s="6"/>
      <c r="AX1713" s="6" t="e">
        <v>#N/A</v>
      </c>
    </row>
    <row r="1714" spans="14:50" ht="31.4" customHeight="1" x14ac:dyDescent="0.35">
      <c r="N1714" s="20"/>
      <c r="P1714" s="8"/>
      <c r="Q1714" s="8"/>
      <c r="R1714" s="8"/>
      <c r="S1714" s="8"/>
      <c r="U1714" s="6"/>
      <c r="V1714" s="6"/>
      <c r="W1714" s="6"/>
      <c r="X1714" s="6"/>
      <c r="Y1714" s="6"/>
      <c r="Z1714" s="6"/>
      <c r="AX1714" s="6" t="e">
        <v>#N/A</v>
      </c>
    </row>
    <row r="1715" spans="14:50" ht="31.4" customHeight="1" x14ac:dyDescent="0.35">
      <c r="N1715" s="20"/>
      <c r="P1715" s="8"/>
      <c r="Q1715" s="8"/>
      <c r="R1715" s="8"/>
      <c r="S1715" s="8"/>
      <c r="U1715" s="6"/>
      <c r="V1715" s="6"/>
      <c r="W1715" s="6"/>
      <c r="X1715" s="6"/>
      <c r="Y1715" s="6"/>
      <c r="Z1715" s="6"/>
      <c r="AX1715" s="6" t="e">
        <v>#N/A</v>
      </c>
    </row>
    <row r="1716" spans="14:50" ht="31.4" customHeight="1" x14ac:dyDescent="0.35">
      <c r="N1716" s="20"/>
      <c r="P1716" s="8"/>
      <c r="Q1716" s="8"/>
      <c r="R1716" s="8"/>
      <c r="S1716" s="8"/>
      <c r="U1716" s="6"/>
      <c r="V1716" s="6"/>
      <c r="W1716" s="6"/>
      <c r="X1716" s="6"/>
      <c r="Y1716" s="6"/>
      <c r="Z1716" s="6"/>
      <c r="AX1716" s="6" t="e">
        <v>#N/A</v>
      </c>
    </row>
    <row r="1717" spans="14:50" ht="31.4" customHeight="1" x14ac:dyDescent="0.35">
      <c r="N1717" s="20"/>
      <c r="P1717" s="8"/>
      <c r="Q1717" s="8"/>
      <c r="R1717" s="8"/>
      <c r="S1717" s="8"/>
      <c r="U1717" s="6"/>
      <c r="V1717" s="6"/>
      <c r="W1717" s="6"/>
      <c r="X1717" s="6"/>
      <c r="Y1717" s="6"/>
      <c r="Z1717" s="6"/>
      <c r="AX1717" s="6" t="e">
        <v>#N/A</v>
      </c>
    </row>
    <row r="1718" spans="14:50" ht="31.4" customHeight="1" x14ac:dyDescent="0.35">
      <c r="N1718" s="20"/>
      <c r="P1718" s="8"/>
      <c r="Q1718" s="8"/>
      <c r="R1718" s="8"/>
      <c r="S1718" s="8"/>
      <c r="U1718" s="6"/>
      <c r="V1718" s="6"/>
      <c r="W1718" s="6"/>
      <c r="X1718" s="6"/>
      <c r="Y1718" s="6"/>
      <c r="Z1718" s="6"/>
      <c r="AX1718" s="6" t="e">
        <v>#N/A</v>
      </c>
    </row>
    <row r="1719" spans="14:50" ht="31.4" customHeight="1" x14ac:dyDescent="0.35">
      <c r="N1719" s="20"/>
      <c r="P1719" s="8"/>
      <c r="Q1719" s="8"/>
      <c r="R1719" s="8"/>
      <c r="S1719" s="8"/>
      <c r="U1719" s="6"/>
      <c r="V1719" s="6"/>
      <c r="W1719" s="6"/>
      <c r="X1719" s="6"/>
      <c r="Y1719" s="6"/>
      <c r="Z1719" s="6"/>
      <c r="AX1719" s="6" t="e">
        <v>#N/A</v>
      </c>
    </row>
    <row r="1720" spans="14:50" ht="31.4" customHeight="1" x14ac:dyDescent="0.35">
      <c r="N1720" s="20"/>
      <c r="P1720" s="8"/>
      <c r="Q1720" s="8"/>
      <c r="R1720" s="8"/>
      <c r="S1720" s="8"/>
      <c r="U1720" s="6"/>
      <c r="V1720" s="6"/>
      <c r="W1720" s="6"/>
      <c r="X1720" s="6"/>
      <c r="Y1720" s="6"/>
      <c r="Z1720" s="6"/>
      <c r="AX1720" s="6" t="e">
        <v>#N/A</v>
      </c>
    </row>
    <row r="1721" spans="14:50" ht="31.4" customHeight="1" x14ac:dyDescent="0.35">
      <c r="N1721" s="20"/>
      <c r="P1721" s="8"/>
      <c r="Q1721" s="8"/>
      <c r="R1721" s="8"/>
      <c r="S1721" s="8"/>
      <c r="U1721" s="6"/>
      <c r="V1721" s="6"/>
      <c r="W1721" s="6"/>
      <c r="X1721" s="6"/>
      <c r="Y1721" s="6"/>
      <c r="Z1721" s="6"/>
      <c r="AX1721" s="6" t="e">
        <v>#N/A</v>
      </c>
    </row>
    <row r="1722" spans="14:50" ht="31.4" customHeight="1" x14ac:dyDescent="0.35">
      <c r="N1722" s="20"/>
      <c r="P1722" s="8"/>
      <c r="Q1722" s="8"/>
      <c r="R1722" s="8"/>
      <c r="S1722" s="8"/>
      <c r="U1722" s="6"/>
      <c r="V1722" s="6"/>
      <c r="W1722" s="6"/>
      <c r="X1722" s="6"/>
      <c r="Y1722" s="6"/>
      <c r="Z1722" s="6"/>
      <c r="AX1722" s="6" t="e">
        <v>#N/A</v>
      </c>
    </row>
    <row r="1723" spans="14:50" ht="31.4" customHeight="1" x14ac:dyDescent="0.35">
      <c r="N1723" s="20"/>
      <c r="P1723" s="8"/>
      <c r="Q1723" s="8"/>
      <c r="R1723" s="8"/>
      <c r="S1723" s="8"/>
      <c r="U1723" s="6"/>
      <c r="V1723" s="6"/>
      <c r="W1723" s="6"/>
      <c r="X1723" s="6"/>
      <c r="Y1723" s="6"/>
      <c r="Z1723" s="6"/>
      <c r="AX1723" s="6" t="e">
        <v>#N/A</v>
      </c>
    </row>
    <row r="1724" spans="14:50" ht="31.4" customHeight="1" x14ac:dyDescent="0.35">
      <c r="N1724" s="20"/>
      <c r="P1724" s="8"/>
      <c r="Q1724" s="8"/>
      <c r="R1724" s="8"/>
      <c r="S1724" s="8"/>
      <c r="U1724" s="6"/>
      <c r="V1724" s="6"/>
      <c r="W1724" s="6"/>
      <c r="X1724" s="6"/>
      <c r="Y1724" s="6"/>
      <c r="Z1724" s="6"/>
      <c r="AX1724" s="6" t="e">
        <v>#N/A</v>
      </c>
    </row>
    <row r="1725" spans="14:50" ht="31.4" customHeight="1" x14ac:dyDescent="0.35">
      <c r="N1725" s="20"/>
      <c r="P1725" s="8"/>
      <c r="Q1725" s="8"/>
      <c r="R1725" s="8"/>
      <c r="S1725" s="8"/>
      <c r="U1725" s="6"/>
      <c r="V1725" s="6"/>
      <c r="W1725" s="6"/>
      <c r="X1725" s="6"/>
      <c r="Y1725" s="6"/>
      <c r="Z1725" s="6"/>
      <c r="AX1725" s="6" t="e">
        <v>#N/A</v>
      </c>
    </row>
    <row r="1726" spans="14:50" ht="31.4" customHeight="1" x14ac:dyDescent="0.35">
      <c r="N1726" s="20"/>
      <c r="P1726" s="8"/>
      <c r="Q1726" s="8"/>
      <c r="R1726" s="8"/>
      <c r="S1726" s="8"/>
      <c r="U1726" s="6"/>
      <c r="V1726" s="6"/>
      <c r="W1726" s="6"/>
      <c r="X1726" s="6"/>
      <c r="Y1726" s="6"/>
      <c r="Z1726" s="6"/>
      <c r="AX1726" s="6" t="e">
        <v>#N/A</v>
      </c>
    </row>
    <row r="1727" spans="14:50" ht="31.4" customHeight="1" x14ac:dyDescent="0.35">
      <c r="N1727" s="20"/>
      <c r="P1727" s="8"/>
      <c r="Q1727" s="8"/>
      <c r="R1727" s="8"/>
      <c r="S1727" s="8"/>
      <c r="U1727" s="6"/>
      <c r="V1727" s="6"/>
      <c r="W1727" s="6"/>
      <c r="X1727" s="6"/>
      <c r="Y1727" s="6"/>
      <c r="Z1727" s="6"/>
      <c r="AX1727" s="6" t="e">
        <v>#N/A</v>
      </c>
    </row>
    <row r="1728" spans="14:50" ht="31.4" customHeight="1" x14ac:dyDescent="0.35">
      <c r="N1728" s="20"/>
      <c r="P1728" s="8"/>
      <c r="Q1728" s="8"/>
      <c r="R1728" s="8"/>
      <c r="S1728" s="8"/>
      <c r="U1728" s="6"/>
      <c r="V1728" s="6"/>
      <c r="W1728" s="6"/>
      <c r="X1728" s="6"/>
      <c r="Y1728" s="6"/>
      <c r="Z1728" s="6"/>
      <c r="AX1728" s="6" t="e">
        <v>#N/A</v>
      </c>
    </row>
    <row r="1729" spans="14:50" ht="31.4" customHeight="1" x14ac:dyDescent="0.35">
      <c r="N1729" s="20"/>
      <c r="P1729" s="8"/>
      <c r="Q1729" s="8"/>
      <c r="R1729" s="8"/>
      <c r="S1729" s="8"/>
      <c r="U1729" s="6"/>
      <c r="V1729" s="6"/>
      <c r="W1729" s="6"/>
      <c r="X1729" s="6"/>
      <c r="Y1729" s="6"/>
      <c r="Z1729" s="6"/>
      <c r="AX1729" s="6" t="e">
        <v>#N/A</v>
      </c>
    </row>
    <row r="1730" spans="14:50" ht="31.4" customHeight="1" x14ac:dyDescent="0.35">
      <c r="N1730" s="20"/>
      <c r="P1730" s="8"/>
      <c r="Q1730" s="8"/>
      <c r="R1730" s="8"/>
      <c r="S1730" s="8"/>
      <c r="U1730" s="6"/>
      <c r="V1730" s="6"/>
      <c r="W1730" s="6"/>
      <c r="X1730" s="6"/>
      <c r="Y1730" s="6"/>
      <c r="Z1730" s="6"/>
      <c r="AX1730" s="6" t="e">
        <v>#N/A</v>
      </c>
    </row>
    <row r="1731" spans="14:50" ht="31.4" customHeight="1" x14ac:dyDescent="0.35">
      <c r="N1731" s="20"/>
      <c r="P1731" s="8"/>
      <c r="Q1731" s="8"/>
      <c r="R1731" s="8"/>
      <c r="S1731" s="8"/>
      <c r="U1731" s="6"/>
      <c r="V1731" s="6"/>
      <c r="W1731" s="6"/>
      <c r="X1731" s="6"/>
      <c r="Y1731" s="6"/>
      <c r="Z1731" s="6"/>
      <c r="AX1731" s="6" t="e">
        <v>#N/A</v>
      </c>
    </row>
    <row r="1732" spans="14:50" ht="31.4" customHeight="1" x14ac:dyDescent="0.35">
      <c r="N1732" s="20"/>
      <c r="P1732" s="8"/>
      <c r="Q1732" s="8"/>
      <c r="R1732" s="8"/>
      <c r="S1732" s="8"/>
      <c r="U1732" s="6"/>
      <c r="V1732" s="6"/>
      <c r="W1732" s="6"/>
      <c r="X1732" s="6"/>
      <c r="Y1732" s="6"/>
      <c r="Z1732" s="6"/>
      <c r="AX1732" s="6" t="e">
        <v>#N/A</v>
      </c>
    </row>
    <row r="1733" spans="14:50" ht="31.4" customHeight="1" x14ac:dyDescent="0.35">
      <c r="N1733" s="20"/>
      <c r="P1733" s="8"/>
      <c r="Q1733" s="8"/>
      <c r="R1733" s="8"/>
      <c r="S1733" s="8"/>
      <c r="U1733" s="6"/>
      <c r="V1733" s="6"/>
      <c r="W1733" s="6"/>
      <c r="X1733" s="6"/>
      <c r="Y1733" s="6"/>
      <c r="Z1733" s="6"/>
      <c r="AX1733" s="6" t="e">
        <v>#N/A</v>
      </c>
    </row>
    <row r="1734" spans="14:50" ht="31.4" customHeight="1" x14ac:dyDescent="0.35">
      <c r="N1734" s="20"/>
      <c r="P1734" s="8"/>
      <c r="Q1734" s="8"/>
      <c r="R1734" s="8"/>
      <c r="S1734" s="8"/>
      <c r="U1734" s="6"/>
      <c r="V1734" s="6"/>
      <c r="W1734" s="6"/>
      <c r="X1734" s="6"/>
      <c r="Y1734" s="6"/>
      <c r="Z1734" s="6"/>
      <c r="AX1734" s="6" t="e">
        <v>#N/A</v>
      </c>
    </row>
    <row r="1735" spans="14:50" ht="31.4" customHeight="1" x14ac:dyDescent="0.35">
      <c r="N1735" s="20"/>
      <c r="P1735" s="8"/>
      <c r="Q1735" s="8"/>
      <c r="R1735" s="8"/>
      <c r="S1735" s="8"/>
      <c r="U1735" s="6"/>
      <c r="V1735" s="6"/>
      <c r="W1735" s="6"/>
      <c r="X1735" s="6"/>
      <c r="Y1735" s="6"/>
      <c r="Z1735" s="6"/>
      <c r="AX1735" s="6" t="e">
        <v>#N/A</v>
      </c>
    </row>
    <row r="1736" spans="14:50" ht="31.4" customHeight="1" x14ac:dyDescent="0.35">
      <c r="N1736" s="20"/>
      <c r="P1736" s="8"/>
      <c r="Q1736" s="8"/>
      <c r="R1736" s="8"/>
      <c r="S1736" s="8"/>
      <c r="U1736" s="6"/>
      <c r="V1736" s="6"/>
      <c r="W1736" s="6"/>
      <c r="X1736" s="6"/>
      <c r="Y1736" s="6"/>
      <c r="Z1736" s="6"/>
      <c r="AX1736" s="6" t="e">
        <v>#N/A</v>
      </c>
    </row>
    <row r="1737" spans="14:50" ht="31.4" customHeight="1" x14ac:dyDescent="0.35">
      <c r="N1737" s="20"/>
      <c r="P1737" s="8"/>
      <c r="Q1737" s="8"/>
      <c r="R1737" s="8"/>
      <c r="S1737" s="8"/>
      <c r="U1737" s="6"/>
      <c r="V1737" s="6"/>
      <c r="W1737" s="6"/>
      <c r="X1737" s="6"/>
      <c r="Y1737" s="6"/>
      <c r="Z1737" s="6"/>
      <c r="AX1737" s="6" t="e">
        <v>#N/A</v>
      </c>
    </row>
    <row r="1738" spans="14:50" ht="31.4" customHeight="1" x14ac:dyDescent="0.35">
      <c r="N1738" s="20"/>
      <c r="P1738" s="8"/>
      <c r="Q1738" s="8"/>
      <c r="R1738" s="8"/>
      <c r="S1738" s="8"/>
      <c r="U1738" s="6"/>
      <c r="V1738" s="6"/>
      <c r="W1738" s="6"/>
      <c r="X1738" s="6"/>
      <c r="Y1738" s="6"/>
      <c r="Z1738" s="6"/>
      <c r="AX1738" s="6" t="e">
        <v>#N/A</v>
      </c>
    </row>
    <row r="1739" spans="14:50" ht="31.4" customHeight="1" x14ac:dyDescent="0.35">
      <c r="N1739" s="20"/>
      <c r="P1739" s="8"/>
      <c r="Q1739" s="8"/>
      <c r="R1739" s="8"/>
      <c r="S1739" s="8"/>
      <c r="U1739" s="6"/>
      <c r="V1739" s="6"/>
      <c r="W1739" s="6"/>
      <c r="X1739" s="6"/>
      <c r="Y1739" s="6"/>
      <c r="Z1739" s="6"/>
      <c r="AX1739" s="6" t="e">
        <v>#N/A</v>
      </c>
    </row>
    <row r="1740" spans="14:50" ht="31.4" customHeight="1" x14ac:dyDescent="0.35">
      <c r="N1740" s="20"/>
      <c r="P1740" s="8"/>
      <c r="Q1740" s="8"/>
      <c r="R1740" s="8"/>
      <c r="S1740" s="8"/>
      <c r="U1740" s="6"/>
      <c r="V1740" s="6"/>
      <c r="W1740" s="6"/>
      <c r="X1740" s="6"/>
      <c r="Y1740" s="6"/>
      <c r="Z1740" s="6"/>
      <c r="AX1740" s="6" t="e">
        <v>#N/A</v>
      </c>
    </row>
    <row r="1741" spans="14:50" ht="31.4" customHeight="1" x14ac:dyDescent="0.35">
      <c r="N1741" s="20"/>
      <c r="P1741" s="8"/>
      <c r="Q1741" s="8"/>
      <c r="R1741" s="8"/>
      <c r="S1741" s="8"/>
      <c r="U1741" s="6"/>
      <c r="V1741" s="6"/>
      <c r="W1741" s="6"/>
      <c r="X1741" s="6"/>
      <c r="Y1741" s="6"/>
      <c r="Z1741" s="6"/>
      <c r="AX1741" s="6" t="e">
        <v>#N/A</v>
      </c>
    </row>
    <row r="1742" spans="14:50" ht="31.4" customHeight="1" x14ac:dyDescent="0.35">
      <c r="N1742" s="20"/>
      <c r="P1742" s="8"/>
      <c r="Q1742" s="8"/>
      <c r="R1742" s="8"/>
      <c r="S1742" s="8"/>
      <c r="U1742" s="6"/>
      <c r="V1742" s="6"/>
      <c r="W1742" s="6"/>
      <c r="X1742" s="6"/>
      <c r="Y1742" s="6"/>
      <c r="Z1742" s="6"/>
      <c r="AX1742" s="6" t="e">
        <v>#N/A</v>
      </c>
    </row>
    <row r="1743" spans="14:50" ht="31.4" customHeight="1" x14ac:dyDescent="0.35">
      <c r="N1743" s="20"/>
      <c r="P1743" s="8"/>
      <c r="Q1743" s="8"/>
      <c r="R1743" s="8"/>
      <c r="S1743" s="8"/>
      <c r="U1743" s="6"/>
      <c r="V1743" s="6"/>
      <c r="W1743" s="6"/>
      <c r="X1743" s="6"/>
      <c r="Y1743" s="6"/>
      <c r="Z1743" s="6"/>
      <c r="AX1743" s="6" t="e">
        <v>#N/A</v>
      </c>
    </row>
    <row r="1744" spans="14:50" ht="31.4" customHeight="1" x14ac:dyDescent="0.35">
      <c r="N1744" s="20"/>
      <c r="P1744" s="8"/>
      <c r="Q1744" s="8"/>
      <c r="R1744" s="8"/>
      <c r="S1744" s="8"/>
      <c r="U1744" s="6"/>
      <c r="V1744" s="6"/>
      <c r="W1744" s="6"/>
      <c r="X1744" s="6"/>
      <c r="Y1744" s="6"/>
      <c r="Z1744" s="6"/>
      <c r="AX1744" s="6" t="e">
        <v>#N/A</v>
      </c>
    </row>
    <row r="1745" spans="14:50" ht="31.4" customHeight="1" x14ac:dyDescent="0.35">
      <c r="N1745" s="20"/>
      <c r="P1745" s="8"/>
      <c r="Q1745" s="8"/>
      <c r="R1745" s="8"/>
      <c r="S1745" s="8"/>
      <c r="U1745" s="6"/>
      <c r="V1745" s="6"/>
      <c r="W1745" s="6"/>
      <c r="X1745" s="6"/>
      <c r="Y1745" s="6"/>
      <c r="Z1745" s="6"/>
      <c r="AX1745" s="6" t="e">
        <v>#N/A</v>
      </c>
    </row>
    <row r="1746" spans="14:50" ht="31.4" customHeight="1" x14ac:dyDescent="0.35">
      <c r="N1746" s="20"/>
      <c r="P1746" s="8"/>
      <c r="Q1746" s="8"/>
      <c r="R1746" s="8"/>
      <c r="S1746" s="8"/>
      <c r="U1746" s="6"/>
      <c r="V1746" s="6"/>
      <c r="W1746" s="6"/>
      <c r="X1746" s="6"/>
      <c r="Y1746" s="6"/>
      <c r="Z1746" s="6"/>
      <c r="AX1746" s="6" t="e">
        <v>#N/A</v>
      </c>
    </row>
    <row r="1747" spans="14:50" ht="31.4" customHeight="1" x14ac:dyDescent="0.35">
      <c r="N1747" s="20"/>
      <c r="P1747" s="8"/>
      <c r="Q1747" s="8"/>
      <c r="R1747" s="8"/>
      <c r="S1747" s="8"/>
      <c r="U1747" s="6"/>
      <c r="V1747" s="6"/>
      <c r="W1747" s="6"/>
      <c r="X1747" s="6"/>
      <c r="Y1747" s="6"/>
      <c r="Z1747" s="6"/>
      <c r="AX1747" s="6" t="e">
        <v>#N/A</v>
      </c>
    </row>
    <row r="1748" spans="14:50" ht="31.4" customHeight="1" x14ac:dyDescent="0.35">
      <c r="N1748" s="20"/>
      <c r="P1748" s="8"/>
      <c r="Q1748" s="8"/>
      <c r="R1748" s="8"/>
      <c r="S1748" s="8"/>
      <c r="U1748" s="6"/>
      <c r="V1748" s="6"/>
      <c r="W1748" s="6"/>
      <c r="X1748" s="6"/>
      <c r="Y1748" s="6"/>
      <c r="Z1748" s="6"/>
      <c r="AX1748" s="6" t="e">
        <v>#N/A</v>
      </c>
    </row>
    <row r="1749" spans="14:50" ht="31.4" customHeight="1" x14ac:dyDescent="0.35">
      <c r="N1749" s="20"/>
      <c r="P1749" s="8"/>
      <c r="Q1749" s="8"/>
      <c r="R1749" s="8"/>
      <c r="S1749" s="8"/>
      <c r="U1749" s="6"/>
      <c r="V1749" s="6"/>
      <c r="W1749" s="6"/>
      <c r="X1749" s="6"/>
      <c r="Y1749" s="6"/>
      <c r="Z1749" s="6"/>
      <c r="AX1749" s="6" t="e">
        <v>#N/A</v>
      </c>
    </row>
    <row r="1750" spans="14:50" ht="31.4" customHeight="1" x14ac:dyDescent="0.35">
      <c r="N1750" s="20"/>
      <c r="P1750" s="8"/>
      <c r="Q1750" s="8"/>
      <c r="R1750" s="8"/>
      <c r="S1750" s="8"/>
      <c r="U1750" s="6"/>
      <c r="V1750" s="6"/>
      <c r="W1750" s="6"/>
      <c r="X1750" s="6"/>
      <c r="Y1750" s="6"/>
      <c r="Z1750" s="6"/>
      <c r="AX1750" s="6" t="e">
        <v>#N/A</v>
      </c>
    </row>
    <row r="1751" spans="14:50" ht="31.4" customHeight="1" x14ac:dyDescent="0.35">
      <c r="N1751" s="20"/>
      <c r="P1751" s="8"/>
      <c r="Q1751" s="8"/>
      <c r="R1751" s="8"/>
      <c r="S1751" s="8"/>
      <c r="U1751" s="6"/>
      <c r="V1751" s="6"/>
      <c r="W1751" s="6"/>
      <c r="X1751" s="6"/>
      <c r="Y1751" s="6"/>
      <c r="Z1751" s="6"/>
      <c r="AX1751" s="6" t="e">
        <v>#N/A</v>
      </c>
    </row>
    <row r="1752" spans="14:50" ht="31.4" customHeight="1" x14ac:dyDescent="0.35">
      <c r="N1752" s="20"/>
      <c r="P1752" s="8"/>
      <c r="Q1752" s="8"/>
      <c r="R1752" s="8"/>
      <c r="S1752" s="8"/>
      <c r="U1752" s="6"/>
      <c r="V1752" s="6"/>
      <c r="W1752" s="6"/>
      <c r="X1752" s="6"/>
      <c r="Y1752" s="6"/>
      <c r="Z1752" s="6"/>
      <c r="AX1752" s="6" t="e">
        <v>#N/A</v>
      </c>
    </row>
    <row r="1753" spans="14:50" ht="31.4" customHeight="1" x14ac:dyDescent="0.35">
      <c r="N1753" s="20"/>
      <c r="P1753" s="8"/>
      <c r="Q1753" s="8"/>
      <c r="R1753" s="8"/>
      <c r="S1753" s="8"/>
      <c r="U1753" s="6"/>
      <c r="V1753" s="6"/>
      <c r="W1753" s="6"/>
      <c r="X1753" s="6"/>
      <c r="Y1753" s="6"/>
      <c r="Z1753" s="6"/>
      <c r="AX1753" s="6" t="e">
        <v>#N/A</v>
      </c>
    </row>
    <row r="1754" spans="14:50" ht="31.4" customHeight="1" x14ac:dyDescent="0.35">
      <c r="N1754" s="20"/>
      <c r="P1754" s="8"/>
      <c r="Q1754" s="8"/>
      <c r="R1754" s="8"/>
      <c r="S1754" s="8"/>
      <c r="U1754" s="6"/>
      <c r="V1754" s="6"/>
      <c r="W1754" s="6"/>
      <c r="X1754" s="6"/>
      <c r="Y1754" s="6"/>
      <c r="Z1754" s="6"/>
      <c r="AX1754" s="6" t="e">
        <v>#N/A</v>
      </c>
    </row>
    <row r="1755" spans="14:50" ht="31.4" customHeight="1" x14ac:dyDescent="0.35">
      <c r="N1755" s="20"/>
      <c r="P1755" s="8"/>
      <c r="Q1755" s="8"/>
      <c r="R1755" s="8"/>
      <c r="S1755" s="8"/>
      <c r="U1755" s="6"/>
      <c r="V1755" s="6"/>
      <c r="W1755" s="6"/>
      <c r="X1755" s="6"/>
      <c r="Y1755" s="6"/>
      <c r="Z1755" s="6"/>
      <c r="AX1755" s="6" t="e">
        <v>#N/A</v>
      </c>
    </row>
    <row r="1756" spans="14:50" ht="31.4" customHeight="1" x14ac:dyDescent="0.35">
      <c r="N1756" s="20"/>
      <c r="P1756" s="8"/>
      <c r="Q1756" s="8"/>
      <c r="R1756" s="8"/>
      <c r="S1756" s="8"/>
      <c r="U1756" s="6"/>
      <c r="V1756" s="6"/>
      <c r="W1756" s="6"/>
      <c r="X1756" s="6"/>
      <c r="Y1756" s="6"/>
      <c r="Z1756" s="6"/>
      <c r="AX1756" s="6" t="e">
        <v>#N/A</v>
      </c>
    </row>
    <row r="1757" spans="14:50" ht="31.4" customHeight="1" x14ac:dyDescent="0.35">
      <c r="N1757" s="20"/>
      <c r="P1757" s="8"/>
      <c r="Q1757" s="8"/>
      <c r="R1757" s="8"/>
      <c r="S1757" s="8"/>
      <c r="U1757" s="6"/>
      <c r="V1757" s="6"/>
      <c r="W1757" s="6"/>
      <c r="X1757" s="6"/>
      <c r="Y1757" s="6"/>
      <c r="Z1757" s="6"/>
      <c r="AX1757" s="6" t="e">
        <v>#N/A</v>
      </c>
    </row>
    <row r="1758" spans="14:50" ht="31.4" customHeight="1" x14ac:dyDescent="0.35">
      <c r="N1758" s="20"/>
      <c r="P1758" s="8"/>
      <c r="Q1758" s="8"/>
      <c r="R1758" s="8"/>
      <c r="S1758" s="8"/>
      <c r="U1758" s="6"/>
      <c r="V1758" s="6"/>
      <c r="W1758" s="6"/>
      <c r="X1758" s="6"/>
      <c r="Y1758" s="6"/>
      <c r="Z1758" s="6"/>
      <c r="AX1758" s="6" t="e">
        <v>#N/A</v>
      </c>
    </row>
    <row r="1759" spans="14:50" ht="31.4" customHeight="1" x14ac:dyDescent="0.35">
      <c r="N1759" s="20"/>
      <c r="P1759" s="8"/>
      <c r="Q1759" s="8"/>
      <c r="R1759" s="8"/>
      <c r="S1759" s="8"/>
      <c r="U1759" s="6"/>
      <c r="V1759" s="6"/>
      <c r="W1759" s="6"/>
      <c r="X1759" s="6"/>
      <c r="Y1759" s="6"/>
      <c r="Z1759" s="6"/>
      <c r="AX1759" s="6" t="e">
        <v>#N/A</v>
      </c>
    </row>
    <row r="1760" spans="14:50" ht="31.4" customHeight="1" x14ac:dyDescent="0.35">
      <c r="N1760" s="20"/>
      <c r="P1760" s="8"/>
      <c r="Q1760" s="8"/>
      <c r="R1760" s="8"/>
      <c r="S1760" s="8"/>
      <c r="U1760" s="6"/>
      <c r="V1760" s="6"/>
      <c r="W1760" s="6"/>
      <c r="X1760" s="6"/>
      <c r="Y1760" s="6"/>
      <c r="Z1760" s="6"/>
      <c r="AX1760" s="6" t="e">
        <v>#N/A</v>
      </c>
    </row>
    <row r="1761" spans="14:50" ht="31.4" customHeight="1" x14ac:dyDescent="0.35">
      <c r="N1761" s="20"/>
      <c r="P1761" s="8"/>
      <c r="Q1761" s="8"/>
      <c r="R1761" s="8"/>
      <c r="S1761" s="8"/>
      <c r="U1761" s="6"/>
      <c r="V1761" s="6"/>
      <c r="W1761" s="6"/>
      <c r="X1761" s="6"/>
      <c r="Y1761" s="6"/>
      <c r="Z1761" s="6"/>
      <c r="AX1761" s="6" t="e">
        <v>#N/A</v>
      </c>
    </row>
    <row r="1762" spans="14:50" ht="31.4" customHeight="1" x14ac:dyDescent="0.35">
      <c r="N1762" s="20"/>
      <c r="P1762" s="8"/>
      <c r="Q1762" s="8"/>
      <c r="R1762" s="8"/>
      <c r="S1762" s="8"/>
      <c r="U1762" s="6"/>
      <c r="V1762" s="6"/>
      <c r="W1762" s="6"/>
      <c r="X1762" s="6"/>
      <c r="Y1762" s="6"/>
      <c r="Z1762" s="6"/>
      <c r="AX1762" s="6" t="e">
        <v>#N/A</v>
      </c>
    </row>
    <row r="1763" spans="14:50" ht="31.4" customHeight="1" x14ac:dyDescent="0.35">
      <c r="N1763" s="20"/>
      <c r="P1763" s="8"/>
      <c r="Q1763" s="8"/>
      <c r="R1763" s="8"/>
      <c r="S1763" s="8"/>
      <c r="U1763" s="6"/>
      <c r="V1763" s="6"/>
      <c r="W1763" s="6"/>
      <c r="X1763" s="6"/>
      <c r="Y1763" s="6"/>
      <c r="Z1763" s="6"/>
      <c r="AX1763" s="6" t="e">
        <v>#N/A</v>
      </c>
    </row>
    <row r="1764" spans="14:50" ht="31.4" customHeight="1" x14ac:dyDescent="0.35">
      <c r="N1764" s="20"/>
      <c r="P1764" s="8"/>
      <c r="Q1764" s="8"/>
      <c r="R1764" s="8"/>
      <c r="S1764" s="8"/>
      <c r="U1764" s="6"/>
      <c r="V1764" s="6"/>
      <c r="W1764" s="6"/>
      <c r="X1764" s="6"/>
      <c r="Y1764" s="6"/>
      <c r="Z1764" s="6"/>
      <c r="AX1764" s="6" t="e">
        <v>#N/A</v>
      </c>
    </row>
    <row r="1765" spans="14:50" ht="31.4" customHeight="1" x14ac:dyDescent="0.35">
      <c r="N1765" s="20"/>
      <c r="P1765" s="8"/>
      <c r="Q1765" s="8"/>
      <c r="R1765" s="8"/>
      <c r="S1765" s="8"/>
      <c r="U1765" s="6"/>
      <c r="V1765" s="6"/>
      <c r="W1765" s="6"/>
      <c r="X1765" s="6"/>
      <c r="Y1765" s="6"/>
      <c r="Z1765" s="6"/>
      <c r="AX1765" s="6" t="e">
        <v>#N/A</v>
      </c>
    </row>
    <row r="1766" spans="14:50" ht="31.4" customHeight="1" x14ac:dyDescent="0.35">
      <c r="N1766" s="20"/>
      <c r="P1766" s="8"/>
      <c r="Q1766" s="8"/>
      <c r="R1766" s="8"/>
      <c r="S1766" s="8"/>
      <c r="U1766" s="6"/>
      <c r="V1766" s="6"/>
      <c r="W1766" s="6"/>
      <c r="X1766" s="6"/>
      <c r="Y1766" s="6"/>
      <c r="Z1766" s="6"/>
      <c r="AX1766" s="6" t="e">
        <v>#N/A</v>
      </c>
    </row>
    <row r="1767" spans="14:50" ht="31.4" customHeight="1" x14ac:dyDescent="0.35">
      <c r="N1767" s="20"/>
      <c r="P1767" s="8"/>
      <c r="Q1767" s="8"/>
      <c r="R1767" s="8"/>
      <c r="S1767" s="8"/>
      <c r="U1767" s="6"/>
      <c r="V1767" s="6"/>
      <c r="W1767" s="6"/>
      <c r="X1767" s="6"/>
      <c r="Y1767" s="6"/>
      <c r="Z1767" s="6"/>
      <c r="AX1767" s="6" t="e">
        <v>#N/A</v>
      </c>
    </row>
    <row r="1768" spans="14:50" ht="31.4" customHeight="1" x14ac:dyDescent="0.35">
      <c r="N1768" s="20"/>
      <c r="P1768" s="8"/>
      <c r="Q1768" s="8"/>
      <c r="R1768" s="8"/>
      <c r="S1768" s="8"/>
      <c r="U1768" s="6"/>
      <c r="V1768" s="6"/>
      <c r="W1768" s="6"/>
      <c r="X1768" s="6"/>
      <c r="Y1768" s="6"/>
      <c r="Z1768" s="6"/>
      <c r="AX1768" s="6" t="e">
        <v>#N/A</v>
      </c>
    </row>
    <row r="1769" spans="14:50" ht="31.4" customHeight="1" x14ac:dyDescent="0.35">
      <c r="N1769" s="20"/>
      <c r="P1769" s="8"/>
      <c r="Q1769" s="8"/>
      <c r="R1769" s="8"/>
      <c r="S1769" s="8"/>
      <c r="U1769" s="6"/>
      <c r="V1769" s="6"/>
      <c r="W1769" s="6"/>
      <c r="X1769" s="6"/>
      <c r="Y1769" s="6"/>
      <c r="Z1769" s="6"/>
      <c r="AX1769" s="6" t="e">
        <v>#N/A</v>
      </c>
    </row>
    <row r="1770" spans="14:50" ht="31.4" customHeight="1" x14ac:dyDescent="0.35">
      <c r="N1770" s="20"/>
      <c r="P1770" s="8"/>
      <c r="Q1770" s="8"/>
      <c r="R1770" s="8"/>
      <c r="S1770" s="8"/>
      <c r="U1770" s="6"/>
      <c r="V1770" s="6"/>
      <c r="W1770" s="6"/>
      <c r="X1770" s="6"/>
      <c r="Y1770" s="6"/>
      <c r="Z1770" s="6"/>
      <c r="AX1770" s="6" t="e">
        <v>#N/A</v>
      </c>
    </row>
    <row r="1771" spans="14:50" ht="31.4" customHeight="1" x14ac:dyDescent="0.35">
      <c r="N1771" s="20"/>
      <c r="P1771" s="8"/>
      <c r="Q1771" s="8"/>
      <c r="R1771" s="8"/>
      <c r="S1771" s="8"/>
      <c r="U1771" s="6"/>
      <c r="V1771" s="6"/>
      <c r="W1771" s="6"/>
      <c r="X1771" s="6"/>
      <c r="Y1771" s="6"/>
      <c r="Z1771" s="6"/>
      <c r="AX1771" s="6" t="e">
        <v>#N/A</v>
      </c>
    </row>
    <row r="1772" spans="14:50" ht="31.4" customHeight="1" x14ac:dyDescent="0.35">
      <c r="N1772" s="20"/>
      <c r="P1772" s="8"/>
      <c r="Q1772" s="8"/>
      <c r="R1772" s="8"/>
      <c r="S1772" s="8"/>
      <c r="U1772" s="6"/>
      <c r="V1772" s="6"/>
      <c r="W1772" s="6"/>
      <c r="X1772" s="6"/>
      <c r="Y1772" s="6"/>
      <c r="Z1772" s="6"/>
      <c r="AX1772" s="6" t="e">
        <v>#N/A</v>
      </c>
    </row>
    <row r="1773" spans="14:50" ht="31.4" customHeight="1" x14ac:dyDescent="0.35">
      <c r="N1773" s="20"/>
      <c r="P1773" s="8"/>
      <c r="Q1773" s="8"/>
      <c r="R1773" s="8"/>
      <c r="S1773" s="8"/>
      <c r="U1773" s="6"/>
      <c r="V1773" s="6"/>
      <c r="W1773" s="6"/>
      <c r="X1773" s="6"/>
      <c r="Y1773" s="6"/>
      <c r="Z1773" s="6"/>
      <c r="AX1773" s="6" t="e">
        <v>#N/A</v>
      </c>
    </row>
    <row r="1774" spans="14:50" ht="31.4" customHeight="1" x14ac:dyDescent="0.35">
      <c r="N1774" s="20"/>
      <c r="P1774" s="8"/>
      <c r="Q1774" s="8"/>
      <c r="R1774" s="8"/>
      <c r="S1774" s="8"/>
      <c r="U1774" s="6"/>
      <c r="V1774" s="6"/>
      <c r="W1774" s="6"/>
      <c r="X1774" s="6"/>
      <c r="Y1774" s="6"/>
      <c r="Z1774" s="6"/>
      <c r="AX1774" s="6" t="e">
        <v>#N/A</v>
      </c>
    </row>
    <row r="1775" spans="14:50" ht="31.4" customHeight="1" x14ac:dyDescent="0.35">
      <c r="N1775" s="20"/>
      <c r="P1775" s="8"/>
      <c r="Q1775" s="8"/>
      <c r="R1775" s="8"/>
      <c r="S1775" s="8"/>
      <c r="U1775" s="6"/>
      <c r="V1775" s="6"/>
      <c r="W1775" s="6"/>
      <c r="X1775" s="6"/>
      <c r="Y1775" s="6"/>
      <c r="Z1775" s="6"/>
      <c r="AX1775" s="6" t="e">
        <v>#N/A</v>
      </c>
    </row>
    <row r="1776" spans="14:50" ht="31.4" customHeight="1" x14ac:dyDescent="0.35">
      <c r="N1776" s="20"/>
      <c r="P1776" s="8"/>
      <c r="Q1776" s="8"/>
      <c r="R1776" s="8"/>
      <c r="S1776" s="8"/>
      <c r="U1776" s="6"/>
      <c r="V1776" s="6"/>
      <c r="W1776" s="6"/>
      <c r="X1776" s="6"/>
      <c r="Y1776" s="6"/>
      <c r="Z1776" s="6"/>
      <c r="AX1776" s="6" t="e">
        <v>#N/A</v>
      </c>
    </row>
    <row r="1777" spans="14:50" ht="31.4" customHeight="1" x14ac:dyDescent="0.35">
      <c r="N1777" s="20"/>
      <c r="P1777" s="8"/>
      <c r="Q1777" s="8"/>
      <c r="R1777" s="8"/>
      <c r="S1777" s="8"/>
      <c r="U1777" s="6"/>
      <c r="V1777" s="6"/>
      <c r="W1777" s="6"/>
      <c r="X1777" s="6"/>
      <c r="Y1777" s="6"/>
      <c r="Z1777" s="6"/>
      <c r="AX1777" s="6" t="e">
        <v>#N/A</v>
      </c>
    </row>
    <row r="1778" spans="14:50" ht="31.4" customHeight="1" x14ac:dyDescent="0.35">
      <c r="N1778" s="20"/>
      <c r="P1778" s="8"/>
      <c r="Q1778" s="8"/>
      <c r="R1778" s="8"/>
      <c r="S1778" s="8"/>
      <c r="U1778" s="6"/>
      <c r="V1778" s="6"/>
      <c r="W1778" s="6"/>
      <c r="X1778" s="6"/>
      <c r="Y1778" s="6"/>
      <c r="Z1778" s="6"/>
      <c r="AX1778" s="6" t="e">
        <v>#N/A</v>
      </c>
    </row>
    <row r="1779" spans="14:50" ht="31.4" customHeight="1" x14ac:dyDescent="0.35">
      <c r="N1779" s="20"/>
      <c r="P1779" s="8"/>
      <c r="Q1779" s="8"/>
      <c r="R1779" s="8"/>
      <c r="S1779" s="8"/>
      <c r="U1779" s="6"/>
      <c r="V1779" s="6"/>
      <c r="W1779" s="6"/>
      <c r="X1779" s="6"/>
      <c r="Y1779" s="6"/>
      <c r="Z1779" s="6"/>
      <c r="AX1779" s="6" t="e">
        <v>#N/A</v>
      </c>
    </row>
    <row r="1780" spans="14:50" ht="31.4" customHeight="1" x14ac:dyDescent="0.35">
      <c r="N1780" s="20"/>
      <c r="P1780" s="8"/>
      <c r="Q1780" s="8"/>
      <c r="R1780" s="8"/>
      <c r="S1780" s="8"/>
      <c r="U1780" s="6"/>
      <c r="V1780" s="6"/>
      <c r="W1780" s="6"/>
      <c r="X1780" s="6"/>
      <c r="Y1780" s="6"/>
      <c r="Z1780" s="6"/>
      <c r="AX1780" s="6" t="e">
        <v>#N/A</v>
      </c>
    </row>
    <row r="1781" spans="14:50" ht="31.4" customHeight="1" x14ac:dyDescent="0.35">
      <c r="N1781" s="20"/>
      <c r="P1781" s="8"/>
      <c r="Q1781" s="8"/>
      <c r="R1781" s="8"/>
      <c r="S1781" s="8"/>
      <c r="U1781" s="6"/>
      <c r="V1781" s="6"/>
      <c r="W1781" s="6"/>
      <c r="X1781" s="6"/>
      <c r="Y1781" s="6"/>
      <c r="Z1781" s="6"/>
      <c r="AX1781" s="6" t="e">
        <v>#N/A</v>
      </c>
    </row>
    <row r="1782" spans="14:50" ht="31.4" customHeight="1" x14ac:dyDescent="0.35">
      <c r="N1782" s="20"/>
      <c r="P1782" s="8"/>
      <c r="Q1782" s="8"/>
      <c r="R1782" s="8"/>
      <c r="S1782" s="8"/>
      <c r="U1782" s="6"/>
      <c r="V1782" s="6"/>
      <c r="W1782" s="6"/>
      <c r="X1782" s="6"/>
      <c r="Y1782" s="6"/>
      <c r="Z1782" s="6"/>
      <c r="AX1782" s="6" t="e">
        <v>#N/A</v>
      </c>
    </row>
    <row r="1783" spans="14:50" ht="31.4" customHeight="1" x14ac:dyDescent="0.35">
      <c r="N1783" s="20"/>
      <c r="P1783" s="8"/>
      <c r="Q1783" s="8"/>
      <c r="R1783" s="8"/>
      <c r="S1783" s="8"/>
      <c r="U1783" s="6"/>
      <c r="V1783" s="6"/>
      <c r="W1783" s="6"/>
      <c r="X1783" s="6"/>
      <c r="Y1783" s="6"/>
      <c r="Z1783" s="6"/>
      <c r="AX1783" s="6" t="e">
        <v>#N/A</v>
      </c>
    </row>
    <row r="1784" spans="14:50" ht="31.4" customHeight="1" x14ac:dyDescent="0.35">
      <c r="N1784" s="20"/>
      <c r="P1784" s="8"/>
      <c r="Q1784" s="8"/>
      <c r="R1784" s="8"/>
      <c r="S1784" s="8"/>
      <c r="U1784" s="6"/>
      <c r="V1784" s="6"/>
      <c r="W1784" s="6"/>
      <c r="X1784" s="6"/>
      <c r="Y1784" s="6"/>
      <c r="Z1784" s="6"/>
      <c r="AX1784" s="6" t="e">
        <v>#N/A</v>
      </c>
    </row>
    <row r="1785" spans="14:50" ht="31.4" customHeight="1" x14ac:dyDescent="0.35">
      <c r="N1785" s="20"/>
      <c r="P1785" s="8"/>
      <c r="Q1785" s="8"/>
      <c r="R1785" s="8"/>
      <c r="S1785" s="8"/>
      <c r="U1785" s="6"/>
      <c r="V1785" s="6"/>
      <c r="W1785" s="6"/>
      <c r="X1785" s="6"/>
      <c r="Y1785" s="6"/>
      <c r="Z1785" s="6"/>
      <c r="AX1785" s="6" t="e">
        <v>#N/A</v>
      </c>
    </row>
    <row r="1786" spans="14:50" ht="31.4" customHeight="1" x14ac:dyDescent="0.35">
      <c r="N1786" s="20"/>
      <c r="P1786" s="8"/>
      <c r="Q1786" s="8"/>
      <c r="R1786" s="8"/>
      <c r="S1786" s="8"/>
      <c r="U1786" s="6"/>
      <c r="V1786" s="6"/>
      <c r="W1786" s="6"/>
      <c r="X1786" s="6"/>
      <c r="Y1786" s="6"/>
      <c r="Z1786" s="6"/>
      <c r="AX1786" s="6" t="e">
        <v>#N/A</v>
      </c>
    </row>
    <row r="1787" spans="14:50" ht="31.4" customHeight="1" x14ac:dyDescent="0.35">
      <c r="N1787" s="20"/>
      <c r="P1787" s="8"/>
      <c r="Q1787" s="8"/>
      <c r="R1787" s="8"/>
      <c r="S1787" s="8"/>
      <c r="U1787" s="6"/>
      <c r="V1787" s="6"/>
      <c r="W1787" s="6"/>
      <c r="X1787" s="6"/>
      <c r="Y1787" s="6"/>
      <c r="Z1787" s="6"/>
      <c r="AX1787" s="6" t="e">
        <v>#N/A</v>
      </c>
    </row>
    <row r="1788" spans="14:50" ht="31.4" customHeight="1" x14ac:dyDescent="0.35">
      <c r="N1788" s="20"/>
      <c r="P1788" s="8"/>
      <c r="Q1788" s="8"/>
      <c r="R1788" s="8"/>
      <c r="S1788" s="8"/>
      <c r="U1788" s="6"/>
      <c r="V1788" s="6"/>
      <c r="W1788" s="6"/>
      <c r="X1788" s="6"/>
      <c r="Y1788" s="6"/>
      <c r="Z1788" s="6"/>
      <c r="AX1788" s="6" t="e">
        <v>#N/A</v>
      </c>
    </row>
    <row r="1789" spans="14:50" ht="31.4" customHeight="1" x14ac:dyDescent="0.35">
      <c r="N1789" s="20"/>
      <c r="P1789" s="8"/>
      <c r="Q1789" s="8"/>
      <c r="R1789" s="8"/>
      <c r="S1789" s="8"/>
      <c r="U1789" s="6"/>
      <c r="V1789" s="6"/>
      <c r="W1789" s="6"/>
      <c r="X1789" s="6"/>
      <c r="Y1789" s="6"/>
      <c r="Z1789" s="6"/>
      <c r="AX1789" s="6" t="e">
        <v>#N/A</v>
      </c>
    </row>
    <row r="1790" spans="14:50" ht="31.4" customHeight="1" x14ac:dyDescent="0.35">
      <c r="N1790" s="20"/>
      <c r="P1790" s="8"/>
      <c r="Q1790" s="8"/>
      <c r="R1790" s="8"/>
      <c r="S1790" s="8"/>
      <c r="U1790" s="6"/>
      <c r="V1790" s="6"/>
      <c r="W1790" s="6"/>
      <c r="X1790" s="6"/>
      <c r="Y1790" s="6"/>
      <c r="Z1790" s="6"/>
      <c r="AX1790" s="6" t="e">
        <v>#N/A</v>
      </c>
    </row>
    <row r="1791" spans="14:50" ht="31.4" customHeight="1" x14ac:dyDescent="0.35">
      <c r="N1791" s="20"/>
      <c r="P1791" s="8"/>
      <c r="Q1791" s="8"/>
      <c r="R1791" s="8"/>
      <c r="S1791" s="8"/>
      <c r="U1791" s="6"/>
      <c r="V1791" s="6"/>
      <c r="W1791" s="6"/>
      <c r="X1791" s="6"/>
      <c r="Y1791" s="6"/>
      <c r="Z1791" s="6"/>
      <c r="AX1791" s="6" t="e">
        <v>#N/A</v>
      </c>
    </row>
    <row r="1792" spans="14:50" ht="31.4" customHeight="1" x14ac:dyDescent="0.35">
      <c r="N1792" s="20"/>
      <c r="P1792" s="8"/>
      <c r="Q1792" s="8"/>
      <c r="R1792" s="8"/>
      <c r="S1792" s="8"/>
      <c r="U1792" s="6"/>
      <c r="V1792" s="6"/>
      <c r="W1792" s="6"/>
      <c r="X1792" s="6"/>
      <c r="Y1792" s="6"/>
      <c r="Z1792" s="6"/>
      <c r="AX1792" s="6" t="e">
        <v>#N/A</v>
      </c>
    </row>
    <row r="1793" spans="14:50" ht="31.4" customHeight="1" x14ac:dyDescent="0.35">
      <c r="N1793" s="20"/>
      <c r="P1793" s="8"/>
      <c r="Q1793" s="8"/>
      <c r="R1793" s="8"/>
      <c r="S1793" s="8"/>
      <c r="U1793" s="6"/>
      <c r="V1793" s="6"/>
      <c r="W1793" s="6"/>
      <c r="X1793" s="6"/>
      <c r="Y1793" s="6"/>
      <c r="Z1793" s="6"/>
      <c r="AX1793" s="6" t="e">
        <v>#N/A</v>
      </c>
    </row>
    <row r="1794" spans="14:50" ht="31.4" customHeight="1" x14ac:dyDescent="0.35">
      <c r="N1794" s="20"/>
      <c r="P1794" s="8"/>
      <c r="Q1794" s="8"/>
      <c r="R1794" s="8"/>
      <c r="S1794" s="8"/>
      <c r="U1794" s="6"/>
      <c r="V1794" s="6"/>
      <c r="W1794" s="6"/>
      <c r="X1794" s="6"/>
      <c r="Y1794" s="6"/>
      <c r="Z1794" s="6"/>
      <c r="AX1794" s="6" t="e">
        <v>#N/A</v>
      </c>
    </row>
    <row r="1795" spans="14:50" ht="31.4" customHeight="1" x14ac:dyDescent="0.35">
      <c r="N1795" s="20"/>
      <c r="P1795" s="8"/>
      <c r="Q1795" s="8"/>
      <c r="R1795" s="8"/>
      <c r="S1795" s="8"/>
      <c r="U1795" s="6"/>
      <c r="V1795" s="6"/>
      <c r="W1795" s="6"/>
      <c r="X1795" s="6"/>
      <c r="Y1795" s="6"/>
      <c r="Z1795" s="6"/>
      <c r="AX1795" s="6" t="e">
        <v>#N/A</v>
      </c>
    </row>
    <row r="1796" spans="14:50" ht="31.4" customHeight="1" x14ac:dyDescent="0.35">
      <c r="N1796" s="20"/>
      <c r="P1796" s="8"/>
      <c r="Q1796" s="8"/>
      <c r="R1796" s="8"/>
      <c r="S1796" s="8"/>
      <c r="U1796" s="6"/>
      <c r="V1796" s="6"/>
      <c r="W1796" s="6"/>
      <c r="X1796" s="6"/>
      <c r="Y1796" s="6"/>
      <c r="Z1796" s="6"/>
      <c r="AX1796" s="6" t="e">
        <v>#N/A</v>
      </c>
    </row>
    <row r="1797" spans="14:50" ht="31.4" customHeight="1" x14ac:dyDescent="0.35">
      <c r="N1797" s="20"/>
      <c r="P1797" s="8"/>
      <c r="Q1797" s="8"/>
      <c r="R1797" s="8"/>
      <c r="S1797" s="8"/>
      <c r="U1797" s="6"/>
      <c r="V1797" s="6"/>
      <c r="W1797" s="6"/>
      <c r="X1797" s="6"/>
      <c r="Y1797" s="6"/>
      <c r="Z1797" s="6"/>
      <c r="AX1797" s="6" t="e">
        <v>#N/A</v>
      </c>
    </row>
    <row r="1798" spans="14:50" ht="31.4" customHeight="1" x14ac:dyDescent="0.35">
      <c r="N1798" s="20"/>
      <c r="P1798" s="8"/>
      <c r="Q1798" s="8"/>
      <c r="R1798" s="8"/>
      <c r="S1798" s="8"/>
      <c r="U1798" s="6"/>
      <c r="V1798" s="6"/>
      <c r="W1798" s="6"/>
      <c r="X1798" s="6"/>
      <c r="Y1798" s="6"/>
      <c r="Z1798" s="6"/>
      <c r="AX1798" s="6" t="e">
        <v>#N/A</v>
      </c>
    </row>
    <row r="1799" spans="14:50" ht="31.4" customHeight="1" x14ac:dyDescent="0.35">
      <c r="N1799" s="20"/>
      <c r="P1799" s="8"/>
      <c r="Q1799" s="8"/>
      <c r="R1799" s="8"/>
      <c r="S1799" s="8"/>
      <c r="U1799" s="6"/>
      <c r="V1799" s="6"/>
      <c r="W1799" s="6"/>
      <c r="X1799" s="6"/>
      <c r="Y1799" s="6"/>
      <c r="Z1799" s="6"/>
      <c r="AX1799" s="6" t="e">
        <v>#N/A</v>
      </c>
    </row>
    <row r="1800" spans="14:50" ht="31.4" customHeight="1" x14ac:dyDescent="0.35">
      <c r="N1800" s="20"/>
      <c r="P1800" s="8"/>
      <c r="Q1800" s="8"/>
      <c r="R1800" s="8"/>
      <c r="S1800" s="8"/>
      <c r="U1800" s="6"/>
      <c r="V1800" s="6"/>
      <c r="W1800" s="6"/>
      <c r="X1800" s="6"/>
      <c r="Y1800" s="6"/>
      <c r="Z1800" s="6"/>
      <c r="AX1800" s="6" t="e">
        <v>#N/A</v>
      </c>
    </row>
    <row r="1801" spans="14:50" ht="31.4" customHeight="1" x14ac:dyDescent="0.35">
      <c r="N1801" s="20"/>
      <c r="P1801" s="8"/>
      <c r="Q1801" s="8"/>
      <c r="R1801" s="8"/>
      <c r="S1801" s="8"/>
      <c r="U1801" s="6"/>
      <c r="V1801" s="6"/>
      <c r="W1801" s="6"/>
      <c r="X1801" s="6"/>
      <c r="Y1801" s="6"/>
      <c r="Z1801" s="6"/>
      <c r="AX1801" s="6" t="e">
        <v>#N/A</v>
      </c>
    </row>
    <row r="1802" spans="14:50" ht="31.4" customHeight="1" x14ac:dyDescent="0.35">
      <c r="N1802" s="20"/>
      <c r="P1802" s="8"/>
      <c r="Q1802" s="8"/>
      <c r="R1802" s="8"/>
      <c r="S1802" s="8"/>
      <c r="U1802" s="6"/>
      <c r="V1802" s="6"/>
      <c r="W1802" s="6"/>
      <c r="X1802" s="6"/>
      <c r="Y1802" s="6"/>
      <c r="Z1802" s="6"/>
      <c r="AX1802" s="6" t="e">
        <v>#N/A</v>
      </c>
    </row>
    <row r="1803" spans="14:50" ht="31.4" customHeight="1" x14ac:dyDescent="0.35">
      <c r="N1803" s="20"/>
      <c r="P1803" s="8"/>
      <c r="Q1803" s="8"/>
      <c r="R1803" s="8"/>
      <c r="S1803" s="8"/>
      <c r="U1803" s="6"/>
      <c r="V1803" s="6"/>
      <c r="W1803" s="6"/>
      <c r="X1803" s="6"/>
      <c r="Y1803" s="6"/>
      <c r="Z1803" s="6"/>
      <c r="AX1803" s="6" t="e">
        <v>#N/A</v>
      </c>
    </row>
    <row r="1804" spans="14:50" ht="31.4" customHeight="1" x14ac:dyDescent="0.35">
      <c r="N1804" s="20"/>
      <c r="P1804" s="8"/>
      <c r="Q1804" s="8"/>
      <c r="R1804" s="8"/>
      <c r="S1804" s="8"/>
      <c r="U1804" s="6"/>
      <c r="V1804" s="6"/>
      <c r="W1804" s="6"/>
      <c r="X1804" s="6"/>
      <c r="Y1804" s="6"/>
      <c r="Z1804" s="6"/>
      <c r="AX1804" s="6" t="e">
        <v>#N/A</v>
      </c>
    </row>
    <row r="1805" spans="14:50" ht="31.4" customHeight="1" x14ac:dyDescent="0.35">
      <c r="N1805" s="20"/>
      <c r="P1805" s="8"/>
      <c r="Q1805" s="8"/>
      <c r="R1805" s="8"/>
      <c r="S1805" s="8"/>
      <c r="U1805" s="6"/>
      <c r="V1805" s="6"/>
      <c r="W1805" s="6"/>
      <c r="X1805" s="6"/>
      <c r="Y1805" s="6"/>
      <c r="Z1805" s="6"/>
      <c r="AX1805" s="6" t="e">
        <v>#N/A</v>
      </c>
    </row>
    <row r="1806" spans="14:50" ht="31.4" customHeight="1" x14ac:dyDescent="0.35">
      <c r="N1806" s="20"/>
      <c r="P1806" s="8"/>
      <c r="Q1806" s="8"/>
      <c r="R1806" s="8"/>
      <c r="S1806" s="8"/>
      <c r="U1806" s="6"/>
      <c r="V1806" s="6"/>
      <c r="W1806" s="6"/>
      <c r="X1806" s="6"/>
      <c r="Y1806" s="6"/>
      <c r="Z1806" s="6"/>
      <c r="AX1806" s="6" t="e">
        <v>#N/A</v>
      </c>
    </row>
    <row r="1807" spans="14:50" ht="31.4" customHeight="1" x14ac:dyDescent="0.35">
      <c r="N1807" s="20"/>
      <c r="P1807" s="8"/>
      <c r="Q1807" s="8"/>
      <c r="R1807" s="8"/>
      <c r="S1807" s="8"/>
      <c r="U1807" s="6"/>
      <c r="V1807" s="6"/>
      <c r="W1807" s="6"/>
      <c r="X1807" s="6"/>
      <c r="Y1807" s="6"/>
      <c r="Z1807" s="6"/>
      <c r="AX1807" s="6" t="e">
        <v>#N/A</v>
      </c>
    </row>
    <row r="1808" spans="14:50" ht="31.4" customHeight="1" x14ac:dyDescent="0.35">
      <c r="N1808" s="20"/>
      <c r="P1808" s="8"/>
      <c r="Q1808" s="8"/>
      <c r="R1808" s="8"/>
      <c r="S1808" s="8"/>
      <c r="U1808" s="6"/>
      <c r="V1808" s="6"/>
      <c r="W1808" s="6"/>
      <c r="X1808" s="6"/>
      <c r="Y1808" s="6"/>
      <c r="Z1808" s="6"/>
      <c r="AX1808" s="6" t="e">
        <v>#N/A</v>
      </c>
    </row>
    <row r="1809" spans="14:50" ht="31.4" customHeight="1" x14ac:dyDescent="0.35">
      <c r="N1809" s="20"/>
      <c r="P1809" s="8"/>
      <c r="Q1809" s="8"/>
      <c r="R1809" s="8"/>
      <c r="S1809" s="8"/>
      <c r="U1809" s="6"/>
      <c r="V1809" s="6"/>
      <c r="W1809" s="6"/>
      <c r="X1809" s="6"/>
      <c r="Y1809" s="6"/>
      <c r="Z1809" s="6"/>
      <c r="AX1809" s="6" t="e">
        <v>#N/A</v>
      </c>
    </row>
    <row r="1810" spans="14:50" ht="31.4" customHeight="1" x14ac:dyDescent="0.35">
      <c r="N1810" s="20"/>
      <c r="P1810" s="8"/>
      <c r="Q1810" s="8"/>
      <c r="R1810" s="8"/>
      <c r="S1810" s="8"/>
      <c r="U1810" s="6"/>
      <c r="V1810" s="6"/>
      <c r="W1810" s="6"/>
      <c r="X1810" s="6"/>
      <c r="Y1810" s="6"/>
      <c r="Z1810" s="6"/>
      <c r="AX1810" s="6" t="e">
        <v>#N/A</v>
      </c>
    </row>
    <row r="1811" spans="14:50" ht="31.4" customHeight="1" x14ac:dyDescent="0.35">
      <c r="N1811" s="20"/>
      <c r="P1811" s="8"/>
      <c r="Q1811" s="8"/>
      <c r="R1811" s="8"/>
      <c r="S1811" s="8"/>
      <c r="U1811" s="6"/>
      <c r="V1811" s="6"/>
      <c r="W1811" s="6"/>
      <c r="X1811" s="6"/>
      <c r="Y1811" s="6"/>
      <c r="Z1811" s="6"/>
      <c r="AX1811" s="6" t="e">
        <v>#N/A</v>
      </c>
    </row>
    <row r="1812" spans="14:50" ht="31.4" customHeight="1" x14ac:dyDescent="0.35">
      <c r="N1812" s="20"/>
      <c r="P1812" s="8"/>
      <c r="Q1812" s="8"/>
      <c r="R1812" s="8"/>
      <c r="S1812" s="8"/>
      <c r="U1812" s="6"/>
      <c r="V1812" s="6"/>
      <c r="W1812" s="6"/>
      <c r="X1812" s="6"/>
      <c r="Y1812" s="6"/>
      <c r="Z1812" s="6"/>
      <c r="AX1812" s="6" t="e">
        <v>#N/A</v>
      </c>
    </row>
    <row r="1813" spans="14:50" ht="31.4" customHeight="1" x14ac:dyDescent="0.35">
      <c r="N1813" s="20"/>
      <c r="P1813" s="8"/>
      <c r="Q1813" s="8"/>
      <c r="R1813" s="8"/>
      <c r="S1813" s="8"/>
      <c r="U1813" s="6"/>
      <c r="V1813" s="6"/>
      <c r="W1813" s="6"/>
      <c r="X1813" s="6"/>
      <c r="Y1813" s="6"/>
      <c r="Z1813" s="6"/>
      <c r="AX1813" s="6" t="e">
        <v>#N/A</v>
      </c>
    </row>
    <row r="1814" spans="14:50" ht="31.4" customHeight="1" x14ac:dyDescent="0.35">
      <c r="N1814" s="20"/>
      <c r="P1814" s="8"/>
      <c r="Q1814" s="8"/>
      <c r="R1814" s="8"/>
      <c r="S1814" s="8"/>
      <c r="U1814" s="6"/>
      <c r="V1814" s="6"/>
      <c r="W1814" s="6"/>
      <c r="X1814" s="6"/>
      <c r="Y1814" s="6"/>
      <c r="Z1814" s="6"/>
      <c r="AX1814" s="6" t="e">
        <v>#N/A</v>
      </c>
    </row>
    <row r="1815" spans="14:50" ht="31.4" customHeight="1" x14ac:dyDescent="0.35">
      <c r="N1815" s="20"/>
      <c r="P1815" s="8"/>
      <c r="Q1815" s="8"/>
      <c r="R1815" s="8"/>
      <c r="S1815" s="8"/>
      <c r="U1815" s="6"/>
      <c r="V1815" s="6"/>
      <c r="W1815" s="6"/>
      <c r="X1815" s="6"/>
      <c r="Y1815" s="6"/>
      <c r="Z1815" s="6"/>
      <c r="AX1815" s="6" t="e">
        <v>#N/A</v>
      </c>
    </row>
    <row r="1816" spans="14:50" ht="31.4" customHeight="1" x14ac:dyDescent="0.35">
      <c r="N1816" s="20"/>
      <c r="P1816" s="8"/>
      <c r="Q1816" s="8"/>
      <c r="R1816" s="8"/>
      <c r="S1816" s="8"/>
      <c r="U1816" s="6"/>
      <c r="V1816" s="6"/>
      <c r="W1816" s="6"/>
      <c r="X1816" s="6"/>
      <c r="Y1816" s="6"/>
      <c r="Z1816" s="6"/>
      <c r="AX1816" s="6" t="e">
        <v>#N/A</v>
      </c>
    </row>
    <row r="1817" spans="14:50" ht="31.4" customHeight="1" x14ac:dyDescent="0.35">
      <c r="N1817" s="20"/>
      <c r="P1817" s="8"/>
      <c r="Q1817" s="8"/>
      <c r="R1817" s="8"/>
      <c r="S1817" s="8"/>
      <c r="U1817" s="6"/>
      <c r="V1817" s="6"/>
      <c r="W1817" s="6"/>
      <c r="X1817" s="6"/>
      <c r="Y1817" s="6"/>
      <c r="Z1817" s="6"/>
      <c r="AX1817" s="6" t="e">
        <v>#N/A</v>
      </c>
    </row>
    <row r="1818" spans="14:50" ht="31.4" customHeight="1" x14ac:dyDescent="0.35">
      <c r="N1818" s="20"/>
      <c r="P1818" s="8"/>
      <c r="Q1818" s="8"/>
      <c r="R1818" s="8"/>
      <c r="S1818" s="8"/>
      <c r="U1818" s="6"/>
      <c r="V1818" s="6"/>
      <c r="W1818" s="6"/>
      <c r="X1818" s="6"/>
      <c r="Y1818" s="6"/>
      <c r="Z1818" s="6"/>
      <c r="AX1818" s="6" t="e">
        <v>#N/A</v>
      </c>
    </row>
    <row r="1819" spans="14:50" ht="31.4" customHeight="1" x14ac:dyDescent="0.35">
      <c r="N1819" s="20"/>
      <c r="P1819" s="8"/>
      <c r="Q1819" s="8"/>
      <c r="R1819" s="8"/>
      <c r="S1819" s="8"/>
      <c r="U1819" s="6"/>
      <c r="V1819" s="6"/>
      <c r="W1819" s="6"/>
      <c r="X1819" s="6"/>
      <c r="Y1819" s="6"/>
      <c r="Z1819" s="6"/>
      <c r="AX1819" s="6" t="e">
        <v>#N/A</v>
      </c>
    </row>
    <row r="1820" spans="14:50" ht="31.4" customHeight="1" x14ac:dyDescent="0.35">
      <c r="N1820" s="20"/>
      <c r="P1820" s="8"/>
      <c r="Q1820" s="8"/>
      <c r="R1820" s="8"/>
      <c r="S1820" s="8"/>
      <c r="U1820" s="6"/>
      <c r="V1820" s="6"/>
      <c r="W1820" s="6"/>
      <c r="X1820" s="6"/>
      <c r="Y1820" s="6"/>
      <c r="Z1820" s="6"/>
      <c r="AX1820" s="6" t="e">
        <v>#N/A</v>
      </c>
    </row>
    <row r="1821" spans="14:50" ht="31.4" customHeight="1" x14ac:dyDescent="0.35">
      <c r="N1821" s="20"/>
      <c r="P1821" s="8"/>
      <c r="Q1821" s="8"/>
      <c r="R1821" s="8"/>
      <c r="S1821" s="8"/>
      <c r="U1821" s="6"/>
      <c r="V1821" s="6"/>
      <c r="W1821" s="6"/>
      <c r="X1821" s="6"/>
      <c r="Y1821" s="6"/>
      <c r="Z1821" s="6"/>
      <c r="AX1821" s="6" t="e">
        <v>#N/A</v>
      </c>
    </row>
    <row r="1822" spans="14:50" ht="31.4" customHeight="1" x14ac:dyDescent="0.35">
      <c r="N1822" s="20"/>
      <c r="P1822" s="8"/>
      <c r="Q1822" s="8"/>
      <c r="R1822" s="8"/>
      <c r="S1822" s="8"/>
      <c r="U1822" s="6"/>
      <c r="V1822" s="6"/>
      <c r="W1822" s="6"/>
      <c r="X1822" s="6"/>
      <c r="Y1822" s="6"/>
      <c r="Z1822" s="6"/>
      <c r="AX1822" s="6" t="e">
        <v>#N/A</v>
      </c>
    </row>
    <row r="1823" spans="14:50" ht="31.4" customHeight="1" x14ac:dyDescent="0.35">
      <c r="N1823" s="20"/>
      <c r="P1823" s="8"/>
      <c r="Q1823" s="8"/>
      <c r="R1823" s="8"/>
      <c r="S1823" s="8"/>
      <c r="U1823" s="6"/>
      <c r="V1823" s="6"/>
      <c r="W1823" s="6"/>
      <c r="X1823" s="6"/>
      <c r="Y1823" s="6"/>
      <c r="Z1823" s="6"/>
      <c r="AX1823" s="6" t="e">
        <v>#N/A</v>
      </c>
    </row>
    <row r="1824" spans="14:50" ht="31.4" customHeight="1" x14ac:dyDescent="0.35">
      <c r="N1824" s="20"/>
      <c r="P1824" s="8"/>
      <c r="Q1824" s="8"/>
      <c r="R1824" s="8"/>
      <c r="S1824" s="8"/>
      <c r="U1824" s="6"/>
      <c r="V1824" s="6"/>
      <c r="W1824" s="6"/>
      <c r="X1824" s="6"/>
      <c r="Y1824" s="6"/>
      <c r="Z1824" s="6"/>
      <c r="AX1824" s="6" t="e">
        <v>#N/A</v>
      </c>
    </row>
    <row r="1825" spans="14:50" ht="31.4" customHeight="1" x14ac:dyDescent="0.35">
      <c r="N1825" s="20"/>
      <c r="P1825" s="8"/>
      <c r="Q1825" s="8"/>
      <c r="R1825" s="8"/>
      <c r="S1825" s="8"/>
      <c r="U1825" s="6"/>
      <c r="V1825" s="6"/>
      <c r="W1825" s="6"/>
      <c r="X1825" s="6"/>
      <c r="Y1825" s="6"/>
      <c r="Z1825" s="6"/>
      <c r="AX1825" s="6" t="e">
        <v>#N/A</v>
      </c>
    </row>
    <row r="1826" spans="14:50" ht="31.4" customHeight="1" x14ac:dyDescent="0.35">
      <c r="N1826" s="20"/>
      <c r="P1826" s="8"/>
      <c r="Q1826" s="8"/>
      <c r="R1826" s="8"/>
      <c r="S1826" s="8"/>
      <c r="U1826" s="6"/>
      <c r="V1826" s="6"/>
      <c r="W1826" s="6"/>
      <c r="X1826" s="6"/>
      <c r="Y1826" s="6"/>
      <c r="Z1826" s="6"/>
      <c r="AX1826" s="6" t="e">
        <v>#N/A</v>
      </c>
    </row>
    <row r="1827" spans="14:50" ht="31.4" customHeight="1" x14ac:dyDescent="0.35">
      <c r="N1827" s="20"/>
      <c r="P1827" s="8"/>
      <c r="Q1827" s="8"/>
      <c r="R1827" s="8"/>
      <c r="S1827" s="8"/>
      <c r="U1827" s="6"/>
      <c r="V1827" s="6"/>
      <c r="W1827" s="6"/>
      <c r="X1827" s="6"/>
      <c r="Y1827" s="6"/>
      <c r="Z1827" s="6"/>
      <c r="AX1827" s="6" t="e">
        <v>#N/A</v>
      </c>
    </row>
    <row r="1828" spans="14:50" ht="31.4" customHeight="1" x14ac:dyDescent="0.35">
      <c r="N1828" s="20"/>
      <c r="P1828" s="8"/>
      <c r="Q1828" s="8"/>
      <c r="R1828" s="8"/>
      <c r="S1828" s="8"/>
      <c r="U1828" s="6"/>
      <c r="V1828" s="6"/>
      <c r="W1828" s="6"/>
      <c r="X1828" s="6"/>
      <c r="Y1828" s="6"/>
      <c r="Z1828" s="6"/>
      <c r="AX1828" s="6" t="e">
        <v>#N/A</v>
      </c>
    </row>
    <row r="1829" spans="14:50" ht="31.4" customHeight="1" x14ac:dyDescent="0.35">
      <c r="N1829" s="20"/>
      <c r="P1829" s="8"/>
      <c r="Q1829" s="8"/>
      <c r="R1829" s="8"/>
      <c r="S1829" s="8"/>
      <c r="U1829" s="6"/>
      <c r="V1829" s="6"/>
      <c r="W1829" s="6"/>
      <c r="X1829" s="6"/>
      <c r="Y1829" s="6"/>
      <c r="Z1829" s="6"/>
      <c r="AX1829" s="6" t="e">
        <v>#N/A</v>
      </c>
    </row>
    <row r="1830" spans="14:50" ht="31.4" customHeight="1" x14ac:dyDescent="0.35">
      <c r="N1830" s="20"/>
      <c r="P1830" s="8"/>
      <c r="Q1830" s="8"/>
      <c r="R1830" s="8"/>
      <c r="S1830" s="8"/>
      <c r="U1830" s="6"/>
      <c r="V1830" s="6"/>
      <c r="W1830" s="6"/>
      <c r="X1830" s="6"/>
      <c r="Y1830" s="6"/>
      <c r="Z1830" s="6"/>
      <c r="AX1830" s="6" t="e">
        <v>#N/A</v>
      </c>
    </row>
    <row r="1831" spans="14:50" ht="31.4" customHeight="1" x14ac:dyDescent="0.35">
      <c r="N1831" s="20"/>
      <c r="P1831" s="8"/>
      <c r="Q1831" s="8"/>
      <c r="R1831" s="8"/>
      <c r="S1831" s="8"/>
      <c r="U1831" s="6"/>
      <c r="V1831" s="6"/>
      <c r="W1831" s="6"/>
      <c r="X1831" s="6"/>
      <c r="Y1831" s="6"/>
      <c r="Z1831" s="6"/>
      <c r="AX1831" s="6" t="e">
        <v>#N/A</v>
      </c>
    </row>
    <row r="1832" spans="14:50" ht="31.4" customHeight="1" x14ac:dyDescent="0.35">
      <c r="N1832" s="20"/>
      <c r="P1832" s="8"/>
      <c r="Q1832" s="8"/>
      <c r="R1832" s="8"/>
      <c r="S1832" s="8"/>
      <c r="U1832" s="6"/>
      <c r="V1832" s="6"/>
      <c r="W1832" s="6"/>
      <c r="X1832" s="6"/>
      <c r="Y1832" s="6"/>
      <c r="Z1832" s="6"/>
      <c r="AX1832" s="6" t="e">
        <v>#N/A</v>
      </c>
    </row>
    <row r="1833" spans="14:50" ht="31.4" customHeight="1" x14ac:dyDescent="0.35">
      <c r="N1833" s="20"/>
      <c r="P1833" s="8"/>
      <c r="Q1833" s="8"/>
      <c r="R1833" s="8"/>
      <c r="S1833" s="8"/>
      <c r="U1833" s="6"/>
      <c r="V1833" s="6"/>
      <c r="W1833" s="6"/>
      <c r="X1833" s="6"/>
      <c r="Y1833" s="6"/>
      <c r="Z1833" s="6"/>
      <c r="AX1833" s="6" t="e">
        <v>#N/A</v>
      </c>
    </row>
    <row r="1834" spans="14:50" ht="31.4" customHeight="1" x14ac:dyDescent="0.35">
      <c r="N1834" s="20"/>
      <c r="P1834" s="8"/>
      <c r="Q1834" s="8"/>
      <c r="R1834" s="8"/>
      <c r="S1834" s="8"/>
      <c r="U1834" s="6"/>
      <c r="V1834" s="6"/>
      <c r="W1834" s="6"/>
      <c r="X1834" s="6"/>
      <c r="Y1834" s="6"/>
      <c r="Z1834" s="6"/>
      <c r="AX1834" s="6" t="e">
        <v>#N/A</v>
      </c>
    </row>
    <row r="1835" spans="14:50" ht="31.4" customHeight="1" x14ac:dyDescent="0.35">
      <c r="N1835" s="20"/>
      <c r="P1835" s="8"/>
      <c r="Q1835" s="8"/>
      <c r="R1835" s="8"/>
      <c r="S1835" s="8"/>
      <c r="U1835" s="6"/>
      <c r="V1835" s="6"/>
      <c r="W1835" s="6"/>
      <c r="X1835" s="6"/>
      <c r="Y1835" s="6"/>
      <c r="Z1835" s="6"/>
      <c r="AX1835" s="6" t="e">
        <v>#N/A</v>
      </c>
    </row>
    <row r="1836" spans="14:50" ht="31.4" customHeight="1" x14ac:dyDescent="0.35">
      <c r="N1836" s="20"/>
      <c r="P1836" s="8"/>
      <c r="Q1836" s="8"/>
      <c r="R1836" s="8"/>
      <c r="S1836" s="8"/>
      <c r="U1836" s="6"/>
      <c r="V1836" s="6"/>
      <c r="W1836" s="6"/>
      <c r="X1836" s="6"/>
      <c r="Y1836" s="6"/>
      <c r="Z1836" s="6"/>
      <c r="AX1836" s="6" t="e">
        <v>#N/A</v>
      </c>
    </row>
    <row r="1837" spans="14:50" ht="31.4" customHeight="1" x14ac:dyDescent="0.35">
      <c r="N1837" s="20"/>
      <c r="P1837" s="8"/>
      <c r="Q1837" s="8"/>
      <c r="R1837" s="8"/>
      <c r="S1837" s="8"/>
      <c r="U1837" s="6"/>
      <c r="V1837" s="6"/>
      <c r="W1837" s="6"/>
      <c r="X1837" s="6"/>
      <c r="Y1837" s="6"/>
      <c r="Z1837" s="6"/>
      <c r="AX1837" s="6" t="e">
        <v>#N/A</v>
      </c>
    </row>
    <row r="1838" spans="14:50" ht="31.4" customHeight="1" x14ac:dyDescent="0.35">
      <c r="N1838" s="20"/>
      <c r="P1838" s="8"/>
      <c r="Q1838" s="8"/>
      <c r="R1838" s="8"/>
      <c r="S1838" s="8"/>
      <c r="U1838" s="6"/>
      <c r="V1838" s="6"/>
      <c r="W1838" s="6"/>
      <c r="X1838" s="6"/>
      <c r="Y1838" s="6"/>
      <c r="Z1838" s="6"/>
      <c r="AX1838" s="6" t="e">
        <v>#N/A</v>
      </c>
    </row>
    <row r="1839" spans="14:50" ht="31.4" customHeight="1" x14ac:dyDescent="0.35">
      <c r="N1839" s="20"/>
      <c r="P1839" s="8"/>
      <c r="Q1839" s="8"/>
      <c r="R1839" s="8"/>
      <c r="S1839" s="8"/>
      <c r="U1839" s="6"/>
      <c r="V1839" s="6"/>
      <c r="W1839" s="6"/>
      <c r="X1839" s="6"/>
      <c r="Y1839" s="6"/>
      <c r="Z1839" s="6"/>
      <c r="AX1839" s="6" t="e">
        <v>#N/A</v>
      </c>
    </row>
    <row r="1840" spans="14:50" ht="31.4" customHeight="1" x14ac:dyDescent="0.35">
      <c r="N1840" s="20"/>
      <c r="P1840" s="8"/>
      <c r="Q1840" s="8"/>
      <c r="R1840" s="8"/>
      <c r="S1840" s="8"/>
      <c r="U1840" s="6"/>
      <c r="V1840" s="6"/>
      <c r="W1840" s="6"/>
      <c r="X1840" s="6"/>
      <c r="Y1840" s="6"/>
      <c r="Z1840" s="6"/>
      <c r="AX1840" s="6" t="e">
        <v>#N/A</v>
      </c>
    </row>
    <row r="1841" spans="14:50" ht="31.4" customHeight="1" x14ac:dyDescent="0.35">
      <c r="N1841" s="20"/>
      <c r="P1841" s="8"/>
      <c r="Q1841" s="8"/>
      <c r="R1841" s="8"/>
      <c r="S1841" s="8"/>
      <c r="U1841" s="6"/>
      <c r="V1841" s="6"/>
      <c r="W1841" s="6"/>
      <c r="X1841" s="6"/>
      <c r="Y1841" s="6"/>
      <c r="Z1841" s="6"/>
      <c r="AX1841" s="6" t="e">
        <v>#N/A</v>
      </c>
    </row>
    <row r="1842" spans="14:50" ht="31.4" customHeight="1" x14ac:dyDescent="0.35">
      <c r="N1842" s="20"/>
      <c r="P1842" s="8"/>
      <c r="Q1842" s="8"/>
      <c r="R1842" s="8"/>
      <c r="S1842" s="8"/>
      <c r="U1842" s="6"/>
      <c r="V1842" s="6"/>
      <c r="W1842" s="6"/>
      <c r="X1842" s="6"/>
      <c r="Y1842" s="6"/>
      <c r="Z1842" s="6"/>
      <c r="AX1842" s="6" t="e">
        <v>#N/A</v>
      </c>
    </row>
    <row r="1843" spans="14:50" ht="31.4" customHeight="1" x14ac:dyDescent="0.35">
      <c r="N1843" s="20"/>
      <c r="P1843" s="8"/>
      <c r="Q1843" s="8"/>
      <c r="R1843" s="8"/>
      <c r="S1843" s="8"/>
      <c r="U1843" s="6"/>
      <c r="V1843" s="6"/>
      <c r="W1843" s="6"/>
      <c r="X1843" s="6"/>
      <c r="Y1843" s="6"/>
      <c r="Z1843" s="6"/>
      <c r="AX1843" s="6" t="e">
        <v>#N/A</v>
      </c>
    </row>
    <row r="1844" spans="14:50" ht="31.4" customHeight="1" x14ac:dyDescent="0.35">
      <c r="N1844" s="20"/>
      <c r="P1844" s="8"/>
      <c r="Q1844" s="8"/>
      <c r="R1844" s="8"/>
      <c r="S1844" s="8"/>
      <c r="U1844" s="6"/>
      <c r="V1844" s="6"/>
      <c r="W1844" s="6"/>
      <c r="X1844" s="6"/>
      <c r="Y1844" s="6"/>
      <c r="Z1844" s="6"/>
      <c r="AX1844" s="6" t="e">
        <v>#N/A</v>
      </c>
    </row>
    <row r="1845" spans="14:50" ht="31.4" customHeight="1" x14ac:dyDescent="0.35">
      <c r="N1845" s="20"/>
      <c r="P1845" s="8"/>
      <c r="Q1845" s="8"/>
      <c r="R1845" s="8"/>
      <c r="S1845" s="8"/>
      <c r="U1845" s="6"/>
      <c r="V1845" s="6"/>
      <c r="W1845" s="6"/>
      <c r="X1845" s="6"/>
      <c r="Y1845" s="6"/>
      <c r="Z1845" s="6"/>
      <c r="AX1845" s="6" t="e">
        <v>#N/A</v>
      </c>
    </row>
    <row r="1846" spans="14:50" ht="31.4" customHeight="1" x14ac:dyDescent="0.35">
      <c r="N1846" s="20"/>
      <c r="P1846" s="8"/>
      <c r="Q1846" s="8"/>
      <c r="R1846" s="8"/>
      <c r="S1846" s="8"/>
      <c r="U1846" s="6"/>
      <c r="V1846" s="6"/>
      <c r="W1846" s="6"/>
      <c r="X1846" s="6"/>
      <c r="Y1846" s="6"/>
      <c r="Z1846" s="6"/>
      <c r="AX1846" s="6" t="e">
        <v>#N/A</v>
      </c>
    </row>
    <row r="1847" spans="14:50" ht="31.4" customHeight="1" x14ac:dyDescent="0.35">
      <c r="N1847" s="20"/>
      <c r="P1847" s="8"/>
      <c r="Q1847" s="8"/>
      <c r="R1847" s="8"/>
      <c r="S1847" s="8"/>
      <c r="U1847" s="6"/>
      <c r="V1847" s="6"/>
      <c r="W1847" s="6"/>
      <c r="X1847" s="6"/>
      <c r="Y1847" s="6"/>
      <c r="Z1847" s="6"/>
      <c r="AX1847" s="6" t="e">
        <v>#N/A</v>
      </c>
    </row>
    <row r="1848" spans="14:50" ht="31.4" customHeight="1" x14ac:dyDescent="0.35">
      <c r="N1848" s="20"/>
      <c r="P1848" s="8"/>
      <c r="Q1848" s="8"/>
      <c r="R1848" s="8"/>
      <c r="S1848" s="8"/>
      <c r="U1848" s="6"/>
      <c r="V1848" s="6"/>
      <c r="W1848" s="6"/>
      <c r="X1848" s="6"/>
      <c r="Y1848" s="6"/>
      <c r="Z1848" s="6"/>
      <c r="AX1848" s="6" t="e">
        <v>#N/A</v>
      </c>
    </row>
    <row r="1849" spans="14:50" ht="31.4" customHeight="1" x14ac:dyDescent="0.35">
      <c r="N1849" s="20"/>
      <c r="P1849" s="8"/>
      <c r="Q1849" s="8"/>
      <c r="R1849" s="8"/>
      <c r="S1849" s="8"/>
      <c r="U1849" s="6"/>
      <c r="V1849" s="6"/>
      <c r="W1849" s="6"/>
      <c r="X1849" s="6"/>
      <c r="Y1849" s="6"/>
      <c r="Z1849" s="6"/>
      <c r="AX1849" s="6" t="e">
        <v>#N/A</v>
      </c>
    </row>
    <row r="1850" spans="14:50" ht="31.4" customHeight="1" x14ac:dyDescent="0.35">
      <c r="N1850" s="20"/>
      <c r="P1850" s="8"/>
      <c r="Q1850" s="8"/>
      <c r="R1850" s="8"/>
      <c r="S1850" s="8"/>
      <c r="U1850" s="6"/>
      <c r="V1850" s="6"/>
      <c r="W1850" s="6"/>
      <c r="X1850" s="6"/>
      <c r="Y1850" s="6"/>
      <c r="Z1850" s="6"/>
      <c r="AX1850" s="6" t="e">
        <v>#N/A</v>
      </c>
    </row>
    <row r="1851" spans="14:50" ht="31.4" customHeight="1" x14ac:dyDescent="0.35">
      <c r="N1851" s="20"/>
      <c r="P1851" s="8"/>
      <c r="Q1851" s="8"/>
      <c r="R1851" s="8"/>
      <c r="S1851" s="8"/>
      <c r="U1851" s="6"/>
      <c r="V1851" s="6"/>
      <c r="W1851" s="6"/>
      <c r="X1851" s="6"/>
      <c r="Y1851" s="6"/>
      <c r="Z1851" s="6"/>
      <c r="AX1851" s="6" t="e">
        <v>#N/A</v>
      </c>
    </row>
    <row r="1852" spans="14:50" ht="31.4" customHeight="1" x14ac:dyDescent="0.35">
      <c r="N1852" s="20"/>
      <c r="P1852" s="8"/>
      <c r="Q1852" s="8"/>
      <c r="R1852" s="8"/>
      <c r="S1852" s="8"/>
      <c r="U1852" s="6"/>
      <c r="V1852" s="6"/>
      <c r="W1852" s="6"/>
      <c r="X1852" s="6"/>
      <c r="Y1852" s="6"/>
      <c r="Z1852" s="6"/>
      <c r="AX1852" s="6" t="e">
        <v>#N/A</v>
      </c>
    </row>
    <row r="1853" spans="14:50" ht="31.4" customHeight="1" x14ac:dyDescent="0.35">
      <c r="N1853" s="20"/>
      <c r="P1853" s="8"/>
      <c r="Q1853" s="8"/>
      <c r="R1853" s="8"/>
      <c r="S1853" s="8"/>
      <c r="U1853" s="6"/>
      <c r="V1853" s="6"/>
      <c r="W1853" s="6"/>
      <c r="X1853" s="6"/>
      <c r="Y1853" s="6"/>
      <c r="Z1853" s="6"/>
      <c r="AX1853" s="6" t="e">
        <v>#N/A</v>
      </c>
    </row>
    <row r="1854" spans="14:50" ht="31.4" customHeight="1" x14ac:dyDescent="0.35">
      <c r="N1854" s="20"/>
      <c r="P1854" s="8"/>
      <c r="Q1854" s="8"/>
      <c r="R1854" s="8"/>
      <c r="S1854" s="8"/>
      <c r="U1854" s="6"/>
      <c r="V1854" s="6"/>
      <c r="W1854" s="6"/>
      <c r="X1854" s="6"/>
      <c r="Y1854" s="6"/>
      <c r="Z1854" s="6"/>
      <c r="AX1854" s="6" t="e">
        <v>#N/A</v>
      </c>
    </row>
    <row r="1855" spans="14:50" ht="31.4" customHeight="1" x14ac:dyDescent="0.35">
      <c r="N1855" s="20"/>
      <c r="P1855" s="8"/>
      <c r="Q1855" s="8"/>
      <c r="R1855" s="8"/>
      <c r="S1855" s="8"/>
      <c r="U1855" s="6"/>
      <c r="V1855" s="6"/>
      <c r="W1855" s="6"/>
      <c r="X1855" s="6"/>
      <c r="Y1855" s="6"/>
      <c r="Z1855" s="6"/>
      <c r="AX1855" s="6" t="e">
        <v>#N/A</v>
      </c>
    </row>
    <row r="1856" spans="14:50" ht="31.4" customHeight="1" x14ac:dyDescent="0.35">
      <c r="N1856" s="20"/>
      <c r="P1856" s="8"/>
      <c r="Q1856" s="8"/>
      <c r="R1856" s="8"/>
      <c r="S1856" s="8"/>
      <c r="U1856" s="6"/>
      <c r="V1856" s="6"/>
      <c r="W1856" s="6"/>
      <c r="X1856" s="6"/>
      <c r="Y1856" s="6"/>
      <c r="Z1856" s="6"/>
      <c r="AX1856" s="6" t="e">
        <v>#N/A</v>
      </c>
    </row>
    <row r="1857" spans="14:50" ht="31.4" customHeight="1" x14ac:dyDescent="0.35">
      <c r="N1857" s="20"/>
      <c r="P1857" s="8"/>
      <c r="Q1857" s="8"/>
      <c r="R1857" s="8"/>
      <c r="S1857" s="8"/>
      <c r="U1857" s="6"/>
      <c r="V1857" s="6"/>
      <c r="W1857" s="6"/>
      <c r="X1857" s="6"/>
      <c r="Y1857" s="6"/>
      <c r="Z1857" s="6"/>
      <c r="AX1857" s="6" t="e">
        <v>#N/A</v>
      </c>
    </row>
    <row r="1858" spans="14:50" ht="31.4" customHeight="1" x14ac:dyDescent="0.35">
      <c r="N1858" s="20"/>
      <c r="P1858" s="8"/>
      <c r="Q1858" s="8"/>
      <c r="R1858" s="8"/>
      <c r="S1858" s="8"/>
      <c r="U1858" s="6"/>
      <c r="V1858" s="6"/>
      <c r="W1858" s="6"/>
      <c r="X1858" s="6"/>
      <c r="Y1858" s="6"/>
      <c r="Z1858" s="6"/>
      <c r="AX1858" s="6" t="e">
        <v>#N/A</v>
      </c>
    </row>
    <row r="1859" spans="14:50" ht="31.4" customHeight="1" x14ac:dyDescent="0.35">
      <c r="N1859" s="20"/>
      <c r="P1859" s="8"/>
      <c r="Q1859" s="8"/>
      <c r="R1859" s="8"/>
      <c r="S1859" s="8"/>
      <c r="U1859" s="6"/>
      <c r="V1859" s="6"/>
      <c r="W1859" s="6"/>
      <c r="X1859" s="6"/>
      <c r="Y1859" s="6"/>
      <c r="Z1859" s="6"/>
      <c r="AX1859" s="6" t="e">
        <v>#N/A</v>
      </c>
    </row>
    <row r="1860" spans="14:50" ht="31.4" customHeight="1" x14ac:dyDescent="0.35">
      <c r="N1860" s="20"/>
      <c r="P1860" s="8"/>
      <c r="Q1860" s="8"/>
      <c r="R1860" s="8"/>
      <c r="S1860" s="8"/>
      <c r="U1860" s="6"/>
      <c r="V1860" s="6"/>
      <c r="W1860" s="6"/>
      <c r="X1860" s="6"/>
      <c r="Y1860" s="6"/>
      <c r="Z1860" s="6"/>
      <c r="AX1860" s="6" t="e">
        <v>#N/A</v>
      </c>
    </row>
    <row r="1861" spans="14:50" ht="31.4" customHeight="1" x14ac:dyDescent="0.35">
      <c r="N1861" s="20"/>
      <c r="P1861" s="8"/>
      <c r="Q1861" s="8"/>
      <c r="R1861" s="8"/>
      <c r="S1861" s="8"/>
      <c r="U1861" s="6"/>
      <c r="V1861" s="6"/>
      <c r="W1861" s="6"/>
      <c r="X1861" s="6"/>
      <c r="Y1861" s="6"/>
      <c r="Z1861" s="6"/>
      <c r="AX1861" s="6" t="e">
        <v>#N/A</v>
      </c>
    </row>
    <row r="1862" spans="14:50" ht="31.4" customHeight="1" x14ac:dyDescent="0.35">
      <c r="N1862" s="20"/>
      <c r="P1862" s="8"/>
      <c r="Q1862" s="8"/>
      <c r="R1862" s="8"/>
      <c r="S1862" s="8"/>
      <c r="U1862" s="6"/>
      <c r="V1862" s="6"/>
      <c r="W1862" s="6"/>
      <c r="X1862" s="6"/>
      <c r="Y1862" s="6"/>
      <c r="Z1862" s="6"/>
      <c r="AX1862" s="6" t="e">
        <v>#N/A</v>
      </c>
    </row>
    <row r="1863" spans="14:50" ht="31.4" customHeight="1" x14ac:dyDescent="0.35">
      <c r="N1863" s="20"/>
      <c r="P1863" s="8"/>
      <c r="Q1863" s="8"/>
      <c r="R1863" s="8"/>
      <c r="S1863" s="8"/>
      <c r="U1863" s="6"/>
      <c r="V1863" s="6"/>
      <c r="W1863" s="6"/>
      <c r="X1863" s="6"/>
      <c r="Y1863" s="6"/>
      <c r="Z1863" s="6"/>
      <c r="AX1863" s="6" t="e">
        <v>#N/A</v>
      </c>
    </row>
    <row r="1864" spans="14:50" ht="31.4" customHeight="1" x14ac:dyDescent="0.35">
      <c r="N1864" s="20"/>
      <c r="P1864" s="8"/>
      <c r="Q1864" s="8"/>
      <c r="R1864" s="8"/>
      <c r="S1864" s="8"/>
      <c r="U1864" s="6"/>
      <c r="V1864" s="6"/>
      <c r="W1864" s="6"/>
      <c r="X1864" s="6"/>
      <c r="Y1864" s="6"/>
      <c r="Z1864" s="6"/>
      <c r="AX1864" s="6" t="e">
        <v>#N/A</v>
      </c>
    </row>
    <row r="1865" spans="14:50" ht="31.4" customHeight="1" x14ac:dyDescent="0.35">
      <c r="N1865" s="20"/>
      <c r="P1865" s="8"/>
      <c r="Q1865" s="8"/>
      <c r="R1865" s="8"/>
      <c r="S1865" s="8"/>
      <c r="U1865" s="6"/>
      <c r="V1865" s="6"/>
      <c r="W1865" s="6"/>
      <c r="X1865" s="6"/>
      <c r="Y1865" s="6"/>
      <c r="Z1865" s="6"/>
      <c r="AX1865" s="6" t="e">
        <v>#N/A</v>
      </c>
    </row>
    <row r="1866" spans="14:50" ht="31.4" customHeight="1" x14ac:dyDescent="0.35">
      <c r="N1866" s="20"/>
      <c r="P1866" s="8"/>
      <c r="Q1866" s="8"/>
      <c r="R1866" s="8"/>
      <c r="S1866" s="8"/>
      <c r="U1866" s="6"/>
      <c r="V1866" s="6"/>
      <c r="W1866" s="6"/>
      <c r="X1866" s="6"/>
      <c r="Y1866" s="6"/>
      <c r="Z1866" s="6"/>
      <c r="AX1866" s="6" t="e">
        <v>#N/A</v>
      </c>
    </row>
    <row r="1867" spans="14:50" ht="31.4" customHeight="1" x14ac:dyDescent="0.35">
      <c r="N1867" s="20"/>
      <c r="P1867" s="8"/>
      <c r="Q1867" s="8"/>
      <c r="R1867" s="8"/>
      <c r="S1867" s="8"/>
      <c r="U1867" s="6"/>
      <c r="V1867" s="6"/>
      <c r="W1867" s="6"/>
      <c r="X1867" s="6"/>
      <c r="Y1867" s="6"/>
      <c r="Z1867" s="6"/>
      <c r="AX1867" s="6" t="e">
        <v>#N/A</v>
      </c>
    </row>
    <row r="1868" spans="14:50" ht="31.4" customHeight="1" x14ac:dyDescent="0.35">
      <c r="N1868" s="20"/>
      <c r="P1868" s="8"/>
      <c r="Q1868" s="8"/>
      <c r="R1868" s="8"/>
      <c r="S1868" s="8"/>
      <c r="U1868" s="6"/>
      <c r="V1868" s="6"/>
      <c r="W1868" s="6"/>
      <c r="X1868" s="6"/>
      <c r="Y1868" s="6"/>
      <c r="Z1868" s="6"/>
      <c r="AX1868" s="6" t="e">
        <v>#N/A</v>
      </c>
    </row>
    <row r="1869" spans="14:50" ht="31.4" customHeight="1" x14ac:dyDescent="0.35">
      <c r="N1869" s="20"/>
      <c r="P1869" s="8"/>
      <c r="Q1869" s="8"/>
      <c r="R1869" s="8"/>
      <c r="S1869" s="8"/>
      <c r="U1869" s="6"/>
      <c r="V1869" s="6"/>
      <c r="W1869" s="6"/>
      <c r="X1869" s="6"/>
      <c r="Y1869" s="6"/>
      <c r="Z1869" s="6"/>
      <c r="AX1869" s="6" t="e">
        <v>#N/A</v>
      </c>
    </row>
    <row r="1870" spans="14:50" ht="31.4" customHeight="1" x14ac:dyDescent="0.35">
      <c r="N1870" s="20"/>
      <c r="P1870" s="8"/>
      <c r="Q1870" s="8"/>
      <c r="R1870" s="8"/>
      <c r="S1870" s="8"/>
      <c r="U1870" s="6"/>
      <c r="V1870" s="6"/>
      <c r="W1870" s="6"/>
      <c r="X1870" s="6"/>
      <c r="Y1870" s="6"/>
      <c r="Z1870" s="6"/>
      <c r="AX1870" s="6" t="e">
        <v>#N/A</v>
      </c>
    </row>
    <row r="1871" spans="14:50" ht="31.4" customHeight="1" x14ac:dyDescent="0.35">
      <c r="N1871" s="20"/>
      <c r="P1871" s="8"/>
      <c r="Q1871" s="8"/>
      <c r="R1871" s="8"/>
      <c r="S1871" s="8"/>
      <c r="U1871" s="6"/>
      <c r="V1871" s="6"/>
      <c r="W1871" s="6"/>
      <c r="X1871" s="6"/>
      <c r="Y1871" s="6"/>
      <c r="Z1871" s="6"/>
      <c r="AX1871" s="6" t="e">
        <v>#N/A</v>
      </c>
    </row>
    <row r="1872" spans="14:50" ht="31.4" customHeight="1" x14ac:dyDescent="0.35">
      <c r="N1872" s="20"/>
      <c r="P1872" s="8"/>
      <c r="Q1872" s="8"/>
      <c r="R1872" s="8"/>
      <c r="S1872" s="8"/>
      <c r="U1872" s="6"/>
      <c r="V1872" s="6"/>
      <c r="W1872" s="6"/>
      <c r="X1872" s="6"/>
      <c r="Y1872" s="6"/>
      <c r="Z1872" s="6"/>
      <c r="AX1872" s="6" t="e">
        <v>#N/A</v>
      </c>
    </row>
    <row r="1873" spans="14:50" ht="31.4" customHeight="1" x14ac:dyDescent="0.35">
      <c r="N1873" s="20"/>
      <c r="P1873" s="8"/>
      <c r="Q1873" s="8"/>
      <c r="R1873" s="8"/>
      <c r="S1873" s="8"/>
      <c r="U1873" s="6"/>
      <c r="V1873" s="6"/>
      <c r="W1873" s="6"/>
      <c r="X1873" s="6"/>
      <c r="Y1873" s="6"/>
      <c r="Z1873" s="6"/>
      <c r="AX1873" s="6" t="e">
        <v>#N/A</v>
      </c>
    </row>
    <row r="1874" spans="14:50" ht="31.4" customHeight="1" x14ac:dyDescent="0.35">
      <c r="N1874" s="20"/>
      <c r="P1874" s="8"/>
      <c r="Q1874" s="8"/>
      <c r="R1874" s="8"/>
      <c r="S1874" s="8"/>
      <c r="U1874" s="6"/>
      <c r="V1874" s="6"/>
      <c r="W1874" s="6"/>
      <c r="X1874" s="6"/>
      <c r="Y1874" s="6"/>
      <c r="Z1874" s="6"/>
      <c r="AX1874" s="6" t="e">
        <v>#N/A</v>
      </c>
    </row>
    <row r="1875" spans="14:50" ht="31.4" customHeight="1" x14ac:dyDescent="0.35">
      <c r="N1875" s="20"/>
      <c r="P1875" s="8"/>
      <c r="Q1875" s="8"/>
      <c r="R1875" s="8"/>
      <c r="S1875" s="8"/>
      <c r="U1875" s="6"/>
      <c r="V1875" s="6"/>
      <c r="W1875" s="6"/>
      <c r="X1875" s="6"/>
      <c r="Y1875" s="6"/>
      <c r="Z1875" s="6"/>
      <c r="AX1875" s="6" t="e">
        <v>#N/A</v>
      </c>
    </row>
    <row r="1876" spans="14:50" ht="31.4" customHeight="1" x14ac:dyDescent="0.35">
      <c r="N1876" s="20"/>
      <c r="P1876" s="8"/>
      <c r="Q1876" s="8"/>
      <c r="R1876" s="8"/>
      <c r="S1876" s="8"/>
      <c r="U1876" s="6"/>
      <c r="V1876" s="6"/>
      <c r="W1876" s="6"/>
      <c r="X1876" s="6"/>
      <c r="Y1876" s="6"/>
      <c r="Z1876" s="6"/>
      <c r="AX1876" s="6" t="e">
        <v>#N/A</v>
      </c>
    </row>
    <row r="1877" spans="14:50" ht="31.4" customHeight="1" x14ac:dyDescent="0.35">
      <c r="N1877" s="20"/>
      <c r="P1877" s="8"/>
      <c r="Q1877" s="8"/>
      <c r="R1877" s="8"/>
      <c r="S1877" s="8"/>
      <c r="U1877" s="6"/>
      <c r="V1877" s="6"/>
      <c r="W1877" s="6"/>
      <c r="X1877" s="6"/>
      <c r="Y1877" s="6"/>
      <c r="Z1877" s="6"/>
      <c r="AX1877" s="6" t="e">
        <v>#N/A</v>
      </c>
    </row>
    <row r="1878" spans="14:50" ht="31.4" customHeight="1" x14ac:dyDescent="0.35">
      <c r="N1878" s="20"/>
      <c r="P1878" s="8"/>
      <c r="Q1878" s="8"/>
      <c r="R1878" s="8"/>
      <c r="S1878" s="8"/>
      <c r="U1878" s="6"/>
      <c r="V1878" s="6"/>
      <c r="W1878" s="6"/>
      <c r="X1878" s="6"/>
      <c r="Y1878" s="6"/>
      <c r="Z1878" s="6"/>
      <c r="AX1878" s="6" t="e">
        <v>#N/A</v>
      </c>
    </row>
    <row r="1879" spans="14:50" ht="31.4" customHeight="1" x14ac:dyDescent="0.35">
      <c r="N1879" s="20"/>
      <c r="P1879" s="8"/>
      <c r="Q1879" s="8"/>
      <c r="R1879" s="8"/>
      <c r="S1879" s="8"/>
      <c r="U1879" s="6"/>
      <c r="V1879" s="6"/>
      <c r="W1879" s="6"/>
      <c r="X1879" s="6"/>
      <c r="Y1879" s="6"/>
      <c r="Z1879" s="6"/>
      <c r="AX1879" s="6" t="e">
        <v>#N/A</v>
      </c>
    </row>
    <row r="1880" spans="14:50" ht="31.4" customHeight="1" x14ac:dyDescent="0.35">
      <c r="N1880" s="20"/>
      <c r="P1880" s="8"/>
      <c r="Q1880" s="8"/>
      <c r="R1880" s="8"/>
      <c r="S1880" s="8"/>
      <c r="U1880" s="6"/>
      <c r="V1880" s="6"/>
      <c r="W1880" s="6"/>
      <c r="X1880" s="6"/>
      <c r="Y1880" s="6"/>
      <c r="Z1880" s="6"/>
      <c r="AX1880" s="6" t="e">
        <v>#N/A</v>
      </c>
    </row>
    <row r="1881" spans="14:50" ht="31.4" customHeight="1" x14ac:dyDescent="0.35">
      <c r="N1881" s="20"/>
      <c r="P1881" s="8"/>
      <c r="Q1881" s="8"/>
      <c r="R1881" s="8"/>
      <c r="S1881" s="8"/>
      <c r="U1881" s="6"/>
      <c r="V1881" s="6"/>
      <c r="W1881" s="6"/>
      <c r="X1881" s="6"/>
      <c r="Y1881" s="6"/>
      <c r="Z1881" s="6"/>
      <c r="AX1881" s="6" t="e">
        <v>#N/A</v>
      </c>
    </row>
    <row r="1882" spans="14:50" ht="31.4" customHeight="1" x14ac:dyDescent="0.35">
      <c r="N1882" s="20"/>
      <c r="P1882" s="8"/>
      <c r="Q1882" s="8"/>
      <c r="R1882" s="8"/>
      <c r="S1882" s="8"/>
      <c r="U1882" s="6"/>
      <c r="V1882" s="6"/>
      <c r="W1882" s="6"/>
      <c r="X1882" s="6"/>
      <c r="Y1882" s="6"/>
      <c r="Z1882" s="6"/>
      <c r="AX1882" s="6" t="e">
        <v>#N/A</v>
      </c>
    </row>
    <row r="1883" spans="14:50" ht="31.4" customHeight="1" x14ac:dyDescent="0.35">
      <c r="N1883" s="20"/>
      <c r="P1883" s="8"/>
      <c r="Q1883" s="8"/>
      <c r="R1883" s="8"/>
      <c r="S1883" s="8"/>
      <c r="U1883" s="6"/>
      <c r="V1883" s="6"/>
      <c r="W1883" s="6"/>
      <c r="X1883" s="6"/>
      <c r="Y1883" s="6"/>
      <c r="Z1883" s="6"/>
      <c r="AX1883" s="6" t="e">
        <v>#N/A</v>
      </c>
    </row>
    <row r="1884" spans="14:50" ht="31.4" customHeight="1" x14ac:dyDescent="0.35">
      <c r="N1884" s="20"/>
      <c r="P1884" s="8"/>
      <c r="Q1884" s="8"/>
      <c r="R1884" s="8"/>
      <c r="S1884" s="8"/>
      <c r="U1884" s="6"/>
      <c r="V1884" s="6"/>
      <c r="W1884" s="6"/>
      <c r="X1884" s="6"/>
      <c r="Y1884" s="6"/>
      <c r="Z1884" s="6"/>
      <c r="AX1884" s="6" t="e">
        <v>#N/A</v>
      </c>
    </row>
    <row r="1885" spans="14:50" ht="31.4" customHeight="1" x14ac:dyDescent="0.35">
      <c r="N1885" s="20"/>
      <c r="P1885" s="8"/>
      <c r="Q1885" s="8"/>
      <c r="R1885" s="8"/>
      <c r="S1885" s="8"/>
      <c r="U1885" s="6"/>
      <c r="V1885" s="6"/>
      <c r="W1885" s="6"/>
      <c r="X1885" s="6"/>
      <c r="Y1885" s="6"/>
      <c r="Z1885" s="6"/>
      <c r="AX1885" s="6" t="e">
        <v>#N/A</v>
      </c>
    </row>
    <row r="1886" spans="14:50" ht="31.4" customHeight="1" x14ac:dyDescent="0.35">
      <c r="N1886" s="20"/>
      <c r="P1886" s="8"/>
      <c r="Q1886" s="8"/>
      <c r="R1886" s="8"/>
      <c r="S1886" s="8"/>
      <c r="U1886" s="6"/>
      <c r="V1886" s="6"/>
      <c r="W1886" s="6"/>
      <c r="X1886" s="6"/>
      <c r="Y1886" s="6"/>
      <c r="Z1886" s="6"/>
      <c r="AX1886" s="6" t="e">
        <v>#N/A</v>
      </c>
    </row>
    <row r="1887" spans="14:50" ht="31.4" customHeight="1" x14ac:dyDescent="0.35">
      <c r="N1887" s="20"/>
      <c r="P1887" s="8"/>
      <c r="Q1887" s="8"/>
      <c r="R1887" s="8"/>
      <c r="S1887" s="8"/>
      <c r="U1887" s="6"/>
      <c r="V1887" s="6"/>
      <c r="W1887" s="6"/>
      <c r="X1887" s="6"/>
      <c r="Y1887" s="6"/>
      <c r="Z1887" s="6"/>
      <c r="AX1887" s="6" t="e">
        <v>#N/A</v>
      </c>
    </row>
    <row r="1888" spans="14:50" ht="31.4" customHeight="1" x14ac:dyDescent="0.35">
      <c r="N1888" s="20"/>
      <c r="P1888" s="8"/>
      <c r="Q1888" s="8"/>
      <c r="R1888" s="8"/>
      <c r="S1888" s="8"/>
      <c r="U1888" s="6"/>
      <c r="V1888" s="6"/>
      <c r="W1888" s="6"/>
      <c r="X1888" s="6"/>
      <c r="Y1888" s="6"/>
      <c r="Z1888" s="6"/>
      <c r="AX1888" s="6" t="e">
        <v>#N/A</v>
      </c>
    </row>
    <row r="1889" spans="14:50" ht="31.4" customHeight="1" x14ac:dyDescent="0.35">
      <c r="N1889" s="20"/>
      <c r="P1889" s="8"/>
      <c r="Q1889" s="8"/>
      <c r="R1889" s="8"/>
      <c r="S1889" s="8"/>
      <c r="U1889" s="6"/>
      <c r="V1889" s="6"/>
      <c r="W1889" s="6"/>
      <c r="X1889" s="6"/>
      <c r="Y1889" s="6"/>
      <c r="Z1889" s="6"/>
      <c r="AX1889" s="6" t="e">
        <v>#N/A</v>
      </c>
    </row>
    <row r="1890" spans="14:50" ht="31.4" customHeight="1" x14ac:dyDescent="0.35">
      <c r="N1890" s="20"/>
      <c r="P1890" s="8"/>
      <c r="Q1890" s="8"/>
      <c r="R1890" s="8"/>
      <c r="S1890" s="8"/>
      <c r="U1890" s="6"/>
      <c r="V1890" s="6"/>
      <c r="W1890" s="6"/>
      <c r="X1890" s="6"/>
      <c r="Y1890" s="6"/>
      <c r="Z1890" s="6"/>
      <c r="AX1890" s="6" t="e">
        <v>#N/A</v>
      </c>
    </row>
    <row r="1891" spans="14:50" ht="31.4" customHeight="1" x14ac:dyDescent="0.35">
      <c r="N1891" s="20"/>
      <c r="P1891" s="8"/>
      <c r="Q1891" s="8"/>
      <c r="R1891" s="8"/>
      <c r="S1891" s="8"/>
      <c r="U1891" s="6"/>
      <c r="V1891" s="6"/>
      <c r="W1891" s="6"/>
      <c r="X1891" s="6"/>
      <c r="Y1891" s="6"/>
      <c r="Z1891" s="6"/>
      <c r="AX1891" s="6" t="e">
        <v>#N/A</v>
      </c>
    </row>
    <row r="1892" spans="14:50" ht="31.4" customHeight="1" x14ac:dyDescent="0.35">
      <c r="N1892" s="20"/>
      <c r="P1892" s="8"/>
      <c r="Q1892" s="8"/>
      <c r="R1892" s="8"/>
      <c r="S1892" s="8"/>
      <c r="U1892" s="6"/>
      <c r="V1892" s="6"/>
      <c r="W1892" s="6"/>
      <c r="X1892" s="6"/>
      <c r="Y1892" s="6"/>
      <c r="Z1892" s="6"/>
      <c r="AX1892" s="6" t="e">
        <v>#N/A</v>
      </c>
    </row>
    <row r="1893" spans="14:50" ht="31.4" customHeight="1" x14ac:dyDescent="0.35">
      <c r="N1893" s="20"/>
      <c r="P1893" s="8"/>
      <c r="Q1893" s="8"/>
      <c r="R1893" s="8"/>
      <c r="S1893" s="8"/>
      <c r="U1893" s="6"/>
      <c r="V1893" s="6"/>
      <c r="W1893" s="6"/>
      <c r="X1893" s="6"/>
      <c r="Y1893" s="6"/>
      <c r="Z1893" s="6"/>
      <c r="AX1893" s="6" t="e">
        <v>#N/A</v>
      </c>
    </row>
    <row r="1894" spans="14:50" ht="31.4" customHeight="1" x14ac:dyDescent="0.35">
      <c r="N1894" s="20"/>
      <c r="P1894" s="8"/>
      <c r="Q1894" s="8"/>
      <c r="R1894" s="8"/>
      <c r="S1894" s="8"/>
      <c r="U1894" s="6"/>
      <c r="V1894" s="6"/>
      <c r="W1894" s="6"/>
      <c r="X1894" s="6"/>
      <c r="Y1894" s="6"/>
      <c r="Z1894" s="6"/>
      <c r="AX1894" s="6" t="e">
        <v>#N/A</v>
      </c>
    </row>
    <row r="1895" spans="14:50" ht="31.4" customHeight="1" x14ac:dyDescent="0.35">
      <c r="N1895" s="20"/>
      <c r="P1895" s="8"/>
      <c r="Q1895" s="8"/>
      <c r="R1895" s="8"/>
      <c r="S1895" s="8"/>
      <c r="U1895" s="6"/>
      <c r="V1895" s="6"/>
      <c r="W1895" s="6"/>
      <c r="X1895" s="6"/>
      <c r="Y1895" s="6"/>
      <c r="Z1895" s="6"/>
      <c r="AX1895" s="6" t="e">
        <v>#N/A</v>
      </c>
    </row>
    <row r="1896" spans="14:50" ht="31.4" customHeight="1" x14ac:dyDescent="0.35">
      <c r="N1896" s="20"/>
      <c r="P1896" s="8"/>
      <c r="Q1896" s="8"/>
      <c r="R1896" s="8"/>
      <c r="S1896" s="8"/>
      <c r="U1896" s="6"/>
      <c r="V1896" s="6"/>
      <c r="W1896" s="6"/>
      <c r="X1896" s="6"/>
      <c r="Y1896" s="6"/>
      <c r="Z1896" s="6"/>
      <c r="AX1896" s="6" t="e">
        <v>#N/A</v>
      </c>
    </row>
    <row r="1897" spans="14:50" ht="31.4" customHeight="1" x14ac:dyDescent="0.35">
      <c r="N1897" s="20"/>
      <c r="P1897" s="8"/>
      <c r="Q1897" s="8"/>
      <c r="R1897" s="8"/>
      <c r="S1897" s="8"/>
      <c r="U1897" s="6"/>
      <c r="V1897" s="6"/>
      <c r="W1897" s="6"/>
      <c r="X1897" s="6"/>
      <c r="Y1897" s="6"/>
      <c r="Z1897" s="6"/>
      <c r="AX1897" s="6" t="e">
        <v>#N/A</v>
      </c>
    </row>
    <row r="1898" spans="14:50" ht="31.4" customHeight="1" x14ac:dyDescent="0.35">
      <c r="N1898" s="20"/>
      <c r="P1898" s="8"/>
      <c r="Q1898" s="8"/>
      <c r="R1898" s="8"/>
      <c r="S1898" s="8"/>
      <c r="U1898" s="6"/>
      <c r="V1898" s="6"/>
      <c r="W1898" s="6"/>
      <c r="X1898" s="6"/>
      <c r="Y1898" s="6"/>
      <c r="Z1898" s="6"/>
      <c r="AX1898" s="6" t="e">
        <v>#N/A</v>
      </c>
    </row>
    <row r="1899" spans="14:50" ht="31.4" customHeight="1" x14ac:dyDescent="0.35">
      <c r="N1899" s="20"/>
      <c r="P1899" s="8"/>
      <c r="Q1899" s="8"/>
      <c r="R1899" s="8"/>
      <c r="S1899" s="8"/>
      <c r="U1899" s="6"/>
      <c r="V1899" s="6"/>
      <c r="W1899" s="6"/>
      <c r="X1899" s="6"/>
      <c r="Y1899" s="6"/>
      <c r="Z1899" s="6"/>
      <c r="AX1899" s="6" t="e">
        <v>#N/A</v>
      </c>
    </row>
    <row r="1900" spans="14:50" ht="31.4" customHeight="1" x14ac:dyDescent="0.35">
      <c r="N1900" s="20"/>
      <c r="P1900" s="8"/>
      <c r="Q1900" s="8"/>
      <c r="R1900" s="8"/>
      <c r="S1900" s="8"/>
      <c r="U1900" s="6"/>
      <c r="V1900" s="6"/>
      <c r="W1900" s="6"/>
      <c r="X1900" s="6"/>
      <c r="Y1900" s="6"/>
      <c r="Z1900" s="6"/>
      <c r="AX1900" s="6" t="e">
        <v>#N/A</v>
      </c>
    </row>
    <row r="1901" spans="14:50" ht="31.4" customHeight="1" x14ac:dyDescent="0.35">
      <c r="N1901" s="20"/>
      <c r="P1901" s="8"/>
      <c r="Q1901" s="8"/>
      <c r="R1901" s="8"/>
      <c r="S1901" s="8"/>
      <c r="U1901" s="6"/>
      <c r="V1901" s="6"/>
      <c r="W1901" s="6"/>
      <c r="X1901" s="6"/>
      <c r="Y1901" s="6"/>
      <c r="Z1901" s="6"/>
      <c r="AX1901" s="6" t="e">
        <v>#N/A</v>
      </c>
    </row>
    <row r="1902" spans="14:50" ht="31.4" customHeight="1" x14ac:dyDescent="0.35">
      <c r="N1902" s="20"/>
      <c r="P1902" s="8"/>
      <c r="Q1902" s="8"/>
      <c r="R1902" s="8"/>
      <c r="S1902" s="8"/>
      <c r="U1902" s="6"/>
      <c r="V1902" s="6"/>
      <c r="W1902" s="6"/>
      <c r="X1902" s="6"/>
      <c r="Y1902" s="6"/>
      <c r="Z1902" s="6"/>
      <c r="AX1902" s="6" t="e">
        <v>#N/A</v>
      </c>
    </row>
    <row r="1903" spans="14:50" ht="31.4" customHeight="1" x14ac:dyDescent="0.35">
      <c r="N1903" s="20"/>
      <c r="P1903" s="8"/>
      <c r="Q1903" s="8"/>
      <c r="R1903" s="8"/>
      <c r="S1903" s="8"/>
      <c r="U1903" s="6"/>
      <c r="V1903" s="6"/>
      <c r="W1903" s="6"/>
      <c r="X1903" s="6"/>
      <c r="Y1903" s="6"/>
      <c r="Z1903" s="6"/>
      <c r="AX1903" s="6" t="e">
        <v>#N/A</v>
      </c>
    </row>
    <row r="1904" spans="14:50" ht="31.4" customHeight="1" x14ac:dyDescent="0.35">
      <c r="N1904" s="20"/>
      <c r="P1904" s="8"/>
      <c r="Q1904" s="8"/>
      <c r="R1904" s="8"/>
      <c r="S1904" s="8"/>
      <c r="U1904" s="6"/>
      <c r="V1904" s="6"/>
      <c r="W1904" s="6"/>
      <c r="X1904" s="6"/>
      <c r="Y1904" s="6"/>
      <c r="Z1904" s="6"/>
      <c r="AX1904" s="6" t="e">
        <v>#N/A</v>
      </c>
    </row>
    <row r="1905" spans="14:50" ht="31.4" customHeight="1" x14ac:dyDescent="0.35">
      <c r="N1905" s="20"/>
      <c r="P1905" s="8"/>
      <c r="Q1905" s="8"/>
      <c r="R1905" s="8"/>
      <c r="S1905" s="8"/>
      <c r="U1905" s="6"/>
      <c r="V1905" s="6"/>
      <c r="W1905" s="6"/>
      <c r="X1905" s="6"/>
      <c r="Y1905" s="6"/>
      <c r="Z1905" s="6"/>
      <c r="AX1905" s="6" t="e">
        <v>#N/A</v>
      </c>
    </row>
    <row r="1906" spans="14:50" ht="31.4" customHeight="1" x14ac:dyDescent="0.35">
      <c r="N1906" s="20"/>
      <c r="P1906" s="8"/>
      <c r="Q1906" s="8"/>
      <c r="R1906" s="8"/>
      <c r="S1906" s="8"/>
      <c r="U1906" s="6"/>
      <c r="V1906" s="6"/>
      <c r="W1906" s="6"/>
      <c r="X1906" s="6"/>
      <c r="Y1906" s="6"/>
      <c r="Z1906" s="6"/>
      <c r="AX1906" s="6" t="e">
        <v>#N/A</v>
      </c>
    </row>
    <row r="1907" spans="14:50" ht="31.4" customHeight="1" x14ac:dyDescent="0.35">
      <c r="N1907" s="20"/>
      <c r="P1907" s="8"/>
      <c r="Q1907" s="8"/>
      <c r="R1907" s="8"/>
      <c r="S1907" s="8"/>
      <c r="U1907" s="6"/>
      <c r="V1907" s="6"/>
      <c r="W1907" s="6"/>
      <c r="X1907" s="6"/>
      <c r="Y1907" s="6"/>
      <c r="Z1907" s="6"/>
      <c r="AX1907" s="6" t="e">
        <v>#N/A</v>
      </c>
    </row>
    <row r="1908" spans="14:50" ht="31.4" customHeight="1" x14ac:dyDescent="0.35">
      <c r="N1908" s="20"/>
      <c r="P1908" s="8"/>
      <c r="Q1908" s="8"/>
      <c r="R1908" s="8"/>
      <c r="S1908" s="8"/>
      <c r="U1908" s="6"/>
      <c r="V1908" s="6"/>
      <c r="W1908" s="6"/>
      <c r="X1908" s="6"/>
      <c r="Y1908" s="6"/>
      <c r="Z1908" s="6"/>
      <c r="AX1908" s="6" t="e">
        <v>#N/A</v>
      </c>
    </row>
    <row r="1909" spans="14:50" ht="31.4" customHeight="1" x14ac:dyDescent="0.35">
      <c r="N1909" s="20"/>
      <c r="P1909" s="8"/>
      <c r="Q1909" s="8"/>
      <c r="R1909" s="8"/>
      <c r="S1909" s="8"/>
      <c r="U1909" s="6"/>
      <c r="V1909" s="6"/>
      <c r="W1909" s="6"/>
      <c r="X1909" s="6"/>
      <c r="Y1909" s="6"/>
      <c r="Z1909" s="6"/>
      <c r="AX1909" s="6" t="e">
        <v>#N/A</v>
      </c>
    </row>
    <row r="1910" spans="14:50" ht="31.4" customHeight="1" x14ac:dyDescent="0.35">
      <c r="N1910" s="20"/>
      <c r="P1910" s="8"/>
      <c r="Q1910" s="8"/>
      <c r="R1910" s="8"/>
      <c r="S1910" s="8"/>
      <c r="U1910" s="6"/>
      <c r="V1910" s="6"/>
      <c r="W1910" s="6"/>
      <c r="X1910" s="6"/>
      <c r="Y1910" s="6"/>
      <c r="Z1910" s="6"/>
      <c r="AX1910" s="6" t="e">
        <v>#N/A</v>
      </c>
    </row>
    <row r="1911" spans="14:50" ht="31.4" customHeight="1" x14ac:dyDescent="0.35">
      <c r="N1911" s="20"/>
      <c r="P1911" s="8"/>
      <c r="Q1911" s="8"/>
      <c r="R1911" s="8"/>
      <c r="S1911" s="8"/>
      <c r="U1911" s="6"/>
      <c r="V1911" s="6"/>
      <c r="W1911" s="6"/>
      <c r="X1911" s="6"/>
      <c r="Y1911" s="6"/>
      <c r="Z1911" s="6"/>
      <c r="AX1911" s="6" t="e">
        <v>#N/A</v>
      </c>
    </row>
    <row r="1912" spans="14:50" ht="31.4" customHeight="1" x14ac:dyDescent="0.35">
      <c r="N1912" s="20"/>
      <c r="P1912" s="8"/>
      <c r="Q1912" s="8"/>
      <c r="R1912" s="8"/>
      <c r="S1912" s="8"/>
      <c r="U1912" s="6"/>
      <c r="V1912" s="6"/>
      <c r="W1912" s="6"/>
      <c r="X1912" s="6"/>
      <c r="Y1912" s="6"/>
      <c r="Z1912" s="6"/>
      <c r="AX1912" s="6" t="e">
        <v>#N/A</v>
      </c>
    </row>
    <row r="1913" spans="14:50" ht="31.4" customHeight="1" x14ac:dyDescent="0.35">
      <c r="N1913" s="20"/>
      <c r="P1913" s="8"/>
      <c r="Q1913" s="8"/>
      <c r="R1913" s="8"/>
      <c r="S1913" s="8"/>
      <c r="U1913" s="6"/>
      <c r="V1913" s="6"/>
      <c r="W1913" s="6"/>
      <c r="X1913" s="6"/>
      <c r="Y1913" s="6"/>
      <c r="Z1913" s="6"/>
      <c r="AX1913" s="6" t="e">
        <v>#N/A</v>
      </c>
    </row>
    <row r="1914" spans="14:50" ht="31.4" customHeight="1" x14ac:dyDescent="0.35">
      <c r="N1914" s="20"/>
      <c r="P1914" s="8"/>
      <c r="Q1914" s="8"/>
      <c r="R1914" s="8"/>
      <c r="S1914" s="8"/>
      <c r="U1914" s="6"/>
      <c r="V1914" s="6"/>
      <c r="W1914" s="6"/>
      <c r="X1914" s="6"/>
      <c r="Y1914" s="6"/>
      <c r="Z1914" s="6"/>
      <c r="AX1914" s="6" t="e">
        <v>#N/A</v>
      </c>
    </row>
    <row r="1915" spans="14:50" ht="31.4" customHeight="1" x14ac:dyDescent="0.35">
      <c r="N1915" s="20"/>
      <c r="P1915" s="8"/>
      <c r="Q1915" s="8"/>
      <c r="R1915" s="8"/>
      <c r="S1915" s="8"/>
      <c r="U1915" s="6"/>
      <c r="V1915" s="6"/>
      <c r="W1915" s="6"/>
      <c r="X1915" s="6"/>
      <c r="Y1915" s="6"/>
      <c r="Z1915" s="6"/>
      <c r="AX1915" s="6" t="e">
        <v>#N/A</v>
      </c>
    </row>
    <row r="1916" spans="14:50" ht="31.4" customHeight="1" x14ac:dyDescent="0.35">
      <c r="N1916" s="20"/>
      <c r="P1916" s="8"/>
      <c r="Q1916" s="8"/>
      <c r="R1916" s="8"/>
      <c r="S1916" s="8"/>
      <c r="U1916" s="6"/>
      <c r="V1916" s="6"/>
      <c r="W1916" s="6"/>
      <c r="X1916" s="6"/>
      <c r="Y1916" s="6"/>
      <c r="Z1916" s="6"/>
      <c r="AX1916" s="6" t="e">
        <v>#N/A</v>
      </c>
    </row>
    <row r="1917" spans="14:50" ht="31.4" customHeight="1" x14ac:dyDescent="0.35">
      <c r="N1917" s="20"/>
      <c r="P1917" s="8"/>
      <c r="Q1917" s="8"/>
      <c r="R1917" s="8"/>
      <c r="S1917" s="8"/>
      <c r="U1917" s="6"/>
      <c r="V1917" s="6"/>
      <c r="W1917" s="6"/>
      <c r="X1917" s="6"/>
      <c r="Y1917" s="6"/>
      <c r="Z1917" s="6"/>
      <c r="AX1917" s="6" t="e">
        <v>#N/A</v>
      </c>
    </row>
    <row r="1918" spans="14:50" ht="31.4" customHeight="1" x14ac:dyDescent="0.35">
      <c r="N1918" s="20"/>
      <c r="P1918" s="8"/>
      <c r="Q1918" s="8"/>
      <c r="R1918" s="8"/>
      <c r="S1918" s="8"/>
      <c r="U1918" s="6"/>
      <c r="V1918" s="6"/>
      <c r="W1918" s="6"/>
      <c r="X1918" s="6"/>
      <c r="Y1918" s="6"/>
      <c r="Z1918" s="6"/>
      <c r="AX1918" s="6" t="e">
        <v>#N/A</v>
      </c>
    </row>
    <row r="1919" spans="14:50" ht="31.4" customHeight="1" x14ac:dyDescent="0.35">
      <c r="N1919" s="20"/>
      <c r="P1919" s="8"/>
      <c r="Q1919" s="8"/>
      <c r="R1919" s="8"/>
      <c r="S1919" s="8"/>
      <c r="U1919" s="6"/>
      <c r="V1919" s="6"/>
      <c r="W1919" s="6"/>
      <c r="X1919" s="6"/>
      <c r="Y1919" s="6"/>
      <c r="Z1919" s="6"/>
      <c r="AX1919" s="6" t="e">
        <v>#N/A</v>
      </c>
    </row>
    <row r="1920" spans="14:50" ht="31.4" customHeight="1" x14ac:dyDescent="0.35">
      <c r="N1920" s="20"/>
      <c r="P1920" s="8"/>
      <c r="Q1920" s="8"/>
      <c r="R1920" s="8"/>
      <c r="S1920" s="8"/>
      <c r="U1920" s="6"/>
      <c r="V1920" s="6"/>
      <c r="W1920" s="6"/>
      <c r="X1920" s="6"/>
      <c r="Y1920" s="6"/>
      <c r="Z1920" s="6"/>
      <c r="AX1920" s="6" t="e">
        <v>#N/A</v>
      </c>
    </row>
    <row r="1921" spans="14:50" ht="31.4" customHeight="1" x14ac:dyDescent="0.35">
      <c r="N1921" s="20"/>
      <c r="P1921" s="8"/>
      <c r="Q1921" s="8"/>
      <c r="R1921" s="8"/>
      <c r="S1921" s="8"/>
      <c r="U1921" s="6"/>
      <c r="V1921" s="6"/>
      <c r="W1921" s="6"/>
      <c r="X1921" s="6"/>
      <c r="Y1921" s="6"/>
      <c r="Z1921" s="6"/>
      <c r="AX1921" s="6" t="e">
        <v>#N/A</v>
      </c>
    </row>
    <row r="1922" spans="14:50" ht="31.4" customHeight="1" x14ac:dyDescent="0.35">
      <c r="N1922" s="20"/>
      <c r="P1922" s="8"/>
      <c r="Q1922" s="8"/>
      <c r="R1922" s="8"/>
      <c r="S1922" s="8"/>
      <c r="U1922" s="6"/>
      <c r="V1922" s="6"/>
      <c r="W1922" s="6"/>
      <c r="X1922" s="6"/>
      <c r="Y1922" s="6"/>
      <c r="Z1922" s="6"/>
      <c r="AX1922" s="6" t="e">
        <v>#N/A</v>
      </c>
    </row>
    <row r="1923" spans="14:50" ht="31.4" customHeight="1" x14ac:dyDescent="0.35">
      <c r="N1923" s="20"/>
      <c r="P1923" s="8"/>
      <c r="Q1923" s="8"/>
      <c r="R1923" s="8"/>
      <c r="S1923" s="8"/>
      <c r="U1923" s="6"/>
      <c r="V1923" s="6"/>
      <c r="W1923" s="6"/>
      <c r="X1923" s="6"/>
      <c r="Y1923" s="6"/>
      <c r="Z1923" s="6"/>
      <c r="AX1923" s="6" t="e">
        <v>#N/A</v>
      </c>
    </row>
    <row r="1924" spans="14:50" ht="31.4" customHeight="1" x14ac:dyDescent="0.35">
      <c r="N1924" s="20"/>
      <c r="P1924" s="8"/>
      <c r="Q1924" s="8"/>
      <c r="R1924" s="8"/>
      <c r="S1924" s="8"/>
      <c r="U1924" s="6"/>
      <c r="V1924" s="6"/>
      <c r="W1924" s="6"/>
      <c r="X1924" s="6"/>
      <c r="Y1924" s="6"/>
      <c r="Z1924" s="6"/>
      <c r="AX1924" s="6" t="e">
        <v>#N/A</v>
      </c>
    </row>
    <row r="1925" spans="14:50" ht="31.4" customHeight="1" x14ac:dyDescent="0.35">
      <c r="N1925" s="20"/>
      <c r="P1925" s="8"/>
      <c r="Q1925" s="8"/>
      <c r="R1925" s="8"/>
      <c r="S1925" s="8"/>
      <c r="U1925" s="6"/>
      <c r="V1925" s="6"/>
      <c r="W1925" s="6"/>
      <c r="X1925" s="6"/>
      <c r="Y1925" s="6"/>
      <c r="Z1925" s="6"/>
      <c r="AX1925" s="6" t="e">
        <v>#N/A</v>
      </c>
    </row>
    <row r="1926" spans="14:50" ht="31.4" customHeight="1" x14ac:dyDescent="0.35">
      <c r="N1926" s="20"/>
      <c r="P1926" s="8"/>
      <c r="Q1926" s="8"/>
      <c r="R1926" s="8"/>
      <c r="S1926" s="8"/>
      <c r="U1926" s="6"/>
      <c r="V1926" s="6"/>
      <c r="W1926" s="6"/>
      <c r="X1926" s="6"/>
      <c r="Y1926" s="6"/>
      <c r="Z1926" s="6"/>
      <c r="AX1926" s="6" t="e">
        <v>#N/A</v>
      </c>
    </row>
    <row r="1927" spans="14:50" ht="31.4" customHeight="1" x14ac:dyDescent="0.35">
      <c r="N1927" s="20"/>
      <c r="P1927" s="8"/>
      <c r="Q1927" s="8"/>
      <c r="R1927" s="8"/>
      <c r="S1927" s="8"/>
      <c r="U1927" s="6"/>
      <c r="V1927" s="6"/>
      <c r="W1927" s="6"/>
      <c r="X1927" s="6"/>
      <c r="Y1927" s="6"/>
      <c r="Z1927" s="6"/>
      <c r="AX1927" s="6" t="e">
        <v>#N/A</v>
      </c>
    </row>
    <row r="1928" spans="14:50" ht="31.4" customHeight="1" x14ac:dyDescent="0.35">
      <c r="N1928" s="20"/>
      <c r="P1928" s="8"/>
      <c r="Q1928" s="8"/>
      <c r="R1928" s="8"/>
      <c r="S1928" s="8"/>
      <c r="U1928" s="6"/>
      <c r="V1928" s="6"/>
      <c r="W1928" s="6"/>
      <c r="X1928" s="6"/>
      <c r="Y1928" s="6"/>
      <c r="Z1928" s="6"/>
      <c r="AX1928" s="6" t="e">
        <v>#N/A</v>
      </c>
    </row>
    <row r="1929" spans="14:50" ht="31.4" customHeight="1" x14ac:dyDescent="0.35">
      <c r="N1929" s="20"/>
      <c r="P1929" s="8"/>
      <c r="Q1929" s="8"/>
      <c r="R1929" s="8"/>
      <c r="S1929" s="8"/>
      <c r="U1929" s="6"/>
      <c r="V1929" s="6"/>
      <c r="W1929" s="6"/>
      <c r="X1929" s="6"/>
      <c r="Y1929" s="6"/>
      <c r="Z1929" s="6"/>
      <c r="AX1929" s="6" t="e">
        <v>#N/A</v>
      </c>
    </row>
    <row r="1930" spans="14:50" ht="31.4" customHeight="1" x14ac:dyDescent="0.35">
      <c r="N1930" s="20"/>
      <c r="P1930" s="8"/>
      <c r="Q1930" s="8"/>
      <c r="R1930" s="8"/>
      <c r="S1930" s="8"/>
      <c r="U1930" s="6"/>
      <c r="V1930" s="6"/>
      <c r="W1930" s="6"/>
      <c r="X1930" s="6"/>
      <c r="Y1930" s="6"/>
      <c r="Z1930" s="6"/>
      <c r="AX1930" s="6" t="e">
        <v>#N/A</v>
      </c>
    </row>
    <row r="1931" spans="14:50" ht="31.4" customHeight="1" x14ac:dyDescent="0.35">
      <c r="N1931" s="20"/>
      <c r="P1931" s="8"/>
      <c r="Q1931" s="8"/>
      <c r="R1931" s="8"/>
      <c r="S1931" s="8"/>
      <c r="U1931" s="6"/>
      <c r="V1931" s="6"/>
      <c r="W1931" s="6"/>
      <c r="X1931" s="6"/>
      <c r="Y1931" s="6"/>
      <c r="Z1931" s="6"/>
      <c r="AX1931" s="6" t="e">
        <v>#N/A</v>
      </c>
    </row>
    <row r="1932" spans="14:50" ht="31.4" customHeight="1" x14ac:dyDescent="0.35">
      <c r="N1932" s="20"/>
      <c r="P1932" s="8"/>
      <c r="Q1932" s="8"/>
      <c r="R1932" s="8"/>
      <c r="S1932" s="8"/>
      <c r="U1932" s="6"/>
      <c r="V1932" s="6"/>
      <c r="W1932" s="6"/>
      <c r="X1932" s="6"/>
      <c r="Y1932" s="6"/>
      <c r="Z1932" s="6"/>
      <c r="AX1932" s="6" t="e">
        <v>#N/A</v>
      </c>
    </row>
    <row r="1933" spans="14:50" ht="31.4" customHeight="1" x14ac:dyDescent="0.35">
      <c r="N1933" s="20"/>
      <c r="P1933" s="8"/>
      <c r="Q1933" s="8"/>
      <c r="R1933" s="8"/>
      <c r="S1933" s="8"/>
      <c r="U1933" s="6"/>
      <c r="V1933" s="6"/>
      <c r="W1933" s="6"/>
      <c r="X1933" s="6"/>
      <c r="Y1933" s="6"/>
      <c r="Z1933" s="6"/>
      <c r="AX1933" s="6" t="e">
        <v>#N/A</v>
      </c>
    </row>
    <row r="1934" spans="14:50" ht="31.4" customHeight="1" x14ac:dyDescent="0.35">
      <c r="N1934" s="20"/>
      <c r="P1934" s="8"/>
      <c r="Q1934" s="8"/>
      <c r="R1934" s="8"/>
      <c r="S1934" s="8"/>
      <c r="U1934" s="6"/>
      <c r="V1934" s="6"/>
      <c r="W1934" s="6"/>
      <c r="X1934" s="6"/>
      <c r="Y1934" s="6"/>
      <c r="Z1934" s="6"/>
      <c r="AX1934" s="6" t="e">
        <v>#N/A</v>
      </c>
    </row>
    <row r="1935" spans="14:50" ht="31.4" customHeight="1" x14ac:dyDescent="0.35">
      <c r="N1935" s="20"/>
      <c r="P1935" s="8"/>
      <c r="Q1935" s="8"/>
      <c r="R1935" s="8"/>
      <c r="S1935" s="8"/>
      <c r="U1935" s="6"/>
      <c r="V1935" s="6"/>
      <c r="W1935" s="6"/>
      <c r="X1935" s="6"/>
      <c r="Y1935" s="6"/>
      <c r="Z1935" s="6"/>
      <c r="AX1935" s="6" t="e">
        <v>#N/A</v>
      </c>
    </row>
    <row r="1936" spans="14:50" ht="31.4" customHeight="1" x14ac:dyDescent="0.35">
      <c r="N1936" s="20"/>
      <c r="P1936" s="8"/>
      <c r="Q1936" s="8"/>
      <c r="R1936" s="8"/>
      <c r="S1936" s="8"/>
      <c r="U1936" s="6"/>
      <c r="V1936" s="6"/>
      <c r="W1936" s="6"/>
      <c r="X1936" s="6"/>
      <c r="Y1936" s="6"/>
      <c r="Z1936" s="6"/>
      <c r="AX1936" s="6" t="e">
        <v>#N/A</v>
      </c>
    </row>
    <row r="1937" spans="14:50" ht="31.4" customHeight="1" x14ac:dyDescent="0.35">
      <c r="N1937" s="20"/>
      <c r="P1937" s="8"/>
      <c r="Q1937" s="8"/>
      <c r="R1937" s="8"/>
      <c r="S1937" s="8"/>
      <c r="U1937" s="6"/>
      <c r="V1937" s="6"/>
      <c r="W1937" s="6"/>
      <c r="X1937" s="6"/>
      <c r="Y1937" s="6"/>
      <c r="Z1937" s="6"/>
      <c r="AX1937" s="6" t="e">
        <v>#N/A</v>
      </c>
    </row>
    <row r="1938" spans="14:50" ht="31.4" customHeight="1" x14ac:dyDescent="0.35">
      <c r="N1938" s="20"/>
      <c r="P1938" s="8"/>
      <c r="Q1938" s="8"/>
      <c r="R1938" s="8"/>
      <c r="S1938" s="8"/>
      <c r="U1938" s="6"/>
      <c r="V1938" s="6"/>
      <c r="W1938" s="6"/>
      <c r="X1938" s="6"/>
      <c r="Y1938" s="6"/>
      <c r="Z1938" s="6"/>
      <c r="AX1938" s="6" t="e">
        <v>#N/A</v>
      </c>
    </row>
    <row r="1939" spans="14:50" ht="31.4" customHeight="1" x14ac:dyDescent="0.35">
      <c r="N1939" s="20"/>
      <c r="P1939" s="8"/>
      <c r="Q1939" s="8"/>
      <c r="R1939" s="8"/>
      <c r="S1939" s="8"/>
      <c r="U1939" s="6"/>
      <c r="V1939" s="6"/>
      <c r="W1939" s="6"/>
      <c r="X1939" s="6"/>
      <c r="Y1939" s="6"/>
      <c r="Z1939" s="6"/>
      <c r="AX1939" s="6" t="e">
        <v>#N/A</v>
      </c>
    </row>
    <row r="1940" spans="14:50" ht="31.4" customHeight="1" x14ac:dyDescent="0.35">
      <c r="N1940" s="20"/>
      <c r="P1940" s="8"/>
      <c r="Q1940" s="8"/>
      <c r="R1940" s="8"/>
      <c r="S1940" s="8"/>
      <c r="U1940" s="6"/>
      <c r="V1940" s="6"/>
      <c r="W1940" s="6"/>
      <c r="X1940" s="6"/>
      <c r="Y1940" s="6"/>
      <c r="Z1940" s="6"/>
      <c r="AX1940" s="6" t="e">
        <v>#N/A</v>
      </c>
    </row>
    <row r="1941" spans="14:50" ht="31.4" customHeight="1" x14ac:dyDescent="0.35">
      <c r="N1941" s="20"/>
      <c r="P1941" s="8"/>
      <c r="Q1941" s="8"/>
      <c r="R1941" s="8"/>
      <c r="S1941" s="8"/>
      <c r="U1941" s="6"/>
      <c r="V1941" s="6"/>
      <c r="W1941" s="6"/>
      <c r="X1941" s="6"/>
      <c r="Y1941" s="6"/>
      <c r="Z1941" s="6"/>
      <c r="AX1941" s="6" t="e">
        <v>#N/A</v>
      </c>
    </row>
    <row r="1942" spans="14:50" ht="31.4" customHeight="1" x14ac:dyDescent="0.35">
      <c r="N1942" s="20"/>
      <c r="P1942" s="8"/>
      <c r="Q1942" s="8"/>
      <c r="R1942" s="8"/>
      <c r="S1942" s="8"/>
      <c r="U1942" s="6"/>
      <c r="V1942" s="6"/>
      <c r="W1942" s="6"/>
      <c r="X1942" s="6"/>
      <c r="Y1942" s="6"/>
      <c r="Z1942" s="6"/>
      <c r="AX1942" s="6" t="e">
        <v>#N/A</v>
      </c>
    </row>
    <row r="1943" spans="14:50" ht="31.4" customHeight="1" x14ac:dyDescent="0.35">
      <c r="N1943" s="20"/>
      <c r="P1943" s="8"/>
      <c r="Q1943" s="8"/>
      <c r="R1943" s="8"/>
      <c r="S1943" s="8"/>
      <c r="U1943" s="6"/>
      <c r="V1943" s="6"/>
      <c r="W1943" s="6"/>
      <c r="X1943" s="6"/>
      <c r="Y1943" s="6"/>
      <c r="Z1943" s="6"/>
      <c r="AX1943" s="6" t="e">
        <v>#N/A</v>
      </c>
    </row>
    <row r="1944" spans="14:50" ht="31.4" customHeight="1" x14ac:dyDescent="0.35">
      <c r="N1944" s="20"/>
      <c r="P1944" s="8"/>
      <c r="Q1944" s="8"/>
      <c r="R1944" s="8"/>
      <c r="S1944" s="8"/>
      <c r="U1944" s="6"/>
      <c r="V1944" s="6"/>
      <c r="W1944" s="6"/>
      <c r="X1944" s="6"/>
      <c r="Y1944" s="6"/>
      <c r="Z1944" s="6"/>
      <c r="AX1944" s="6" t="e">
        <v>#N/A</v>
      </c>
    </row>
    <row r="1945" spans="14:50" ht="31.4" customHeight="1" x14ac:dyDescent="0.35">
      <c r="N1945" s="20"/>
      <c r="P1945" s="8"/>
      <c r="Q1945" s="8"/>
      <c r="R1945" s="8"/>
      <c r="S1945" s="8"/>
      <c r="U1945" s="6"/>
      <c r="V1945" s="6"/>
      <c r="W1945" s="6"/>
      <c r="X1945" s="6"/>
      <c r="Y1945" s="6"/>
      <c r="Z1945" s="6"/>
      <c r="AX1945" s="6" t="e">
        <v>#N/A</v>
      </c>
    </row>
    <row r="1946" spans="14:50" ht="31.4" customHeight="1" x14ac:dyDescent="0.35">
      <c r="N1946" s="20"/>
      <c r="P1946" s="8"/>
      <c r="Q1946" s="8"/>
      <c r="R1946" s="8"/>
      <c r="S1946" s="8"/>
      <c r="U1946" s="6"/>
      <c r="V1946" s="6"/>
      <c r="W1946" s="6"/>
      <c r="X1946" s="6"/>
      <c r="Y1946" s="6"/>
      <c r="Z1946" s="6"/>
      <c r="AX1946" s="6" t="e">
        <v>#N/A</v>
      </c>
    </row>
    <row r="1947" spans="14:50" ht="31.4" customHeight="1" x14ac:dyDescent="0.35">
      <c r="N1947" s="20"/>
      <c r="P1947" s="8"/>
      <c r="Q1947" s="8"/>
      <c r="R1947" s="8"/>
      <c r="S1947" s="8"/>
      <c r="U1947" s="6"/>
      <c r="V1947" s="6"/>
      <c r="W1947" s="6"/>
      <c r="X1947" s="6"/>
      <c r="Y1947" s="6"/>
      <c r="Z1947" s="6"/>
      <c r="AX1947" s="6" t="e">
        <v>#N/A</v>
      </c>
    </row>
    <row r="1948" spans="14:50" ht="31.4" customHeight="1" x14ac:dyDescent="0.35">
      <c r="N1948" s="20"/>
      <c r="P1948" s="8"/>
      <c r="Q1948" s="8"/>
      <c r="R1948" s="8"/>
      <c r="S1948" s="8"/>
      <c r="U1948" s="6"/>
      <c r="V1948" s="6"/>
      <c r="W1948" s="6"/>
      <c r="X1948" s="6"/>
      <c r="Y1948" s="6"/>
      <c r="Z1948" s="6"/>
      <c r="AX1948" s="6" t="e">
        <v>#N/A</v>
      </c>
    </row>
    <row r="1949" spans="14:50" ht="31.4" customHeight="1" x14ac:dyDescent="0.35">
      <c r="N1949" s="20"/>
      <c r="P1949" s="8"/>
      <c r="Q1949" s="8"/>
      <c r="R1949" s="8"/>
      <c r="S1949" s="8"/>
      <c r="U1949" s="6"/>
      <c r="V1949" s="6"/>
      <c r="W1949" s="6"/>
      <c r="X1949" s="6"/>
      <c r="Y1949" s="6"/>
      <c r="Z1949" s="6"/>
      <c r="AX1949" s="6" t="e">
        <v>#N/A</v>
      </c>
    </row>
    <row r="1950" spans="14:50" ht="31.4" customHeight="1" x14ac:dyDescent="0.35">
      <c r="N1950" s="20"/>
      <c r="P1950" s="8"/>
      <c r="Q1950" s="8"/>
      <c r="R1950" s="8"/>
      <c r="S1950" s="8"/>
      <c r="U1950" s="6"/>
      <c r="V1950" s="6"/>
      <c r="W1950" s="6"/>
      <c r="X1950" s="6"/>
      <c r="Y1950" s="6"/>
      <c r="Z1950" s="6"/>
      <c r="AX1950" s="6" t="e">
        <v>#N/A</v>
      </c>
    </row>
    <row r="1951" spans="14:50" ht="31.4" customHeight="1" x14ac:dyDescent="0.35">
      <c r="N1951" s="20"/>
      <c r="P1951" s="8"/>
      <c r="Q1951" s="8"/>
      <c r="R1951" s="8"/>
      <c r="S1951" s="8"/>
      <c r="U1951" s="6"/>
      <c r="V1951" s="6"/>
      <c r="W1951" s="6"/>
      <c r="X1951" s="6"/>
      <c r="Y1951" s="6"/>
      <c r="Z1951" s="6"/>
      <c r="AX1951" s="6" t="e">
        <v>#N/A</v>
      </c>
    </row>
    <row r="1952" spans="14:50" ht="31.4" customHeight="1" x14ac:dyDescent="0.35">
      <c r="N1952" s="20"/>
      <c r="P1952" s="8"/>
      <c r="Q1952" s="8"/>
      <c r="R1952" s="8"/>
      <c r="S1952" s="8"/>
      <c r="U1952" s="6"/>
      <c r="V1952" s="6"/>
      <c r="W1952" s="6"/>
      <c r="X1952" s="6"/>
      <c r="Y1952" s="6"/>
      <c r="Z1952" s="6"/>
      <c r="AX1952" s="6" t="e">
        <v>#N/A</v>
      </c>
    </row>
    <row r="1953" spans="14:50" ht="31.4" customHeight="1" x14ac:dyDescent="0.35">
      <c r="N1953" s="20"/>
      <c r="P1953" s="8"/>
      <c r="Q1953" s="8"/>
      <c r="R1953" s="8"/>
      <c r="S1953" s="8"/>
      <c r="U1953" s="6"/>
      <c r="V1953" s="6"/>
      <c r="W1953" s="6"/>
      <c r="X1953" s="6"/>
      <c r="Y1953" s="6"/>
      <c r="Z1953" s="6"/>
      <c r="AX1953" s="6" t="e">
        <v>#N/A</v>
      </c>
    </row>
    <row r="1954" spans="14:50" ht="31.4" customHeight="1" x14ac:dyDescent="0.35">
      <c r="N1954" s="20"/>
      <c r="P1954" s="8"/>
      <c r="Q1954" s="8"/>
      <c r="R1954" s="8"/>
      <c r="S1954" s="8"/>
      <c r="U1954" s="6"/>
      <c r="V1954" s="6"/>
      <c r="W1954" s="6"/>
      <c r="X1954" s="6"/>
      <c r="Y1954" s="6"/>
      <c r="Z1954" s="6"/>
      <c r="AX1954" s="6" t="e">
        <v>#N/A</v>
      </c>
    </row>
    <row r="1955" spans="14:50" ht="31.4" customHeight="1" x14ac:dyDescent="0.35">
      <c r="N1955" s="20"/>
      <c r="P1955" s="8"/>
      <c r="Q1955" s="8"/>
      <c r="R1955" s="8"/>
      <c r="S1955" s="8"/>
      <c r="U1955" s="6"/>
      <c r="V1955" s="6"/>
      <c r="W1955" s="6"/>
      <c r="X1955" s="6"/>
      <c r="Y1955" s="6"/>
      <c r="Z1955" s="6"/>
      <c r="AX1955" s="6" t="e">
        <v>#N/A</v>
      </c>
    </row>
    <row r="1956" spans="14:50" ht="31.4" customHeight="1" x14ac:dyDescent="0.35">
      <c r="N1956" s="20"/>
      <c r="P1956" s="8"/>
      <c r="Q1956" s="8"/>
      <c r="R1956" s="8"/>
      <c r="S1956" s="8"/>
      <c r="U1956" s="6"/>
      <c r="V1956" s="6"/>
      <c r="W1956" s="6"/>
      <c r="X1956" s="6"/>
      <c r="Y1956" s="6"/>
      <c r="Z1956" s="6"/>
      <c r="AX1956" s="6" t="e">
        <v>#N/A</v>
      </c>
    </row>
    <row r="1957" spans="14:50" ht="31.4" customHeight="1" x14ac:dyDescent="0.35">
      <c r="N1957" s="20"/>
      <c r="P1957" s="8"/>
      <c r="Q1957" s="8"/>
      <c r="R1957" s="8"/>
      <c r="S1957" s="8"/>
      <c r="U1957" s="6"/>
      <c r="V1957" s="6"/>
      <c r="W1957" s="6"/>
      <c r="X1957" s="6"/>
      <c r="Y1957" s="6"/>
      <c r="Z1957" s="6"/>
      <c r="AX1957" s="6" t="e">
        <v>#N/A</v>
      </c>
    </row>
    <row r="1958" spans="14:50" ht="31.4" customHeight="1" x14ac:dyDescent="0.35">
      <c r="N1958" s="20"/>
      <c r="P1958" s="8"/>
      <c r="Q1958" s="8"/>
      <c r="R1958" s="8"/>
      <c r="S1958" s="8"/>
      <c r="U1958" s="6"/>
      <c r="V1958" s="6"/>
      <c r="W1958" s="6"/>
      <c r="X1958" s="6"/>
      <c r="Y1958" s="6"/>
      <c r="Z1958" s="6"/>
      <c r="AX1958" s="6" t="e">
        <v>#N/A</v>
      </c>
    </row>
    <row r="1959" spans="14:50" ht="31.4" customHeight="1" x14ac:dyDescent="0.35">
      <c r="N1959" s="20"/>
      <c r="P1959" s="8"/>
      <c r="Q1959" s="8"/>
      <c r="R1959" s="8"/>
      <c r="S1959" s="8"/>
      <c r="U1959" s="6"/>
      <c r="V1959" s="6"/>
      <c r="W1959" s="6"/>
      <c r="X1959" s="6"/>
      <c r="Y1959" s="6"/>
      <c r="Z1959" s="6"/>
      <c r="AX1959" s="6" t="e">
        <v>#N/A</v>
      </c>
    </row>
    <row r="1960" spans="14:50" ht="31.4" customHeight="1" x14ac:dyDescent="0.35">
      <c r="N1960" s="20"/>
      <c r="P1960" s="8"/>
      <c r="Q1960" s="8"/>
      <c r="R1960" s="8"/>
      <c r="S1960" s="8"/>
      <c r="U1960" s="6"/>
      <c r="V1960" s="6"/>
      <c r="W1960" s="6"/>
      <c r="X1960" s="6"/>
      <c r="Y1960" s="6"/>
      <c r="Z1960" s="6"/>
      <c r="AX1960" s="6" t="e">
        <v>#N/A</v>
      </c>
    </row>
    <row r="1961" spans="14:50" ht="31.4" customHeight="1" x14ac:dyDescent="0.35">
      <c r="N1961" s="20"/>
      <c r="P1961" s="8"/>
      <c r="Q1961" s="8"/>
      <c r="R1961" s="8"/>
      <c r="S1961" s="8"/>
      <c r="U1961" s="6"/>
      <c r="V1961" s="6"/>
      <c r="W1961" s="6"/>
      <c r="X1961" s="6"/>
      <c r="Y1961" s="6"/>
      <c r="Z1961" s="6"/>
      <c r="AX1961" s="6" t="e">
        <v>#N/A</v>
      </c>
    </row>
    <row r="1962" spans="14:50" ht="31.4" customHeight="1" x14ac:dyDescent="0.35">
      <c r="N1962" s="20"/>
      <c r="P1962" s="8"/>
      <c r="Q1962" s="8"/>
      <c r="R1962" s="8"/>
      <c r="S1962" s="8"/>
      <c r="U1962" s="6"/>
      <c r="V1962" s="6"/>
      <c r="W1962" s="6"/>
      <c r="X1962" s="6"/>
      <c r="Y1962" s="6"/>
      <c r="Z1962" s="6"/>
      <c r="AX1962" s="6" t="e">
        <v>#N/A</v>
      </c>
    </row>
    <row r="1963" spans="14:50" ht="31.4" customHeight="1" x14ac:dyDescent="0.35">
      <c r="N1963" s="20"/>
      <c r="P1963" s="8"/>
      <c r="Q1963" s="8"/>
      <c r="R1963" s="8"/>
      <c r="S1963" s="8"/>
      <c r="U1963" s="6"/>
      <c r="V1963" s="6"/>
      <c r="W1963" s="6"/>
      <c r="X1963" s="6"/>
      <c r="Y1963" s="6"/>
      <c r="Z1963" s="6"/>
      <c r="AX1963" s="6" t="e">
        <v>#N/A</v>
      </c>
    </row>
    <row r="1964" spans="14:50" ht="31.4" customHeight="1" x14ac:dyDescent="0.35">
      <c r="N1964" s="20"/>
      <c r="P1964" s="8"/>
      <c r="Q1964" s="8"/>
      <c r="R1964" s="8"/>
      <c r="S1964" s="8"/>
      <c r="U1964" s="6"/>
      <c r="V1964" s="6"/>
      <c r="W1964" s="6"/>
      <c r="X1964" s="6"/>
      <c r="Y1964" s="6"/>
      <c r="Z1964" s="6"/>
      <c r="AX1964" s="6" t="e">
        <v>#N/A</v>
      </c>
    </row>
    <row r="1965" spans="14:50" ht="31.4" customHeight="1" x14ac:dyDescent="0.35">
      <c r="N1965" s="20"/>
      <c r="P1965" s="8"/>
      <c r="Q1965" s="8"/>
      <c r="R1965" s="8"/>
      <c r="S1965" s="8"/>
      <c r="U1965" s="6"/>
      <c r="V1965" s="6"/>
      <c r="W1965" s="6"/>
      <c r="X1965" s="6"/>
      <c r="Y1965" s="6"/>
      <c r="Z1965" s="6"/>
      <c r="AX1965" s="6" t="e">
        <v>#N/A</v>
      </c>
    </row>
    <row r="1966" spans="14:50" ht="31.4" customHeight="1" x14ac:dyDescent="0.35">
      <c r="N1966" s="20"/>
      <c r="P1966" s="8"/>
      <c r="Q1966" s="8"/>
      <c r="R1966" s="8"/>
      <c r="S1966" s="8"/>
      <c r="U1966" s="6"/>
      <c r="V1966" s="6"/>
      <c r="W1966" s="6"/>
      <c r="X1966" s="6"/>
      <c r="Y1966" s="6"/>
      <c r="Z1966" s="6"/>
      <c r="AX1966" s="6" t="e">
        <v>#N/A</v>
      </c>
    </row>
    <row r="1967" spans="14:50" ht="31.4" customHeight="1" x14ac:dyDescent="0.35">
      <c r="N1967" s="20"/>
      <c r="P1967" s="8"/>
      <c r="Q1967" s="8"/>
      <c r="R1967" s="8"/>
      <c r="S1967" s="8"/>
      <c r="U1967" s="6"/>
      <c r="V1967" s="6"/>
      <c r="W1967" s="6"/>
      <c r="X1967" s="6"/>
      <c r="Y1967" s="6"/>
      <c r="Z1967" s="6"/>
      <c r="AX1967" s="6" t="e">
        <v>#N/A</v>
      </c>
    </row>
    <row r="1968" spans="14:50" ht="31.4" customHeight="1" x14ac:dyDescent="0.35">
      <c r="N1968" s="20"/>
      <c r="P1968" s="8"/>
      <c r="Q1968" s="8"/>
      <c r="R1968" s="8"/>
      <c r="S1968" s="8"/>
      <c r="U1968" s="6"/>
      <c r="V1968" s="6"/>
      <c r="W1968" s="6"/>
      <c r="X1968" s="6"/>
      <c r="Y1968" s="6"/>
      <c r="Z1968" s="6"/>
      <c r="AX1968" s="6" t="e">
        <v>#N/A</v>
      </c>
    </row>
    <row r="1969" spans="14:50" ht="31.4" customHeight="1" x14ac:dyDescent="0.35">
      <c r="N1969" s="20"/>
      <c r="P1969" s="8"/>
      <c r="Q1969" s="8"/>
      <c r="R1969" s="8"/>
      <c r="S1969" s="8"/>
      <c r="U1969" s="6"/>
      <c r="V1969" s="6"/>
      <c r="W1969" s="6"/>
      <c r="X1969" s="6"/>
      <c r="Y1969" s="6"/>
      <c r="Z1969" s="6"/>
      <c r="AX1969" s="6" t="e">
        <v>#N/A</v>
      </c>
    </row>
    <row r="1970" spans="14:50" ht="31.4" customHeight="1" x14ac:dyDescent="0.35">
      <c r="N1970" s="20"/>
      <c r="P1970" s="8"/>
      <c r="Q1970" s="8"/>
      <c r="R1970" s="8"/>
      <c r="S1970" s="8"/>
      <c r="U1970" s="6"/>
      <c r="V1970" s="6"/>
      <c r="W1970" s="6"/>
      <c r="X1970" s="6"/>
      <c r="Y1970" s="6"/>
      <c r="Z1970" s="6"/>
      <c r="AX1970" s="6" t="e">
        <v>#N/A</v>
      </c>
    </row>
    <row r="1971" spans="14:50" ht="31.4" customHeight="1" x14ac:dyDescent="0.35">
      <c r="N1971" s="20"/>
      <c r="P1971" s="8"/>
      <c r="Q1971" s="8"/>
      <c r="R1971" s="8"/>
      <c r="S1971" s="8"/>
      <c r="U1971" s="6"/>
      <c r="V1971" s="6"/>
      <c r="W1971" s="6"/>
      <c r="X1971" s="6"/>
      <c r="Y1971" s="6"/>
      <c r="Z1971" s="6"/>
      <c r="AX1971" s="6" t="e">
        <v>#N/A</v>
      </c>
    </row>
    <row r="1972" spans="14:50" ht="31.4" customHeight="1" x14ac:dyDescent="0.35">
      <c r="N1972" s="20"/>
      <c r="P1972" s="8"/>
      <c r="Q1972" s="8"/>
      <c r="R1972" s="8"/>
      <c r="S1972" s="8"/>
      <c r="U1972" s="6"/>
      <c r="V1972" s="6"/>
      <c r="W1972" s="6"/>
      <c r="X1972" s="6"/>
      <c r="Y1972" s="6"/>
      <c r="Z1972" s="6"/>
      <c r="AX1972" s="6" t="e">
        <v>#N/A</v>
      </c>
    </row>
    <row r="1973" spans="14:50" ht="31.4" customHeight="1" x14ac:dyDescent="0.35">
      <c r="N1973" s="20"/>
      <c r="P1973" s="8"/>
      <c r="Q1973" s="8"/>
      <c r="R1973" s="8"/>
      <c r="S1973" s="8"/>
      <c r="U1973" s="6"/>
      <c r="V1973" s="6"/>
      <c r="W1973" s="6"/>
      <c r="X1973" s="6"/>
      <c r="Y1973" s="6"/>
      <c r="Z1973" s="6"/>
      <c r="AX1973" s="6" t="e">
        <v>#N/A</v>
      </c>
    </row>
    <row r="1974" spans="14:50" ht="31.4" customHeight="1" x14ac:dyDescent="0.35">
      <c r="N1974" s="20"/>
      <c r="P1974" s="8"/>
      <c r="Q1974" s="8"/>
      <c r="R1974" s="8"/>
      <c r="S1974" s="8"/>
      <c r="U1974" s="6"/>
      <c r="V1974" s="6"/>
      <c r="W1974" s="6"/>
      <c r="X1974" s="6"/>
      <c r="Y1974" s="6"/>
      <c r="Z1974" s="6"/>
      <c r="AX1974" s="6" t="e">
        <v>#N/A</v>
      </c>
    </row>
    <row r="1975" spans="14:50" ht="31.4" customHeight="1" x14ac:dyDescent="0.35">
      <c r="N1975" s="20"/>
      <c r="P1975" s="8"/>
      <c r="Q1975" s="8"/>
      <c r="R1975" s="8"/>
      <c r="S1975" s="8"/>
      <c r="U1975" s="6"/>
      <c r="V1975" s="6"/>
      <c r="W1975" s="6"/>
      <c r="X1975" s="6"/>
      <c r="Y1975" s="6"/>
      <c r="Z1975" s="6"/>
      <c r="AX1975" s="6" t="e">
        <v>#N/A</v>
      </c>
    </row>
    <row r="1976" spans="14:50" ht="31.4" customHeight="1" x14ac:dyDescent="0.35">
      <c r="N1976" s="20"/>
      <c r="P1976" s="8"/>
      <c r="Q1976" s="8"/>
      <c r="R1976" s="8"/>
      <c r="S1976" s="8"/>
      <c r="U1976" s="6"/>
      <c r="V1976" s="6"/>
      <c r="W1976" s="6"/>
      <c r="X1976" s="6"/>
      <c r="Y1976" s="6"/>
      <c r="Z1976" s="6"/>
      <c r="AX1976" s="6" t="e">
        <v>#N/A</v>
      </c>
    </row>
    <row r="1977" spans="14:50" ht="31.4" customHeight="1" x14ac:dyDescent="0.35">
      <c r="N1977" s="20"/>
      <c r="P1977" s="8"/>
      <c r="Q1977" s="8"/>
      <c r="R1977" s="8"/>
      <c r="S1977" s="8"/>
      <c r="U1977" s="6"/>
      <c r="V1977" s="6"/>
      <c r="W1977" s="6"/>
      <c r="X1977" s="6"/>
      <c r="Y1977" s="6"/>
      <c r="Z1977" s="6"/>
      <c r="AX1977" s="6" t="e">
        <v>#N/A</v>
      </c>
    </row>
    <row r="1978" spans="14:50" ht="31.4" customHeight="1" x14ac:dyDescent="0.35">
      <c r="N1978" s="20"/>
      <c r="P1978" s="8"/>
      <c r="Q1978" s="8"/>
      <c r="R1978" s="8"/>
      <c r="S1978" s="8"/>
      <c r="U1978" s="6"/>
      <c r="V1978" s="6"/>
      <c r="W1978" s="6"/>
      <c r="X1978" s="6"/>
      <c r="Y1978" s="6"/>
      <c r="Z1978" s="6"/>
      <c r="AX1978" s="6" t="e">
        <v>#N/A</v>
      </c>
    </row>
    <row r="1979" spans="14:50" ht="31.4" customHeight="1" x14ac:dyDescent="0.35">
      <c r="N1979" s="20"/>
      <c r="P1979" s="8"/>
      <c r="Q1979" s="8"/>
      <c r="R1979" s="8"/>
      <c r="S1979" s="8"/>
      <c r="U1979" s="6"/>
      <c r="V1979" s="6"/>
      <c r="W1979" s="6"/>
      <c r="X1979" s="6"/>
      <c r="Y1979" s="6"/>
      <c r="Z1979" s="6"/>
      <c r="AX1979" s="6" t="e">
        <v>#N/A</v>
      </c>
    </row>
    <row r="1980" spans="14:50" ht="31.4" customHeight="1" x14ac:dyDescent="0.35">
      <c r="N1980" s="20"/>
      <c r="P1980" s="8"/>
      <c r="Q1980" s="8"/>
      <c r="R1980" s="8"/>
      <c r="S1980" s="8"/>
      <c r="U1980" s="6"/>
      <c r="V1980" s="6"/>
      <c r="W1980" s="6"/>
      <c r="X1980" s="6"/>
      <c r="Y1980" s="6"/>
      <c r="Z1980" s="6"/>
      <c r="AX1980" s="6" t="e">
        <v>#N/A</v>
      </c>
    </row>
    <row r="1981" spans="14:50" ht="31.4" customHeight="1" x14ac:dyDescent="0.35">
      <c r="N1981" s="20"/>
      <c r="P1981" s="8"/>
      <c r="Q1981" s="8"/>
      <c r="R1981" s="8"/>
      <c r="S1981" s="8"/>
      <c r="U1981" s="6"/>
      <c r="V1981" s="6"/>
      <c r="W1981" s="6"/>
      <c r="X1981" s="6"/>
      <c r="Y1981" s="6"/>
      <c r="Z1981" s="6"/>
      <c r="AX1981" s="6" t="e">
        <v>#N/A</v>
      </c>
    </row>
    <row r="1982" spans="14:50" ht="31.4" customHeight="1" x14ac:dyDescent="0.35">
      <c r="N1982" s="20"/>
      <c r="P1982" s="8"/>
      <c r="Q1982" s="8"/>
      <c r="R1982" s="8"/>
      <c r="S1982" s="8"/>
      <c r="U1982" s="6"/>
      <c r="V1982" s="6"/>
      <c r="W1982" s="6"/>
      <c r="X1982" s="6"/>
      <c r="Y1982" s="6"/>
      <c r="Z1982" s="6"/>
      <c r="AX1982" s="6" t="e">
        <v>#N/A</v>
      </c>
    </row>
    <row r="1983" spans="14:50" ht="31.4" customHeight="1" x14ac:dyDescent="0.35">
      <c r="N1983" s="20"/>
      <c r="P1983" s="8"/>
      <c r="Q1983" s="8"/>
      <c r="R1983" s="8"/>
      <c r="S1983" s="8"/>
      <c r="U1983" s="6"/>
      <c r="V1983" s="6"/>
      <c r="W1983" s="6"/>
      <c r="X1983" s="6"/>
      <c r="Y1983" s="6"/>
      <c r="Z1983" s="6"/>
      <c r="AX1983" s="6" t="e">
        <v>#N/A</v>
      </c>
    </row>
    <row r="1984" spans="14:50" ht="31.4" customHeight="1" x14ac:dyDescent="0.35">
      <c r="N1984" s="20"/>
      <c r="P1984" s="8"/>
      <c r="Q1984" s="8"/>
      <c r="R1984" s="8"/>
      <c r="S1984" s="8"/>
      <c r="U1984" s="6"/>
      <c r="V1984" s="6"/>
      <c r="W1984" s="6"/>
      <c r="X1984" s="6"/>
      <c r="Y1984" s="6"/>
      <c r="Z1984" s="6"/>
      <c r="AX1984" s="6" t="e">
        <v>#N/A</v>
      </c>
    </row>
    <row r="1985" spans="14:50" ht="31.4" customHeight="1" x14ac:dyDescent="0.35">
      <c r="N1985" s="20"/>
      <c r="P1985" s="8"/>
      <c r="Q1985" s="8"/>
      <c r="R1985" s="8"/>
      <c r="S1985" s="8"/>
      <c r="U1985" s="6"/>
      <c r="V1985" s="6"/>
      <c r="W1985" s="6"/>
      <c r="X1985" s="6"/>
      <c r="Y1985" s="6"/>
      <c r="Z1985" s="6"/>
      <c r="AX1985" s="6" t="e">
        <v>#N/A</v>
      </c>
    </row>
    <row r="1986" spans="14:50" ht="31.4" customHeight="1" x14ac:dyDescent="0.35">
      <c r="N1986" s="20"/>
      <c r="P1986" s="8"/>
      <c r="Q1986" s="8"/>
      <c r="R1986" s="8"/>
      <c r="S1986" s="8"/>
      <c r="U1986" s="6"/>
      <c r="V1986" s="6"/>
      <c r="W1986" s="6"/>
      <c r="X1986" s="6"/>
      <c r="Y1986" s="6"/>
      <c r="Z1986" s="6"/>
      <c r="AX1986" s="6" t="e">
        <v>#N/A</v>
      </c>
    </row>
    <row r="1987" spans="14:50" ht="31.4" customHeight="1" x14ac:dyDescent="0.35">
      <c r="N1987" s="20"/>
      <c r="P1987" s="8"/>
      <c r="Q1987" s="8"/>
      <c r="R1987" s="8"/>
      <c r="S1987" s="8"/>
      <c r="U1987" s="6"/>
      <c r="V1987" s="6"/>
      <c r="W1987" s="6"/>
      <c r="X1987" s="6"/>
      <c r="Y1987" s="6"/>
      <c r="Z1987" s="6"/>
      <c r="AX1987" s="6" t="e">
        <v>#N/A</v>
      </c>
    </row>
    <row r="1988" spans="14:50" ht="31.4" customHeight="1" x14ac:dyDescent="0.35">
      <c r="N1988" s="20"/>
      <c r="P1988" s="8"/>
      <c r="Q1988" s="8"/>
      <c r="R1988" s="8"/>
      <c r="S1988" s="8"/>
      <c r="U1988" s="6"/>
      <c r="V1988" s="6"/>
      <c r="W1988" s="6"/>
      <c r="X1988" s="6"/>
      <c r="Y1988" s="6"/>
      <c r="Z1988" s="6"/>
      <c r="AX1988" s="6" t="e">
        <v>#N/A</v>
      </c>
    </row>
    <row r="1989" spans="14:50" ht="31.4" customHeight="1" x14ac:dyDescent="0.35">
      <c r="N1989" s="20"/>
      <c r="P1989" s="8"/>
      <c r="Q1989" s="8"/>
      <c r="R1989" s="8"/>
      <c r="S1989" s="8"/>
      <c r="U1989" s="6"/>
      <c r="V1989" s="6"/>
      <c r="W1989" s="6"/>
      <c r="X1989" s="6"/>
      <c r="Y1989" s="6"/>
      <c r="Z1989" s="6"/>
      <c r="AX1989" s="6" t="e">
        <v>#N/A</v>
      </c>
    </row>
    <row r="1990" spans="14:50" ht="31.4" customHeight="1" x14ac:dyDescent="0.35">
      <c r="N1990" s="20"/>
      <c r="P1990" s="8"/>
      <c r="Q1990" s="8"/>
      <c r="R1990" s="8"/>
      <c r="S1990" s="8"/>
      <c r="U1990" s="6"/>
      <c r="V1990" s="6"/>
      <c r="W1990" s="6"/>
      <c r="X1990" s="6"/>
      <c r="Y1990" s="6"/>
      <c r="Z1990" s="6"/>
      <c r="AX1990" s="6" t="e">
        <v>#N/A</v>
      </c>
    </row>
    <row r="1991" spans="14:50" ht="31.4" customHeight="1" x14ac:dyDescent="0.35">
      <c r="N1991" s="20"/>
      <c r="P1991" s="8"/>
      <c r="Q1991" s="8"/>
      <c r="R1991" s="8"/>
      <c r="S1991" s="8"/>
      <c r="U1991" s="6"/>
      <c r="V1991" s="6"/>
      <c r="W1991" s="6"/>
      <c r="X1991" s="6"/>
      <c r="Y1991" s="6"/>
      <c r="Z1991" s="6"/>
      <c r="AX1991" s="6" t="e">
        <v>#N/A</v>
      </c>
    </row>
    <row r="1992" spans="14:50" ht="31.4" customHeight="1" x14ac:dyDescent="0.35">
      <c r="N1992" s="20"/>
      <c r="P1992" s="8"/>
      <c r="Q1992" s="8"/>
      <c r="R1992" s="8"/>
      <c r="S1992" s="8"/>
      <c r="U1992" s="6"/>
      <c r="V1992" s="6"/>
      <c r="W1992" s="6"/>
      <c r="X1992" s="6"/>
      <c r="Y1992" s="6"/>
      <c r="Z1992" s="6"/>
      <c r="AX1992" s="6" t="e">
        <v>#N/A</v>
      </c>
    </row>
    <row r="1993" spans="14:50" ht="31.4" customHeight="1" x14ac:dyDescent="0.35">
      <c r="N1993" s="20"/>
      <c r="P1993" s="8"/>
      <c r="Q1993" s="8"/>
      <c r="R1993" s="8"/>
      <c r="S1993" s="8"/>
      <c r="U1993" s="6"/>
      <c r="V1993" s="6"/>
      <c r="W1993" s="6"/>
      <c r="X1993" s="6"/>
      <c r="Y1993" s="6"/>
      <c r="Z1993" s="6"/>
      <c r="AX1993" s="6" t="e">
        <v>#N/A</v>
      </c>
    </row>
    <row r="1994" spans="14:50" ht="31.4" customHeight="1" x14ac:dyDescent="0.35">
      <c r="N1994" s="20"/>
      <c r="P1994" s="8"/>
      <c r="Q1994" s="8"/>
      <c r="R1994" s="8"/>
      <c r="S1994" s="8"/>
      <c r="U1994" s="6"/>
      <c r="V1994" s="6"/>
      <c r="W1994" s="6"/>
      <c r="X1994" s="6"/>
      <c r="Y1994" s="6"/>
      <c r="Z1994" s="6"/>
      <c r="AX1994" s="6" t="e">
        <v>#N/A</v>
      </c>
    </row>
    <row r="1995" spans="14:50" ht="31.4" customHeight="1" x14ac:dyDescent="0.35">
      <c r="N1995" s="20"/>
      <c r="P1995" s="8"/>
      <c r="Q1995" s="8"/>
      <c r="R1995" s="8"/>
      <c r="S1995" s="8"/>
      <c r="U1995" s="6"/>
      <c r="V1995" s="6"/>
      <c r="W1995" s="6"/>
      <c r="X1995" s="6"/>
      <c r="Y1995" s="6"/>
      <c r="Z1995" s="6"/>
      <c r="AX1995" s="6" t="e">
        <v>#N/A</v>
      </c>
    </row>
    <row r="1996" spans="14:50" ht="31.4" customHeight="1" x14ac:dyDescent="0.35">
      <c r="N1996" s="20"/>
      <c r="P1996" s="8"/>
      <c r="Q1996" s="8"/>
      <c r="R1996" s="8"/>
      <c r="S1996" s="8"/>
      <c r="U1996" s="6"/>
      <c r="V1996" s="6"/>
      <c r="W1996" s="6"/>
      <c r="X1996" s="6"/>
      <c r="Y1996" s="6"/>
      <c r="Z1996" s="6"/>
      <c r="AX1996" s="6" t="e">
        <v>#N/A</v>
      </c>
    </row>
    <row r="1997" spans="14:50" ht="31.4" customHeight="1" x14ac:dyDescent="0.35">
      <c r="N1997" s="20"/>
      <c r="P1997" s="8"/>
      <c r="Q1997" s="8"/>
      <c r="R1997" s="8"/>
      <c r="S1997" s="8"/>
      <c r="U1997" s="6"/>
      <c r="V1997" s="6"/>
      <c r="W1997" s="6"/>
      <c r="X1997" s="6"/>
      <c r="Y1997" s="6"/>
      <c r="Z1997" s="6"/>
      <c r="AX1997" s="6" t="e">
        <v>#N/A</v>
      </c>
    </row>
    <row r="1998" spans="14:50" ht="31.4" customHeight="1" x14ac:dyDescent="0.35">
      <c r="N1998" s="20"/>
      <c r="P1998" s="8"/>
      <c r="Q1998" s="8"/>
      <c r="R1998" s="8"/>
      <c r="S1998" s="8"/>
      <c r="U1998" s="6"/>
      <c r="V1998" s="6"/>
      <c r="W1998" s="6"/>
      <c r="X1998" s="6"/>
      <c r="Y1998" s="6"/>
      <c r="Z1998" s="6"/>
      <c r="AX1998" s="6" t="e">
        <v>#N/A</v>
      </c>
    </row>
    <row r="1999" spans="14:50" ht="31.4" customHeight="1" x14ac:dyDescent="0.35">
      <c r="N1999" s="20"/>
      <c r="P1999" s="8"/>
      <c r="Q1999" s="8"/>
      <c r="R1999" s="8"/>
      <c r="S1999" s="8"/>
      <c r="U1999" s="6"/>
      <c r="V1999" s="6"/>
      <c r="W1999" s="6"/>
      <c r="X1999" s="6"/>
      <c r="Y1999" s="6"/>
      <c r="Z1999" s="6"/>
      <c r="AX1999" s="6" t="e">
        <v>#N/A</v>
      </c>
    </row>
    <row r="2000" spans="14:50" ht="31.4" customHeight="1" x14ac:dyDescent="0.35">
      <c r="N2000" s="20"/>
      <c r="P2000" s="8"/>
      <c r="Q2000" s="8"/>
      <c r="R2000" s="8"/>
      <c r="S2000" s="8"/>
      <c r="U2000" s="6"/>
      <c r="V2000" s="6"/>
      <c r="W2000" s="6"/>
      <c r="X2000" s="6"/>
      <c r="Y2000" s="6"/>
      <c r="Z2000" s="6"/>
      <c r="AX2000" s="6" t="e">
        <v>#N/A</v>
      </c>
    </row>
    <row r="2001" spans="14:26" ht="31.4" customHeight="1" x14ac:dyDescent="0.35">
      <c r="N2001" s="20"/>
      <c r="P2001" s="8"/>
      <c r="Q2001" s="8"/>
      <c r="R2001" s="8"/>
      <c r="S2001" s="8"/>
      <c r="U2001" s="6"/>
      <c r="V2001" s="6"/>
      <c r="W2001" s="6"/>
      <c r="X2001" s="6"/>
      <c r="Y2001" s="6"/>
      <c r="Z2001" s="6"/>
    </row>
    <row r="2002" spans="14:26" ht="31.4" customHeight="1" x14ac:dyDescent="0.35">
      <c r="N2002" s="20"/>
      <c r="P2002" s="8"/>
      <c r="Q2002" s="8"/>
      <c r="R2002" s="8"/>
      <c r="S2002" s="8"/>
      <c r="U2002" s="6"/>
      <c r="V2002" s="6"/>
      <c r="W2002" s="6"/>
      <c r="X2002" s="6"/>
      <c r="Y2002" s="6"/>
      <c r="Z2002" s="6"/>
    </row>
    <row r="2003" spans="14:26" ht="31.4" customHeight="1" x14ac:dyDescent="0.35">
      <c r="N2003" s="20"/>
      <c r="P2003" s="8"/>
      <c r="Q2003" s="8"/>
      <c r="R2003" s="8"/>
      <c r="S2003" s="8"/>
      <c r="U2003" s="6"/>
      <c r="V2003" s="6"/>
      <c r="W2003" s="6"/>
      <c r="X2003" s="6"/>
      <c r="Y2003" s="6"/>
      <c r="Z2003" s="6"/>
    </row>
    <row r="2004" spans="14:26" ht="31.4" customHeight="1" x14ac:dyDescent="0.35">
      <c r="N2004" s="20"/>
      <c r="P2004" s="8"/>
      <c r="Q2004" s="8"/>
      <c r="R2004" s="8"/>
      <c r="S2004" s="8"/>
      <c r="U2004" s="6"/>
      <c r="V2004" s="6"/>
      <c r="W2004" s="6"/>
      <c r="X2004" s="6"/>
      <c r="Y2004" s="6"/>
      <c r="Z2004" s="6"/>
    </row>
    <row r="2005" spans="14:26" ht="31.4" customHeight="1" x14ac:dyDescent="0.35">
      <c r="N2005" s="20"/>
      <c r="P2005" s="8"/>
      <c r="Q2005" s="8"/>
      <c r="R2005" s="8"/>
      <c r="S2005" s="8"/>
      <c r="U2005" s="6"/>
      <c r="V2005" s="6"/>
      <c r="W2005" s="6"/>
      <c r="X2005" s="6"/>
      <c r="Y2005" s="6"/>
      <c r="Z2005" s="6"/>
    </row>
    <row r="2006" spans="14:26" ht="31.4" customHeight="1" x14ac:dyDescent="0.35">
      <c r="N2006" s="20"/>
      <c r="P2006" s="8"/>
      <c r="Q2006" s="8"/>
      <c r="R2006" s="8"/>
      <c r="S2006" s="8"/>
      <c r="U2006" s="6"/>
      <c r="V2006" s="6"/>
      <c r="W2006" s="6"/>
      <c r="X2006" s="6"/>
      <c r="Y2006" s="6"/>
      <c r="Z2006" s="6"/>
    </row>
    <row r="2007" spans="14:26" ht="31.4" customHeight="1" x14ac:dyDescent="0.35">
      <c r="N2007" s="20"/>
      <c r="P2007" s="8"/>
      <c r="Q2007" s="8"/>
      <c r="R2007" s="8"/>
      <c r="S2007" s="8"/>
      <c r="U2007" s="6"/>
      <c r="V2007" s="6"/>
      <c r="W2007" s="6"/>
      <c r="X2007" s="6"/>
      <c r="Y2007" s="6"/>
      <c r="Z2007" s="6"/>
    </row>
    <row r="2008" spans="14:26" ht="31.4" customHeight="1" x14ac:dyDescent="0.35">
      <c r="N2008" s="20"/>
      <c r="P2008" s="8"/>
      <c r="Q2008" s="8"/>
      <c r="R2008" s="8"/>
      <c r="S2008" s="8"/>
      <c r="U2008" s="6"/>
      <c r="V2008" s="6"/>
      <c r="W2008" s="6"/>
      <c r="X2008" s="6"/>
      <c r="Y2008" s="6"/>
      <c r="Z2008" s="6"/>
    </row>
    <row r="2009" spans="14:26" ht="31.4" customHeight="1" x14ac:dyDescent="0.35">
      <c r="N2009" s="20"/>
      <c r="P2009" s="8"/>
      <c r="Q2009" s="8"/>
      <c r="R2009" s="8"/>
      <c r="S2009" s="8"/>
      <c r="U2009" s="6"/>
      <c r="V2009" s="6"/>
      <c r="W2009" s="6"/>
      <c r="X2009" s="6"/>
      <c r="Y2009" s="6"/>
      <c r="Z2009" s="6"/>
    </row>
    <row r="2010" spans="14:26" ht="31.4" customHeight="1" x14ac:dyDescent="0.35">
      <c r="N2010" s="20"/>
      <c r="P2010" s="8"/>
      <c r="Q2010" s="8"/>
      <c r="R2010" s="8"/>
      <c r="S2010" s="8"/>
      <c r="U2010" s="6"/>
      <c r="V2010" s="6"/>
      <c r="W2010" s="6"/>
      <c r="X2010" s="6"/>
      <c r="Y2010" s="6"/>
      <c r="Z2010" s="6"/>
    </row>
    <row r="2011" spans="14:26" ht="31.4" customHeight="1" x14ac:dyDescent="0.35">
      <c r="N2011" s="20"/>
      <c r="P2011" s="8"/>
      <c r="Q2011" s="8"/>
      <c r="R2011" s="8"/>
      <c r="S2011" s="8"/>
      <c r="U2011" s="6"/>
      <c r="V2011" s="6"/>
      <c r="W2011" s="6"/>
      <c r="X2011" s="6"/>
      <c r="Y2011" s="6"/>
      <c r="Z2011" s="6"/>
    </row>
    <row r="2012" spans="14:26" ht="31.4" customHeight="1" x14ac:dyDescent="0.35">
      <c r="N2012" s="20"/>
      <c r="P2012" s="8"/>
      <c r="Q2012" s="8"/>
      <c r="R2012" s="8"/>
      <c r="S2012" s="8"/>
      <c r="U2012" s="6"/>
      <c r="V2012" s="6"/>
      <c r="W2012" s="6"/>
      <c r="X2012" s="6"/>
      <c r="Y2012" s="6"/>
      <c r="Z2012" s="6"/>
    </row>
    <row r="2013" spans="14:26" ht="31.4" customHeight="1" x14ac:dyDescent="0.35">
      <c r="N2013" s="20"/>
      <c r="P2013" s="8"/>
      <c r="Q2013" s="8"/>
      <c r="R2013" s="8"/>
      <c r="S2013" s="8"/>
      <c r="U2013" s="6"/>
      <c r="V2013" s="6"/>
      <c r="W2013" s="6"/>
      <c r="X2013" s="6"/>
      <c r="Y2013" s="6"/>
      <c r="Z2013" s="6"/>
    </row>
    <row r="2014" spans="14:26" ht="31.4" customHeight="1" x14ac:dyDescent="0.35">
      <c r="N2014" s="20"/>
      <c r="P2014" s="8"/>
      <c r="Q2014" s="8"/>
      <c r="R2014" s="8"/>
      <c r="S2014" s="8"/>
      <c r="U2014" s="6"/>
      <c r="V2014" s="6"/>
      <c r="W2014" s="6"/>
      <c r="X2014" s="6"/>
      <c r="Y2014" s="6"/>
      <c r="Z2014" s="6"/>
    </row>
    <row r="2015" spans="14:26" ht="31.4" customHeight="1" x14ac:dyDescent="0.35">
      <c r="N2015" s="20"/>
      <c r="P2015" s="8"/>
      <c r="Q2015" s="8"/>
      <c r="R2015" s="8"/>
      <c r="S2015" s="8"/>
      <c r="U2015" s="6"/>
      <c r="V2015" s="6"/>
      <c r="W2015" s="6"/>
      <c r="X2015" s="6"/>
      <c r="Y2015" s="6"/>
      <c r="Z2015" s="6"/>
    </row>
    <row r="2016" spans="14:26" ht="31.4" customHeight="1" x14ac:dyDescent="0.35">
      <c r="N2016" s="20"/>
      <c r="P2016" s="8"/>
      <c r="Q2016" s="8"/>
      <c r="R2016" s="8"/>
      <c r="S2016" s="8"/>
      <c r="U2016" s="6"/>
      <c r="V2016" s="6"/>
      <c r="W2016" s="6"/>
      <c r="X2016" s="6"/>
      <c r="Y2016" s="6"/>
      <c r="Z2016" s="6"/>
    </row>
    <row r="2017" spans="14:26" ht="31.4" customHeight="1" x14ac:dyDescent="0.35">
      <c r="N2017" s="20"/>
      <c r="P2017" s="8"/>
      <c r="Q2017" s="8"/>
      <c r="R2017" s="8"/>
      <c r="S2017" s="8"/>
      <c r="U2017" s="6"/>
      <c r="V2017" s="6"/>
      <c r="W2017" s="6"/>
      <c r="X2017" s="6"/>
      <c r="Y2017" s="6"/>
      <c r="Z2017" s="6"/>
    </row>
    <row r="2018" spans="14:26" ht="31.4" customHeight="1" x14ac:dyDescent="0.35">
      <c r="N2018" s="20"/>
      <c r="P2018" s="8"/>
      <c r="Q2018" s="8"/>
      <c r="R2018" s="8"/>
      <c r="S2018" s="8"/>
      <c r="U2018" s="6"/>
      <c r="V2018" s="6"/>
      <c r="W2018" s="6"/>
      <c r="X2018" s="6"/>
      <c r="Y2018" s="6"/>
      <c r="Z2018" s="6"/>
    </row>
    <row r="2019" spans="14:26" ht="31.4" customHeight="1" x14ac:dyDescent="0.35">
      <c r="N2019" s="20"/>
      <c r="P2019" s="8"/>
      <c r="Q2019" s="8"/>
      <c r="R2019" s="8"/>
      <c r="S2019" s="8"/>
      <c r="U2019" s="6"/>
      <c r="V2019" s="6"/>
      <c r="W2019" s="6"/>
      <c r="X2019" s="6"/>
      <c r="Y2019" s="6"/>
      <c r="Z2019" s="6"/>
    </row>
    <row r="2020" spans="14:26" ht="31.4" customHeight="1" x14ac:dyDescent="0.35">
      <c r="N2020" s="20"/>
      <c r="P2020" s="8"/>
      <c r="Q2020" s="8"/>
      <c r="R2020" s="8"/>
      <c r="S2020" s="8"/>
      <c r="U2020" s="6"/>
      <c r="V2020" s="6"/>
      <c r="W2020" s="6"/>
      <c r="X2020" s="6"/>
      <c r="Y2020" s="6"/>
      <c r="Z2020" s="6"/>
    </row>
    <row r="2021" spans="14:26" ht="31.4" customHeight="1" x14ac:dyDescent="0.35">
      <c r="N2021" s="20"/>
      <c r="P2021" s="8"/>
      <c r="Q2021" s="8"/>
      <c r="R2021" s="8"/>
      <c r="S2021" s="8"/>
      <c r="U2021" s="6"/>
      <c r="V2021" s="6"/>
      <c r="W2021" s="6"/>
      <c r="X2021" s="6"/>
      <c r="Y2021" s="6"/>
      <c r="Z2021" s="6"/>
    </row>
    <row r="2022" spans="14:26" ht="31.4" customHeight="1" x14ac:dyDescent="0.35">
      <c r="N2022" s="20"/>
      <c r="P2022" s="8"/>
      <c r="Q2022" s="8"/>
      <c r="R2022" s="8"/>
      <c r="S2022" s="8"/>
      <c r="U2022" s="6"/>
      <c r="V2022" s="6"/>
      <c r="W2022" s="6"/>
      <c r="X2022" s="6"/>
      <c r="Y2022" s="6"/>
      <c r="Z2022" s="6"/>
    </row>
    <row r="2023" spans="14:26" ht="31.4" customHeight="1" x14ac:dyDescent="0.35">
      <c r="N2023" s="20"/>
      <c r="P2023" s="8"/>
      <c r="Q2023" s="8"/>
      <c r="R2023" s="8"/>
      <c r="S2023" s="8"/>
      <c r="U2023" s="6"/>
      <c r="V2023" s="6"/>
      <c r="W2023" s="6"/>
      <c r="X2023" s="6"/>
      <c r="Y2023" s="6"/>
      <c r="Z2023" s="6"/>
    </row>
    <row r="2024" spans="14:26" ht="31.4" customHeight="1" x14ac:dyDescent="0.35">
      <c r="N2024" s="20"/>
      <c r="P2024" s="8"/>
      <c r="Q2024" s="8"/>
      <c r="R2024" s="8"/>
      <c r="S2024" s="8"/>
      <c r="U2024" s="6"/>
      <c r="V2024" s="6"/>
      <c r="W2024" s="6"/>
      <c r="X2024" s="6"/>
      <c r="Y2024" s="6"/>
      <c r="Z2024" s="6"/>
    </row>
    <row r="2025" spans="14:26" ht="31.4" customHeight="1" x14ac:dyDescent="0.35">
      <c r="N2025" s="20"/>
      <c r="P2025" s="8"/>
      <c r="Q2025" s="8"/>
      <c r="R2025" s="8"/>
      <c r="S2025" s="8"/>
      <c r="U2025" s="6"/>
      <c r="V2025" s="6"/>
      <c r="W2025" s="6"/>
      <c r="X2025" s="6"/>
      <c r="Y2025" s="6"/>
      <c r="Z2025" s="6"/>
    </row>
    <row r="2026" spans="14:26" ht="31.4" customHeight="1" x14ac:dyDescent="0.35">
      <c r="N2026" s="20"/>
      <c r="P2026" s="8"/>
      <c r="Q2026" s="8"/>
      <c r="R2026" s="8"/>
      <c r="S2026" s="8"/>
      <c r="U2026" s="6"/>
      <c r="V2026" s="6"/>
      <c r="W2026" s="6"/>
      <c r="X2026" s="6"/>
      <c r="Y2026" s="6"/>
      <c r="Z2026" s="6"/>
    </row>
    <row r="2027" spans="14:26" ht="31.4" customHeight="1" x14ac:dyDescent="0.35">
      <c r="N2027" s="20"/>
      <c r="P2027" s="8"/>
      <c r="Q2027" s="8"/>
      <c r="R2027" s="8"/>
      <c r="S2027" s="8"/>
      <c r="U2027" s="6"/>
      <c r="V2027" s="6"/>
      <c r="W2027" s="6"/>
      <c r="X2027" s="6"/>
      <c r="Y2027" s="6"/>
      <c r="Z2027" s="6"/>
    </row>
    <row r="2028" spans="14:26" ht="31.4" customHeight="1" x14ac:dyDescent="0.35">
      <c r="N2028" s="20"/>
      <c r="P2028" s="8"/>
      <c r="Q2028" s="8"/>
      <c r="R2028" s="8"/>
      <c r="S2028" s="8"/>
      <c r="U2028" s="6"/>
      <c r="V2028" s="6"/>
      <c r="W2028" s="6"/>
      <c r="X2028" s="6"/>
      <c r="Y2028" s="6"/>
      <c r="Z2028" s="6"/>
    </row>
    <row r="2029" spans="14:26" ht="31.4" customHeight="1" x14ac:dyDescent="0.35">
      <c r="N2029" s="20"/>
      <c r="P2029" s="8"/>
      <c r="Q2029" s="8"/>
      <c r="R2029" s="8"/>
      <c r="S2029" s="8"/>
      <c r="U2029" s="6"/>
      <c r="V2029" s="6"/>
      <c r="W2029" s="6"/>
      <c r="X2029" s="6"/>
      <c r="Y2029" s="6"/>
      <c r="Z2029" s="6"/>
    </row>
    <row r="2030" spans="14:26" ht="31.4" customHeight="1" x14ac:dyDescent="0.35">
      <c r="N2030" s="20"/>
      <c r="P2030" s="8"/>
      <c r="Q2030" s="8"/>
      <c r="R2030" s="8"/>
      <c r="S2030" s="8"/>
      <c r="U2030" s="6"/>
      <c r="V2030" s="6"/>
      <c r="W2030" s="6"/>
      <c r="X2030" s="6"/>
      <c r="Y2030" s="6"/>
      <c r="Z2030" s="6"/>
    </row>
    <row r="2031" spans="14:26" ht="31.4" customHeight="1" x14ac:dyDescent="0.35">
      <c r="N2031" s="20"/>
      <c r="P2031" s="8"/>
      <c r="Q2031" s="8"/>
      <c r="R2031" s="8"/>
      <c r="S2031" s="8"/>
      <c r="U2031" s="6"/>
      <c r="V2031" s="6"/>
      <c r="W2031" s="6"/>
      <c r="X2031" s="6"/>
      <c r="Y2031" s="6"/>
      <c r="Z2031" s="6"/>
    </row>
    <row r="2032" spans="14:26" ht="31.4" customHeight="1" x14ac:dyDescent="0.35">
      <c r="N2032" s="20"/>
      <c r="P2032" s="8"/>
      <c r="Q2032" s="8"/>
      <c r="R2032" s="8"/>
      <c r="S2032" s="8"/>
      <c r="U2032" s="6"/>
      <c r="V2032" s="6"/>
      <c r="W2032" s="6"/>
      <c r="X2032" s="6"/>
      <c r="Y2032" s="6"/>
      <c r="Z2032" s="6"/>
    </row>
    <row r="2033" spans="14:26" ht="31.4" customHeight="1" x14ac:dyDescent="0.35">
      <c r="N2033" s="20"/>
      <c r="P2033" s="8"/>
      <c r="Q2033" s="8"/>
      <c r="R2033" s="8"/>
      <c r="S2033" s="8"/>
      <c r="U2033" s="6"/>
      <c r="V2033" s="6"/>
      <c r="W2033" s="6"/>
      <c r="X2033" s="6"/>
      <c r="Y2033" s="6"/>
      <c r="Z2033" s="6"/>
    </row>
    <row r="2034" spans="14:26" ht="31.4" customHeight="1" x14ac:dyDescent="0.35">
      <c r="N2034" s="20"/>
      <c r="P2034" s="8"/>
      <c r="Q2034" s="8"/>
      <c r="R2034" s="8"/>
      <c r="S2034" s="8"/>
      <c r="U2034" s="6"/>
      <c r="V2034" s="6"/>
      <c r="W2034" s="6"/>
      <c r="X2034" s="6"/>
      <c r="Y2034" s="6"/>
      <c r="Z2034" s="6"/>
    </row>
    <row r="2035" spans="14:26" ht="31.4" customHeight="1" x14ac:dyDescent="0.35">
      <c r="N2035" s="20"/>
      <c r="P2035" s="8"/>
      <c r="Q2035" s="8"/>
      <c r="R2035" s="8"/>
      <c r="S2035" s="8"/>
      <c r="U2035" s="6"/>
      <c r="V2035" s="6"/>
      <c r="W2035" s="6"/>
      <c r="X2035" s="6"/>
      <c r="Y2035" s="6"/>
      <c r="Z2035" s="6"/>
    </row>
    <row r="2036" spans="14:26" ht="31.4" customHeight="1" x14ac:dyDescent="0.35">
      <c r="N2036" s="20"/>
      <c r="P2036" s="8"/>
      <c r="Q2036" s="8"/>
      <c r="R2036" s="8"/>
      <c r="S2036" s="8"/>
      <c r="U2036" s="6"/>
      <c r="V2036" s="6"/>
      <c r="W2036" s="6"/>
      <c r="X2036" s="6"/>
      <c r="Y2036" s="6"/>
      <c r="Z2036" s="6"/>
    </row>
    <row r="2037" spans="14:26" ht="31.4" customHeight="1" x14ac:dyDescent="0.35">
      <c r="N2037" s="20"/>
      <c r="P2037" s="8"/>
      <c r="Q2037" s="8"/>
      <c r="R2037" s="8"/>
      <c r="S2037" s="8"/>
      <c r="U2037" s="6"/>
      <c r="V2037" s="6"/>
      <c r="W2037" s="6"/>
      <c r="X2037" s="6"/>
      <c r="Y2037" s="6"/>
      <c r="Z2037" s="6"/>
    </row>
    <row r="2038" spans="14:26" ht="31.4" customHeight="1" x14ac:dyDescent="0.35">
      <c r="N2038" s="20"/>
      <c r="P2038" s="8"/>
      <c r="Q2038" s="8"/>
      <c r="R2038" s="8"/>
      <c r="S2038" s="8"/>
      <c r="U2038" s="6"/>
      <c r="V2038" s="6"/>
      <c r="W2038" s="6"/>
      <c r="X2038" s="6"/>
      <c r="Y2038" s="6"/>
      <c r="Z2038" s="6"/>
    </row>
    <row r="2039" spans="14:26" ht="31.4" customHeight="1" x14ac:dyDescent="0.35">
      <c r="N2039" s="20"/>
      <c r="P2039" s="8"/>
      <c r="Q2039" s="8"/>
      <c r="R2039" s="8"/>
      <c r="S2039" s="8"/>
      <c r="U2039" s="6"/>
      <c r="V2039" s="6"/>
      <c r="W2039" s="6"/>
      <c r="X2039" s="6"/>
      <c r="Y2039" s="6"/>
      <c r="Z2039" s="6"/>
    </row>
    <row r="2040" spans="14:26" ht="31.4" customHeight="1" x14ac:dyDescent="0.35">
      <c r="N2040" s="20"/>
      <c r="P2040" s="8"/>
      <c r="Q2040" s="8"/>
      <c r="R2040" s="8"/>
      <c r="S2040" s="8"/>
      <c r="U2040" s="6"/>
      <c r="V2040" s="6"/>
      <c r="W2040" s="6"/>
      <c r="X2040" s="6"/>
      <c r="Y2040" s="6"/>
      <c r="Z2040" s="6"/>
    </row>
    <row r="2041" spans="14:26" ht="31.4" customHeight="1" x14ac:dyDescent="0.35">
      <c r="N2041" s="20"/>
      <c r="P2041" s="8"/>
      <c r="Q2041" s="8"/>
      <c r="R2041" s="8"/>
      <c r="S2041" s="8"/>
      <c r="U2041" s="6"/>
      <c r="V2041" s="6"/>
      <c r="W2041" s="6"/>
      <c r="X2041" s="6"/>
      <c r="Y2041" s="6"/>
      <c r="Z2041" s="6"/>
    </row>
    <row r="2042" spans="14:26" ht="31.4" customHeight="1" x14ac:dyDescent="0.35">
      <c r="N2042" s="20"/>
      <c r="P2042" s="8"/>
      <c r="Q2042" s="8"/>
      <c r="R2042" s="8"/>
      <c r="S2042" s="8"/>
      <c r="U2042" s="6"/>
      <c r="V2042" s="6"/>
      <c r="W2042" s="6"/>
      <c r="X2042" s="6"/>
      <c r="Y2042" s="6"/>
      <c r="Z2042" s="6"/>
    </row>
    <row r="2043" spans="14:26" ht="31.4" customHeight="1" x14ac:dyDescent="0.35">
      <c r="N2043" s="20"/>
      <c r="P2043" s="8"/>
      <c r="Q2043" s="8"/>
      <c r="R2043" s="8"/>
      <c r="S2043" s="8"/>
      <c r="U2043" s="6"/>
      <c r="V2043" s="6"/>
      <c r="W2043" s="6"/>
      <c r="X2043" s="6"/>
      <c r="Y2043" s="6"/>
      <c r="Z2043" s="6"/>
    </row>
    <row r="2044" spans="14:26" ht="31.4" customHeight="1" x14ac:dyDescent="0.35">
      <c r="N2044" s="20"/>
      <c r="P2044" s="8"/>
      <c r="Q2044" s="8"/>
      <c r="R2044" s="8"/>
      <c r="S2044" s="8"/>
      <c r="U2044" s="6"/>
      <c r="V2044" s="6"/>
      <c r="W2044" s="6"/>
      <c r="X2044" s="6"/>
      <c r="Y2044" s="6"/>
      <c r="Z2044" s="6"/>
    </row>
    <row r="2045" spans="14:26" ht="31.4" customHeight="1" x14ac:dyDescent="0.35">
      <c r="N2045" s="20"/>
      <c r="P2045" s="8"/>
      <c r="Q2045" s="8"/>
      <c r="R2045" s="8"/>
      <c r="S2045" s="8"/>
      <c r="U2045" s="6"/>
      <c r="V2045" s="6"/>
      <c r="W2045" s="6"/>
      <c r="X2045" s="6"/>
      <c r="Y2045" s="6"/>
      <c r="Z2045" s="6"/>
    </row>
    <row r="2046" spans="14:26" ht="31.4" customHeight="1" x14ac:dyDescent="0.35">
      <c r="N2046" s="20"/>
      <c r="P2046" s="8"/>
      <c r="Q2046" s="8"/>
      <c r="R2046" s="8"/>
      <c r="S2046" s="8"/>
      <c r="U2046" s="6"/>
      <c r="V2046" s="6"/>
      <c r="W2046" s="6"/>
      <c r="X2046" s="6"/>
      <c r="Y2046" s="6"/>
      <c r="Z2046" s="6"/>
    </row>
    <row r="2047" spans="14:26" ht="31.4" customHeight="1" x14ac:dyDescent="0.35">
      <c r="N2047" s="20"/>
      <c r="P2047" s="8"/>
      <c r="Q2047" s="8"/>
      <c r="R2047" s="8"/>
      <c r="S2047" s="8"/>
      <c r="U2047" s="6"/>
      <c r="V2047" s="6"/>
      <c r="W2047" s="6"/>
      <c r="X2047" s="6"/>
      <c r="Y2047" s="6"/>
      <c r="Z2047" s="6"/>
    </row>
    <row r="2048" spans="14:26" ht="31.4" customHeight="1" x14ac:dyDescent="0.35">
      <c r="N2048" s="20"/>
      <c r="P2048" s="8"/>
      <c r="Q2048" s="8"/>
      <c r="R2048" s="8"/>
      <c r="S2048" s="8"/>
      <c r="U2048" s="6"/>
      <c r="V2048" s="6"/>
      <c r="W2048" s="6"/>
      <c r="X2048" s="6"/>
      <c r="Y2048" s="6"/>
      <c r="Z2048" s="6"/>
    </row>
    <row r="2049" spans="14:26" ht="31.4" customHeight="1" x14ac:dyDescent="0.35">
      <c r="N2049" s="20"/>
      <c r="P2049" s="8"/>
      <c r="Q2049" s="8"/>
      <c r="R2049" s="8"/>
      <c r="S2049" s="8"/>
      <c r="U2049" s="6"/>
      <c r="V2049" s="6"/>
      <c r="W2049" s="6"/>
      <c r="X2049" s="6"/>
      <c r="Y2049" s="6"/>
      <c r="Z2049" s="6"/>
    </row>
    <row r="2050" spans="14:26" ht="31.4" customHeight="1" x14ac:dyDescent="0.35">
      <c r="N2050" s="20"/>
      <c r="P2050" s="8"/>
      <c r="Q2050" s="8"/>
      <c r="R2050" s="8"/>
      <c r="S2050" s="8"/>
      <c r="U2050" s="6"/>
      <c r="V2050" s="6"/>
      <c r="W2050" s="6"/>
      <c r="X2050" s="6"/>
      <c r="Y2050" s="6"/>
      <c r="Z2050" s="6"/>
    </row>
    <row r="2051" spans="14:26" ht="31.4" customHeight="1" x14ac:dyDescent="0.35">
      <c r="N2051" s="20"/>
      <c r="P2051" s="8"/>
      <c r="Q2051" s="8"/>
      <c r="R2051" s="8"/>
      <c r="S2051" s="8"/>
      <c r="U2051" s="6"/>
      <c r="V2051" s="6"/>
      <c r="W2051" s="6"/>
      <c r="X2051" s="6"/>
      <c r="Y2051" s="6"/>
      <c r="Z2051" s="6"/>
    </row>
    <row r="2052" spans="14:26" ht="31.4" customHeight="1" x14ac:dyDescent="0.35">
      <c r="N2052" s="20"/>
      <c r="P2052" s="8"/>
      <c r="Q2052" s="8"/>
      <c r="R2052" s="8"/>
      <c r="S2052" s="8"/>
      <c r="U2052" s="6"/>
      <c r="V2052" s="6"/>
      <c r="W2052" s="6"/>
      <c r="X2052" s="6"/>
      <c r="Y2052" s="6"/>
      <c r="Z2052" s="6"/>
    </row>
    <row r="2053" spans="14:26" ht="31.4" customHeight="1" x14ac:dyDescent="0.35">
      <c r="N2053" s="20"/>
      <c r="P2053" s="8"/>
      <c r="Q2053" s="8"/>
      <c r="R2053" s="8"/>
      <c r="S2053" s="8"/>
      <c r="U2053" s="6"/>
      <c r="V2053" s="6"/>
      <c r="W2053" s="6"/>
      <c r="X2053" s="6"/>
      <c r="Y2053" s="6"/>
      <c r="Z2053" s="6"/>
    </row>
    <row r="2054" spans="14:26" ht="31.4" customHeight="1" x14ac:dyDescent="0.35">
      <c r="N2054" s="20"/>
      <c r="P2054" s="8"/>
      <c r="Q2054" s="8"/>
      <c r="R2054" s="8"/>
      <c r="S2054" s="8"/>
      <c r="U2054" s="6"/>
      <c r="V2054" s="6"/>
      <c r="W2054" s="6"/>
      <c r="X2054" s="6"/>
      <c r="Y2054" s="6"/>
      <c r="Z2054" s="6"/>
    </row>
    <row r="2055" spans="14:26" ht="31.4" customHeight="1" x14ac:dyDescent="0.35">
      <c r="N2055" s="20"/>
      <c r="P2055" s="8"/>
      <c r="Q2055" s="8"/>
      <c r="R2055" s="8"/>
      <c r="S2055" s="8"/>
      <c r="U2055" s="6"/>
      <c r="V2055" s="6"/>
      <c r="W2055" s="6"/>
      <c r="X2055" s="6"/>
      <c r="Y2055" s="6"/>
      <c r="Z2055" s="6"/>
    </row>
    <row r="2056" spans="14:26" ht="31.4" customHeight="1" x14ac:dyDescent="0.35">
      <c r="N2056" s="20"/>
      <c r="P2056" s="8"/>
      <c r="Q2056" s="8"/>
      <c r="R2056" s="8"/>
      <c r="S2056" s="8"/>
      <c r="U2056" s="6"/>
      <c r="V2056" s="6"/>
      <c r="W2056" s="6"/>
      <c r="X2056" s="6"/>
      <c r="Y2056" s="6"/>
      <c r="Z2056" s="6"/>
    </row>
    <row r="2057" spans="14:26" ht="31.4" customHeight="1" x14ac:dyDescent="0.35">
      <c r="N2057" s="20"/>
      <c r="P2057" s="8"/>
      <c r="Q2057" s="8"/>
      <c r="R2057" s="8"/>
      <c r="S2057" s="8"/>
      <c r="U2057" s="6"/>
      <c r="V2057" s="6"/>
      <c r="W2057" s="6"/>
      <c r="X2057" s="6"/>
      <c r="Y2057" s="6"/>
      <c r="Z2057" s="6"/>
    </row>
    <row r="2058" spans="14:26" ht="31.4" customHeight="1" x14ac:dyDescent="0.35">
      <c r="N2058" s="20"/>
      <c r="P2058" s="8"/>
      <c r="Q2058" s="8"/>
      <c r="R2058" s="8"/>
      <c r="S2058" s="8"/>
      <c r="U2058" s="6"/>
      <c r="V2058" s="6"/>
      <c r="W2058" s="6"/>
      <c r="X2058" s="6"/>
      <c r="Y2058" s="6"/>
      <c r="Z2058" s="6"/>
    </row>
    <row r="2059" spans="14:26" ht="31.4" customHeight="1" x14ac:dyDescent="0.35">
      <c r="N2059" s="20"/>
      <c r="P2059" s="8"/>
      <c r="Q2059" s="8"/>
      <c r="R2059" s="8"/>
      <c r="S2059" s="8"/>
      <c r="U2059" s="6"/>
      <c r="V2059" s="6"/>
      <c r="W2059" s="6"/>
      <c r="X2059" s="6"/>
      <c r="Y2059" s="6"/>
      <c r="Z2059" s="6"/>
    </row>
    <row r="2060" spans="14:26" ht="31.4" customHeight="1" x14ac:dyDescent="0.35">
      <c r="N2060" s="20"/>
      <c r="P2060" s="8"/>
      <c r="Q2060" s="8"/>
      <c r="R2060" s="8"/>
      <c r="S2060" s="8"/>
      <c r="U2060" s="6"/>
      <c r="V2060" s="6"/>
      <c r="W2060" s="6"/>
      <c r="X2060" s="6"/>
      <c r="Y2060" s="6"/>
      <c r="Z2060" s="6"/>
    </row>
    <row r="2061" spans="14:26" ht="31.4" customHeight="1" x14ac:dyDescent="0.35">
      <c r="N2061" s="20"/>
      <c r="P2061" s="8"/>
      <c r="Q2061" s="8"/>
      <c r="R2061" s="8"/>
      <c r="S2061" s="8"/>
      <c r="U2061" s="6"/>
      <c r="V2061" s="6"/>
      <c r="W2061" s="6"/>
      <c r="X2061" s="6"/>
      <c r="Y2061" s="6"/>
      <c r="Z2061" s="6"/>
    </row>
    <row r="2062" spans="14:26" ht="31.4" customHeight="1" x14ac:dyDescent="0.35">
      <c r="N2062" s="20"/>
      <c r="P2062" s="8"/>
      <c r="Q2062" s="8"/>
      <c r="R2062" s="8"/>
      <c r="S2062" s="8"/>
      <c r="U2062" s="6"/>
      <c r="V2062" s="6"/>
      <c r="W2062" s="6"/>
      <c r="X2062" s="6"/>
      <c r="Y2062" s="6"/>
      <c r="Z2062" s="6"/>
    </row>
    <row r="2063" spans="14:26" ht="31.4" customHeight="1" x14ac:dyDescent="0.35">
      <c r="N2063" s="20"/>
      <c r="P2063" s="8"/>
      <c r="Q2063" s="8"/>
      <c r="R2063" s="8"/>
      <c r="S2063" s="8"/>
      <c r="U2063" s="6"/>
      <c r="V2063" s="6"/>
      <c r="W2063" s="6"/>
      <c r="X2063" s="6"/>
      <c r="Y2063" s="6"/>
      <c r="Z2063" s="6"/>
    </row>
    <row r="2064" spans="14:26" ht="31.4" customHeight="1" x14ac:dyDescent="0.35">
      <c r="N2064" s="20"/>
      <c r="P2064" s="8"/>
      <c r="Q2064" s="8"/>
      <c r="R2064" s="8"/>
      <c r="S2064" s="8"/>
      <c r="U2064" s="6"/>
      <c r="V2064" s="6"/>
      <c r="W2064" s="6"/>
      <c r="X2064" s="6"/>
      <c r="Y2064" s="6"/>
      <c r="Z2064" s="6"/>
    </row>
    <row r="2065" spans="14:26" ht="31.4" customHeight="1" x14ac:dyDescent="0.35">
      <c r="N2065" s="20"/>
      <c r="P2065" s="8"/>
      <c r="Q2065" s="8"/>
      <c r="R2065" s="8"/>
      <c r="S2065" s="8"/>
      <c r="U2065" s="6"/>
      <c r="V2065" s="6"/>
      <c r="W2065" s="6"/>
      <c r="X2065" s="6"/>
      <c r="Y2065" s="6"/>
      <c r="Z2065" s="6"/>
    </row>
    <row r="2066" spans="14:26" ht="31.4" customHeight="1" x14ac:dyDescent="0.35">
      <c r="N2066" s="20"/>
      <c r="P2066" s="8"/>
      <c r="Q2066" s="8"/>
      <c r="R2066" s="8"/>
      <c r="S2066" s="8"/>
      <c r="U2066" s="6"/>
      <c r="V2066" s="6"/>
      <c r="W2066" s="6"/>
      <c r="X2066" s="6"/>
      <c r="Y2066" s="6"/>
      <c r="Z2066" s="6"/>
    </row>
    <row r="2067" spans="14:26" ht="31.4" customHeight="1" x14ac:dyDescent="0.35">
      <c r="N2067" s="20"/>
      <c r="P2067" s="8"/>
      <c r="Q2067" s="8"/>
      <c r="R2067" s="8"/>
      <c r="S2067" s="8"/>
      <c r="U2067" s="6"/>
      <c r="V2067" s="6"/>
      <c r="W2067" s="6"/>
      <c r="X2067" s="6"/>
      <c r="Y2067" s="6"/>
      <c r="Z2067" s="6"/>
    </row>
    <row r="2068" spans="14:26" ht="31.4" customHeight="1" x14ac:dyDescent="0.35">
      <c r="N2068" s="20"/>
      <c r="P2068" s="8"/>
      <c r="Q2068" s="8"/>
      <c r="R2068" s="8"/>
      <c r="S2068" s="8"/>
      <c r="U2068" s="6"/>
      <c r="V2068" s="6"/>
      <c r="W2068" s="6"/>
      <c r="X2068" s="6"/>
      <c r="Y2068" s="6"/>
      <c r="Z2068" s="6"/>
    </row>
    <row r="2069" spans="14:26" ht="31.4" customHeight="1" x14ac:dyDescent="0.35">
      <c r="N2069" s="20"/>
      <c r="P2069" s="8"/>
      <c r="Q2069" s="8"/>
      <c r="R2069" s="8"/>
      <c r="S2069" s="8"/>
      <c r="U2069" s="6"/>
      <c r="V2069" s="6"/>
      <c r="W2069" s="6"/>
      <c r="X2069" s="6"/>
      <c r="Y2069" s="6"/>
      <c r="Z2069" s="6"/>
    </row>
    <row r="2070" spans="14:26" ht="31.4" customHeight="1" x14ac:dyDescent="0.35">
      <c r="N2070" s="20"/>
      <c r="P2070" s="8"/>
      <c r="Q2070" s="8"/>
      <c r="R2070" s="8"/>
      <c r="S2070" s="8"/>
      <c r="U2070" s="6"/>
      <c r="V2070" s="6"/>
      <c r="W2070" s="6"/>
      <c r="X2070" s="6"/>
      <c r="Y2070" s="6"/>
      <c r="Z2070" s="6"/>
    </row>
    <row r="2071" spans="14:26" ht="31.4" customHeight="1" x14ac:dyDescent="0.35">
      <c r="N2071" s="20"/>
      <c r="P2071" s="8"/>
      <c r="Q2071" s="8"/>
      <c r="R2071" s="8"/>
      <c r="S2071" s="8"/>
      <c r="U2071" s="6"/>
      <c r="V2071" s="6"/>
      <c r="W2071" s="6"/>
      <c r="X2071" s="6"/>
      <c r="Y2071" s="6"/>
      <c r="Z2071" s="6"/>
    </row>
    <row r="2072" spans="14:26" ht="31.4" customHeight="1" x14ac:dyDescent="0.35">
      <c r="N2072" s="20"/>
      <c r="P2072" s="8"/>
      <c r="Q2072" s="8"/>
      <c r="R2072" s="8"/>
      <c r="S2072" s="8"/>
      <c r="U2072" s="6"/>
      <c r="V2072" s="6"/>
      <c r="W2072" s="6"/>
      <c r="X2072" s="6"/>
      <c r="Y2072" s="6"/>
      <c r="Z2072" s="6"/>
    </row>
    <row r="2073" spans="14:26" ht="31.4" customHeight="1" x14ac:dyDescent="0.35">
      <c r="N2073" s="20"/>
      <c r="P2073" s="8"/>
      <c r="Q2073" s="8"/>
      <c r="R2073" s="8"/>
      <c r="S2073" s="8"/>
      <c r="U2073" s="6"/>
      <c r="V2073" s="6"/>
      <c r="W2073" s="6"/>
      <c r="X2073" s="6"/>
      <c r="Y2073" s="6"/>
      <c r="Z2073" s="6"/>
    </row>
    <row r="2074" spans="14:26" ht="31.4" customHeight="1" x14ac:dyDescent="0.35">
      <c r="N2074" s="20"/>
      <c r="P2074" s="8"/>
      <c r="Q2074" s="8"/>
      <c r="R2074" s="8"/>
      <c r="S2074" s="8"/>
      <c r="U2074" s="6"/>
      <c r="V2074" s="6"/>
      <c r="W2074" s="6"/>
      <c r="X2074" s="6"/>
      <c r="Y2074" s="6"/>
      <c r="Z2074" s="6"/>
    </row>
    <row r="2075" spans="14:26" ht="31.4" customHeight="1" x14ac:dyDescent="0.35">
      <c r="N2075" s="20"/>
      <c r="P2075" s="8"/>
      <c r="Q2075" s="8"/>
      <c r="R2075" s="8"/>
      <c r="S2075" s="8"/>
      <c r="U2075" s="6"/>
      <c r="V2075" s="6"/>
      <c r="W2075" s="6"/>
      <c r="X2075" s="6"/>
      <c r="Y2075" s="6"/>
      <c r="Z2075" s="6"/>
    </row>
    <row r="2076" spans="14:26" ht="31.4" customHeight="1" x14ac:dyDescent="0.35">
      <c r="N2076" s="20"/>
      <c r="P2076" s="8"/>
      <c r="Q2076" s="8"/>
      <c r="R2076" s="8"/>
      <c r="S2076" s="8"/>
      <c r="U2076" s="6"/>
      <c r="V2076" s="6"/>
      <c r="W2076" s="6"/>
      <c r="X2076" s="6"/>
      <c r="Y2076" s="6"/>
      <c r="Z2076" s="6"/>
    </row>
    <row r="2077" spans="14:26" ht="31.4" customHeight="1" x14ac:dyDescent="0.35">
      <c r="N2077" s="20"/>
      <c r="P2077" s="8"/>
      <c r="Q2077" s="8"/>
      <c r="R2077" s="8"/>
      <c r="S2077" s="8"/>
      <c r="U2077" s="6"/>
      <c r="V2077" s="6"/>
      <c r="W2077" s="6"/>
      <c r="X2077" s="6"/>
      <c r="Y2077" s="6"/>
      <c r="Z2077" s="6"/>
    </row>
    <row r="2078" spans="14:26" ht="31.4" customHeight="1" x14ac:dyDescent="0.35">
      <c r="N2078" s="20"/>
      <c r="P2078" s="8"/>
      <c r="Q2078" s="8"/>
      <c r="R2078" s="8"/>
      <c r="S2078" s="8"/>
      <c r="U2078" s="6"/>
      <c r="V2078" s="6"/>
      <c r="W2078" s="6"/>
      <c r="X2078" s="6"/>
      <c r="Y2078" s="6"/>
      <c r="Z2078" s="6"/>
    </row>
    <row r="2079" spans="14:26" ht="31.4" customHeight="1" x14ac:dyDescent="0.35">
      <c r="N2079" s="20"/>
      <c r="P2079" s="8"/>
      <c r="Q2079" s="8"/>
      <c r="R2079" s="8"/>
      <c r="S2079" s="8"/>
      <c r="U2079" s="6"/>
      <c r="V2079" s="6"/>
      <c r="W2079" s="6"/>
      <c r="X2079" s="6"/>
      <c r="Y2079" s="6"/>
      <c r="Z2079" s="6"/>
    </row>
    <row r="2080" spans="14:26" ht="31.4" customHeight="1" x14ac:dyDescent="0.35">
      <c r="N2080" s="20"/>
      <c r="P2080" s="8"/>
      <c r="Q2080" s="8"/>
      <c r="R2080" s="8"/>
      <c r="S2080" s="8"/>
      <c r="U2080" s="6"/>
      <c r="V2080" s="6"/>
      <c r="W2080" s="6"/>
      <c r="X2080" s="6"/>
      <c r="Y2080" s="6"/>
      <c r="Z2080" s="6"/>
    </row>
    <row r="2081" spans="14:26" ht="31.4" customHeight="1" x14ac:dyDescent="0.35">
      <c r="N2081" s="20"/>
      <c r="P2081" s="8"/>
      <c r="Q2081" s="8"/>
      <c r="R2081" s="8"/>
      <c r="S2081" s="8"/>
      <c r="U2081" s="6"/>
      <c r="V2081" s="6"/>
      <c r="W2081" s="6"/>
      <c r="X2081" s="6"/>
      <c r="Y2081" s="6"/>
      <c r="Z2081" s="6"/>
    </row>
    <row r="2082" spans="14:26" ht="31.4" customHeight="1" x14ac:dyDescent="0.35">
      <c r="N2082" s="20"/>
      <c r="P2082" s="8"/>
      <c r="Q2082" s="8"/>
      <c r="R2082" s="8"/>
      <c r="S2082" s="8"/>
      <c r="U2082" s="6"/>
      <c r="V2082" s="6"/>
      <c r="W2082" s="6"/>
      <c r="X2082" s="6"/>
      <c r="Y2082" s="6"/>
      <c r="Z2082" s="6"/>
    </row>
    <row r="2083" spans="14:26" ht="31.4" customHeight="1" x14ac:dyDescent="0.35">
      <c r="N2083" s="20"/>
      <c r="P2083" s="8"/>
      <c r="Q2083" s="8"/>
      <c r="R2083" s="8"/>
      <c r="S2083" s="8"/>
      <c r="U2083" s="6"/>
      <c r="V2083" s="6"/>
      <c r="W2083" s="6"/>
      <c r="X2083" s="6"/>
      <c r="Y2083" s="6"/>
      <c r="Z2083" s="6"/>
    </row>
    <row r="2084" spans="14:26" ht="31.4" customHeight="1" x14ac:dyDescent="0.35">
      <c r="N2084" s="20"/>
      <c r="P2084" s="8"/>
      <c r="Q2084" s="8"/>
      <c r="R2084" s="8"/>
      <c r="S2084" s="8"/>
      <c r="U2084" s="6"/>
      <c r="V2084" s="6"/>
      <c r="W2084" s="6"/>
      <c r="X2084" s="6"/>
      <c r="Y2084" s="6"/>
      <c r="Z2084" s="6"/>
    </row>
    <row r="2085" spans="14:26" ht="31.4" customHeight="1" x14ac:dyDescent="0.35">
      <c r="N2085" s="20"/>
      <c r="P2085" s="8"/>
      <c r="Q2085" s="8"/>
      <c r="R2085" s="8"/>
      <c r="S2085" s="8"/>
      <c r="U2085" s="6"/>
      <c r="V2085" s="6"/>
      <c r="W2085" s="6"/>
      <c r="X2085" s="6"/>
      <c r="Y2085" s="6"/>
      <c r="Z2085" s="6"/>
    </row>
    <row r="2086" spans="14:26" ht="31.4" customHeight="1" x14ac:dyDescent="0.35">
      <c r="N2086" s="20"/>
      <c r="P2086" s="8"/>
      <c r="Q2086" s="8"/>
      <c r="R2086" s="8"/>
      <c r="S2086" s="8"/>
      <c r="U2086" s="6"/>
      <c r="V2086" s="6"/>
      <c r="W2086" s="6"/>
      <c r="X2086" s="6"/>
      <c r="Y2086" s="6"/>
      <c r="Z2086" s="6"/>
    </row>
    <row r="2087" spans="14:26" ht="31.4" customHeight="1" x14ac:dyDescent="0.35">
      <c r="N2087" s="20"/>
      <c r="P2087" s="8"/>
      <c r="Q2087" s="8"/>
      <c r="R2087" s="8"/>
      <c r="S2087" s="8"/>
      <c r="U2087" s="6"/>
      <c r="V2087" s="6"/>
      <c r="W2087" s="6"/>
      <c r="X2087" s="6"/>
      <c r="Y2087" s="6"/>
      <c r="Z2087" s="6"/>
    </row>
    <row r="2088" spans="14:26" ht="31.4" customHeight="1" x14ac:dyDescent="0.35">
      <c r="N2088" s="20"/>
      <c r="P2088" s="8"/>
      <c r="Q2088" s="8"/>
      <c r="R2088" s="8"/>
      <c r="S2088" s="8"/>
      <c r="U2088" s="6"/>
      <c r="V2088" s="6"/>
      <c r="W2088" s="6"/>
      <c r="X2088" s="6"/>
      <c r="Y2088" s="6"/>
      <c r="Z2088" s="6"/>
    </row>
    <row r="2089" spans="14:26" ht="31.4" customHeight="1" x14ac:dyDescent="0.35">
      <c r="N2089" s="20"/>
      <c r="P2089" s="8"/>
      <c r="Q2089" s="8"/>
      <c r="R2089" s="8"/>
      <c r="S2089" s="8"/>
      <c r="U2089" s="6"/>
      <c r="V2089" s="6"/>
      <c r="W2089" s="6"/>
      <c r="X2089" s="6"/>
      <c r="Y2089" s="6"/>
      <c r="Z2089" s="6"/>
    </row>
    <row r="2090" spans="14:26" ht="31.4" customHeight="1" x14ac:dyDescent="0.35">
      <c r="N2090" s="20"/>
      <c r="P2090" s="8"/>
      <c r="Q2090" s="8"/>
      <c r="R2090" s="8"/>
      <c r="S2090" s="8"/>
      <c r="U2090" s="6"/>
      <c r="V2090" s="6"/>
      <c r="W2090" s="6"/>
      <c r="X2090" s="6"/>
      <c r="Y2090" s="6"/>
      <c r="Z2090" s="6"/>
    </row>
    <row r="2091" spans="14:26" ht="31.4" customHeight="1" x14ac:dyDescent="0.35">
      <c r="N2091" s="20"/>
      <c r="P2091" s="8"/>
      <c r="Q2091" s="8"/>
      <c r="R2091" s="8"/>
      <c r="S2091" s="8"/>
      <c r="U2091" s="6"/>
      <c r="V2091" s="6"/>
      <c r="W2091" s="6"/>
      <c r="X2091" s="6"/>
      <c r="Y2091" s="6"/>
      <c r="Z2091" s="6"/>
    </row>
    <row r="2092" spans="14:26" ht="31.4" customHeight="1" x14ac:dyDescent="0.35">
      <c r="N2092" s="20"/>
      <c r="P2092" s="8"/>
      <c r="Q2092" s="8"/>
      <c r="R2092" s="8"/>
      <c r="S2092" s="8"/>
      <c r="U2092" s="6"/>
      <c r="V2092" s="6"/>
      <c r="W2092" s="6"/>
      <c r="X2092" s="6"/>
      <c r="Y2092" s="6"/>
      <c r="Z2092" s="6"/>
    </row>
    <row r="2093" spans="14:26" ht="31.4" customHeight="1" x14ac:dyDescent="0.35">
      <c r="N2093" s="20"/>
      <c r="P2093" s="8"/>
      <c r="Q2093" s="8"/>
      <c r="R2093" s="8"/>
      <c r="S2093" s="8"/>
      <c r="U2093" s="6"/>
      <c r="V2093" s="6"/>
      <c r="W2093" s="6"/>
      <c r="X2093" s="6"/>
      <c r="Y2093" s="6"/>
      <c r="Z2093" s="6"/>
    </row>
    <row r="2094" spans="14:26" ht="31.4" customHeight="1" x14ac:dyDescent="0.35">
      <c r="N2094" s="20"/>
      <c r="P2094" s="8"/>
      <c r="Q2094" s="8"/>
      <c r="R2094" s="8"/>
      <c r="S2094" s="8"/>
      <c r="U2094" s="6"/>
      <c r="V2094" s="6"/>
      <c r="W2094" s="6"/>
      <c r="X2094" s="6"/>
      <c r="Y2094" s="6"/>
      <c r="Z2094" s="6"/>
    </row>
    <row r="2095" spans="14:26" ht="31.4" customHeight="1" x14ac:dyDescent="0.35">
      <c r="N2095" s="20"/>
      <c r="P2095" s="8"/>
      <c r="Q2095" s="8"/>
      <c r="R2095" s="8"/>
      <c r="S2095" s="8"/>
      <c r="U2095" s="6"/>
      <c r="V2095" s="6"/>
      <c r="W2095" s="6"/>
      <c r="X2095" s="6"/>
      <c r="Y2095" s="6"/>
      <c r="Z2095" s="6"/>
    </row>
    <row r="2096" spans="14:26" ht="31.4" customHeight="1" x14ac:dyDescent="0.35">
      <c r="N2096" s="20"/>
      <c r="P2096" s="8"/>
      <c r="Q2096" s="8"/>
      <c r="R2096" s="8"/>
      <c r="S2096" s="8"/>
      <c r="U2096" s="6"/>
      <c r="V2096" s="6"/>
      <c r="W2096" s="6"/>
      <c r="X2096" s="6"/>
      <c r="Y2096" s="6"/>
      <c r="Z2096" s="6"/>
    </row>
    <row r="2097" spans="14:26" ht="31.4" customHeight="1" x14ac:dyDescent="0.35">
      <c r="N2097" s="20"/>
      <c r="P2097" s="8"/>
      <c r="Q2097" s="8"/>
      <c r="R2097" s="8"/>
      <c r="S2097" s="8"/>
      <c r="U2097" s="6"/>
      <c r="V2097" s="6"/>
      <c r="W2097" s="6"/>
      <c r="X2097" s="6"/>
      <c r="Y2097" s="6"/>
      <c r="Z2097" s="6"/>
    </row>
    <row r="2098" spans="14:26" ht="31.4" customHeight="1" x14ac:dyDescent="0.35">
      <c r="N2098" s="20"/>
      <c r="P2098" s="8"/>
      <c r="Q2098" s="8"/>
      <c r="R2098" s="8"/>
      <c r="S2098" s="8"/>
      <c r="U2098" s="6"/>
      <c r="V2098" s="6"/>
      <c r="W2098" s="6"/>
      <c r="X2098" s="6"/>
      <c r="Y2098" s="6"/>
      <c r="Z2098" s="6"/>
    </row>
    <row r="2099" spans="14:26" ht="31.4" customHeight="1" x14ac:dyDescent="0.35">
      <c r="N2099" s="20"/>
      <c r="P2099" s="8"/>
      <c r="Q2099" s="8"/>
      <c r="R2099" s="8"/>
      <c r="S2099" s="8"/>
      <c r="U2099" s="6"/>
      <c r="V2099" s="6"/>
      <c r="W2099" s="6"/>
      <c r="X2099" s="6"/>
      <c r="Y2099" s="6"/>
      <c r="Z2099" s="6"/>
    </row>
    <row r="2100" spans="14:26" ht="31.4" customHeight="1" x14ac:dyDescent="0.35">
      <c r="N2100" s="20"/>
      <c r="P2100" s="8"/>
      <c r="Q2100" s="8"/>
      <c r="R2100" s="8"/>
      <c r="S2100" s="8"/>
      <c r="U2100" s="6"/>
      <c r="V2100" s="6"/>
      <c r="W2100" s="6"/>
      <c r="X2100" s="6"/>
      <c r="Y2100" s="6"/>
      <c r="Z2100" s="6"/>
    </row>
    <row r="2101" spans="14:26" ht="31.4" customHeight="1" x14ac:dyDescent="0.35">
      <c r="N2101" s="20"/>
      <c r="P2101" s="8"/>
      <c r="Q2101" s="8"/>
      <c r="R2101" s="8"/>
      <c r="S2101" s="8"/>
      <c r="U2101" s="6"/>
      <c r="V2101" s="6"/>
      <c r="W2101" s="6"/>
      <c r="X2101" s="6"/>
      <c r="Y2101" s="6"/>
      <c r="Z2101" s="6"/>
    </row>
    <row r="2102" spans="14:26" ht="31.4" customHeight="1" x14ac:dyDescent="0.35">
      <c r="N2102" s="20"/>
      <c r="P2102" s="8"/>
      <c r="Q2102" s="8"/>
      <c r="R2102" s="8"/>
      <c r="S2102" s="8"/>
      <c r="U2102" s="6"/>
      <c r="V2102" s="6"/>
      <c r="W2102" s="6"/>
      <c r="X2102" s="6"/>
      <c r="Y2102" s="6"/>
      <c r="Z2102" s="6"/>
    </row>
    <row r="2103" spans="14:26" ht="31.4" customHeight="1" x14ac:dyDescent="0.35">
      <c r="N2103" s="20"/>
      <c r="P2103" s="8"/>
      <c r="Q2103" s="8"/>
      <c r="R2103" s="8"/>
      <c r="S2103" s="8"/>
      <c r="U2103" s="6"/>
      <c r="V2103" s="6"/>
      <c r="W2103" s="6"/>
      <c r="X2103" s="6"/>
      <c r="Y2103" s="6"/>
      <c r="Z2103" s="6"/>
    </row>
    <row r="2104" spans="14:26" ht="31.4" customHeight="1" x14ac:dyDescent="0.35">
      <c r="N2104" s="20"/>
      <c r="P2104" s="8"/>
      <c r="Q2104" s="8"/>
      <c r="R2104" s="8"/>
      <c r="S2104" s="8"/>
      <c r="U2104" s="6"/>
      <c r="V2104" s="6"/>
      <c r="W2104" s="6"/>
      <c r="X2104" s="6"/>
      <c r="Y2104" s="6"/>
      <c r="Z2104" s="6"/>
    </row>
    <row r="2105" spans="14:26" ht="31.4" customHeight="1" x14ac:dyDescent="0.35">
      <c r="N2105" s="20"/>
      <c r="P2105" s="8"/>
      <c r="Q2105" s="8"/>
      <c r="R2105" s="8"/>
      <c r="S2105" s="8"/>
      <c r="U2105" s="6"/>
      <c r="V2105" s="6"/>
      <c r="W2105" s="6"/>
      <c r="X2105" s="6"/>
      <c r="Y2105" s="6"/>
      <c r="Z2105" s="6"/>
    </row>
    <row r="2106" spans="14:26" ht="31.4" customHeight="1" x14ac:dyDescent="0.35">
      <c r="N2106" s="20"/>
      <c r="P2106" s="8"/>
      <c r="Q2106" s="8"/>
      <c r="R2106" s="8"/>
      <c r="S2106" s="8"/>
      <c r="U2106" s="6"/>
      <c r="V2106" s="6"/>
      <c r="W2106" s="6"/>
      <c r="X2106" s="6"/>
      <c r="Y2106" s="6"/>
      <c r="Z2106" s="6"/>
    </row>
    <row r="2107" spans="14:26" ht="31.4" customHeight="1" x14ac:dyDescent="0.35">
      <c r="N2107" s="20"/>
      <c r="P2107" s="8"/>
      <c r="Q2107" s="8"/>
      <c r="R2107" s="8"/>
      <c r="S2107" s="8"/>
      <c r="U2107" s="6"/>
      <c r="V2107" s="6"/>
      <c r="W2107" s="6"/>
      <c r="X2107" s="6"/>
      <c r="Y2107" s="6"/>
      <c r="Z2107" s="6"/>
    </row>
    <row r="2108" spans="14:26" ht="31.4" customHeight="1" x14ac:dyDescent="0.35">
      <c r="N2108" s="20"/>
      <c r="P2108" s="8"/>
      <c r="Q2108" s="8"/>
      <c r="R2108" s="8"/>
      <c r="S2108" s="8"/>
      <c r="U2108" s="6"/>
      <c r="V2108" s="6"/>
      <c r="W2108" s="6"/>
      <c r="X2108" s="6"/>
      <c r="Y2108" s="6"/>
      <c r="Z2108" s="6"/>
    </row>
    <row r="2109" spans="14:26" ht="31.4" customHeight="1" x14ac:dyDescent="0.35">
      <c r="N2109" s="20"/>
      <c r="P2109" s="8"/>
      <c r="Q2109" s="8"/>
      <c r="R2109" s="8"/>
      <c r="S2109" s="8"/>
      <c r="U2109" s="6"/>
      <c r="V2109" s="6"/>
      <c r="W2109" s="6"/>
      <c r="X2109" s="6"/>
      <c r="Y2109" s="6"/>
      <c r="Z2109" s="6"/>
    </row>
    <row r="2110" spans="14:26" ht="31.4" customHeight="1" x14ac:dyDescent="0.35">
      <c r="N2110" s="20"/>
      <c r="P2110" s="8"/>
      <c r="Q2110" s="8"/>
      <c r="R2110" s="8"/>
      <c r="S2110" s="8"/>
      <c r="U2110" s="6"/>
      <c r="V2110" s="6"/>
      <c r="W2110" s="6"/>
      <c r="X2110" s="6"/>
      <c r="Y2110" s="6"/>
      <c r="Z2110" s="6"/>
    </row>
    <row r="2111" spans="14:26" ht="31.4" customHeight="1" x14ac:dyDescent="0.35">
      <c r="N2111" s="20"/>
      <c r="P2111" s="8"/>
      <c r="Q2111" s="8"/>
      <c r="R2111" s="8"/>
      <c r="S2111" s="8"/>
      <c r="U2111" s="6"/>
      <c r="V2111" s="6"/>
      <c r="W2111" s="6"/>
      <c r="X2111" s="6"/>
      <c r="Y2111" s="6"/>
      <c r="Z2111" s="6"/>
    </row>
    <row r="2112" spans="14:26" ht="31.4" customHeight="1" x14ac:dyDescent="0.35">
      <c r="N2112" s="20"/>
      <c r="P2112" s="8"/>
      <c r="Q2112" s="8"/>
      <c r="R2112" s="8"/>
      <c r="S2112" s="8"/>
      <c r="U2112" s="6"/>
      <c r="V2112" s="6"/>
      <c r="W2112" s="6"/>
      <c r="X2112" s="6"/>
      <c r="Y2112" s="6"/>
      <c r="Z2112" s="6"/>
    </row>
    <row r="2113" spans="14:26" ht="31.4" customHeight="1" x14ac:dyDescent="0.35">
      <c r="N2113" s="20"/>
      <c r="P2113" s="8"/>
      <c r="Q2113" s="8"/>
      <c r="R2113" s="8"/>
      <c r="S2113" s="8"/>
      <c r="U2113" s="6"/>
      <c r="V2113" s="6"/>
      <c r="W2113" s="6"/>
      <c r="X2113" s="6"/>
      <c r="Y2113" s="6"/>
      <c r="Z2113" s="6"/>
    </row>
    <row r="2114" spans="14:26" ht="31.4" customHeight="1" x14ac:dyDescent="0.35">
      <c r="N2114" s="20"/>
      <c r="P2114" s="8"/>
      <c r="Q2114" s="8"/>
      <c r="R2114" s="8"/>
      <c r="S2114" s="8"/>
      <c r="U2114" s="6"/>
      <c r="V2114" s="6"/>
      <c r="W2114" s="6"/>
      <c r="X2114" s="6"/>
      <c r="Y2114" s="6"/>
      <c r="Z2114" s="6"/>
    </row>
    <row r="2115" spans="14:26" ht="31.4" customHeight="1" x14ac:dyDescent="0.35">
      <c r="N2115" s="20"/>
      <c r="P2115" s="8"/>
      <c r="Q2115" s="8"/>
      <c r="R2115" s="8"/>
      <c r="S2115" s="8"/>
      <c r="U2115" s="6"/>
      <c r="V2115" s="6"/>
      <c r="W2115" s="6"/>
      <c r="X2115" s="6"/>
      <c r="Y2115" s="6"/>
      <c r="Z2115" s="6"/>
    </row>
    <row r="2116" spans="14:26" ht="31.4" customHeight="1" x14ac:dyDescent="0.35">
      <c r="N2116" s="20"/>
      <c r="P2116" s="8"/>
      <c r="Q2116" s="8"/>
      <c r="R2116" s="8"/>
      <c r="S2116" s="8"/>
      <c r="U2116" s="6"/>
      <c r="V2116" s="6"/>
      <c r="W2116" s="6"/>
      <c r="X2116" s="6"/>
      <c r="Y2116" s="6"/>
      <c r="Z2116" s="6"/>
    </row>
    <row r="2117" spans="14:26" ht="31.4" customHeight="1" x14ac:dyDescent="0.35">
      <c r="N2117" s="20"/>
      <c r="P2117" s="8"/>
      <c r="Q2117" s="8"/>
      <c r="R2117" s="8"/>
      <c r="S2117" s="8"/>
      <c r="U2117" s="6"/>
      <c r="V2117" s="6"/>
      <c r="W2117" s="6"/>
      <c r="X2117" s="6"/>
      <c r="Y2117" s="6"/>
      <c r="Z2117" s="6"/>
    </row>
    <row r="2118" spans="14:26" ht="31.4" customHeight="1" x14ac:dyDescent="0.35">
      <c r="N2118" s="20"/>
      <c r="P2118" s="8"/>
      <c r="Q2118" s="8"/>
      <c r="R2118" s="8"/>
      <c r="S2118" s="8"/>
      <c r="U2118" s="6"/>
      <c r="V2118" s="6"/>
      <c r="W2118" s="6"/>
      <c r="X2118" s="6"/>
      <c r="Y2118" s="6"/>
      <c r="Z2118" s="6"/>
    </row>
    <row r="2119" spans="14:26" ht="31.4" customHeight="1" x14ac:dyDescent="0.35">
      <c r="N2119" s="20"/>
      <c r="P2119" s="8"/>
      <c r="Q2119" s="8"/>
      <c r="R2119" s="8"/>
      <c r="S2119" s="8"/>
      <c r="U2119" s="6"/>
      <c r="V2119" s="6"/>
      <c r="W2119" s="6"/>
      <c r="X2119" s="6"/>
      <c r="Y2119" s="6"/>
      <c r="Z2119" s="6"/>
    </row>
    <row r="2120" spans="14:26" ht="31.4" customHeight="1" x14ac:dyDescent="0.35">
      <c r="N2120" s="20"/>
      <c r="P2120" s="8"/>
      <c r="Q2120" s="8"/>
      <c r="R2120" s="8"/>
      <c r="S2120" s="8"/>
      <c r="U2120" s="6"/>
      <c r="V2120" s="6"/>
      <c r="W2120" s="6"/>
      <c r="X2120" s="6"/>
      <c r="Y2120" s="6"/>
      <c r="Z2120" s="6"/>
    </row>
    <row r="2121" spans="14:26" ht="31.4" customHeight="1" x14ac:dyDescent="0.35">
      <c r="N2121" s="20"/>
      <c r="P2121" s="8"/>
      <c r="Q2121" s="8"/>
      <c r="R2121" s="8"/>
      <c r="S2121" s="8"/>
      <c r="U2121" s="6"/>
      <c r="V2121" s="6"/>
      <c r="W2121" s="6"/>
      <c r="X2121" s="6"/>
      <c r="Y2121" s="6"/>
      <c r="Z2121" s="6"/>
    </row>
    <row r="2122" spans="14:26" ht="31.4" customHeight="1" x14ac:dyDescent="0.35">
      <c r="N2122" s="20"/>
      <c r="P2122" s="8"/>
      <c r="Q2122" s="8"/>
      <c r="R2122" s="8"/>
      <c r="S2122" s="8"/>
      <c r="U2122" s="6"/>
      <c r="V2122" s="6"/>
      <c r="W2122" s="6"/>
      <c r="X2122" s="6"/>
      <c r="Y2122" s="6"/>
      <c r="Z2122" s="6"/>
    </row>
    <row r="2123" spans="14:26" ht="31.4" customHeight="1" x14ac:dyDescent="0.35">
      <c r="N2123" s="20"/>
      <c r="P2123" s="8"/>
      <c r="Q2123" s="8"/>
      <c r="R2123" s="8"/>
      <c r="S2123" s="8"/>
      <c r="U2123" s="6"/>
      <c r="V2123" s="6"/>
      <c r="W2123" s="6"/>
      <c r="X2123" s="6"/>
      <c r="Y2123" s="6"/>
      <c r="Z2123" s="6"/>
    </row>
    <row r="2124" spans="14:26" ht="31.4" customHeight="1" x14ac:dyDescent="0.35">
      <c r="N2124" s="20"/>
      <c r="P2124" s="8"/>
      <c r="Q2124" s="8"/>
      <c r="R2124" s="8"/>
      <c r="S2124" s="8"/>
      <c r="U2124" s="6"/>
      <c r="V2124" s="6"/>
      <c r="W2124" s="6"/>
      <c r="X2124" s="6"/>
      <c r="Y2124" s="6"/>
      <c r="Z2124" s="6"/>
    </row>
    <row r="2125" spans="14:26" ht="31.4" customHeight="1" x14ac:dyDescent="0.35">
      <c r="N2125" s="20"/>
      <c r="P2125" s="8"/>
      <c r="Q2125" s="8"/>
      <c r="R2125" s="8"/>
      <c r="S2125" s="8"/>
      <c r="U2125" s="6"/>
      <c r="V2125" s="6"/>
      <c r="W2125" s="6"/>
      <c r="X2125" s="6"/>
      <c r="Y2125" s="6"/>
      <c r="Z2125" s="6"/>
    </row>
    <row r="2126" spans="14:26" ht="31.4" customHeight="1" x14ac:dyDescent="0.35">
      <c r="N2126" s="20"/>
      <c r="P2126" s="8"/>
      <c r="Q2126" s="8"/>
      <c r="R2126" s="8"/>
      <c r="S2126" s="8"/>
      <c r="U2126" s="6"/>
      <c r="V2126" s="6"/>
      <c r="W2126" s="6"/>
      <c r="X2126" s="6"/>
      <c r="Y2126" s="6"/>
      <c r="Z2126" s="6"/>
    </row>
    <row r="2127" spans="14:26" ht="31.4" customHeight="1" x14ac:dyDescent="0.35">
      <c r="N2127" s="20"/>
      <c r="P2127" s="8"/>
      <c r="Q2127" s="8"/>
      <c r="R2127" s="8"/>
      <c r="S2127" s="8"/>
      <c r="U2127" s="6"/>
      <c r="V2127" s="6"/>
      <c r="W2127" s="6"/>
      <c r="X2127" s="6"/>
      <c r="Y2127" s="6"/>
      <c r="Z2127" s="6"/>
    </row>
    <row r="2128" spans="14:26" ht="31.4" customHeight="1" x14ac:dyDescent="0.35">
      <c r="N2128" s="20"/>
      <c r="P2128" s="8"/>
      <c r="Q2128" s="8"/>
      <c r="R2128" s="8"/>
      <c r="S2128" s="8"/>
      <c r="U2128" s="6"/>
      <c r="V2128" s="6"/>
      <c r="W2128" s="6"/>
      <c r="X2128" s="6"/>
      <c r="Y2128" s="6"/>
      <c r="Z2128" s="6"/>
    </row>
    <row r="2129" spans="14:26" ht="31.4" customHeight="1" x14ac:dyDescent="0.35">
      <c r="N2129" s="20"/>
      <c r="P2129" s="8"/>
      <c r="Q2129" s="8"/>
      <c r="R2129" s="8"/>
      <c r="S2129" s="8"/>
      <c r="U2129" s="6"/>
      <c r="V2129" s="6"/>
      <c r="W2129" s="6"/>
      <c r="X2129" s="6"/>
      <c r="Y2129" s="6"/>
      <c r="Z2129" s="6"/>
    </row>
    <row r="2130" spans="14:26" ht="31.4" customHeight="1" x14ac:dyDescent="0.35">
      <c r="N2130" s="20"/>
      <c r="P2130" s="8"/>
      <c r="Q2130" s="8"/>
      <c r="R2130" s="8"/>
      <c r="S2130" s="8"/>
      <c r="U2130" s="6"/>
      <c r="V2130" s="6"/>
      <c r="W2130" s="6"/>
      <c r="X2130" s="6"/>
      <c r="Y2130" s="6"/>
      <c r="Z2130" s="6"/>
    </row>
    <row r="2131" spans="14:26" ht="31.4" customHeight="1" x14ac:dyDescent="0.35">
      <c r="N2131" s="20"/>
      <c r="P2131" s="8"/>
      <c r="Q2131" s="8"/>
      <c r="R2131" s="8"/>
      <c r="S2131" s="8"/>
      <c r="U2131" s="6"/>
      <c r="V2131" s="6"/>
      <c r="W2131" s="6"/>
      <c r="X2131" s="6"/>
      <c r="Y2131" s="6"/>
      <c r="Z2131" s="6"/>
    </row>
    <row r="2132" spans="14:26" ht="31.4" customHeight="1" x14ac:dyDescent="0.35">
      <c r="N2132" s="20"/>
      <c r="P2132" s="8"/>
      <c r="Q2132" s="8"/>
      <c r="R2132" s="8"/>
      <c r="S2132" s="8"/>
      <c r="U2132" s="6"/>
      <c r="V2132" s="6"/>
      <c r="W2132" s="6"/>
      <c r="X2132" s="6"/>
      <c r="Y2132" s="6"/>
      <c r="Z2132" s="6"/>
    </row>
    <row r="2133" spans="14:26" ht="31.4" customHeight="1" x14ac:dyDescent="0.35">
      <c r="N2133" s="20"/>
      <c r="P2133" s="8"/>
      <c r="Q2133" s="8"/>
      <c r="R2133" s="8"/>
      <c r="S2133" s="8"/>
      <c r="U2133" s="6"/>
      <c r="V2133" s="6"/>
      <c r="W2133" s="6"/>
      <c r="X2133" s="6"/>
      <c r="Y2133" s="6"/>
      <c r="Z2133" s="6"/>
    </row>
    <row r="2134" spans="14:26" ht="31.4" customHeight="1" x14ac:dyDescent="0.35">
      <c r="N2134" s="20"/>
      <c r="P2134" s="8"/>
      <c r="Q2134" s="8"/>
      <c r="R2134" s="8"/>
      <c r="S2134" s="8"/>
      <c r="U2134" s="6"/>
      <c r="V2134" s="6"/>
      <c r="W2134" s="6"/>
      <c r="X2134" s="6"/>
      <c r="Y2134" s="6"/>
      <c r="Z2134" s="6"/>
    </row>
    <row r="2135" spans="14:26" ht="31.4" customHeight="1" x14ac:dyDescent="0.35">
      <c r="N2135" s="20"/>
      <c r="P2135" s="8"/>
      <c r="Q2135" s="8"/>
      <c r="R2135" s="8"/>
      <c r="S2135" s="8"/>
      <c r="U2135" s="6"/>
      <c r="V2135" s="6"/>
      <c r="W2135" s="6"/>
      <c r="X2135" s="6"/>
      <c r="Y2135" s="6"/>
      <c r="Z2135" s="6"/>
    </row>
    <row r="2136" spans="14:26" ht="31.4" customHeight="1" x14ac:dyDescent="0.35">
      <c r="N2136" s="20"/>
      <c r="P2136" s="8"/>
      <c r="Q2136" s="8"/>
      <c r="R2136" s="8"/>
      <c r="S2136" s="8"/>
      <c r="U2136" s="6"/>
      <c r="V2136" s="6"/>
      <c r="W2136" s="6"/>
      <c r="X2136" s="6"/>
      <c r="Y2136" s="6"/>
      <c r="Z2136" s="6"/>
    </row>
    <row r="2137" spans="14:26" ht="31.4" customHeight="1" x14ac:dyDescent="0.35">
      <c r="N2137" s="20"/>
      <c r="P2137" s="8"/>
      <c r="Q2137" s="8"/>
      <c r="R2137" s="8"/>
      <c r="S2137" s="8"/>
      <c r="U2137" s="6"/>
      <c r="V2137" s="6"/>
      <c r="W2137" s="6"/>
      <c r="X2137" s="6"/>
      <c r="Y2137" s="6"/>
      <c r="Z2137" s="6"/>
    </row>
    <row r="2138" spans="14:26" ht="31.4" customHeight="1" x14ac:dyDescent="0.35">
      <c r="N2138" s="20"/>
      <c r="P2138" s="8"/>
      <c r="Q2138" s="8"/>
      <c r="R2138" s="8"/>
      <c r="S2138" s="8"/>
      <c r="U2138" s="6"/>
      <c r="V2138" s="6"/>
      <c r="W2138" s="6"/>
      <c r="X2138" s="6"/>
      <c r="Y2138" s="6"/>
      <c r="Z2138" s="6"/>
    </row>
    <row r="2139" spans="14:26" ht="31.4" customHeight="1" x14ac:dyDescent="0.35">
      <c r="N2139" s="20"/>
      <c r="P2139" s="8"/>
      <c r="Q2139" s="8"/>
      <c r="R2139" s="8"/>
      <c r="S2139" s="8"/>
      <c r="U2139" s="6"/>
      <c r="V2139" s="6"/>
      <c r="W2139" s="6"/>
      <c r="X2139" s="6"/>
      <c r="Y2139" s="6"/>
      <c r="Z2139" s="6"/>
    </row>
    <row r="2140" spans="14:26" ht="31.4" customHeight="1" x14ac:dyDescent="0.35">
      <c r="N2140" s="20"/>
      <c r="P2140" s="8"/>
      <c r="Q2140" s="8"/>
      <c r="R2140" s="8"/>
      <c r="S2140" s="8"/>
      <c r="U2140" s="6"/>
      <c r="V2140" s="6"/>
      <c r="W2140" s="6"/>
      <c r="X2140" s="6"/>
      <c r="Y2140" s="6"/>
      <c r="Z2140" s="6"/>
    </row>
    <row r="2141" spans="14:26" ht="31.4" customHeight="1" x14ac:dyDescent="0.35">
      <c r="N2141" s="20"/>
      <c r="P2141" s="8"/>
      <c r="Q2141" s="8"/>
      <c r="R2141" s="8"/>
      <c r="S2141" s="8"/>
      <c r="U2141" s="6"/>
      <c r="V2141" s="6"/>
      <c r="W2141" s="6"/>
      <c r="X2141" s="6"/>
      <c r="Y2141" s="6"/>
      <c r="Z2141" s="6"/>
    </row>
    <row r="2142" spans="14:26" ht="31.4" customHeight="1" x14ac:dyDescent="0.35">
      <c r="N2142" s="20"/>
      <c r="P2142" s="8"/>
      <c r="Q2142" s="8"/>
      <c r="R2142" s="8"/>
      <c r="S2142" s="8"/>
      <c r="U2142" s="6"/>
      <c r="V2142" s="6"/>
      <c r="W2142" s="6"/>
      <c r="X2142" s="6"/>
      <c r="Y2142" s="6"/>
      <c r="Z2142" s="6"/>
    </row>
    <row r="2143" spans="14:26" ht="31.4" customHeight="1" x14ac:dyDescent="0.35">
      <c r="N2143" s="20"/>
      <c r="P2143" s="8"/>
      <c r="Q2143" s="8"/>
      <c r="R2143" s="8"/>
      <c r="S2143" s="8"/>
      <c r="U2143" s="6"/>
      <c r="V2143" s="6"/>
      <c r="W2143" s="6"/>
      <c r="X2143" s="6"/>
      <c r="Y2143" s="6"/>
      <c r="Z2143" s="6"/>
    </row>
    <row r="2144" spans="14:26" ht="31.4" customHeight="1" x14ac:dyDescent="0.35">
      <c r="N2144" s="20"/>
      <c r="P2144" s="8"/>
      <c r="Q2144" s="8"/>
      <c r="R2144" s="8"/>
      <c r="S2144" s="8"/>
      <c r="U2144" s="6"/>
      <c r="V2144" s="6"/>
      <c r="W2144" s="6"/>
      <c r="X2144" s="6"/>
      <c r="Y2144" s="6"/>
      <c r="Z2144" s="6"/>
    </row>
    <row r="2145" spans="14:26" ht="31.4" customHeight="1" x14ac:dyDescent="0.35">
      <c r="N2145" s="20"/>
      <c r="P2145" s="8"/>
      <c r="Q2145" s="8"/>
      <c r="R2145" s="8"/>
      <c r="S2145" s="8"/>
      <c r="U2145" s="6"/>
      <c r="V2145" s="6"/>
      <c r="W2145" s="6"/>
      <c r="X2145" s="6"/>
      <c r="Y2145" s="6"/>
      <c r="Z2145" s="6"/>
    </row>
    <row r="2146" spans="14:26" ht="31.4" customHeight="1" x14ac:dyDescent="0.35">
      <c r="N2146" s="20"/>
      <c r="P2146" s="8"/>
      <c r="Q2146" s="8"/>
      <c r="R2146" s="8"/>
      <c r="S2146" s="8"/>
      <c r="U2146" s="6"/>
      <c r="V2146" s="6"/>
      <c r="W2146" s="6"/>
      <c r="X2146" s="6"/>
      <c r="Y2146" s="6"/>
      <c r="Z2146" s="6"/>
    </row>
    <row r="2147" spans="14:26" ht="31.4" customHeight="1" x14ac:dyDescent="0.35">
      <c r="N2147" s="20"/>
      <c r="P2147" s="8"/>
      <c r="Q2147" s="8"/>
      <c r="R2147" s="8"/>
      <c r="S2147" s="8"/>
      <c r="U2147" s="6"/>
      <c r="V2147" s="6"/>
      <c r="W2147" s="6"/>
      <c r="X2147" s="6"/>
      <c r="Y2147" s="6"/>
      <c r="Z2147" s="6"/>
    </row>
    <row r="2148" spans="14:26" ht="31.4" customHeight="1" x14ac:dyDescent="0.35">
      <c r="N2148" s="20"/>
      <c r="P2148" s="8"/>
      <c r="Q2148" s="8"/>
      <c r="R2148" s="8"/>
      <c r="S2148" s="8"/>
      <c r="U2148" s="6"/>
      <c r="V2148" s="6"/>
      <c r="W2148" s="6"/>
      <c r="X2148" s="6"/>
      <c r="Y2148" s="6"/>
      <c r="Z2148" s="6"/>
    </row>
    <row r="2149" spans="14:26" ht="31.4" customHeight="1" x14ac:dyDescent="0.35">
      <c r="N2149" s="20"/>
      <c r="P2149" s="8"/>
      <c r="Q2149" s="8"/>
      <c r="R2149" s="8"/>
      <c r="S2149" s="8"/>
      <c r="U2149" s="6"/>
      <c r="V2149" s="6"/>
      <c r="W2149" s="6"/>
      <c r="X2149" s="6"/>
      <c r="Y2149" s="6"/>
      <c r="Z2149" s="6"/>
    </row>
    <row r="2150" spans="14:26" ht="31.4" customHeight="1" x14ac:dyDescent="0.35">
      <c r="N2150" s="20"/>
      <c r="P2150" s="8"/>
      <c r="Q2150" s="8"/>
      <c r="R2150" s="8"/>
      <c r="S2150" s="8"/>
      <c r="U2150" s="6"/>
      <c r="V2150" s="6"/>
      <c r="W2150" s="6"/>
      <c r="X2150" s="6"/>
      <c r="Y2150" s="6"/>
      <c r="Z2150" s="6"/>
    </row>
    <row r="2151" spans="14:26" ht="31.4" customHeight="1" x14ac:dyDescent="0.35">
      <c r="N2151" s="20"/>
      <c r="P2151" s="8"/>
      <c r="Q2151" s="8"/>
      <c r="R2151" s="8"/>
      <c r="S2151" s="8"/>
      <c r="U2151" s="6"/>
      <c r="V2151" s="6"/>
      <c r="W2151" s="6"/>
      <c r="X2151" s="6"/>
      <c r="Y2151" s="6"/>
      <c r="Z2151" s="6"/>
    </row>
    <row r="2152" spans="14:26" ht="31.4" customHeight="1" x14ac:dyDescent="0.35">
      <c r="N2152" s="20"/>
      <c r="P2152" s="8"/>
      <c r="Q2152" s="8"/>
      <c r="R2152" s="8"/>
      <c r="S2152" s="8"/>
      <c r="U2152" s="6"/>
      <c r="V2152" s="6"/>
      <c r="W2152" s="6"/>
      <c r="X2152" s="6"/>
      <c r="Y2152" s="6"/>
      <c r="Z2152" s="6"/>
    </row>
    <row r="2153" spans="14:26" ht="31.4" customHeight="1" x14ac:dyDescent="0.35">
      <c r="N2153" s="20"/>
      <c r="P2153" s="8"/>
      <c r="Q2153" s="8"/>
      <c r="R2153" s="8"/>
      <c r="S2153" s="8"/>
      <c r="U2153" s="6"/>
      <c r="V2153" s="6"/>
      <c r="W2153" s="6"/>
      <c r="X2153" s="6"/>
      <c r="Y2153" s="6"/>
      <c r="Z2153" s="6"/>
    </row>
    <row r="2154" spans="14:26" ht="31.4" customHeight="1" x14ac:dyDescent="0.35">
      <c r="N2154" s="20"/>
      <c r="P2154" s="8"/>
      <c r="Q2154" s="8"/>
      <c r="R2154" s="8"/>
      <c r="S2154" s="8"/>
      <c r="U2154" s="6"/>
      <c r="V2154" s="6"/>
      <c r="W2154" s="6"/>
      <c r="X2154" s="6"/>
      <c r="Y2154" s="6"/>
      <c r="Z2154" s="6"/>
    </row>
    <row r="2155" spans="14:26" ht="31.4" customHeight="1" x14ac:dyDescent="0.35">
      <c r="N2155" s="20"/>
      <c r="P2155" s="8"/>
      <c r="Q2155" s="8"/>
      <c r="R2155" s="8"/>
      <c r="S2155" s="8"/>
      <c r="U2155" s="6"/>
      <c r="V2155" s="6"/>
      <c r="W2155" s="6"/>
      <c r="X2155" s="6"/>
      <c r="Y2155" s="6"/>
      <c r="Z2155" s="6"/>
    </row>
    <row r="2156" spans="14:26" ht="31.4" customHeight="1" x14ac:dyDescent="0.35">
      <c r="N2156" s="20"/>
      <c r="P2156" s="8"/>
      <c r="Q2156" s="8"/>
      <c r="R2156" s="8"/>
      <c r="S2156" s="8"/>
      <c r="U2156" s="6"/>
      <c r="V2156" s="6"/>
      <c r="W2156" s="6"/>
      <c r="X2156" s="6"/>
      <c r="Y2156" s="6"/>
      <c r="Z2156" s="6"/>
    </row>
    <row r="2157" spans="14:26" ht="31.4" customHeight="1" x14ac:dyDescent="0.35">
      <c r="N2157" s="20"/>
      <c r="P2157" s="8"/>
      <c r="Q2157" s="8"/>
      <c r="R2157" s="8"/>
      <c r="S2157" s="8"/>
      <c r="U2157" s="6"/>
      <c r="V2157" s="6"/>
      <c r="W2157" s="6"/>
      <c r="X2157" s="6"/>
      <c r="Y2157" s="6"/>
      <c r="Z2157" s="6"/>
    </row>
    <row r="2158" spans="14:26" ht="31.4" customHeight="1" x14ac:dyDescent="0.35">
      <c r="N2158" s="20"/>
      <c r="P2158" s="8"/>
      <c r="Q2158" s="8"/>
      <c r="R2158" s="8"/>
      <c r="S2158" s="8"/>
      <c r="U2158" s="6"/>
      <c r="V2158" s="6"/>
      <c r="W2158" s="6"/>
      <c r="X2158" s="6"/>
      <c r="Y2158" s="6"/>
      <c r="Z2158" s="6"/>
    </row>
    <row r="2159" spans="14:26" ht="31.4" customHeight="1" x14ac:dyDescent="0.35">
      <c r="N2159" s="20"/>
      <c r="P2159" s="8"/>
      <c r="Q2159" s="8"/>
      <c r="R2159" s="8"/>
      <c r="S2159" s="8"/>
      <c r="U2159" s="6"/>
      <c r="V2159" s="6"/>
      <c r="W2159" s="6"/>
      <c r="X2159" s="6"/>
      <c r="Y2159" s="6"/>
      <c r="Z2159" s="6"/>
    </row>
    <row r="2160" spans="14:26" ht="31.4" customHeight="1" x14ac:dyDescent="0.35">
      <c r="N2160" s="20"/>
      <c r="P2160" s="8"/>
      <c r="Q2160" s="8"/>
      <c r="R2160" s="8"/>
      <c r="S2160" s="8"/>
      <c r="U2160" s="6"/>
      <c r="V2160" s="6"/>
      <c r="W2160" s="6"/>
      <c r="X2160" s="6"/>
      <c r="Y2160" s="6"/>
      <c r="Z2160" s="6"/>
    </row>
    <row r="2161" spans="14:26" ht="31.4" customHeight="1" x14ac:dyDescent="0.35">
      <c r="N2161" s="20"/>
      <c r="P2161" s="8"/>
      <c r="Q2161" s="8"/>
      <c r="R2161" s="8"/>
      <c r="S2161" s="8"/>
      <c r="U2161" s="6"/>
      <c r="V2161" s="6"/>
      <c r="W2161" s="6"/>
      <c r="X2161" s="6"/>
      <c r="Y2161" s="6"/>
      <c r="Z2161" s="6"/>
    </row>
    <row r="2162" spans="14:26" ht="31.4" customHeight="1" x14ac:dyDescent="0.35">
      <c r="N2162" s="20"/>
      <c r="P2162" s="8"/>
      <c r="Q2162" s="8"/>
      <c r="R2162" s="8"/>
      <c r="S2162" s="8"/>
      <c r="U2162" s="6"/>
      <c r="V2162" s="6"/>
      <c r="W2162" s="6"/>
      <c r="X2162" s="6"/>
      <c r="Y2162" s="6"/>
      <c r="Z2162" s="6"/>
    </row>
    <row r="2163" spans="14:26" ht="31.4" customHeight="1" x14ac:dyDescent="0.35">
      <c r="N2163" s="20"/>
      <c r="P2163" s="8"/>
      <c r="Q2163" s="8"/>
      <c r="R2163" s="8"/>
      <c r="S2163" s="8"/>
      <c r="U2163" s="6"/>
      <c r="V2163" s="6"/>
      <c r="W2163" s="6"/>
      <c r="X2163" s="6"/>
      <c r="Y2163" s="6"/>
      <c r="Z2163" s="6"/>
    </row>
    <row r="2164" spans="14:26" ht="31.4" customHeight="1" x14ac:dyDescent="0.35">
      <c r="N2164" s="20"/>
      <c r="P2164" s="8"/>
      <c r="Q2164" s="8"/>
      <c r="R2164" s="8"/>
      <c r="S2164" s="8"/>
      <c r="U2164" s="6"/>
      <c r="V2164" s="6"/>
      <c r="W2164" s="6"/>
      <c r="X2164" s="6"/>
      <c r="Y2164" s="6"/>
      <c r="Z2164" s="6"/>
    </row>
    <row r="2165" spans="14:26" ht="31.4" customHeight="1" x14ac:dyDescent="0.35">
      <c r="N2165" s="20"/>
      <c r="P2165" s="8"/>
      <c r="Q2165" s="8"/>
      <c r="R2165" s="8"/>
      <c r="S2165" s="8"/>
      <c r="U2165" s="6"/>
      <c r="V2165" s="6"/>
      <c r="W2165" s="6"/>
      <c r="X2165" s="6"/>
      <c r="Y2165" s="6"/>
      <c r="Z2165" s="6"/>
    </row>
    <row r="2166" spans="14:26" ht="31.4" customHeight="1" x14ac:dyDescent="0.35">
      <c r="N2166" s="20"/>
      <c r="P2166" s="8"/>
      <c r="Q2166" s="8"/>
      <c r="R2166" s="8"/>
      <c r="S2166" s="8"/>
      <c r="U2166" s="6"/>
      <c r="V2166" s="6"/>
      <c r="W2166" s="6"/>
      <c r="X2166" s="6"/>
      <c r="Y2166" s="6"/>
      <c r="Z2166" s="6"/>
    </row>
    <row r="2167" spans="14:26" ht="31.4" customHeight="1" x14ac:dyDescent="0.35">
      <c r="N2167" s="20"/>
      <c r="P2167" s="8"/>
      <c r="Q2167" s="8"/>
      <c r="R2167" s="8"/>
      <c r="S2167" s="8"/>
      <c r="U2167" s="6"/>
      <c r="V2167" s="6"/>
      <c r="W2167" s="6"/>
      <c r="X2167" s="6"/>
      <c r="Y2167" s="6"/>
      <c r="Z2167" s="6"/>
    </row>
    <row r="2168" spans="14:26" ht="31.4" customHeight="1" x14ac:dyDescent="0.35">
      <c r="N2168" s="20"/>
      <c r="P2168" s="8"/>
      <c r="Q2168" s="8"/>
      <c r="R2168" s="8"/>
      <c r="S2168" s="8"/>
      <c r="U2168" s="6"/>
      <c r="V2168" s="6"/>
      <c r="W2168" s="6"/>
      <c r="X2168" s="6"/>
      <c r="Y2168" s="6"/>
      <c r="Z2168" s="6"/>
    </row>
    <row r="2169" spans="14:26" ht="31.4" customHeight="1" x14ac:dyDescent="0.35">
      <c r="N2169" s="20"/>
      <c r="P2169" s="8"/>
      <c r="Q2169" s="8"/>
      <c r="R2169" s="8"/>
      <c r="S2169" s="8"/>
      <c r="U2169" s="6"/>
      <c r="V2169" s="6"/>
      <c r="W2169" s="6"/>
      <c r="X2169" s="6"/>
      <c r="Y2169" s="6"/>
      <c r="Z2169" s="6"/>
    </row>
    <row r="2170" spans="14:26" ht="31.4" customHeight="1" x14ac:dyDescent="0.35">
      <c r="N2170" s="20"/>
      <c r="P2170" s="8"/>
      <c r="Q2170" s="8"/>
      <c r="R2170" s="8"/>
      <c r="S2170" s="8"/>
      <c r="U2170" s="6"/>
      <c r="V2170" s="6"/>
      <c r="W2170" s="6"/>
      <c r="X2170" s="6"/>
      <c r="Y2170" s="6"/>
      <c r="Z2170" s="6"/>
    </row>
    <row r="2171" spans="14:26" ht="31.4" customHeight="1" x14ac:dyDescent="0.35">
      <c r="N2171" s="20"/>
      <c r="P2171" s="8"/>
      <c r="Q2171" s="8"/>
      <c r="R2171" s="8"/>
      <c r="S2171" s="8"/>
      <c r="U2171" s="6"/>
      <c r="V2171" s="6"/>
      <c r="W2171" s="6"/>
      <c r="X2171" s="6"/>
      <c r="Y2171" s="6"/>
      <c r="Z2171" s="6"/>
    </row>
    <row r="2172" spans="14:26" ht="31.4" customHeight="1" x14ac:dyDescent="0.35">
      <c r="N2172" s="20"/>
      <c r="P2172" s="8"/>
      <c r="Q2172" s="8"/>
      <c r="R2172" s="8"/>
      <c r="S2172" s="8"/>
      <c r="U2172" s="6"/>
      <c r="V2172" s="6"/>
      <c r="W2172" s="6"/>
      <c r="X2172" s="6"/>
      <c r="Y2172" s="6"/>
      <c r="Z2172" s="6"/>
    </row>
    <row r="2173" spans="14:26" ht="31.4" customHeight="1" x14ac:dyDescent="0.35">
      <c r="N2173" s="20"/>
      <c r="P2173" s="8"/>
      <c r="Q2173" s="8"/>
      <c r="R2173" s="8"/>
      <c r="S2173" s="8"/>
      <c r="U2173" s="6"/>
      <c r="V2173" s="6"/>
      <c r="W2173" s="6"/>
      <c r="X2173" s="6"/>
      <c r="Y2173" s="6"/>
      <c r="Z2173" s="6"/>
    </row>
    <row r="2174" spans="14:26" ht="31.4" customHeight="1" x14ac:dyDescent="0.35">
      <c r="N2174" s="20"/>
      <c r="P2174" s="8"/>
      <c r="Q2174" s="8"/>
      <c r="R2174" s="8"/>
      <c r="S2174" s="8"/>
      <c r="U2174" s="6"/>
      <c r="V2174" s="6"/>
      <c r="W2174" s="6"/>
      <c r="X2174" s="6"/>
      <c r="Y2174" s="6"/>
      <c r="Z2174" s="6"/>
    </row>
    <row r="2175" spans="14:26" ht="31.4" customHeight="1" x14ac:dyDescent="0.35">
      <c r="N2175" s="20"/>
      <c r="P2175" s="8"/>
      <c r="Q2175" s="8"/>
      <c r="R2175" s="8"/>
      <c r="S2175" s="8"/>
      <c r="U2175" s="6"/>
      <c r="V2175" s="6"/>
      <c r="W2175" s="6"/>
      <c r="X2175" s="6"/>
      <c r="Y2175" s="6"/>
      <c r="Z2175" s="6"/>
    </row>
    <row r="2176" spans="14:26" ht="31.4" customHeight="1" x14ac:dyDescent="0.35">
      <c r="N2176" s="20"/>
      <c r="P2176" s="8"/>
      <c r="Q2176" s="8"/>
      <c r="R2176" s="8"/>
      <c r="S2176" s="8"/>
      <c r="U2176" s="6"/>
      <c r="V2176" s="6"/>
      <c r="W2176" s="6"/>
      <c r="X2176" s="6"/>
      <c r="Y2176" s="6"/>
      <c r="Z2176" s="6"/>
    </row>
    <row r="2177" spans="14:26" ht="31.4" customHeight="1" x14ac:dyDescent="0.35">
      <c r="N2177" s="20"/>
      <c r="P2177" s="8"/>
      <c r="Q2177" s="8"/>
      <c r="R2177" s="8"/>
      <c r="S2177" s="8"/>
      <c r="U2177" s="6"/>
      <c r="V2177" s="6"/>
      <c r="W2177" s="6"/>
      <c r="X2177" s="6"/>
      <c r="Y2177" s="6"/>
      <c r="Z2177" s="6"/>
    </row>
    <row r="2178" spans="14:26" ht="31.4" customHeight="1" x14ac:dyDescent="0.35">
      <c r="N2178" s="20"/>
      <c r="P2178" s="8"/>
      <c r="Q2178" s="8"/>
      <c r="R2178" s="8"/>
      <c r="S2178" s="8"/>
      <c r="U2178" s="6"/>
      <c r="V2178" s="6"/>
      <c r="W2178" s="6"/>
      <c r="X2178" s="6"/>
      <c r="Y2178" s="6"/>
      <c r="Z2178" s="6"/>
    </row>
    <row r="2179" spans="14:26" ht="31.4" customHeight="1" x14ac:dyDescent="0.35">
      <c r="N2179" s="20"/>
      <c r="P2179" s="8"/>
      <c r="Q2179" s="8"/>
      <c r="R2179" s="8"/>
      <c r="S2179" s="8"/>
      <c r="U2179" s="6"/>
      <c r="V2179" s="6"/>
      <c r="W2179" s="6"/>
      <c r="X2179" s="6"/>
      <c r="Y2179" s="6"/>
      <c r="Z2179" s="6"/>
    </row>
    <row r="2180" spans="14:26" ht="31.4" customHeight="1" x14ac:dyDescent="0.35">
      <c r="N2180" s="20"/>
      <c r="P2180" s="8"/>
      <c r="Q2180" s="8"/>
      <c r="R2180" s="8"/>
      <c r="S2180" s="8"/>
      <c r="U2180" s="6"/>
      <c r="V2180" s="6"/>
      <c r="W2180" s="6"/>
      <c r="X2180" s="6"/>
      <c r="Y2180" s="6"/>
      <c r="Z2180" s="6"/>
    </row>
    <row r="2181" spans="14:26" ht="31.4" customHeight="1" x14ac:dyDescent="0.35">
      <c r="N2181" s="20"/>
      <c r="P2181" s="8"/>
      <c r="Q2181" s="8"/>
      <c r="R2181" s="8"/>
      <c r="S2181" s="8"/>
      <c r="U2181" s="6"/>
      <c r="V2181" s="6"/>
      <c r="W2181" s="6"/>
      <c r="X2181" s="6"/>
      <c r="Y2181" s="6"/>
      <c r="Z2181" s="6"/>
    </row>
    <row r="2182" spans="14:26" ht="31.4" customHeight="1" x14ac:dyDescent="0.35">
      <c r="N2182" s="20"/>
      <c r="P2182" s="8"/>
      <c r="Q2182" s="8"/>
      <c r="R2182" s="8"/>
      <c r="S2182" s="8"/>
      <c r="U2182" s="6"/>
      <c r="V2182" s="6"/>
      <c r="W2182" s="6"/>
      <c r="X2182" s="6"/>
      <c r="Y2182" s="6"/>
      <c r="Z2182" s="6"/>
    </row>
    <row r="2183" spans="14:26" ht="31.4" customHeight="1" x14ac:dyDescent="0.35">
      <c r="N2183" s="20"/>
      <c r="P2183" s="8"/>
      <c r="Q2183" s="8"/>
      <c r="R2183" s="8"/>
      <c r="S2183" s="8"/>
      <c r="U2183" s="6"/>
      <c r="V2183" s="6"/>
      <c r="W2183" s="6"/>
      <c r="X2183" s="6"/>
      <c r="Y2183" s="6"/>
      <c r="Z2183" s="6"/>
    </row>
    <row r="2184" spans="14:26" ht="31.4" customHeight="1" x14ac:dyDescent="0.35">
      <c r="N2184" s="20"/>
      <c r="P2184" s="8"/>
      <c r="Q2184" s="8"/>
      <c r="R2184" s="8"/>
      <c r="S2184" s="8"/>
      <c r="U2184" s="6"/>
      <c r="V2184" s="6"/>
      <c r="W2184" s="6"/>
      <c r="X2184" s="6"/>
      <c r="Y2184" s="6"/>
      <c r="Z2184" s="6"/>
    </row>
    <row r="2185" spans="14:26" ht="31.4" customHeight="1" x14ac:dyDescent="0.35">
      <c r="N2185" s="20"/>
      <c r="P2185" s="8"/>
      <c r="Q2185" s="8"/>
      <c r="R2185" s="8"/>
      <c r="S2185" s="8"/>
      <c r="U2185" s="6"/>
      <c r="V2185" s="6"/>
      <c r="W2185" s="6"/>
      <c r="X2185" s="6"/>
      <c r="Y2185" s="6"/>
      <c r="Z2185" s="6"/>
    </row>
    <row r="2186" spans="14:26" ht="31.4" customHeight="1" x14ac:dyDescent="0.35">
      <c r="N2186" s="20"/>
      <c r="P2186" s="8"/>
      <c r="Q2186" s="8"/>
      <c r="R2186" s="8"/>
      <c r="S2186" s="8"/>
      <c r="U2186" s="6"/>
      <c r="V2186" s="6"/>
      <c r="W2186" s="6"/>
      <c r="X2186" s="6"/>
      <c r="Y2186" s="6"/>
      <c r="Z2186" s="6"/>
    </row>
    <row r="2187" spans="14:26" ht="31.4" customHeight="1" x14ac:dyDescent="0.35">
      <c r="N2187" s="20"/>
      <c r="P2187" s="8"/>
      <c r="Q2187" s="8"/>
      <c r="R2187" s="8"/>
      <c r="S2187" s="8"/>
      <c r="U2187" s="6"/>
      <c r="V2187" s="6"/>
      <c r="W2187" s="6"/>
      <c r="X2187" s="6"/>
      <c r="Y2187" s="6"/>
      <c r="Z2187" s="6"/>
    </row>
    <row r="2188" spans="14:26" ht="31.4" customHeight="1" x14ac:dyDescent="0.35">
      <c r="N2188" s="20"/>
      <c r="P2188" s="8"/>
      <c r="Q2188" s="8"/>
      <c r="R2188" s="8"/>
      <c r="S2188" s="8"/>
      <c r="U2188" s="6"/>
      <c r="V2188" s="6"/>
      <c r="W2188" s="6"/>
      <c r="X2188" s="6"/>
      <c r="Y2188" s="6"/>
      <c r="Z2188" s="6"/>
    </row>
    <row r="2189" spans="14:26" ht="31.4" customHeight="1" x14ac:dyDescent="0.35">
      <c r="N2189" s="20"/>
      <c r="P2189" s="8"/>
      <c r="Q2189" s="8"/>
      <c r="R2189" s="8"/>
      <c r="S2189" s="8"/>
      <c r="U2189" s="6"/>
      <c r="V2189" s="6"/>
      <c r="W2189" s="6"/>
      <c r="X2189" s="6"/>
      <c r="Y2189" s="6"/>
      <c r="Z2189" s="6"/>
    </row>
    <row r="2190" spans="14:26" ht="31.4" customHeight="1" x14ac:dyDescent="0.35">
      <c r="N2190" s="20"/>
      <c r="P2190" s="8"/>
      <c r="Q2190" s="8"/>
      <c r="R2190" s="8"/>
      <c r="S2190" s="8"/>
      <c r="U2190" s="6"/>
      <c r="V2190" s="6"/>
      <c r="W2190" s="6"/>
      <c r="X2190" s="6"/>
      <c r="Y2190" s="6"/>
      <c r="Z2190" s="6"/>
    </row>
    <row r="2191" spans="14:26" ht="31.4" customHeight="1" x14ac:dyDescent="0.35">
      <c r="N2191" s="20"/>
      <c r="P2191" s="8"/>
      <c r="Q2191" s="8"/>
      <c r="R2191" s="8"/>
      <c r="S2191" s="8"/>
      <c r="U2191" s="6"/>
      <c r="V2191" s="6"/>
      <c r="W2191" s="6"/>
      <c r="X2191" s="6"/>
      <c r="Y2191" s="6"/>
      <c r="Z2191" s="6"/>
    </row>
    <row r="2192" spans="14:26" ht="31.4" customHeight="1" x14ac:dyDescent="0.35">
      <c r="N2192" s="20"/>
      <c r="P2192" s="8"/>
      <c r="Q2192" s="8"/>
      <c r="R2192" s="8"/>
      <c r="S2192" s="8"/>
      <c r="U2192" s="6"/>
      <c r="V2192" s="6"/>
      <c r="W2192" s="6"/>
      <c r="X2192" s="6"/>
      <c r="Y2192" s="6"/>
      <c r="Z2192" s="6"/>
    </row>
    <row r="2193" spans="14:26" ht="31.4" customHeight="1" x14ac:dyDescent="0.35">
      <c r="N2193" s="20"/>
      <c r="P2193" s="8"/>
      <c r="Q2193" s="8"/>
      <c r="R2193" s="8"/>
      <c r="S2193" s="8"/>
      <c r="U2193" s="6"/>
      <c r="V2193" s="6"/>
      <c r="W2193" s="6"/>
      <c r="X2193" s="6"/>
      <c r="Y2193" s="6"/>
      <c r="Z2193" s="6"/>
    </row>
    <row r="2194" spans="14:26" ht="31.4" customHeight="1" x14ac:dyDescent="0.35">
      <c r="N2194" s="20"/>
      <c r="P2194" s="8"/>
      <c r="Q2194" s="8"/>
      <c r="R2194" s="8"/>
      <c r="S2194" s="8"/>
      <c r="U2194" s="6"/>
      <c r="V2194" s="6"/>
      <c r="W2194" s="6"/>
      <c r="X2194" s="6"/>
      <c r="Y2194" s="6"/>
      <c r="Z2194" s="6"/>
    </row>
    <row r="2195" spans="14:26" ht="31.4" customHeight="1" x14ac:dyDescent="0.35">
      <c r="N2195" s="20"/>
      <c r="P2195" s="8"/>
      <c r="Q2195" s="8"/>
      <c r="R2195" s="8"/>
      <c r="S2195" s="8"/>
      <c r="U2195" s="6"/>
      <c r="V2195" s="6"/>
      <c r="W2195" s="6"/>
      <c r="X2195" s="6"/>
      <c r="Y2195" s="6"/>
      <c r="Z2195" s="6"/>
    </row>
    <row r="2196" spans="14:26" ht="31.4" customHeight="1" x14ac:dyDescent="0.35">
      <c r="N2196" s="20"/>
      <c r="P2196" s="8"/>
      <c r="Q2196" s="8"/>
      <c r="R2196" s="8"/>
      <c r="S2196" s="8"/>
      <c r="U2196" s="6"/>
      <c r="V2196" s="6"/>
      <c r="W2196" s="6"/>
      <c r="X2196" s="6"/>
      <c r="Y2196" s="6"/>
      <c r="Z2196" s="6"/>
    </row>
    <row r="2197" spans="14:26" ht="31.4" customHeight="1" x14ac:dyDescent="0.35">
      <c r="N2197" s="20"/>
      <c r="P2197" s="8"/>
      <c r="Q2197" s="8"/>
      <c r="R2197" s="8"/>
      <c r="S2197" s="8"/>
      <c r="U2197" s="6"/>
      <c r="V2197" s="6"/>
      <c r="W2197" s="6"/>
      <c r="X2197" s="6"/>
      <c r="Y2197" s="6"/>
      <c r="Z2197" s="6"/>
    </row>
    <row r="2198" spans="14:26" ht="31.4" customHeight="1" x14ac:dyDescent="0.35">
      <c r="N2198" s="20"/>
      <c r="P2198" s="8"/>
      <c r="Q2198" s="8"/>
      <c r="R2198" s="8"/>
      <c r="S2198" s="8"/>
      <c r="U2198" s="6"/>
      <c r="V2198" s="6"/>
      <c r="W2198" s="6"/>
      <c r="X2198" s="6"/>
      <c r="Y2198" s="6"/>
      <c r="Z2198" s="6"/>
    </row>
    <row r="2199" spans="14:26" ht="31.4" customHeight="1" x14ac:dyDescent="0.35">
      <c r="N2199" s="20"/>
      <c r="P2199" s="8"/>
      <c r="Q2199" s="8"/>
      <c r="R2199" s="8"/>
      <c r="S2199" s="8"/>
      <c r="U2199" s="6"/>
      <c r="V2199" s="6"/>
      <c r="W2199" s="6"/>
      <c r="X2199" s="6"/>
      <c r="Y2199" s="6"/>
      <c r="Z2199" s="6"/>
    </row>
    <row r="2200" spans="14:26" ht="31.4" customHeight="1" x14ac:dyDescent="0.35">
      <c r="N2200" s="20"/>
      <c r="P2200" s="8"/>
      <c r="Q2200" s="8"/>
      <c r="R2200" s="8"/>
      <c r="S2200" s="8"/>
      <c r="U2200" s="6"/>
      <c r="V2200" s="6"/>
      <c r="W2200" s="6"/>
      <c r="X2200" s="6"/>
      <c r="Y2200" s="6"/>
      <c r="Z2200" s="6"/>
    </row>
    <row r="2201" spans="14:26" ht="31.4" customHeight="1" x14ac:dyDescent="0.35">
      <c r="N2201" s="20"/>
      <c r="P2201" s="8"/>
      <c r="Q2201" s="8"/>
      <c r="R2201" s="8"/>
      <c r="S2201" s="8"/>
      <c r="U2201" s="6"/>
      <c r="V2201" s="6"/>
      <c r="W2201" s="6"/>
      <c r="X2201" s="6"/>
      <c r="Y2201" s="6"/>
      <c r="Z2201" s="6"/>
    </row>
    <row r="2202" spans="14:26" ht="31.4" customHeight="1" x14ac:dyDescent="0.35">
      <c r="N2202" s="20"/>
      <c r="P2202" s="8"/>
      <c r="Q2202" s="8"/>
      <c r="R2202" s="8"/>
      <c r="S2202" s="8"/>
      <c r="U2202" s="6"/>
      <c r="V2202" s="6"/>
      <c r="W2202" s="6"/>
      <c r="X2202" s="6"/>
      <c r="Y2202" s="6"/>
      <c r="Z2202" s="6"/>
    </row>
    <row r="2203" spans="14:26" ht="31.4" customHeight="1" x14ac:dyDescent="0.35">
      <c r="N2203" s="20"/>
      <c r="P2203" s="8"/>
      <c r="Q2203" s="8"/>
      <c r="R2203" s="8"/>
      <c r="S2203" s="8"/>
      <c r="U2203" s="6"/>
      <c r="V2203" s="6"/>
      <c r="W2203" s="6"/>
      <c r="X2203" s="6"/>
      <c r="Y2203" s="6"/>
      <c r="Z2203" s="6"/>
    </row>
    <row r="2204" spans="14:26" ht="31.4" customHeight="1" x14ac:dyDescent="0.35">
      <c r="N2204" s="20"/>
      <c r="P2204" s="8"/>
      <c r="Q2204" s="8"/>
      <c r="R2204" s="8"/>
      <c r="S2204" s="8"/>
      <c r="U2204" s="6"/>
      <c r="V2204" s="6"/>
      <c r="W2204" s="6"/>
      <c r="X2204" s="6"/>
      <c r="Y2204" s="6"/>
      <c r="Z2204" s="6"/>
    </row>
    <row r="2205" spans="14:26" ht="31.4" customHeight="1" x14ac:dyDescent="0.35">
      <c r="N2205" s="20"/>
      <c r="P2205" s="8"/>
      <c r="Q2205" s="8"/>
      <c r="R2205" s="8"/>
      <c r="S2205" s="8"/>
      <c r="U2205" s="6"/>
      <c r="V2205" s="6"/>
      <c r="W2205" s="6"/>
      <c r="X2205" s="6"/>
      <c r="Y2205" s="6"/>
      <c r="Z2205" s="6"/>
    </row>
    <row r="2206" spans="14:26" ht="31.4" customHeight="1" x14ac:dyDescent="0.35">
      <c r="N2206" s="20"/>
      <c r="P2206" s="8"/>
      <c r="Q2206" s="8"/>
      <c r="R2206" s="8"/>
      <c r="S2206" s="8"/>
      <c r="U2206" s="6"/>
      <c r="V2206" s="6"/>
      <c r="W2206" s="6"/>
      <c r="X2206" s="6"/>
      <c r="Y2206" s="6"/>
      <c r="Z2206" s="6"/>
    </row>
    <row r="2207" spans="14:26" ht="31.4" customHeight="1" x14ac:dyDescent="0.35">
      <c r="N2207" s="20"/>
      <c r="P2207" s="8"/>
      <c r="Q2207" s="8"/>
      <c r="R2207" s="8"/>
      <c r="S2207" s="8"/>
      <c r="U2207" s="6"/>
      <c r="V2207" s="6"/>
      <c r="W2207" s="6"/>
      <c r="X2207" s="6"/>
      <c r="Y2207" s="6"/>
      <c r="Z2207" s="6"/>
    </row>
    <row r="2208" spans="14:26" ht="31.4" customHeight="1" x14ac:dyDescent="0.35">
      <c r="N2208" s="20"/>
      <c r="P2208" s="8"/>
      <c r="Q2208" s="8"/>
      <c r="R2208" s="8"/>
      <c r="S2208" s="8"/>
      <c r="U2208" s="6"/>
      <c r="V2208" s="6"/>
      <c r="W2208" s="6"/>
      <c r="X2208" s="6"/>
      <c r="Y2208" s="6"/>
      <c r="Z2208" s="6"/>
    </row>
    <row r="2209" spans="14:26" ht="31.4" customHeight="1" x14ac:dyDescent="0.35">
      <c r="N2209" s="20"/>
      <c r="P2209" s="8"/>
      <c r="Q2209" s="8"/>
      <c r="R2209" s="8"/>
      <c r="S2209" s="8"/>
      <c r="U2209" s="6"/>
      <c r="V2209" s="6"/>
      <c r="W2209" s="6"/>
      <c r="X2209" s="6"/>
      <c r="Y2209" s="6"/>
      <c r="Z2209" s="6"/>
    </row>
    <row r="2210" spans="14:26" ht="31.4" customHeight="1" x14ac:dyDescent="0.35">
      <c r="N2210" s="20"/>
      <c r="P2210" s="8"/>
      <c r="Q2210" s="8"/>
      <c r="R2210" s="8"/>
      <c r="S2210" s="8"/>
      <c r="U2210" s="6"/>
      <c r="V2210" s="6"/>
      <c r="W2210" s="6"/>
      <c r="X2210" s="6"/>
      <c r="Y2210" s="6"/>
      <c r="Z2210" s="6"/>
    </row>
    <row r="2211" spans="14:26" ht="31.4" customHeight="1" x14ac:dyDescent="0.35">
      <c r="N2211" s="20"/>
      <c r="P2211" s="8"/>
      <c r="Q2211" s="8"/>
      <c r="R2211" s="8"/>
      <c r="S2211" s="8"/>
      <c r="U2211" s="6"/>
      <c r="V2211" s="6"/>
      <c r="W2211" s="6"/>
      <c r="X2211" s="6"/>
      <c r="Y2211" s="6"/>
      <c r="Z2211" s="6"/>
    </row>
    <row r="2212" spans="14:26" ht="31.4" customHeight="1" x14ac:dyDescent="0.35">
      <c r="N2212" s="20"/>
      <c r="P2212" s="8"/>
      <c r="Q2212" s="8"/>
      <c r="R2212" s="8"/>
      <c r="S2212" s="8"/>
      <c r="U2212" s="6"/>
      <c r="V2212" s="6"/>
      <c r="W2212" s="6"/>
      <c r="X2212" s="6"/>
      <c r="Y2212" s="6"/>
      <c r="Z2212" s="6"/>
    </row>
    <row r="2213" spans="14:26" ht="31.4" customHeight="1" x14ac:dyDescent="0.35">
      <c r="N2213" s="20"/>
      <c r="P2213" s="8"/>
      <c r="Q2213" s="8"/>
      <c r="R2213" s="8"/>
      <c r="S2213" s="8"/>
      <c r="U2213" s="6"/>
      <c r="V2213" s="6"/>
      <c r="W2213" s="6"/>
      <c r="X2213" s="6"/>
      <c r="Y2213" s="6"/>
      <c r="Z2213" s="6"/>
    </row>
    <row r="2214" spans="14:26" ht="31.4" customHeight="1" x14ac:dyDescent="0.35">
      <c r="N2214" s="20"/>
      <c r="P2214" s="8"/>
      <c r="Q2214" s="8"/>
      <c r="R2214" s="8"/>
      <c r="S2214" s="8"/>
      <c r="U2214" s="6"/>
      <c r="V2214" s="6"/>
      <c r="W2214" s="6"/>
      <c r="X2214" s="6"/>
      <c r="Y2214" s="6"/>
      <c r="Z2214" s="6"/>
    </row>
    <row r="2215" spans="14:26" ht="31.4" customHeight="1" x14ac:dyDescent="0.35">
      <c r="N2215" s="20"/>
      <c r="P2215" s="8"/>
      <c r="Q2215" s="8"/>
      <c r="R2215" s="8"/>
      <c r="S2215" s="8"/>
      <c r="U2215" s="6"/>
      <c r="V2215" s="6"/>
      <c r="W2215" s="6"/>
      <c r="X2215" s="6"/>
      <c r="Y2215" s="6"/>
      <c r="Z2215" s="6"/>
    </row>
    <row r="2216" spans="14:26" ht="31.4" customHeight="1" x14ac:dyDescent="0.35">
      <c r="N2216" s="20"/>
      <c r="P2216" s="8"/>
      <c r="Q2216" s="8"/>
      <c r="R2216" s="8"/>
      <c r="S2216" s="8"/>
      <c r="U2216" s="6"/>
      <c r="V2216" s="6"/>
      <c r="W2216" s="6"/>
      <c r="X2216" s="6"/>
      <c r="Y2216" s="6"/>
      <c r="Z2216" s="6"/>
    </row>
    <row r="2217" spans="14:26" ht="31.4" customHeight="1" x14ac:dyDescent="0.35">
      <c r="N2217" s="20"/>
      <c r="P2217" s="8"/>
      <c r="Q2217" s="8"/>
      <c r="R2217" s="8"/>
      <c r="S2217" s="8"/>
      <c r="U2217" s="6"/>
      <c r="V2217" s="6"/>
      <c r="W2217" s="6"/>
      <c r="X2217" s="6"/>
      <c r="Y2217" s="6"/>
      <c r="Z2217" s="6"/>
    </row>
    <row r="2218" spans="14:26" ht="31.4" customHeight="1" x14ac:dyDescent="0.35">
      <c r="N2218" s="20"/>
      <c r="P2218" s="8"/>
      <c r="Q2218" s="8"/>
      <c r="R2218" s="8"/>
      <c r="S2218" s="8"/>
      <c r="U2218" s="6"/>
      <c r="V2218" s="6"/>
      <c r="W2218" s="6"/>
      <c r="X2218" s="6"/>
      <c r="Y2218" s="6"/>
      <c r="Z2218" s="6"/>
    </row>
    <row r="2219" spans="14:26" ht="31.4" customHeight="1" x14ac:dyDescent="0.35">
      <c r="N2219" s="20"/>
      <c r="P2219" s="8"/>
      <c r="Q2219" s="8"/>
      <c r="R2219" s="8"/>
      <c r="S2219" s="8"/>
      <c r="U2219" s="6"/>
      <c r="V2219" s="6"/>
      <c r="W2219" s="6"/>
      <c r="X2219" s="6"/>
      <c r="Y2219" s="6"/>
      <c r="Z2219" s="6"/>
    </row>
    <row r="2220" spans="14:26" ht="31.4" customHeight="1" x14ac:dyDescent="0.35">
      <c r="N2220" s="20"/>
      <c r="P2220" s="8"/>
      <c r="Q2220" s="8"/>
      <c r="R2220" s="8"/>
      <c r="S2220" s="8"/>
      <c r="U2220" s="6"/>
      <c r="V2220" s="6"/>
      <c r="W2220" s="6"/>
      <c r="X2220" s="6"/>
      <c r="Y2220" s="6"/>
      <c r="Z2220" s="6"/>
    </row>
    <row r="2221" spans="14:26" ht="31.4" customHeight="1" x14ac:dyDescent="0.35">
      <c r="N2221" s="20"/>
      <c r="P2221" s="8"/>
      <c r="Q2221" s="8"/>
      <c r="R2221" s="8"/>
      <c r="S2221" s="8"/>
      <c r="U2221" s="6"/>
      <c r="V2221" s="6"/>
      <c r="W2221" s="6"/>
      <c r="X2221" s="6"/>
      <c r="Y2221" s="6"/>
      <c r="Z2221" s="6"/>
    </row>
    <row r="2222" spans="14:26" ht="31.4" customHeight="1" x14ac:dyDescent="0.35">
      <c r="N2222" s="20"/>
      <c r="P2222" s="8"/>
      <c r="Q2222" s="8"/>
      <c r="R2222" s="8"/>
      <c r="S2222" s="8"/>
      <c r="U2222" s="6"/>
      <c r="V2222" s="6"/>
      <c r="W2222" s="6"/>
      <c r="X2222" s="6"/>
      <c r="Y2222" s="6"/>
      <c r="Z2222" s="6"/>
    </row>
    <row r="2223" spans="14:26" ht="31.4" customHeight="1" x14ac:dyDescent="0.35">
      <c r="N2223" s="20"/>
      <c r="P2223" s="8"/>
      <c r="Q2223" s="8"/>
      <c r="R2223" s="8"/>
      <c r="S2223" s="8"/>
      <c r="U2223" s="6"/>
      <c r="V2223" s="6"/>
      <c r="W2223" s="6"/>
      <c r="X2223" s="6"/>
      <c r="Y2223" s="6"/>
      <c r="Z2223" s="6"/>
    </row>
    <row r="2224" spans="14:26" ht="31.4" customHeight="1" x14ac:dyDescent="0.35">
      <c r="N2224" s="20"/>
      <c r="P2224" s="8"/>
      <c r="Q2224" s="8"/>
      <c r="R2224" s="8"/>
      <c r="S2224" s="8"/>
      <c r="U2224" s="6"/>
      <c r="V2224" s="6"/>
      <c r="W2224" s="6"/>
      <c r="X2224" s="6"/>
      <c r="Y2224" s="6"/>
      <c r="Z2224" s="6"/>
    </row>
    <row r="2225" spans="14:26" ht="31.4" customHeight="1" x14ac:dyDescent="0.35">
      <c r="N2225" s="20"/>
      <c r="P2225" s="8"/>
      <c r="Q2225" s="8"/>
      <c r="R2225" s="8"/>
      <c r="S2225" s="8"/>
      <c r="U2225" s="6"/>
      <c r="V2225" s="6"/>
      <c r="W2225" s="6"/>
      <c r="X2225" s="6"/>
      <c r="Y2225" s="6"/>
      <c r="Z2225" s="6"/>
    </row>
    <row r="2226" spans="14:26" ht="31.4" customHeight="1" x14ac:dyDescent="0.35">
      <c r="N2226" s="20"/>
      <c r="P2226" s="8"/>
      <c r="Q2226" s="8"/>
      <c r="R2226" s="8"/>
      <c r="S2226" s="8"/>
      <c r="U2226" s="6"/>
      <c r="V2226" s="6"/>
      <c r="W2226" s="6"/>
      <c r="X2226" s="6"/>
      <c r="Y2226" s="6"/>
      <c r="Z2226" s="6"/>
    </row>
    <row r="2227" spans="14:26" ht="31.4" customHeight="1" x14ac:dyDescent="0.35">
      <c r="N2227" s="20"/>
      <c r="P2227" s="8"/>
      <c r="Q2227" s="8"/>
      <c r="R2227" s="8"/>
      <c r="S2227" s="8"/>
      <c r="U2227" s="6"/>
      <c r="V2227" s="6"/>
      <c r="W2227" s="6"/>
      <c r="X2227" s="6"/>
      <c r="Y2227" s="6"/>
      <c r="Z2227" s="6"/>
    </row>
    <row r="2228" spans="14:26" ht="31.4" customHeight="1" x14ac:dyDescent="0.35">
      <c r="N2228" s="20"/>
      <c r="P2228" s="8"/>
      <c r="Q2228" s="8"/>
      <c r="R2228" s="8"/>
      <c r="S2228" s="8"/>
      <c r="U2228" s="6"/>
      <c r="V2228" s="6"/>
      <c r="W2228" s="6"/>
      <c r="X2228" s="6"/>
      <c r="Y2228" s="6"/>
      <c r="Z2228" s="6"/>
    </row>
    <row r="2229" spans="14:26" ht="31.4" customHeight="1" x14ac:dyDescent="0.35">
      <c r="N2229" s="20"/>
      <c r="P2229" s="8"/>
      <c r="Q2229" s="8"/>
      <c r="R2229" s="8"/>
      <c r="S2229" s="8"/>
      <c r="U2229" s="6"/>
      <c r="V2229" s="6"/>
      <c r="W2229" s="6"/>
      <c r="X2229" s="6"/>
      <c r="Y2229" s="6"/>
      <c r="Z2229" s="6"/>
    </row>
    <row r="2230" spans="14:26" ht="31.4" customHeight="1" x14ac:dyDescent="0.35">
      <c r="N2230" s="20"/>
      <c r="P2230" s="8"/>
      <c r="Q2230" s="8"/>
      <c r="R2230" s="8"/>
      <c r="S2230" s="8"/>
      <c r="U2230" s="6"/>
      <c r="V2230" s="6"/>
      <c r="W2230" s="6"/>
      <c r="X2230" s="6"/>
      <c r="Y2230" s="6"/>
      <c r="Z2230" s="6"/>
    </row>
    <row r="2231" spans="14:26" ht="31.4" customHeight="1" x14ac:dyDescent="0.35">
      <c r="N2231" s="20"/>
      <c r="P2231" s="8"/>
      <c r="Q2231" s="8"/>
      <c r="R2231" s="8"/>
      <c r="S2231" s="8"/>
      <c r="U2231" s="6"/>
      <c r="V2231" s="6"/>
      <c r="W2231" s="6"/>
      <c r="X2231" s="6"/>
      <c r="Y2231" s="6"/>
      <c r="Z2231" s="6"/>
    </row>
    <row r="2232" spans="14:26" ht="31.4" customHeight="1" x14ac:dyDescent="0.35">
      <c r="N2232" s="20"/>
      <c r="P2232" s="8"/>
      <c r="Q2232" s="8"/>
      <c r="R2232" s="8"/>
      <c r="S2232" s="8"/>
      <c r="U2232" s="6"/>
      <c r="V2232" s="6"/>
      <c r="W2232" s="6"/>
      <c r="X2232" s="6"/>
      <c r="Y2232" s="6"/>
      <c r="Z2232" s="6"/>
    </row>
    <row r="2233" spans="14:26" ht="31.4" customHeight="1" x14ac:dyDescent="0.35">
      <c r="N2233" s="20"/>
      <c r="P2233" s="8"/>
      <c r="Q2233" s="8"/>
      <c r="R2233" s="8"/>
      <c r="S2233" s="8"/>
      <c r="U2233" s="6"/>
      <c r="V2233" s="6"/>
      <c r="W2233" s="6"/>
      <c r="X2233" s="6"/>
      <c r="Y2233" s="6"/>
      <c r="Z2233" s="6"/>
    </row>
    <row r="2234" spans="14:26" ht="31.4" customHeight="1" x14ac:dyDescent="0.35">
      <c r="N2234" s="20"/>
      <c r="P2234" s="8"/>
      <c r="Q2234" s="8"/>
      <c r="R2234" s="8"/>
      <c r="S2234" s="8"/>
      <c r="U2234" s="6"/>
      <c r="V2234" s="6"/>
      <c r="W2234" s="6"/>
      <c r="X2234" s="6"/>
      <c r="Y2234" s="6"/>
      <c r="Z2234" s="6"/>
    </row>
    <row r="2235" spans="14:26" ht="31.4" customHeight="1" x14ac:dyDescent="0.35">
      <c r="N2235" s="20"/>
      <c r="P2235" s="8"/>
      <c r="Q2235" s="8"/>
      <c r="R2235" s="8"/>
      <c r="S2235" s="8"/>
      <c r="U2235" s="6"/>
      <c r="V2235" s="6"/>
      <c r="W2235" s="6"/>
      <c r="X2235" s="6"/>
      <c r="Y2235" s="6"/>
      <c r="Z2235" s="6"/>
    </row>
    <row r="2236" spans="14:26" ht="31.4" customHeight="1" x14ac:dyDescent="0.35">
      <c r="N2236" s="20"/>
      <c r="P2236" s="8"/>
      <c r="Q2236" s="8"/>
      <c r="R2236" s="8"/>
      <c r="S2236" s="8"/>
      <c r="U2236" s="6"/>
      <c r="V2236" s="6"/>
      <c r="W2236" s="6"/>
      <c r="X2236" s="6"/>
      <c r="Y2236" s="6"/>
      <c r="Z2236" s="6"/>
    </row>
    <row r="2237" spans="14:26" ht="31.4" customHeight="1" x14ac:dyDescent="0.35">
      <c r="N2237" s="20"/>
      <c r="P2237" s="8"/>
      <c r="Q2237" s="8"/>
      <c r="R2237" s="8"/>
      <c r="S2237" s="8"/>
      <c r="U2237" s="6"/>
      <c r="V2237" s="6"/>
      <c r="W2237" s="6"/>
      <c r="X2237" s="6"/>
      <c r="Y2237" s="6"/>
      <c r="Z2237" s="6"/>
    </row>
    <row r="2238" spans="14:26" ht="31.4" customHeight="1" x14ac:dyDescent="0.35">
      <c r="N2238" s="20"/>
      <c r="P2238" s="8"/>
      <c r="Q2238" s="8"/>
      <c r="R2238" s="8"/>
      <c r="S2238" s="8"/>
      <c r="U2238" s="6"/>
      <c r="V2238" s="6"/>
      <c r="W2238" s="6"/>
      <c r="X2238" s="6"/>
      <c r="Y2238" s="6"/>
      <c r="Z2238" s="6"/>
    </row>
    <row r="2239" spans="14:26" ht="31.4" customHeight="1" x14ac:dyDescent="0.35">
      <c r="N2239" s="20"/>
      <c r="P2239" s="8"/>
      <c r="Q2239" s="8"/>
      <c r="R2239" s="8"/>
      <c r="S2239" s="8"/>
      <c r="U2239" s="6"/>
      <c r="V2239" s="6"/>
      <c r="W2239" s="6"/>
      <c r="X2239" s="6"/>
      <c r="Y2239" s="6"/>
      <c r="Z2239" s="6"/>
    </row>
    <row r="2240" spans="14:26" ht="31.4" customHeight="1" x14ac:dyDescent="0.35">
      <c r="N2240" s="20"/>
      <c r="P2240" s="8"/>
      <c r="Q2240" s="8"/>
      <c r="R2240" s="8"/>
      <c r="S2240" s="8"/>
      <c r="U2240" s="6"/>
      <c r="V2240" s="6"/>
      <c r="W2240" s="6"/>
      <c r="X2240" s="6"/>
      <c r="Y2240" s="6"/>
      <c r="Z2240" s="6"/>
    </row>
    <row r="2241" spans="14:26" ht="31.4" customHeight="1" x14ac:dyDescent="0.35">
      <c r="N2241" s="20"/>
      <c r="P2241" s="8"/>
      <c r="Q2241" s="8"/>
      <c r="R2241" s="8"/>
      <c r="S2241" s="8"/>
      <c r="U2241" s="6"/>
      <c r="V2241" s="6"/>
      <c r="W2241" s="6"/>
      <c r="X2241" s="6"/>
      <c r="Y2241" s="6"/>
      <c r="Z2241" s="6"/>
    </row>
    <row r="2242" spans="14:26" ht="31.4" customHeight="1" x14ac:dyDescent="0.35">
      <c r="N2242" s="20"/>
      <c r="P2242" s="8"/>
      <c r="Q2242" s="8"/>
      <c r="R2242" s="8"/>
      <c r="S2242" s="8"/>
      <c r="U2242" s="6"/>
      <c r="V2242" s="6"/>
      <c r="W2242" s="6"/>
      <c r="X2242" s="6"/>
      <c r="Y2242" s="6"/>
      <c r="Z2242" s="6"/>
    </row>
    <row r="2243" spans="14:26" ht="31.4" customHeight="1" x14ac:dyDescent="0.35">
      <c r="N2243" s="20"/>
      <c r="P2243" s="8"/>
      <c r="Q2243" s="8"/>
      <c r="R2243" s="8"/>
      <c r="S2243" s="8"/>
      <c r="U2243" s="6"/>
      <c r="V2243" s="6"/>
      <c r="W2243" s="6"/>
      <c r="X2243" s="6"/>
      <c r="Y2243" s="6"/>
      <c r="Z2243" s="6"/>
    </row>
    <row r="2244" spans="14:26" ht="31.4" customHeight="1" x14ac:dyDescent="0.35">
      <c r="N2244" s="20"/>
      <c r="P2244" s="8"/>
      <c r="Q2244" s="8"/>
      <c r="R2244" s="8"/>
      <c r="S2244" s="8"/>
      <c r="U2244" s="6"/>
      <c r="V2244" s="6"/>
      <c r="W2244" s="6"/>
      <c r="X2244" s="6"/>
      <c r="Y2244" s="6"/>
      <c r="Z2244" s="6"/>
    </row>
    <row r="2245" spans="14:26" ht="31.4" customHeight="1" x14ac:dyDescent="0.35">
      <c r="N2245" s="20"/>
      <c r="P2245" s="8"/>
      <c r="Q2245" s="8"/>
      <c r="R2245" s="8"/>
      <c r="S2245" s="8"/>
      <c r="U2245" s="6"/>
      <c r="V2245" s="6"/>
      <c r="W2245" s="6"/>
      <c r="X2245" s="6"/>
      <c r="Y2245" s="6"/>
      <c r="Z2245" s="6"/>
    </row>
    <row r="2246" spans="14:26" ht="31.4" customHeight="1" x14ac:dyDescent="0.35">
      <c r="N2246" s="20"/>
      <c r="P2246" s="8"/>
      <c r="Q2246" s="8"/>
      <c r="R2246" s="8"/>
      <c r="S2246" s="8"/>
      <c r="U2246" s="6"/>
      <c r="V2246" s="6"/>
      <c r="W2246" s="6"/>
      <c r="X2246" s="6"/>
      <c r="Y2246" s="6"/>
      <c r="Z2246" s="6"/>
    </row>
    <row r="2247" spans="14:26" ht="31.4" customHeight="1" x14ac:dyDescent="0.35">
      <c r="N2247" s="20"/>
      <c r="P2247" s="8"/>
      <c r="Q2247" s="8"/>
      <c r="R2247" s="8"/>
      <c r="S2247" s="8"/>
      <c r="U2247" s="6"/>
      <c r="V2247" s="6"/>
      <c r="W2247" s="6"/>
      <c r="X2247" s="6"/>
      <c r="Y2247" s="6"/>
      <c r="Z2247" s="6"/>
    </row>
    <row r="2248" spans="14:26" ht="31.4" customHeight="1" x14ac:dyDescent="0.35">
      <c r="N2248" s="20"/>
      <c r="P2248" s="8"/>
      <c r="Q2248" s="8"/>
      <c r="R2248" s="8"/>
      <c r="S2248" s="8"/>
      <c r="U2248" s="6"/>
      <c r="V2248" s="6"/>
      <c r="W2248" s="6"/>
      <c r="X2248" s="6"/>
      <c r="Y2248" s="6"/>
      <c r="Z2248" s="6"/>
    </row>
    <row r="2249" spans="14:26" ht="31.4" customHeight="1" x14ac:dyDescent="0.35">
      <c r="N2249" s="20"/>
      <c r="P2249" s="8"/>
      <c r="Q2249" s="8"/>
      <c r="R2249" s="8"/>
      <c r="S2249" s="8"/>
      <c r="U2249" s="6"/>
      <c r="V2249" s="6"/>
      <c r="W2249" s="6"/>
      <c r="X2249" s="6"/>
      <c r="Y2249" s="6"/>
      <c r="Z2249" s="6"/>
    </row>
    <row r="2250" spans="14:26" ht="31.4" customHeight="1" x14ac:dyDescent="0.35">
      <c r="N2250" s="20"/>
      <c r="P2250" s="8"/>
      <c r="Q2250" s="8"/>
      <c r="R2250" s="8"/>
      <c r="S2250" s="8"/>
      <c r="U2250" s="6"/>
      <c r="V2250" s="6"/>
      <c r="W2250" s="6"/>
      <c r="X2250" s="6"/>
      <c r="Y2250" s="6"/>
      <c r="Z2250" s="6"/>
    </row>
    <row r="2251" spans="14:26" ht="31.4" customHeight="1" x14ac:dyDescent="0.35">
      <c r="N2251" s="20"/>
      <c r="P2251" s="8"/>
      <c r="Q2251" s="8"/>
      <c r="R2251" s="8"/>
      <c r="S2251" s="8"/>
      <c r="U2251" s="6"/>
      <c r="V2251" s="6"/>
      <c r="W2251" s="6"/>
      <c r="X2251" s="6"/>
      <c r="Y2251" s="6"/>
      <c r="Z2251" s="6"/>
    </row>
    <row r="2252" spans="14:26" ht="31.4" customHeight="1" x14ac:dyDescent="0.35">
      <c r="N2252" s="20"/>
      <c r="P2252" s="8"/>
      <c r="Q2252" s="8"/>
      <c r="R2252" s="8"/>
      <c r="S2252" s="8"/>
      <c r="U2252" s="6"/>
      <c r="V2252" s="6"/>
      <c r="W2252" s="6"/>
      <c r="X2252" s="6"/>
      <c r="Y2252" s="6"/>
      <c r="Z2252" s="6"/>
    </row>
    <row r="2253" spans="14:26" ht="31.4" customHeight="1" x14ac:dyDescent="0.35">
      <c r="N2253" s="20"/>
      <c r="P2253" s="8"/>
      <c r="Q2253" s="8"/>
      <c r="R2253" s="8"/>
      <c r="S2253" s="8"/>
      <c r="U2253" s="6"/>
      <c r="V2253" s="6"/>
      <c r="W2253" s="6"/>
      <c r="X2253" s="6"/>
      <c r="Y2253" s="6"/>
      <c r="Z2253" s="6"/>
    </row>
    <row r="2254" spans="14:26" ht="31.4" customHeight="1" x14ac:dyDescent="0.35">
      <c r="N2254" s="20"/>
      <c r="P2254" s="8"/>
      <c r="Q2254" s="8"/>
      <c r="R2254" s="8"/>
      <c r="S2254" s="8"/>
      <c r="U2254" s="6"/>
      <c r="V2254" s="6"/>
      <c r="W2254" s="6"/>
      <c r="X2254" s="6"/>
      <c r="Y2254" s="6"/>
      <c r="Z2254" s="6"/>
    </row>
    <row r="2255" spans="14:26" ht="31.4" customHeight="1" x14ac:dyDescent="0.35">
      <c r="N2255" s="20"/>
      <c r="P2255" s="8"/>
      <c r="Q2255" s="8"/>
      <c r="R2255" s="8"/>
      <c r="S2255" s="8"/>
      <c r="U2255" s="6"/>
      <c r="V2255" s="6"/>
      <c r="W2255" s="6"/>
      <c r="X2255" s="6"/>
      <c r="Y2255" s="6"/>
      <c r="Z2255" s="6"/>
    </row>
    <row r="2256" spans="14:26" ht="31.4" customHeight="1" x14ac:dyDescent="0.35">
      <c r="N2256" s="20"/>
      <c r="P2256" s="8"/>
      <c r="Q2256" s="8"/>
      <c r="R2256" s="8"/>
      <c r="S2256" s="8"/>
      <c r="U2256" s="6"/>
      <c r="V2256" s="6"/>
      <c r="W2256" s="6"/>
      <c r="X2256" s="6"/>
      <c r="Y2256" s="6"/>
      <c r="Z2256" s="6"/>
    </row>
    <row r="2257" spans="14:26" ht="31.4" customHeight="1" x14ac:dyDescent="0.35">
      <c r="N2257" s="20"/>
      <c r="P2257" s="8"/>
      <c r="Q2257" s="8"/>
      <c r="R2257" s="8"/>
      <c r="S2257" s="8"/>
      <c r="U2257" s="6"/>
      <c r="V2257" s="6"/>
      <c r="W2257" s="6"/>
      <c r="X2257" s="6"/>
      <c r="Y2257" s="6"/>
      <c r="Z2257" s="6"/>
    </row>
    <row r="2258" spans="14:26" ht="31.4" customHeight="1" x14ac:dyDescent="0.35">
      <c r="N2258" s="20"/>
      <c r="P2258" s="8"/>
      <c r="Q2258" s="8"/>
      <c r="R2258" s="8"/>
      <c r="S2258" s="8"/>
      <c r="U2258" s="6"/>
      <c r="V2258" s="6"/>
      <c r="W2258" s="6"/>
      <c r="X2258" s="6"/>
      <c r="Y2258" s="6"/>
      <c r="Z2258" s="6"/>
    </row>
    <row r="2259" spans="14:26" ht="31.4" customHeight="1" x14ac:dyDescent="0.35">
      <c r="N2259" s="20"/>
      <c r="P2259" s="8"/>
      <c r="Q2259" s="8"/>
      <c r="R2259" s="8"/>
      <c r="S2259" s="8"/>
      <c r="U2259" s="6"/>
      <c r="V2259" s="6"/>
      <c r="W2259" s="6"/>
      <c r="X2259" s="6"/>
      <c r="Y2259" s="6"/>
      <c r="Z2259" s="6"/>
    </row>
    <row r="2260" spans="14:26" ht="31.4" customHeight="1" x14ac:dyDescent="0.35">
      <c r="N2260" s="20"/>
      <c r="P2260" s="8"/>
      <c r="Q2260" s="8"/>
      <c r="R2260" s="8"/>
      <c r="S2260" s="8"/>
      <c r="U2260" s="6"/>
      <c r="V2260" s="6"/>
      <c r="W2260" s="6"/>
      <c r="X2260" s="6"/>
      <c r="Y2260" s="6"/>
      <c r="Z2260" s="6"/>
    </row>
    <row r="2261" spans="14:26" ht="31.4" customHeight="1" x14ac:dyDescent="0.35">
      <c r="N2261" s="20"/>
      <c r="P2261" s="8"/>
      <c r="Q2261" s="8"/>
      <c r="R2261" s="8"/>
      <c r="S2261" s="8"/>
      <c r="U2261" s="6"/>
      <c r="V2261" s="6"/>
      <c r="W2261" s="6"/>
      <c r="X2261" s="6"/>
      <c r="Y2261" s="6"/>
      <c r="Z2261" s="6"/>
    </row>
    <row r="2262" spans="14:26" ht="31.4" customHeight="1" x14ac:dyDescent="0.35">
      <c r="N2262" s="20"/>
      <c r="P2262" s="8"/>
      <c r="Q2262" s="8"/>
      <c r="R2262" s="8"/>
      <c r="S2262" s="8"/>
      <c r="U2262" s="6"/>
      <c r="V2262" s="6"/>
      <c r="W2262" s="6"/>
      <c r="X2262" s="6"/>
      <c r="Y2262" s="6"/>
      <c r="Z2262" s="6"/>
    </row>
    <row r="2263" spans="14:26" ht="31.4" customHeight="1" x14ac:dyDescent="0.35">
      <c r="N2263" s="20"/>
      <c r="P2263" s="8"/>
      <c r="Q2263" s="8"/>
      <c r="R2263" s="8"/>
      <c r="S2263" s="8"/>
      <c r="U2263" s="6"/>
      <c r="V2263" s="6"/>
      <c r="W2263" s="6"/>
      <c r="X2263" s="6"/>
      <c r="Y2263" s="6"/>
      <c r="Z2263" s="6"/>
    </row>
    <row r="2264" spans="14:26" ht="31.4" customHeight="1" x14ac:dyDescent="0.35">
      <c r="N2264" s="20"/>
      <c r="P2264" s="8"/>
      <c r="Q2264" s="8"/>
      <c r="R2264" s="8"/>
      <c r="S2264" s="8"/>
      <c r="U2264" s="6"/>
      <c r="V2264" s="6"/>
      <c r="W2264" s="6"/>
      <c r="X2264" s="6"/>
      <c r="Y2264" s="6"/>
      <c r="Z2264" s="6"/>
    </row>
    <row r="2265" spans="14:26" ht="31.4" customHeight="1" x14ac:dyDescent="0.35">
      <c r="N2265" s="20"/>
      <c r="P2265" s="8"/>
      <c r="Q2265" s="8"/>
      <c r="R2265" s="8"/>
      <c r="S2265" s="8"/>
      <c r="U2265" s="6"/>
      <c r="V2265" s="6"/>
      <c r="W2265" s="6"/>
      <c r="X2265" s="6"/>
      <c r="Y2265" s="6"/>
      <c r="Z2265" s="6"/>
    </row>
    <row r="2266" spans="14:26" ht="31.4" customHeight="1" x14ac:dyDescent="0.35">
      <c r="N2266" s="20"/>
      <c r="P2266" s="8"/>
      <c r="Q2266" s="8"/>
      <c r="R2266" s="8"/>
      <c r="S2266" s="8"/>
      <c r="U2266" s="6"/>
      <c r="V2266" s="6"/>
      <c r="W2266" s="6"/>
      <c r="X2266" s="6"/>
      <c r="Y2266" s="6"/>
      <c r="Z2266" s="6"/>
    </row>
    <row r="2267" spans="14:26" ht="31.4" customHeight="1" x14ac:dyDescent="0.35">
      <c r="N2267" s="20"/>
      <c r="P2267" s="8"/>
      <c r="Q2267" s="8"/>
      <c r="R2267" s="8"/>
      <c r="S2267" s="8"/>
      <c r="U2267" s="6"/>
      <c r="V2267" s="6"/>
      <c r="W2267" s="6"/>
      <c r="X2267" s="6"/>
      <c r="Y2267" s="6"/>
      <c r="Z2267" s="6"/>
    </row>
    <row r="2268" spans="14:26" ht="31.4" customHeight="1" x14ac:dyDescent="0.35">
      <c r="N2268" s="20"/>
      <c r="P2268" s="8"/>
      <c r="Q2268" s="8"/>
      <c r="R2268" s="8"/>
      <c r="S2268" s="8"/>
      <c r="U2268" s="6"/>
      <c r="V2268" s="6"/>
      <c r="W2268" s="6"/>
      <c r="X2268" s="6"/>
      <c r="Y2268" s="6"/>
      <c r="Z2268" s="6"/>
    </row>
    <row r="2269" spans="14:26" ht="31.4" customHeight="1" x14ac:dyDescent="0.35">
      <c r="N2269" s="20"/>
      <c r="P2269" s="8"/>
      <c r="Q2269" s="8"/>
      <c r="R2269" s="8"/>
      <c r="S2269" s="8"/>
      <c r="U2269" s="6"/>
      <c r="V2269" s="6"/>
      <c r="W2269" s="6"/>
      <c r="X2269" s="6"/>
      <c r="Y2269" s="6"/>
      <c r="Z2269" s="6"/>
    </row>
    <row r="2270" spans="14:26" ht="31.4" customHeight="1" x14ac:dyDescent="0.35">
      <c r="N2270" s="20"/>
      <c r="P2270" s="8"/>
      <c r="Q2270" s="8"/>
      <c r="R2270" s="8"/>
      <c r="S2270" s="8"/>
      <c r="U2270" s="6"/>
      <c r="V2270" s="6"/>
      <c r="W2270" s="6"/>
      <c r="X2270" s="6"/>
      <c r="Y2270" s="6"/>
      <c r="Z2270" s="6"/>
    </row>
    <row r="2271" spans="14:26" ht="31.4" customHeight="1" x14ac:dyDescent="0.35">
      <c r="N2271" s="20"/>
      <c r="P2271" s="8"/>
      <c r="Q2271" s="8"/>
      <c r="R2271" s="8"/>
      <c r="S2271" s="8"/>
      <c r="U2271" s="6"/>
      <c r="V2271" s="6"/>
      <c r="W2271" s="6"/>
      <c r="X2271" s="6"/>
      <c r="Y2271" s="6"/>
      <c r="Z2271" s="6"/>
    </row>
    <row r="2272" spans="14:26" ht="31.4" customHeight="1" x14ac:dyDescent="0.35">
      <c r="N2272" s="20"/>
      <c r="P2272" s="8"/>
      <c r="Q2272" s="8"/>
      <c r="R2272" s="8"/>
      <c r="S2272" s="8"/>
      <c r="U2272" s="6"/>
      <c r="V2272" s="6"/>
      <c r="W2272" s="6"/>
      <c r="X2272" s="6"/>
      <c r="Y2272" s="6"/>
      <c r="Z2272" s="6"/>
    </row>
    <row r="2273" spans="14:26" ht="31.4" customHeight="1" x14ac:dyDescent="0.35">
      <c r="N2273" s="20"/>
      <c r="P2273" s="8"/>
      <c r="Q2273" s="8"/>
      <c r="R2273" s="8"/>
      <c r="S2273" s="8"/>
      <c r="U2273" s="6"/>
      <c r="V2273" s="6"/>
      <c r="W2273" s="6"/>
      <c r="X2273" s="6"/>
      <c r="Y2273" s="6"/>
      <c r="Z2273" s="6"/>
    </row>
    <row r="2274" spans="14:26" ht="31.4" customHeight="1" x14ac:dyDescent="0.35">
      <c r="N2274" s="20"/>
      <c r="P2274" s="8"/>
      <c r="Q2274" s="8"/>
      <c r="R2274" s="8"/>
      <c r="S2274" s="8"/>
      <c r="U2274" s="6"/>
      <c r="V2274" s="6"/>
      <c r="W2274" s="6"/>
      <c r="X2274" s="6"/>
      <c r="Y2274" s="6"/>
      <c r="Z2274" s="6"/>
    </row>
    <row r="2275" spans="14:26" ht="31.4" customHeight="1" x14ac:dyDescent="0.35">
      <c r="N2275" s="20"/>
      <c r="P2275" s="8"/>
      <c r="Q2275" s="8"/>
      <c r="R2275" s="8"/>
      <c r="S2275" s="8"/>
      <c r="U2275" s="6"/>
      <c r="V2275" s="6"/>
      <c r="W2275" s="6"/>
      <c r="X2275" s="6"/>
      <c r="Y2275" s="6"/>
      <c r="Z2275" s="6"/>
    </row>
    <row r="2276" spans="14:26" ht="31.4" customHeight="1" x14ac:dyDescent="0.35">
      <c r="N2276" s="20"/>
      <c r="P2276" s="8"/>
      <c r="Q2276" s="8"/>
      <c r="R2276" s="8"/>
      <c r="S2276" s="8"/>
      <c r="U2276" s="6"/>
      <c r="V2276" s="6"/>
      <c r="W2276" s="6"/>
      <c r="X2276" s="6"/>
      <c r="Y2276" s="6"/>
      <c r="Z2276" s="6"/>
    </row>
    <row r="2277" spans="14:26" ht="31.4" customHeight="1" x14ac:dyDescent="0.35">
      <c r="N2277" s="20"/>
      <c r="P2277" s="8"/>
      <c r="Q2277" s="8"/>
      <c r="R2277" s="8"/>
      <c r="S2277" s="8"/>
      <c r="U2277" s="6"/>
      <c r="V2277" s="6"/>
      <c r="W2277" s="6"/>
      <c r="X2277" s="6"/>
      <c r="Y2277" s="6"/>
      <c r="Z2277" s="6"/>
    </row>
    <row r="2278" spans="14:26" ht="31.4" customHeight="1" x14ac:dyDescent="0.35">
      <c r="N2278" s="20"/>
      <c r="P2278" s="8"/>
      <c r="Q2278" s="8"/>
      <c r="R2278" s="8"/>
      <c r="S2278" s="8"/>
      <c r="U2278" s="6"/>
      <c r="V2278" s="6"/>
      <c r="W2278" s="6"/>
      <c r="X2278" s="6"/>
      <c r="Y2278" s="6"/>
      <c r="Z2278" s="6"/>
    </row>
    <row r="2279" spans="14:26" ht="31.4" customHeight="1" x14ac:dyDescent="0.35">
      <c r="N2279" s="20"/>
      <c r="P2279" s="8"/>
      <c r="Q2279" s="8"/>
      <c r="R2279" s="8"/>
      <c r="S2279" s="8"/>
      <c r="U2279" s="6"/>
      <c r="V2279" s="6"/>
      <c r="W2279" s="6"/>
      <c r="X2279" s="6"/>
      <c r="Y2279" s="6"/>
      <c r="Z2279" s="6"/>
    </row>
    <row r="2280" spans="14:26" ht="31.4" customHeight="1" x14ac:dyDescent="0.35">
      <c r="N2280" s="20"/>
      <c r="P2280" s="8"/>
      <c r="Q2280" s="8"/>
      <c r="R2280" s="8"/>
      <c r="S2280" s="8"/>
      <c r="U2280" s="6"/>
      <c r="V2280" s="6"/>
      <c r="W2280" s="6"/>
      <c r="X2280" s="6"/>
      <c r="Y2280" s="6"/>
      <c r="Z2280" s="6"/>
    </row>
    <row r="2281" spans="14:26" ht="31.4" customHeight="1" x14ac:dyDescent="0.35">
      <c r="N2281" s="20"/>
      <c r="P2281" s="8"/>
      <c r="Q2281" s="8"/>
      <c r="R2281" s="8"/>
      <c r="S2281" s="8"/>
      <c r="U2281" s="6"/>
      <c r="V2281" s="6"/>
      <c r="W2281" s="6"/>
      <c r="X2281" s="6"/>
      <c r="Y2281" s="6"/>
      <c r="Z2281" s="6"/>
    </row>
    <row r="2282" spans="14:26" ht="31.4" customHeight="1" x14ac:dyDescent="0.35">
      <c r="N2282" s="20"/>
      <c r="P2282" s="8"/>
      <c r="Q2282" s="8"/>
      <c r="R2282" s="8"/>
      <c r="S2282" s="8"/>
      <c r="U2282" s="6"/>
      <c r="V2282" s="6"/>
      <c r="W2282" s="6"/>
      <c r="X2282" s="6"/>
      <c r="Y2282" s="6"/>
      <c r="Z2282" s="6"/>
    </row>
    <row r="2283" spans="14:26" ht="31.4" customHeight="1" x14ac:dyDescent="0.35">
      <c r="N2283" s="20"/>
      <c r="P2283" s="8"/>
      <c r="Q2283" s="8"/>
      <c r="R2283" s="8"/>
      <c r="S2283" s="8"/>
      <c r="U2283" s="6"/>
      <c r="V2283" s="6"/>
      <c r="W2283" s="6"/>
      <c r="X2283" s="6"/>
      <c r="Y2283" s="6"/>
      <c r="Z2283" s="6"/>
    </row>
    <row r="2284" spans="14:26" ht="31.4" customHeight="1" x14ac:dyDescent="0.35">
      <c r="N2284" s="20"/>
      <c r="P2284" s="8"/>
      <c r="Q2284" s="8"/>
      <c r="R2284" s="8"/>
      <c r="S2284" s="8"/>
      <c r="U2284" s="6"/>
      <c r="V2284" s="6"/>
      <c r="W2284" s="6"/>
      <c r="X2284" s="6"/>
      <c r="Y2284" s="6"/>
      <c r="Z2284" s="6"/>
    </row>
    <row r="2285" spans="14:26" ht="31.4" customHeight="1" x14ac:dyDescent="0.35">
      <c r="N2285" s="20"/>
      <c r="P2285" s="8"/>
      <c r="Q2285" s="8"/>
      <c r="R2285" s="8"/>
      <c r="S2285" s="8"/>
      <c r="U2285" s="6"/>
      <c r="V2285" s="6"/>
      <c r="W2285" s="6"/>
      <c r="X2285" s="6"/>
      <c r="Y2285" s="6"/>
      <c r="Z2285" s="6"/>
    </row>
    <row r="2286" spans="14:26" ht="31.4" customHeight="1" x14ac:dyDescent="0.35">
      <c r="N2286" s="20"/>
      <c r="P2286" s="8"/>
      <c r="Q2286" s="8"/>
      <c r="R2286" s="8"/>
      <c r="S2286" s="8"/>
      <c r="U2286" s="6"/>
      <c r="V2286" s="6"/>
      <c r="W2286" s="6"/>
      <c r="X2286" s="6"/>
      <c r="Y2286" s="6"/>
      <c r="Z2286" s="6"/>
    </row>
    <row r="2287" spans="14:26" ht="31.4" customHeight="1" x14ac:dyDescent="0.35">
      <c r="N2287" s="20"/>
      <c r="P2287" s="8"/>
      <c r="Q2287" s="8"/>
      <c r="R2287" s="8"/>
      <c r="S2287" s="8"/>
      <c r="U2287" s="6"/>
      <c r="V2287" s="6"/>
      <c r="W2287" s="6"/>
      <c r="X2287" s="6"/>
      <c r="Y2287" s="6"/>
      <c r="Z2287" s="6"/>
    </row>
    <row r="2288" spans="14:26" ht="31.4" customHeight="1" x14ac:dyDescent="0.35">
      <c r="N2288" s="20"/>
      <c r="P2288" s="8"/>
      <c r="Q2288" s="8"/>
      <c r="R2288" s="8"/>
      <c r="S2288" s="8"/>
      <c r="U2288" s="6"/>
      <c r="V2288" s="6"/>
      <c r="W2288" s="6"/>
      <c r="X2288" s="6"/>
      <c r="Y2288" s="6"/>
      <c r="Z2288" s="6"/>
    </row>
    <row r="2289" spans="14:26" ht="31.4" customHeight="1" x14ac:dyDescent="0.35">
      <c r="N2289" s="20"/>
      <c r="P2289" s="8"/>
      <c r="Q2289" s="8"/>
      <c r="R2289" s="8"/>
      <c r="S2289" s="8"/>
      <c r="U2289" s="6"/>
      <c r="V2289" s="6"/>
      <c r="W2289" s="6"/>
      <c r="X2289" s="6"/>
      <c r="Y2289" s="6"/>
      <c r="Z2289" s="6"/>
    </row>
    <row r="2290" spans="14:26" ht="31.4" customHeight="1" x14ac:dyDescent="0.35">
      <c r="N2290" s="20"/>
      <c r="P2290" s="8"/>
      <c r="Q2290" s="8"/>
      <c r="R2290" s="8"/>
      <c r="S2290" s="8"/>
      <c r="U2290" s="6"/>
      <c r="V2290" s="6"/>
      <c r="W2290" s="6"/>
      <c r="X2290" s="6"/>
      <c r="Y2290" s="6"/>
      <c r="Z2290" s="6"/>
    </row>
    <row r="2291" spans="14:26" ht="31.4" customHeight="1" x14ac:dyDescent="0.35">
      <c r="N2291" s="20"/>
      <c r="P2291" s="8"/>
      <c r="Q2291" s="8"/>
      <c r="R2291" s="8"/>
      <c r="S2291" s="8"/>
      <c r="U2291" s="6"/>
      <c r="V2291" s="6"/>
      <c r="W2291" s="6"/>
      <c r="X2291" s="6"/>
      <c r="Y2291" s="6"/>
      <c r="Z2291" s="6"/>
    </row>
    <row r="2292" spans="14:26" ht="31.4" customHeight="1" x14ac:dyDescent="0.35">
      <c r="N2292" s="20"/>
      <c r="P2292" s="8"/>
      <c r="Q2292" s="8"/>
      <c r="R2292" s="8"/>
      <c r="S2292" s="8"/>
      <c r="U2292" s="6"/>
      <c r="V2292" s="6"/>
      <c r="W2292" s="6"/>
      <c r="X2292" s="6"/>
      <c r="Y2292" s="6"/>
      <c r="Z2292" s="6"/>
    </row>
    <row r="2293" spans="14:26" ht="31.4" customHeight="1" x14ac:dyDescent="0.35">
      <c r="N2293" s="20"/>
      <c r="P2293" s="8"/>
      <c r="Q2293" s="8"/>
      <c r="R2293" s="8"/>
      <c r="S2293" s="8"/>
      <c r="U2293" s="6"/>
      <c r="V2293" s="6"/>
      <c r="W2293" s="6"/>
      <c r="X2293" s="6"/>
      <c r="Y2293" s="6"/>
      <c r="Z2293" s="6"/>
    </row>
    <row r="2294" spans="14:26" ht="31.4" customHeight="1" x14ac:dyDescent="0.35">
      <c r="N2294" s="20"/>
      <c r="P2294" s="8"/>
      <c r="Q2294" s="8"/>
      <c r="R2294" s="8"/>
      <c r="S2294" s="8"/>
      <c r="U2294" s="6"/>
      <c r="V2294" s="6"/>
      <c r="W2294" s="6"/>
      <c r="X2294" s="6"/>
      <c r="Y2294" s="6"/>
      <c r="Z2294" s="6"/>
    </row>
    <row r="2295" spans="14:26" ht="31.4" customHeight="1" x14ac:dyDescent="0.35">
      <c r="N2295" s="20"/>
      <c r="P2295" s="8"/>
      <c r="Q2295" s="8"/>
      <c r="R2295" s="8"/>
      <c r="S2295" s="8"/>
      <c r="U2295" s="6"/>
      <c r="V2295" s="6"/>
      <c r="W2295" s="6"/>
      <c r="X2295" s="6"/>
      <c r="Y2295" s="6"/>
      <c r="Z2295" s="6"/>
    </row>
    <row r="2296" spans="14:26" ht="31.4" customHeight="1" x14ac:dyDescent="0.35">
      <c r="N2296" s="20"/>
      <c r="P2296" s="8"/>
      <c r="Q2296" s="8"/>
      <c r="R2296" s="8"/>
      <c r="S2296" s="8"/>
      <c r="U2296" s="6"/>
      <c r="V2296" s="6"/>
      <c r="W2296" s="6"/>
      <c r="X2296" s="6"/>
      <c r="Y2296" s="6"/>
      <c r="Z2296" s="6"/>
    </row>
    <row r="2297" spans="14:26" ht="31.4" customHeight="1" x14ac:dyDescent="0.35">
      <c r="N2297" s="20"/>
      <c r="P2297" s="8"/>
      <c r="Q2297" s="8"/>
      <c r="R2297" s="8"/>
      <c r="S2297" s="8"/>
      <c r="U2297" s="6"/>
      <c r="V2297" s="6"/>
      <c r="W2297" s="6"/>
      <c r="X2297" s="6"/>
      <c r="Y2297" s="6"/>
      <c r="Z2297" s="6"/>
    </row>
    <row r="2298" spans="14:26" ht="31.4" customHeight="1" x14ac:dyDescent="0.35">
      <c r="N2298" s="20"/>
      <c r="P2298" s="8"/>
      <c r="Q2298" s="8"/>
      <c r="R2298" s="8"/>
      <c r="S2298" s="8"/>
      <c r="U2298" s="6"/>
      <c r="V2298" s="6"/>
      <c r="W2298" s="6"/>
      <c r="X2298" s="6"/>
      <c r="Y2298" s="6"/>
      <c r="Z2298" s="6"/>
    </row>
    <row r="2299" spans="14:26" ht="31.4" customHeight="1" x14ac:dyDescent="0.35">
      <c r="N2299" s="20"/>
      <c r="P2299" s="8"/>
      <c r="Q2299" s="8"/>
      <c r="R2299" s="8"/>
      <c r="S2299" s="8"/>
      <c r="U2299" s="6"/>
      <c r="V2299" s="6"/>
      <c r="W2299" s="6"/>
      <c r="X2299" s="6"/>
      <c r="Y2299" s="6"/>
      <c r="Z2299" s="6"/>
    </row>
    <row r="2300" spans="14:26" ht="31.4" customHeight="1" x14ac:dyDescent="0.35">
      <c r="N2300" s="20"/>
      <c r="P2300" s="8"/>
      <c r="Q2300" s="8"/>
      <c r="R2300" s="8"/>
      <c r="S2300" s="8"/>
      <c r="U2300" s="6"/>
      <c r="V2300" s="6"/>
      <c r="W2300" s="6"/>
      <c r="X2300" s="6"/>
      <c r="Y2300" s="6"/>
      <c r="Z2300" s="6"/>
    </row>
    <row r="2301" spans="14:26" ht="31.4" customHeight="1" x14ac:dyDescent="0.35">
      <c r="N2301" s="20"/>
      <c r="P2301" s="8"/>
      <c r="Q2301" s="8"/>
      <c r="R2301" s="8"/>
      <c r="S2301" s="8"/>
      <c r="U2301" s="6"/>
      <c r="V2301" s="6"/>
      <c r="W2301" s="6"/>
      <c r="X2301" s="6"/>
      <c r="Y2301" s="6"/>
      <c r="Z2301" s="6"/>
    </row>
    <row r="2302" spans="14:26" ht="31.4" customHeight="1" x14ac:dyDescent="0.35">
      <c r="N2302" s="20"/>
      <c r="P2302" s="8"/>
      <c r="Q2302" s="8"/>
      <c r="R2302" s="8"/>
      <c r="S2302" s="8"/>
      <c r="U2302" s="6"/>
      <c r="V2302" s="6"/>
      <c r="W2302" s="6"/>
      <c r="X2302" s="6"/>
      <c r="Y2302" s="6"/>
      <c r="Z2302" s="6"/>
    </row>
    <row r="2303" spans="14:26" ht="31.4" customHeight="1" x14ac:dyDescent="0.35">
      <c r="N2303" s="20"/>
      <c r="P2303" s="8"/>
      <c r="Q2303" s="8"/>
      <c r="R2303" s="8"/>
      <c r="S2303" s="8"/>
      <c r="U2303" s="6"/>
      <c r="V2303" s="6"/>
      <c r="W2303" s="6"/>
      <c r="X2303" s="6"/>
      <c r="Y2303" s="6"/>
      <c r="Z2303" s="6"/>
    </row>
    <row r="2304" spans="14:26" ht="31.4" customHeight="1" x14ac:dyDescent="0.35">
      <c r="N2304" s="20"/>
      <c r="P2304" s="8"/>
      <c r="Q2304" s="8"/>
      <c r="R2304" s="8"/>
      <c r="S2304" s="8"/>
      <c r="U2304" s="6"/>
      <c r="V2304" s="6"/>
      <c r="W2304" s="6"/>
      <c r="X2304" s="6"/>
      <c r="Y2304" s="6"/>
      <c r="Z2304" s="6"/>
    </row>
    <row r="2305" spans="14:26" ht="31.4" customHeight="1" x14ac:dyDescent="0.35">
      <c r="N2305" s="20"/>
      <c r="P2305" s="8"/>
      <c r="Q2305" s="8"/>
      <c r="R2305" s="8"/>
      <c r="S2305" s="8"/>
      <c r="U2305" s="6"/>
      <c r="V2305" s="6"/>
      <c r="W2305" s="6"/>
      <c r="X2305" s="6"/>
      <c r="Y2305" s="6"/>
      <c r="Z2305" s="6"/>
    </row>
    <row r="2306" spans="14:26" ht="31.4" customHeight="1" x14ac:dyDescent="0.35">
      <c r="N2306" s="20"/>
      <c r="P2306" s="8"/>
      <c r="Q2306" s="8"/>
      <c r="R2306" s="8"/>
      <c r="S2306" s="8"/>
      <c r="U2306" s="6"/>
      <c r="V2306" s="6"/>
      <c r="W2306" s="6"/>
      <c r="X2306" s="6"/>
      <c r="Y2306" s="6"/>
      <c r="Z2306" s="6"/>
    </row>
    <row r="2307" spans="14:26" ht="31.4" customHeight="1" x14ac:dyDescent="0.35">
      <c r="N2307" s="20"/>
      <c r="P2307" s="8"/>
      <c r="Q2307" s="8"/>
      <c r="R2307" s="8"/>
      <c r="S2307" s="8"/>
      <c r="U2307" s="6"/>
      <c r="V2307" s="6"/>
      <c r="W2307" s="6"/>
      <c r="X2307" s="6"/>
      <c r="Y2307" s="6"/>
      <c r="Z2307" s="6"/>
    </row>
    <row r="2308" spans="14:26" ht="31.4" customHeight="1" x14ac:dyDescent="0.35">
      <c r="N2308" s="20"/>
      <c r="P2308" s="8"/>
      <c r="Q2308" s="8"/>
      <c r="R2308" s="8"/>
      <c r="S2308" s="8"/>
      <c r="U2308" s="6"/>
      <c r="V2308" s="6"/>
      <c r="W2308" s="6"/>
      <c r="X2308" s="6"/>
      <c r="Y2308" s="6"/>
      <c r="Z2308" s="6"/>
    </row>
    <row r="2309" spans="14:26" ht="31.4" customHeight="1" x14ac:dyDescent="0.35">
      <c r="N2309" s="20"/>
      <c r="P2309" s="8"/>
      <c r="Q2309" s="8"/>
      <c r="R2309" s="8"/>
      <c r="S2309" s="8"/>
      <c r="U2309" s="6"/>
      <c r="V2309" s="6"/>
      <c r="W2309" s="6"/>
      <c r="X2309" s="6"/>
      <c r="Y2309" s="6"/>
      <c r="Z2309" s="6"/>
    </row>
    <row r="2310" spans="14:26" ht="31.4" customHeight="1" x14ac:dyDescent="0.35">
      <c r="N2310" s="20"/>
      <c r="P2310" s="8"/>
      <c r="Q2310" s="8"/>
      <c r="R2310" s="8"/>
      <c r="S2310" s="8"/>
      <c r="U2310" s="6"/>
      <c r="V2310" s="6"/>
      <c r="W2310" s="6"/>
      <c r="X2310" s="6"/>
      <c r="Y2310" s="6"/>
      <c r="Z2310" s="6"/>
    </row>
    <row r="2311" spans="14:26" ht="31.4" customHeight="1" x14ac:dyDescent="0.35">
      <c r="N2311" s="20"/>
      <c r="P2311" s="8"/>
      <c r="Q2311" s="8"/>
      <c r="R2311" s="8"/>
      <c r="S2311" s="8"/>
      <c r="U2311" s="6"/>
      <c r="V2311" s="6"/>
      <c r="W2311" s="6"/>
      <c r="X2311" s="6"/>
      <c r="Y2311" s="6"/>
      <c r="Z2311" s="6"/>
    </row>
    <row r="2312" spans="14:26" ht="31.4" customHeight="1" x14ac:dyDescent="0.35">
      <c r="N2312" s="20"/>
      <c r="P2312" s="8"/>
      <c r="Q2312" s="8"/>
      <c r="R2312" s="8"/>
      <c r="S2312" s="8"/>
      <c r="U2312" s="6"/>
      <c r="V2312" s="6"/>
      <c r="W2312" s="6"/>
      <c r="X2312" s="6"/>
      <c r="Y2312" s="6"/>
      <c r="Z2312" s="6"/>
    </row>
    <row r="2313" spans="14:26" ht="31.4" customHeight="1" x14ac:dyDescent="0.35">
      <c r="N2313" s="20"/>
      <c r="P2313" s="8"/>
      <c r="Q2313" s="8"/>
      <c r="R2313" s="8"/>
      <c r="S2313" s="8"/>
      <c r="U2313" s="6"/>
      <c r="V2313" s="6"/>
      <c r="W2313" s="6"/>
      <c r="X2313" s="6"/>
      <c r="Y2313" s="6"/>
      <c r="Z2313" s="6"/>
    </row>
    <row r="2314" spans="14:26" ht="31.4" customHeight="1" x14ac:dyDescent="0.35">
      <c r="N2314" s="20"/>
      <c r="P2314" s="8"/>
      <c r="Q2314" s="8"/>
      <c r="R2314" s="8"/>
      <c r="S2314" s="8"/>
      <c r="U2314" s="6"/>
      <c r="V2314" s="6"/>
      <c r="W2314" s="6"/>
      <c r="X2314" s="6"/>
      <c r="Y2314" s="6"/>
      <c r="Z2314" s="6"/>
    </row>
    <row r="2315" spans="14:26" ht="31.4" customHeight="1" x14ac:dyDescent="0.35">
      <c r="N2315" s="20"/>
      <c r="P2315" s="8"/>
      <c r="Q2315" s="8"/>
      <c r="R2315" s="8"/>
      <c r="S2315" s="8"/>
      <c r="U2315" s="6"/>
      <c r="V2315" s="6"/>
      <c r="W2315" s="6"/>
      <c r="X2315" s="6"/>
      <c r="Y2315" s="6"/>
      <c r="Z2315" s="6"/>
    </row>
    <row r="2316" spans="14:26" ht="31.4" customHeight="1" x14ac:dyDescent="0.35">
      <c r="N2316" s="20"/>
      <c r="P2316" s="8"/>
      <c r="Q2316" s="8"/>
      <c r="R2316" s="8"/>
      <c r="S2316" s="8"/>
      <c r="U2316" s="6"/>
      <c r="V2316" s="6"/>
      <c r="W2316" s="6"/>
      <c r="X2316" s="6"/>
      <c r="Y2316" s="6"/>
      <c r="Z2316" s="6"/>
    </row>
    <row r="2317" spans="14:26" ht="31.4" customHeight="1" x14ac:dyDescent="0.35">
      <c r="N2317" s="20"/>
      <c r="P2317" s="8"/>
      <c r="Q2317" s="8"/>
      <c r="R2317" s="8"/>
      <c r="S2317" s="8"/>
      <c r="U2317" s="6"/>
      <c r="V2317" s="6"/>
      <c r="W2317" s="6"/>
      <c r="X2317" s="6"/>
      <c r="Y2317" s="6"/>
      <c r="Z2317" s="6"/>
    </row>
    <row r="2318" spans="14:26" ht="31.4" customHeight="1" x14ac:dyDescent="0.35">
      <c r="N2318" s="20"/>
      <c r="P2318" s="8"/>
      <c r="Q2318" s="8"/>
      <c r="R2318" s="8"/>
      <c r="S2318" s="8"/>
      <c r="U2318" s="6"/>
      <c r="V2318" s="6"/>
      <c r="W2318" s="6"/>
      <c r="X2318" s="6"/>
      <c r="Y2318" s="6"/>
      <c r="Z2318" s="6"/>
    </row>
    <row r="2319" spans="14:26" ht="31.4" customHeight="1" x14ac:dyDescent="0.35">
      <c r="N2319" s="20"/>
      <c r="P2319" s="8"/>
      <c r="Q2319" s="8"/>
      <c r="R2319" s="8"/>
      <c r="S2319" s="8"/>
      <c r="U2319" s="6"/>
      <c r="V2319" s="6"/>
      <c r="W2319" s="6"/>
      <c r="X2319" s="6"/>
      <c r="Y2319" s="6"/>
      <c r="Z2319" s="6"/>
    </row>
    <row r="2320" spans="14:26" ht="31.4" customHeight="1" x14ac:dyDescent="0.35">
      <c r="N2320" s="20"/>
      <c r="P2320" s="8"/>
      <c r="Q2320" s="8"/>
      <c r="R2320" s="8"/>
      <c r="S2320" s="8"/>
      <c r="U2320" s="6"/>
      <c r="V2320" s="6"/>
      <c r="W2320" s="6"/>
      <c r="X2320" s="6"/>
      <c r="Y2320" s="6"/>
      <c r="Z2320" s="6"/>
    </row>
    <row r="2321" spans="14:26" ht="31.4" customHeight="1" x14ac:dyDescent="0.35">
      <c r="N2321" s="20"/>
      <c r="P2321" s="8"/>
      <c r="Q2321" s="8"/>
      <c r="R2321" s="8"/>
      <c r="S2321" s="8"/>
      <c r="U2321" s="6"/>
      <c r="V2321" s="6"/>
      <c r="W2321" s="6"/>
      <c r="X2321" s="6"/>
      <c r="Y2321" s="6"/>
      <c r="Z2321" s="6"/>
    </row>
    <row r="2322" spans="14:26" ht="31.4" customHeight="1" x14ac:dyDescent="0.35">
      <c r="N2322" s="20"/>
      <c r="P2322" s="8"/>
      <c r="Q2322" s="8"/>
      <c r="R2322" s="8"/>
      <c r="S2322" s="8"/>
      <c r="U2322" s="6"/>
      <c r="V2322" s="6"/>
      <c r="W2322" s="6"/>
      <c r="X2322" s="6"/>
      <c r="Y2322" s="6"/>
      <c r="Z2322" s="6"/>
    </row>
    <row r="2323" spans="14:26" ht="31.4" customHeight="1" x14ac:dyDescent="0.35">
      <c r="N2323" s="20"/>
      <c r="P2323" s="8"/>
      <c r="Q2323" s="8"/>
      <c r="R2323" s="8"/>
      <c r="S2323" s="8"/>
      <c r="U2323" s="6"/>
      <c r="V2323" s="6"/>
      <c r="W2323" s="6"/>
      <c r="X2323" s="6"/>
      <c r="Y2323" s="6"/>
      <c r="Z2323" s="6"/>
    </row>
    <row r="2324" spans="14:26" ht="31.4" customHeight="1" x14ac:dyDescent="0.35">
      <c r="N2324" s="20"/>
      <c r="P2324" s="8"/>
      <c r="Q2324" s="8"/>
      <c r="R2324" s="8"/>
      <c r="S2324" s="8"/>
      <c r="U2324" s="6"/>
      <c r="V2324" s="6"/>
      <c r="W2324" s="6"/>
      <c r="X2324" s="6"/>
      <c r="Y2324" s="6"/>
      <c r="Z2324" s="6"/>
    </row>
    <row r="2325" spans="14:26" ht="31.4" customHeight="1" x14ac:dyDescent="0.35">
      <c r="N2325" s="20"/>
      <c r="P2325" s="8"/>
      <c r="Q2325" s="8"/>
      <c r="R2325" s="8"/>
      <c r="S2325" s="8"/>
      <c r="U2325" s="6"/>
      <c r="V2325" s="6"/>
      <c r="W2325" s="6"/>
      <c r="X2325" s="6"/>
      <c r="Y2325" s="6"/>
      <c r="Z2325" s="6"/>
    </row>
    <row r="2326" spans="14:26" ht="31.4" customHeight="1" x14ac:dyDescent="0.35">
      <c r="N2326" s="20"/>
      <c r="P2326" s="8"/>
      <c r="Q2326" s="8"/>
      <c r="R2326" s="8"/>
      <c r="S2326" s="8"/>
      <c r="U2326" s="6"/>
      <c r="V2326" s="6"/>
      <c r="W2326" s="6"/>
      <c r="X2326" s="6"/>
      <c r="Y2326" s="6"/>
      <c r="Z2326" s="6"/>
    </row>
    <row r="2327" spans="14:26" ht="31.4" customHeight="1" x14ac:dyDescent="0.35">
      <c r="N2327" s="20"/>
      <c r="P2327" s="8"/>
      <c r="Q2327" s="8"/>
      <c r="R2327" s="8"/>
      <c r="S2327" s="8"/>
      <c r="U2327" s="6"/>
      <c r="V2327" s="6"/>
      <c r="W2327" s="6"/>
      <c r="X2327" s="6"/>
      <c r="Y2327" s="6"/>
      <c r="Z2327" s="6"/>
    </row>
    <row r="2328" spans="14:26" ht="31.4" customHeight="1" x14ac:dyDescent="0.35">
      <c r="N2328" s="20"/>
      <c r="P2328" s="8"/>
      <c r="Q2328" s="8"/>
      <c r="R2328" s="8"/>
      <c r="S2328" s="8"/>
      <c r="U2328" s="6"/>
      <c r="V2328" s="6"/>
      <c r="W2328" s="6"/>
      <c r="X2328" s="6"/>
      <c r="Y2328" s="6"/>
      <c r="Z2328" s="6"/>
    </row>
    <row r="2329" spans="14:26" ht="31.4" customHeight="1" x14ac:dyDescent="0.35">
      <c r="N2329" s="20"/>
      <c r="P2329" s="8"/>
      <c r="Q2329" s="8"/>
      <c r="R2329" s="8"/>
      <c r="S2329" s="8"/>
      <c r="U2329" s="6"/>
      <c r="V2329" s="6"/>
      <c r="W2329" s="6"/>
      <c r="X2329" s="6"/>
      <c r="Y2329" s="6"/>
      <c r="Z2329" s="6"/>
    </row>
    <row r="2330" spans="14:26" ht="31.4" customHeight="1" x14ac:dyDescent="0.35">
      <c r="N2330" s="20"/>
      <c r="P2330" s="8"/>
      <c r="Q2330" s="8"/>
      <c r="R2330" s="8"/>
      <c r="S2330" s="8"/>
      <c r="U2330" s="6"/>
      <c r="V2330" s="6"/>
      <c r="W2330" s="6"/>
      <c r="X2330" s="6"/>
      <c r="Y2330" s="6"/>
      <c r="Z2330" s="6"/>
    </row>
    <row r="2331" spans="14:26" ht="31.4" customHeight="1" x14ac:dyDescent="0.35">
      <c r="N2331" s="20"/>
      <c r="P2331" s="8"/>
      <c r="Q2331" s="8"/>
      <c r="R2331" s="8"/>
      <c r="S2331" s="8"/>
      <c r="U2331" s="6"/>
      <c r="V2331" s="6"/>
      <c r="W2331" s="6"/>
      <c r="X2331" s="6"/>
      <c r="Y2331" s="6"/>
      <c r="Z2331" s="6"/>
    </row>
    <row r="2332" spans="14:26" ht="31.4" customHeight="1" x14ac:dyDescent="0.35">
      <c r="N2332" s="20"/>
      <c r="P2332" s="8"/>
      <c r="Q2332" s="8"/>
      <c r="R2332" s="8"/>
      <c r="S2332" s="8"/>
      <c r="U2332" s="6"/>
      <c r="V2332" s="6"/>
      <c r="W2332" s="6"/>
      <c r="X2332" s="6"/>
      <c r="Y2332" s="6"/>
      <c r="Z2332" s="6"/>
    </row>
    <row r="2333" spans="14:26" ht="31.4" customHeight="1" x14ac:dyDescent="0.35">
      <c r="N2333" s="20"/>
      <c r="P2333" s="8"/>
      <c r="Q2333" s="8"/>
      <c r="R2333" s="8"/>
      <c r="S2333" s="8"/>
      <c r="U2333" s="6"/>
      <c r="V2333" s="6"/>
      <c r="W2333" s="6"/>
      <c r="X2333" s="6"/>
      <c r="Y2333" s="6"/>
      <c r="Z2333" s="6"/>
    </row>
    <row r="2334" spans="14:26" ht="31.4" customHeight="1" x14ac:dyDescent="0.35">
      <c r="N2334" s="20"/>
      <c r="P2334" s="8"/>
      <c r="Q2334" s="8"/>
      <c r="R2334" s="8"/>
      <c r="S2334" s="8"/>
      <c r="U2334" s="6"/>
      <c r="V2334" s="6"/>
      <c r="W2334" s="6"/>
      <c r="X2334" s="6"/>
      <c r="Y2334" s="6"/>
      <c r="Z2334" s="6"/>
    </row>
    <row r="2335" spans="14:26" ht="31.4" customHeight="1" x14ac:dyDescent="0.35">
      <c r="N2335" s="20"/>
      <c r="P2335" s="8"/>
      <c r="Q2335" s="8"/>
      <c r="R2335" s="8"/>
      <c r="S2335" s="8"/>
      <c r="U2335" s="6"/>
      <c r="V2335" s="6"/>
      <c r="W2335" s="6"/>
      <c r="X2335" s="6"/>
      <c r="Y2335" s="6"/>
      <c r="Z2335" s="6"/>
    </row>
    <row r="2336" spans="14:26" ht="31.4" customHeight="1" x14ac:dyDescent="0.35">
      <c r="N2336" s="20"/>
      <c r="P2336" s="8"/>
      <c r="Q2336" s="8"/>
      <c r="R2336" s="8"/>
      <c r="S2336" s="8"/>
      <c r="U2336" s="6"/>
      <c r="V2336" s="6"/>
      <c r="W2336" s="6"/>
      <c r="X2336" s="6"/>
      <c r="Y2336" s="6"/>
      <c r="Z2336" s="6"/>
    </row>
    <row r="2337" spans="14:26" ht="31.4" customHeight="1" x14ac:dyDescent="0.35">
      <c r="N2337" s="20"/>
      <c r="P2337" s="8"/>
      <c r="Q2337" s="8"/>
      <c r="R2337" s="8"/>
      <c r="S2337" s="8"/>
      <c r="U2337" s="6"/>
      <c r="V2337" s="6"/>
      <c r="W2337" s="6"/>
      <c r="X2337" s="6"/>
      <c r="Y2337" s="6"/>
      <c r="Z2337" s="6"/>
    </row>
    <row r="2338" spans="14:26" ht="31.4" customHeight="1" x14ac:dyDescent="0.35">
      <c r="N2338" s="20"/>
      <c r="P2338" s="8"/>
      <c r="Q2338" s="8"/>
      <c r="R2338" s="8"/>
      <c r="S2338" s="8"/>
      <c r="U2338" s="6"/>
      <c r="V2338" s="6"/>
      <c r="W2338" s="6"/>
      <c r="X2338" s="6"/>
      <c r="Y2338" s="6"/>
      <c r="Z2338" s="6"/>
    </row>
    <row r="2339" spans="14:26" ht="31.4" customHeight="1" x14ac:dyDescent="0.35">
      <c r="N2339" s="20"/>
      <c r="P2339" s="8"/>
      <c r="Q2339" s="8"/>
      <c r="R2339" s="8"/>
      <c r="S2339" s="8"/>
      <c r="U2339" s="6"/>
      <c r="V2339" s="6"/>
      <c r="W2339" s="6"/>
      <c r="X2339" s="6"/>
      <c r="Y2339" s="6"/>
      <c r="Z2339" s="6"/>
    </row>
    <row r="2340" spans="14:26" ht="31.4" customHeight="1" x14ac:dyDescent="0.35">
      <c r="N2340" s="20"/>
      <c r="P2340" s="8"/>
      <c r="Q2340" s="8"/>
      <c r="R2340" s="8"/>
      <c r="S2340" s="8"/>
      <c r="U2340" s="6"/>
      <c r="V2340" s="6"/>
      <c r="W2340" s="6"/>
      <c r="X2340" s="6"/>
      <c r="Y2340" s="6"/>
      <c r="Z2340" s="6"/>
    </row>
    <row r="2341" spans="14:26" ht="31.4" customHeight="1" x14ac:dyDescent="0.35">
      <c r="N2341" s="20"/>
      <c r="P2341" s="8"/>
      <c r="Q2341" s="8"/>
      <c r="R2341" s="8"/>
      <c r="S2341" s="8"/>
      <c r="U2341" s="6"/>
      <c r="V2341" s="6"/>
      <c r="W2341" s="6"/>
      <c r="X2341" s="6"/>
      <c r="Y2341" s="6"/>
      <c r="Z2341" s="6"/>
    </row>
    <row r="2342" spans="14:26" ht="31.4" customHeight="1" x14ac:dyDescent="0.35">
      <c r="N2342" s="20"/>
      <c r="P2342" s="8"/>
      <c r="Q2342" s="8"/>
      <c r="R2342" s="8"/>
      <c r="S2342" s="8"/>
      <c r="U2342" s="6"/>
      <c r="V2342" s="6"/>
      <c r="W2342" s="6"/>
      <c r="X2342" s="6"/>
      <c r="Y2342" s="6"/>
      <c r="Z2342" s="6"/>
    </row>
    <row r="2343" spans="14:26" ht="31.4" customHeight="1" x14ac:dyDescent="0.35">
      <c r="N2343" s="20"/>
      <c r="P2343" s="8"/>
      <c r="Q2343" s="8"/>
      <c r="R2343" s="8"/>
      <c r="S2343" s="8"/>
      <c r="U2343" s="6"/>
      <c r="V2343" s="6"/>
      <c r="W2343" s="6"/>
      <c r="X2343" s="6"/>
      <c r="Y2343" s="6"/>
      <c r="Z2343" s="6"/>
    </row>
    <row r="2344" spans="14:26" ht="31.4" customHeight="1" x14ac:dyDescent="0.35">
      <c r="N2344" s="20"/>
      <c r="P2344" s="8"/>
      <c r="Q2344" s="8"/>
      <c r="R2344" s="8"/>
      <c r="S2344" s="8"/>
      <c r="U2344" s="6"/>
      <c r="V2344" s="6"/>
      <c r="W2344" s="6"/>
      <c r="X2344" s="6"/>
      <c r="Y2344" s="6"/>
      <c r="Z2344" s="6"/>
    </row>
    <row r="2345" spans="14:26" ht="31.4" customHeight="1" x14ac:dyDescent="0.35">
      <c r="N2345" s="20"/>
      <c r="P2345" s="8"/>
      <c r="Q2345" s="8"/>
      <c r="R2345" s="8"/>
      <c r="S2345" s="8"/>
      <c r="U2345" s="6"/>
      <c r="V2345" s="6"/>
      <c r="W2345" s="6"/>
      <c r="X2345" s="6"/>
      <c r="Y2345" s="6"/>
      <c r="Z2345" s="6"/>
    </row>
    <row r="2346" spans="14:26" ht="31.4" customHeight="1" x14ac:dyDescent="0.35">
      <c r="N2346" s="20"/>
      <c r="P2346" s="8"/>
      <c r="Q2346" s="8"/>
      <c r="R2346" s="8"/>
      <c r="S2346" s="8"/>
      <c r="U2346" s="6"/>
      <c r="V2346" s="6"/>
      <c r="W2346" s="6"/>
      <c r="X2346" s="6"/>
      <c r="Y2346" s="6"/>
      <c r="Z2346" s="6"/>
    </row>
    <row r="2347" spans="14:26" ht="31.4" customHeight="1" x14ac:dyDescent="0.35">
      <c r="N2347" s="20"/>
      <c r="P2347" s="8"/>
      <c r="Q2347" s="8"/>
      <c r="R2347" s="8"/>
      <c r="S2347" s="8"/>
      <c r="U2347" s="6"/>
      <c r="V2347" s="6"/>
      <c r="W2347" s="6"/>
      <c r="X2347" s="6"/>
      <c r="Y2347" s="6"/>
      <c r="Z2347" s="6"/>
    </row>
    <row r="2348" spans="14:26" ht="31.4" customHeight="1" x14ac:dyDescent="0.35">
      <c r="N2348" s="20"/>
      <c r="P2348" s="8"/>
      <c r="Q2348" s="8"/>
      <c r="R2348" s="8"/>
      <c r="S2348" s="8"/>
      <c r="U2348" s="6"/>
      <c r="V2348" s="6"/>
      <c r="W2348" s="6"/>
      <c r="X2348" s="6"/>
      <c r="Y2348" s="6"/>
      <c r="Z2348" s="6"/>
    </row>
    <row r="2349" spans="14:26" ht="31.4" customHeight="1" x14ac:dyDescent="0.35">
      <c r="N2349" s="20"/>
      <c r="P2349" s="8"/>
      <c r="Q2349" s="8"/>
      <c r="R2349" s="8"/>
      <c r="S2349" s="8"/>
      <c r="U2349" s="6"/>
      <c r="V2349" s="6"/>
      <c r="W2349" s="6"/>
      <c r="X2349" s="6"/>
      <c r="Y2349" s="6"/>
      <c r="Z2349" s="6"/>
    </row>
    <row r="2350" spans="14:26" ht="31.4" customHeight="1" x14ac:dyDescent="0.35">
      <c r="N2350" s="20"/>
      <c r="P2350" s="8"/>
      <c r="Q2350" s="8"/>
      <c r="R2350" s="8"/>
      <c r="S2350" s="8"/>
      <c r="U2350" s="6"/>
      <c r="V2350" s="6"/>
      <c r="W2350" s="6"/>
      <c r="X2350" s="6"/>
      <c r="Y2350" s="6"/>
      <c r="Z2350" s="6"/>
    </row>
    <row r="2351" spans="14:26" ht="31.4" customHeight="1" x14ac:dyDescent="0.35">
      <c r="N2351" s="20"/>
      <c r="P2351" s="8"/>
      <c r="Q2351" s="8"/>
      <c r="R2351" s="8"/>
      <c r="S2351" s="8"/>
      <c r="U2351" s="6"/>
      <c r="V2351" s="6"/>
      <c r="W2351" s="6"/>
      <c r="X2351" s="6"/>
      <c r="Y2351" s="6"/>
      <c r="Z2351" s="6"/>
    </row>
    <row r="2352" spans="14:26" ht="31.4" customHeight="1" x14ac:dyDescent="0.35">
      <c r="N2352" s="20"/>
      <c r="P2352" s="8"/>
      <c r="Q2352" s="8"/>
      <c r="R2352" s="8"/>
      <c r="S2352" s="8"/>
      <c r="U2352" s="6"/>
      <c r="V2352" s="6"/>
      <c r="W2352" s="6"/>
      <c r="X2352" s="6"/>
      <c r="Y2352" s="6"/>
      <c r="Z2352" s="6"/>
    </row>
    <row r="2353" spans="14:26" ht="31.4" customHeight="1" x14ac:dyDescent="0.35">
      <c r="N2353" s="20"/>
      <c r="P2353" s="8"/>
      <c r="Q2353" s="8"/>
      <c r="R2353" s="8"/>
      <c r="S2353" s="8"/>
      <c r="U2353" s="6"/>
      <c r="V2353" s="6"/>
      <c r="W2353" s="6"/>
      <c r="X2353" s="6"/>
      <c r="Y2353" s="6"/>
      <c r="Z2353" s="6"/>
    </row>
    <row r="2354" spans="14:26" ht="31.4" customHeight="1" x14ac:dyDescent="0.35">
      <c r="N2354" s="20"/>
      <c r="P2354" s="8"/>
      <c r="Q2354" s="8"/>
      <c r="R2354" s="8"/>
      <c r="S2354" s="8"/>
      <c r="U2354" s="6"/>
      <c r="V2354" s="6"/>
      <c r="W2354" s="6"/>
      <c r="X2354" s="6"/>
      <c r="Y2354" s="6"/>
      <c r="Z2354" s="6"/>
    </row>
    <row r="2355" spans="14:26" ht="31.4" customHeight="1" x14ac:dyDescent="0.35">
      <c r="N2355" s="20"/>
      <c r="P2355" s="8"/>
      <c r="Q2355" s="8"/>
      <c r="R2355" s="8"/>
      <c r="S2355" s="8"/>
      <c r="U2355" s="6"/>
      <c r="V2355" s="6"/>
      <c r="W2355" s="6"/>
      <c r="X2355" s="6"/>
      <c r="Y2355" s="6"/>
      <c r="Z2355" s="6"/>
    </row>
    <row r="2356" spans="14:26" ht="31.4" customHeight="1" x14ac:dyDescent="0.35">
      <c r="N2356" s="20"/>
      <c r="P2356" s="8"/>
      <c r="Q2356" s="8"/>
      <c r="R2356" s="8"/>
      <c r="S2356" s="8"/>
      <c r="U2356" s="6"/>
      <c r="V2356" s="6"/>
      <c r="W2356" s="6"/>
      <c r="X2356" s="6"/>
      <c r="Y2356" s="6"/>
      <c r="Z2356" s="6"/>
    </row>
    <row r="2357" spans="14:26" ht="31.4" customHeight="1" x14ac:dyDescent="0.35">
      <c r="N2357" s="20"/>
      <c r="P2357" s="8"/>
      <c r="Q2357" s="8"/>
      <c r="R2357" s="8"/>
      <c r="S2357" s="8"/>
      <c r="U2357" s="6"/>
      <c r="V2357" s="6"/>
      <c r="W2357" s="6"/>
      <c r="X2357" s="6"/>
      <c r="Y2357" s="6"/>
      <c r="Z2357" s="6"/>
    </row>
    <row r="2358" spans="14:26" ht="31.4" customHeight="1" x14ac:dyDescent="0.35">
      <c r="N2358" s="20"/>
      <c r="P2358" s="8"/>
      <c r="Q2358" s="8"/>
      <c r="R2358" s="8"/>
      <c r="S2358" s="8"/>
      <c r="U2358" s="6"/>
      <c r="V2358" s="6"/>
      <c r="W2358" s="6"/>
      <c r="X2358" s="6"/>
      <c r="Y2358" s="6"/>
      <c r="Z2358" s="6"/>
    </row>
    <row r="2359" spans="14:26" ht="31.4" customHeight="1" x14ac:dyDescent="0.35">
      <c r="N2359" s="20"/>
      <c r="P2359" s="8"/>
      <c r="Q2359" s="8"/>
      <c r="R2359" s="8"/>
      <c r="S2359" s="8"/>
      <c r="U2359" s="6"/>
      <c r="V2359" s="6"/>
      <c r="W2359" s="6"/>
      <c r="X2359" s="6"/>
      <c r="Y2359" s="6"/>
      <c r="Z2359" s="6"/>
    </row>
    <row r="2360" spans="14:26" ht="31.4" customHeight="1" x14ac:dyDescent="0.35">
      <c r="N2360" s="20"/>
      <c r="P2360" s="8"/>
      <c r="Q2360" s="8"/>
      <c r="R2360" s="8"/>
      <c r="S2360" s="8"/>
      <c r="U2360" s="6"/>
      <c r="V2360" s="6"/>
      <c r="W2360" s="6"/>
      <c r="X2360" s="6"/>
      <c r="Y2360" s="6"/>
      <c r="Z2360" s="6"/>
    </row>
    <row r="2361" spans="14:26" ht="31.4" customHeight="1" x14ac:dyDescent="0.35">
      <c r="N2361" s="20"/>
      <c r="P2361" s="8"/>
      <c r="Q2361" s="8"/>
      <c r="R2361" s="8"/>
      <c r="S2361" s="8"/>
      <c r="U2361" s="6"/>
      <c r="V2361" s="6"/>
      <c r="W2361" s="6"/>
      <c r="X2361" s="6"/>
      <c r="Y2361" s="6"/>
      <c r="Z2361" s="6"/>
    </row>
    <row r="2362" spans="14:26" ht="31.4" customHeight="1" x14ac:dyDescent="0.35">
      <c r="N2362" s="20"/>
      <c r="P2362" s="8"/>
      <c r="Q2362" s="8"/>
      <c r="R2362" s="8"/>
      <c r="S2362" s="8"/>
      <c r="U2362" s="6"/>
      <c r="V2362" s="6"/>
      <c r="W2362" s="6"/>
      <c r="X2362" s="6"/>
      <c r="Y2362" s="6"/>
      <c r="Z2362" s="6"/>
    </row>
    <row r="2363" spans="14:26" ht="31.4" customHeight="1" x14ac:dyDescent="0.35">
      <c r="N2363" s="20"/>
      <c r="P2363" s="8"/>
      <c r="Q2363" s="8"/>
      <c r="R2363" s="8"/>
      <c r="S2363" s="8"/>
      <c r="U2363" s="6"/>
      <c r="V2363" s="6"/>
      <c r="W2363" s="6"/>
      <c r="X2363" s="6"/>
      <c r="Y2363" s="6"/>
      <c r="Z2363" s="6"/>
    </row>
    <row r="2364" spans="14:26" ht="31.4" customHeight="1" x14ac:dyDescent="0.35">
      <c r="N2364" s="20"/>
      <c r="P2364" s="8"/>
      <c r="Q2364" s="8"/>
      <c r="R2364" s="8"/>
      <c r="S2364" s="8"/>
      <c r="U2364" s="6"/>
      <c r="V2364" s="6"/>
      <c r="W2364" s="6"/>
      <c r="X2364" s="6"/>
      <c r="Y2364" s="6"/>
      <c r="Z2364" s="6"/>
    </row>
    <row r="2365" spans="14:26" ht="31.4" customHeight="1" x14ac:dyDescent="0.35">
      <c r="N2365" s="20"/>
      <c r="P2365" s="8"/>
      <c r="Q2365" s="8"/>
      <c r="R2365" s="8"/>
      <c r="S2365" s="8"/>
      <c r="U2365" s="6"/>
      <c r="V2365" s="6"/>
      <c r="W2365" s="6"/>
      <c r="X2365" s="6"/>
      <c r="Y2365" s="6"/>
      <c r="Z2365" s="6"/>
    </row>
    <row r="2366" spans="14:26" ht="31.4" customHeight="1" x14ac:dyDescent="0.35">
      <c r="N2366" s="20"/>
      <c r="P2366" s="8"/>
      <c r="Q2366" s="8"/>
      <c r="R2366" s="8"/>
      <c r="S2366" s="8"/>
      <c r="U2366" s="6"/>
      <c r="V2366" s="6"/>
      <c r="W2366" s="6"/>
      <c r="X2366" s="6"/>
      <c r="Y2366" s="6"/>
      <c r="Z2366" s="6"/>
    </row>
    <row r="2367" spans="14:26" ht="31.4" customHeight="1" x14ac:dyDescent="0.35">
      <c r="N2367" s="20"/>
      <c r="P2367" s="8"/>
      <c r="Q2367" s="8"/>
      <c r="R2367" s="8"/>
      <c r="S2367" s="8"/>
      <c r="U2367" s="6"/>
      <c r="V2367" s="6"/>
      <c r="W2367" s="6"/>
      <c r="X2367" s="6"/>
      <c r="Y2367" s="6"/>
      <c r="Z2367" s="6"/>
    </row>
    <row r="2368" spans="14:26" ht="31.4" customHeight="1" x14ac:dyDescent="0.35">
      <c r="N2368" s="20"/>
      <c r="P2368" s="8"/>
      <c r="Q2368" s="8"/>
      <c r="R2368" s="8"/>
      <c r="S2368" s="8"/>
      <c r="U2368" s="6"/>
      <c r="V2368" s="6"/>
      <c r="W2368" s="6"/>
      <c r="X2368" s="6"/>
      <c r="Y2368" s="6"/>
      <c r="Z2368" s="6"/>
    </row>
    <row r="2369" spans="14:26" ht="31.4" customHeight="1" x14ac:dyDescent="0.35">
      <c r="N2369" s="20"/>
      <c r="P2369" s="8"/>
      <c r="Q2369" s="8"/>
      <c r="R2369" s="8"/>
      <c r="S2369" s="8"/>
      <c r="U2369" s="6"/>
      <c r="V2369" s="6"/>
      <c r="W2369" s="6"/>
      <c r="X2369" s="6"/>
      <c r="Y2369" s="6"/>
      <c r="Z2369" s="6"/>
    </row>
    <row r="2370" spans="14:26" ht="31.4" customHeight="1" x14ac:dyDescent="0.35">
      <c r="N2370" s="20"/>
      <c r="P2370" s="8"/>
      <c r="Q2370" s="8"/>
      <c r="R2370" s="8"/>
      <c r="S2370" s="8"/>
      <c r="U2370" s="6"/>
      <c r="V2370" s="6"/>
      <c r="W2370" s="6"/>
      <c r="X2370" s="6"/>
      <c r="Y2370" s="6"/>
      <c r="Z2370" s="6"/>
    </row>
    <row r="2371" spans="14:26" ht="31.4" customHeight="1" x14ac:dyDescent="0.35">
      <c r="N2371" s="20"/>
      <c r="P2371" s="8"/>
      <c r="Q2371" s="8"/>
      <c r="R2371" s="8"/>
      <c r="S2371" s="8"/>
      <c r="U2371" s="6"/>
      <c r="V2371" s="6"/>
      <c r="W2371" s="6"/>
      <c r="X2371" s="6"/>
      <c r="Y2371" s="6"/>
      <c r="Z2371" s="6"/>
    </row>
    <row r="2372" spans="14:26" ht="31.4" customHeight="1" x14ac:dyDescent="0.35">
      <c r="N2372" s="20"/>
      <c r="P2372" s="8"/>
      <c r="Q2372" s="8"/>
      <c r="R2372" s="8"/>
      <c r="S2372" s="8"/>
      <c r="U2372" s="6"/>
      <c r="V2372" s="6"/>
      <c r="W2372" s="6"/>
      <c r="X2372" s="6"/>
      <c r="Y2372" s="6"/>
      <c r="Z2372" s="6"/>
    </row>
    <row r="2373" spans="14:26" ht="31.4" customHeight="1" x14ac:dyDescent="0.35">
      <c r="N2373" s="20"/>
      <c r="P2373" s="8"/>
      <c r="Q2373" s="8"/>
      <c r="R2373" s="8"/>
      <c r="S2373" s="8"/>
      <c r="U2373" s="6"/>
      <c r="V2373" s="6"/>
      <c r="W2373" s="6"/>
      <c r="X2373" s="6"/>
      <c r="Y2373" s="6"/>
      <c r="Z2373" s="6"/>
    </row>
    <row r="2374" spans="14:26" ht="31.4" customHeight="1" x14ac:dyDescent="0.35">
      <c r="N2374" s="20"/>
      <c r="P2374" s="8"/>
      <c r="Q2374" s="8"/>
      <c r="R2374" s="8"/>
      <c r="S2374" s="8"/>
      <c r="U2374" s="6"/>
      <c r="V2374" s="6"/>
      <c r="W2374" s="6"/>
      <c r="X2374" s="6"/>
      <c r="Y2374" s="6"/>
      <c r="Z2374" s="6"/>
    </row>
    <row r="2375" spans="14:26" ht="31.4" customHeight="1" x14ac:dyDescent="0.35">
      <c r="N2375" s="20"/>
      <c r="P2375" s="8"/>
      <c r="Q2375" s="8"/>
      <c r="R2375" s="8"/>
      <c r="S2375" s="8"/>
      <c r="U2375" s="6"/>
      <c r="V2375" s="6"/>
      <c r="W2375" s="6"/>
      <c r="X2375" s="6"/>
      <c r="Y2375" s="6"/>
      <c r="Z2375" s="6"/>
    </row>
    <row r="2376" spans="14:26" ht="31.4" customHeight="1" x14ac:dyDescent="0.35">
      <c r="N2376" s="20"/>
      <c r="P2376" s="8"/>
      <c r="Q2376" s="8"/>
      <c r="R2376" s="8"/>
      <c r="S2376" s="8"/>
      <c r="U2376" s="6"/>
      <c r="V2376" s="6"/>
      <c r="W2376" s="6"/>
      <c r="X2376" s="6"/>
      <c r="Y2376" s="6"/>
      <c r="Z2376" s="6"/>
    </row>
    <row r="2377" spans="14:26" ht="31.4" customHeight="1" x14ac:dyDescent="0.35">
      <c r="N2377" s="20"/>
      <c r="P2377" s="8"/>
      <c r="Q2377" s="8"/>
      <c r="R2377" s="8"/>
      <c r="S2377" s="8"/>
      <c r="U2377" s="6"/>
      <c r="V2377" s="6"/>
      <c r="W2377" s="6"/>
      <c r="X2377" s="6"/>
      <c r="Y2377" s="6"/>
      <c r="Z2377" s="6"/>
    </row>
    <row r="2378" spans="14:26" ht="31.4" customHeight="1" x14ac:dyDescent="0.35">
      <c r="N2378" s="20"/>
      <c r="P2378" s="8"/>
      <c r="Q2378" s="8"/>
      <c r="R2378" s="8"/>
      <c r="S2378" s="8"/>
      <c r="U2378" s="6"/>
      <c r="V2378" s="6"/>
      <c r="W2378" s="6"/>
      <c r="X2378" s="6"/>
      <c r="Y2378" s="6"/>
      <c r="Z2378" s="6"/>
    </row>
    <row r="2379" spans="14:26" ht="31.4" customHeight="1" x14ac:dyDescent="0.35">
      <c r="N2379" s="20"/>
      <c r="P2379" s="8"/>
      <c r="Q2379" s="8"/>
      <c r="R2379" s="8"/>
      <c r="S2379" s="8"/>
      <c r="U2379" s="6"/>
      <c r="V2379" s="6"/>
      <c r="W2379" s="6"/>
      <c r="X2379" s="6"/>
      <c r="Y2379" s="6"/>
      <c r="Z2379" s="6"/>
    </row>
    <row r="2380" spans="14:26" ht="31.4" customHeight="1" x14ac:dyDescent="0.35">
      <c r="N2380" s="20"/>
      <c r="P2380" s="8"/>
      <c r="Q2380" s="8"/>
      <c r="R2380" s="8"/>
      <c r="S2380" s="8"/>
      <c r="U2380" s="6"/>
      <c r="V2380" s="6"/>
      <c r="W2380" s="6"/>
      <c r="X2380" s="6"/>
      <c r="Y2380" s="6"/>
      <c r="Z2380" s="6"/>
    </row>
    <row r="2381" spans="14:26" ht="31.4" customHeight="1" x14ac:dyDescent="0.35">
      <c r="N2381" s="20"/>
      <c r="P2381" s="8"/>
      <c r="Q2381" s="8"/>
      <c r="R2381" s="8"/>
      <c r="S2381" s="8"/>
      <c r="U2381" s="6"/>
      <c r="V2381" s="6"/>
      <c r="W2381" s="6"/>
      <c r="X2381" s="6"/>
      <c r="Y2381" s="6"/>
      <c r="Z2381" s="6"/>
    </row>
    <row r="2382" spans="14:26" ht="31.4" customHeight="1" x14ac:dyDescent="0.35">
      <c r="N2382" s="20"/>
      <c r="P2382" s="8"/>
      <c r="Q2382" s="8"/>
      <c r="R2382" s="8"/>
      <c r="S2382" s="8"/>
      <c r="U2382" s="6"/>
      <c r="V2382" s="6"/>
      <c r="W2382" s="6"/>
      <c r="X2382" s="6"/>
      <c r="Y2382" s="6"/>
      <c r="Z2382" s="6"/>
    </row>
    <row r="2383" spans="14:26" ht="31.4" customHeight="1" x14ac:dyDescent="0.35">
      <c r="N2383" s="20"/>
      <c r="P2383" s="8"/>
      <c r="Q2383" s="8"/>
      <c r="R2383" s="8"/>
      <c r="S2383" s="8"/>
      <c r="U2383" s="6"/>
      <c r="V2383" s="6"/>
      <c r="W2383" s="6"/>
      <c r="X2383" s="6"/>
      <c r="Y2383" s="6"/>
      <c r="Z2383" s="6"/>
    </row>
    <row r="2384" spans="14:26" ht="31.4" customHeight="1" x14ac:dyDescent="0.35">
      <c r="N2384" s="20"/>
      <c r="P2384" s="8"/>
      <c r="Q2384" s="8"/>
      <c r="R2384" s="8"/>
      <c r="S2384" s="8"/>
      <c r="U2384" s="6"/>
      <c r="V2384" s="6"/>
      <c r="W2384" s="6"/>
      <c r="X2384" s="6"/>
      <c r="Y2384" s="6"/>
      <c r="Z2384" s="6"/>
    </row>
    <row r="2385" spans="14:26" ht="31.4" customHeight="1" x14ac:dyDescent="0.35">
      <c r="N2385" s="20"/>
      <c r="P2385" s="8"/>
      <c r="Q2385" s="8"/>
      <c r="R2385" s="8"/>
      <c r="S2385" s="8"/>
      <c r="U2385" s="6"/>
      <c r="V2385" s="6"/>
      <c r="W2385" s="6"/>
      <c r="X2385" s="6"/>
      <c r="Y2385" s="6"/>
      <c r="Z2385" s="6"/>
    </row>
    <row r="2386" spans="14:26" ht="31.4" customHeight="1" x14ac:dyDescent="0.35">
      <c r="N2386" s="20"/>
      <c r="P2386" s="8"/>
      <c r="Q2386" s="8"/>
      <c r="R2386" s="8"/>
      <c r="S2386" s="8"/>
      <c r="U2386" s="6"/>
      <c r="V2386" s="6"/>
      <c r="W2386" s="6"/>
      <c r="X2386" s="6"/>
      <c r="Y2386" s="6"/>
      <c r="Z2386" s="6"/>
    </row>
    <row r="2387" spans="14:26" ht="31.4" customHeight="1" x14ac:dyDescent="0.35">
      <c r="N2387" s="20"/>
      <c r="P2387" s="8"/>
      <c r="Q2387" s="8"/>
      <c r="R2387" s="8"/>
      <c r="S2387" s="8"/>
      <c r="U2387" s="6"/>
      <c r="V2387" s="6"/>
      <c r="W2387" s="6"/>
      <c r="X2387" s="6"/>
      <c r="Y2387" s="6"/>
      <c r="Z2387" s="6"/>
    </row>
    <row r="2388" spans="14:26" ht="31.4" customHeight="1" x14ac:dyDescent="0.35">
      <c r="N2388" s="20"/>
      <c r="P2388" s="8"/>
      <c r="Q2388" s="8"/>
      <c r="R2388" s="8"/>
      <c r="S2388" s="8"/>
      <c r="U2388" s="6"/>
      <c r="V2388" s="6"/>
      <c r="W2388" s="6"/>
      <c r="X2388" s="6"/>
      <c r="Y2388" s="6"/>
      <c r="Z2388" s="6"/>
    </row>
    <row r="2389" spans="14:26" ht="31.4" customHeight="1" x14ac:dyDescent="0.35">
      <c r="N2389" s="20"/>
      <c r="P2389" s="8"/>
      <c r="Q2389" s="8"/>
      <c r="R2389" s="8"/>
      <c r="S2389" s="8"/>
      <c r="U2389" s="6"/>
      <c r="V2389" s="6"/>
      <c r="W2389" s="6"/>
      <c r="X2389" s="6"/>
      <c r="Y2389" s="6"/>
      <c r="Z2389" s="6"/>
    </row>
    <row r="2390" spans="14:26" ht="31.4" customHeight="1" x14ac:dyDescent="0.35">
      <c r="N2390" s="20"/>
      <c r="P2390" s="8"/>
      <c r="Q2390" s="8"/>
      <c r="R2390" s="8"/>
      <c r="S2390" s="8"/>
      <c r="U2390" s="6"/>
      <c r="V2390" s="6"/>
      <c r="W2390" s="6"/>
      <c r="X2390" s="6"/>
      <c r="Y2390" s="6"/>
      <c r="Z2390" s="6"/>
    </row>
    <row r="2391" spans="14:26" ht="31.4" customHeight="1" x14ac:dyDescent="0.35">
      <c r="N2391" s="20"/>
      <c r="P2391" s="8"/>
      <c r="Q2391" s="8"/>
      <c r="R2391" s="8"/>
      <c r="S2391" s="8"/>
      <c r="U2391" s="6"/>
      <c r="V2391" s="6"/>
      <c r="W2391" s="6"/>
      <c r="X2391" s="6"/>
      <c r="Y2391" s="6"/>
      <c r="Z2391" s="6"/>
    </row>
    <row r="2392" spans="14:26" ht="31.4" customHeight="1" x14ac:dyDescent="0.35">
      <c r="N2392" s="20"/>
      <c r="P2392" s="8"/>
      <c r="Q2392" s="8"/>
      <c r="R2392" s="8"/>
      <c r="S2392" s="8"/>
      <c r="U2392" s="6"/>
      <c r="V2392" s="6"/>
      <c r="W2392" s="6"/>
      <c r="X2392" s="6"/>
      <c r="Y2392" s="6"/>
      <c r="Z2392" s="6"/>
    </row>
    <row r="2393" spans="14:26" ht="31.4" customHeight="1" x14ac:dyDescent="0.35">
      <c r="N2393" s="20"/>
      <c r="P2393" s="8"/>
      <c r="Q2393" s="8"/>
      <c r="R2393" s="8"/>
      <c r="S2393" s="8"/>
      <c r="U2393" s="6"/>
      <c r="V2393" s="6"/>
      <c r="W2393" s="6"/>
      <c r="X2393" s="6"/>
      <c r="Y2393" s="6"/>
      <c r="Z2393" s="6"/>
    </row>
    <row r="2394" spans="14:26" ht="31.4" customHeight="1" x14ac:dyDescent="0.35">
      <c r="N2394" s="20"/>
      <c r="P2394" s="8"/>
      <c r="Q2394" s="8"/>
      <c r="R2394" s="8"/>
      <c r="S2394" s="8"/>
      <c r="U2394" s="6"/>
      <c r="V2394" s="6"/>
      <c r="W2394" s="6"/>
      <c r="X2394" s="6"/>
      <c r="Y2394" s="6"/>
      <c r="Z2394" s="6"/>
    </row>
    <row r="2395" spans="14:26" ht="31.4" customHeight="1" x14ac:dyDescent="0.35">
      <c r="N2395" s="20"/>
      <c r="P2395" s="8"/>
      <c r="Q2395" s="8"/>
      <c r="R2395" s="8"/>
      <c r="S2395" s="8"/>
      <c r="U2395" s="6"/>
      <c r="V2395" s="6"/>
      <c r="W2395" s="6"/>
      <c r="X2395" s="6"/>
      <c r="Y2395" s="6"/>
      <c r="Z2395" s="6"/>
    </row>
    <row r="2396" spans="14:26" ht="31.4" customHeight="1" x14ac:dyDescent="0.35">
      <c r="N2396" s="20"/>
      <c r="P2396" s="8"/>
      <c r="Q2396" s="8"/>
      <c r="R2396" s="8"/>
      <c r="S2396" s="8"/>
      <c r="U2396" s="6"/>
      <c r="V2396" s="6"/>
      <c r="W2396" s="6"/>
      <c r="X2396" s="6"/>
      <c r="Y2396" s="6"/>
      <c r="Z2396" s="6"/>
    </row>
    <row r="2397" spans="14:26" ht="31.4" customHeight="1" x14ac:dyDescent="0.35">
      <c r="N2397" s="20"/>
      <c r="P2397" s="8"/>
      <c r="Q2397" s="8"/>
      <c r="R2397" s="8"/>
      <c r="S2397" s="8"/>
      <c r="U2397" s="6"/>
      <c r="V2397" s="6"/>
      <c r="W2397" s="6"/>
      <c r="X2397" s="6"/>
      <c r="Y2397" s="6"/>
      <c r="Z2397" s="6"/>
    </row>
    <row r="2398" spans="14:26" ht="31.4" customHeight="1" x14ac:dyDescent="0.35">
      <c r="N2398" s="20"/>
      <c r="P2398" s="8"/>
      <c r="Q2398" s="8"/>
      <c r="R2398" s="8"/>
      <c r="S2398" s="8"/>
      <c r="U2398" s="6"/>
      <c r="V2398" s="6"/>
      <c r="W2398" s="6"/>
      <c r="X2398" s="6"/>
      <c r="Y2398" s="6"/>
      <c r="Z2398" s="6"/>
    </row>
    <row r="2399" spans="14:26" ht="31.4" customHeight="1" x14ac:dyDescent="0.35">
      <c r="N2399" s="20"/>
      <c r="P2399" s="8"/>
      <c r="Q2399" s="8"/>
      <c r="R2399" s="8"/>
      <c r="S2399" s="8"/>
      <c r="U2399" s="6"/>
      <c r="V2399" s="6"/>
      <c r="W2399" s="6"/>
      <c r="X2399" s="6"/>
      <c r="Y2399" s="6"/>
      <c r="Z2399" s="6"/>
    </row>
    <row r="2400" spans="14:26" ht="31.4" customHeight="1" x14ac:dyDescent="0.35">
      <c r="N2400" s="20"/>
      <c r="P2400" s="8"/>
      <c r="Q2400" s="8"/>
      <c r="R2400" s="8"/>
      <c r="S2400" s="8"/>
      <c r="U2400" s="6"/>
      <c r="V2400" s="6"/>
      <c r="W2400" s="6"/>
      <c r="X2400" s="6"/>
      <c r="Y2400" s="6"/>
      <c r="Z2400" s="6"/>
    </row>
    <row r="2401" spans="14:26" ht="31.4" customHeight="1" x14ac:dyDescent="0.35">
      <c r="N2401" s="20"/>
      <c r="P2401" s="8"/>
      <c r="Q2401" s="8"/>
      <c r="R2401" s="8"/>
      <c r="S2401" s="8"/>
      <c r="U2401" s="6"/>
      <c r="V2401" s="6"/>
      <c r="W2401" s="6"/>
      <c r="X2401" s="6"/>
      <c r="Y2401" s="6"/>
      <c r="Z2401" s="6"/>
    </row>
    <row r="2402" spans="14:26" ht="31.4" customHeight="1" x14ac:dyDescent="0.35">
      <c r="N2402" s="20"/>
      <c r="P2402" s="8"/>
      <c r="Q2402" s="8"/>
      <c r="R2402" s="8"/>
      <c r="S2402" s="8"/>
      <c r="U2402" s="6"/>
      <c r="V2402" s="6"/>
      <c r="W2402" s="6"/>
      <c r="X2402" s="6"/>
      <c r="Y2402" s="6"/>
      <c r="Z2402" s="6"/>
    </row>
    <row r="2403" spans="14:26" ht="31.4" customHeight="1" x14ac:dyDescent="0.35">
      <c r="N2403" s="20"/>
      <c r="P2403" s="8"/>
      <c r="Q2403" s="8"/>
      <c r="R2403" s="8"/>
      <c r="S2403" s="8"/>
      <c r="U2403" s="6"/>
      <c r="V2403" s="6"/>
      <c r="W2403" s="6"/>
      <c r="X2403" s="6"/>
      <c r="Y2403" s="6"/>
      <c r="Z2403" s="6"/>
    </row>
    <row r="2404" spans="14:26" ht="31.4" customHeight="1" x14ac:dyDescent="0.35">
      <c r="N2404" s="20"/>
      <c r="P2404" s="8"/>
      <c r="Q2404" s="8"/>
      <c r="R2404" s="8"/>
      <c r="S2404" s="8"/>
      <c r="U2404" s="6"/>
      <c r="V2404" s="6"/>
      <c r="W2404" s="6"/>
      <c r="X2404" s="6"/>
      <c r="Y2404" s="6"/>
      <c r="Z2404" s="6"/>
    </row>
    <row r="2405" spans="14:26" ht="31.4" customHeight="1" x14ac:dyDescent="0.35">
      <c r="N2405" s="20"/>
      <c r="P2405" s="8"/>
      <c r="Q2405" s="8"/>
      <c r="R2405" s="8"/>
      <c r="S2405" s="8"/>
      <c r="U2405" s="6"/>
      <c r="V2405" s="6"/>
      <c r="W2405" s="6"/>
      <c r="X2405" s="6"/>
      <c r="Y2405" s="6"/>
      <c r="Z2405" s="6"/>
    </row>
    <row r="2406" spans="14:26" ht="31.4" customHeight="1" x14ac:dyDescent="0.35">
      <c r="N2406" s="20"/>
      <c r="P2406" s="8"/>
      <c r="Q2406" s="8"/>
      <c r="R2406" s="8"/>
      <c r="S2406" s="8"/>
      <c r="U2406" s="6"/>
      <c r="V2406" s="6"/>
      <c r="W2406" s="6"/>
      <c r="X2406" s="6"/>
      <c r="Y2406" s="6"/>
      <c r="Z2406" s="6"/>
    </row>
    <row r="2407" spans="14:26" ht="31.4" customHeight="1" x14ac:dyDescent="0.35">
      <c r="N2407" s="20"/>
      <c r="P2407" s="8"/>
      <c r="Q2407" s="8"/>
      <c r="R2407" s="8"/>
      <c r="S2407" s="8"/>
      <c r="U2407" s="6"/>
      <c r="V2407" s="6"/>
      <c r="W2407" s="6"/>
      <c r="X2407" s="6"/>
      <c r="Y2407" s="6"/>
      <c r="Z2407" s="6"/>
    </row>
    <row r="2408" spans="14:26" ht="31.4" customHeight="1" x14ac:dyDescent="0.35">
      <c r="N2408" s="20"/>
      <c r="P2408" s="8"/>
      <c r="Q2408" s="8"/>
      <c r="R2408" s="8"/>
      <c r="S2408" s="8"/>
      <c r="U2408" s="6"/>
      <c r="V2408" s="6"/>
      <c r="W2408" s="6"/>
      <c r="X2408" s="6"/>
      <c r="Y2408" s="6"/>
      <c r="Z2408" s="6"/>
    </row>
    <row r="2409" spans="14:26" ht="31.4" customHeight="1" x14ac:dyDescent="0.35">
      <c r="N2409" s="20"/>
      <c r="P2409" s="8"/>
      <c r="Q2409" s="8"/>
      <c r="R2409" s="8"/>
      <c r="S2409" s="8"/>
      <c r="U2409" s="6"/>
      <c r="V2409" s="6"/>
      <c r="W2409" s="6"/>
      <c r="X2409" s="6"/>
      <c r="Y2409" s="6"/>
      <c r="Z2409" s="6"/>
    </row>
    <row r="2410" spans="14:26" ht="31.4" customHeight="1" x14ac:dyDescent="0.35">
      <c r="N2410" s="20"/>
      <c r="P2410" s="8"/>
      <c r="Q2410" s="8"/>
      <c r="R2410" s="8"/>
      <c r="S2410" s="8"/>
      <c r="U2410" s="6"/>
      <c r="V2410" s="6"/>
      <c r="W2410" s="6"/>
      <c r="X2410" s="6"/>
      <c r="Y2410" s="6"/>
      <c r="Z2410" s="6"/>
    </row>
    <row r="2411" spans="14:26" ht="31.4" customHeight="1" x14ac:dyDescent="0.35">
      <c r="N2411" s="20"/>
      <c r="P2411" s="8"/>
      <c r="Q2411" s="8"/>
      <c r="R2411" s="8"/>
      <c r="S2411" s="8"/>
      <c r="U2411" s="6"/>
      <c r="V2411" s="6"/>
      <c r="W2411" s="6"/>
      <c r="X2411" s="6"/>
      <c r="Y2411" s="6"/>
      <c r="Z2411" s="6"/>
    </row>
    <row r="2412" spans="14:26" ht="31.4" customHeight="1" x14ac:dyDescent="0.35">
      <c r="N2412" s="20"/>
      <c r="P2412" s="8"/>
      <c r="Q2412" s="8"/>
      <c r="R2412" s="8"/>
      <c r="S2412" s="8"/>
      <c r="U2412" s="6"/>
      <c r="V2412" s="6"/>
      <c r="W2412" s="6"/>
      <c r="X2412" s="6"/>
      <c r="Y2412" s="6"/>
      <c r="Z2412" s="6"/>
    </row>
    <row r="2413" spans="14:26" ht="31.4" customHeight="1" x14ac:dyDescent="0.35">
      <c r="N2413" s="20"/>
      <c r="P2413" s="8"/>
      <c r="Q2413" s="8"/>
      <c r="R2413" s="8"/>
      <c r="S2413" s="8"/>
      <c r="U2413" s="6"/>
      <c r="V2413" s="6"/>
      <c r="W2413" s="6"/>
      <c r="X2413" s="6"/>
      <c r="Y2413" s="6"/>
      <c r="Z2413" s="6"/>
    </row>
    <row r="2414" spans="14:26" ht="31.4" customHeight="1" x14ac:dyDescent="0.35">
      <c r="N2414" s="20"/>
      <c r="P2414" s="8"/>
      <c r="Q2414" s="8"/>
      <c r="R2414" s="8"/>
      <c r="S2414" s="8"/>
      <c r="U2414" s="6"/>
      <c r="V2414" s="6"/>
      <c r="W2414" s="6"/>
      <c r="X2414" s="6"/>
      <c r="Y2414" s="6"/>
      <c r="Z2414" s="6"/>
    </row>
    <row r="2415" spans="14:26" ht="31.4" customHeight="1" x14ac:dyDescent="0.35">
      <c r="N2415" s="20"/>
      <c r="P2415" s="8"/>
      <c r="Q2415" s="8"/>
      <c r="R2415" s="8"/>
      <c r="S2415" s="8"/>
      <c r="U2415" s="6"/>
      <c r="V2415" s="6"/>
      <c r="W2415" s="6"/>
      <c r="X2415" s="6"/>
      <c r="Y2415" s="6"/>
      <c r="Z2415" s="6"/>
    </row>
    <row r="2416" spans="14:26" ht="31.4" customHeight="1" x14ac:dyDescent="0.35">
      <c r="N2416" s="20"/>
      <c r="P2416" s="8"/>
      <c r="Q2416" s="8"/>
      <c r="R2416" s="8"/>
      <c r="S2416" s="8"/>
      <c r="U2416" s="6"/>
      <c r="V2416" s="6"/>
      <c r="W2416" s="6"/>
      <c r="X2416" s="6"/>
      <c r="Y2416" s="6"/>
      <c r="Z2416" s="6"/>
    </row>
    <row r="2417" spans="14:26" ht="31.4" customHeight="1" x14ac:dyDescent="0.35">
      <c r="N2417" s="20"/>
      <c r="P2417" s="8"/>
      <c r="Q2417" s="8"/>
      <c r="R2417" s="8"/>
      <c r="S2417" s="8"/>
      <c r="U2417" s="6"/>
      <c r="V2417" s="6"/>
      <c r="W2417" s="6"/>
      <c r="X2417" s="6"/>
      <c r="Y2417" s="6"/>
      <c r="Z2417" s="6"/>
    </row>
    <row r="2418" spans="14:26" ht="31.4" customHeight="1" x14ac:dyDescent="0.35">
      <c r="N2418" s="20"/>
      <c r="P2418" s="8"/>
      <c r="Q2418" s="8"/>
      <c r="R2418" s="8"/>
      <c r="S2418" s="8"/>
      <c r="U2418" s="6"/>
      <c r="V2418" s="6"/>
      <c r="W2418" s="6"/>
      <c r="X2418" s="6"/>
      <c r="Y2418" s="6"/>
      <c r="Z2418" s="6"/>
    </row>
    <row r="2419" spans="14:26" ht="31.4" customHeight="1" x14ac:dyDescent="0.35">
      <c r="N2419" s="20"/>
      <c r="P2419" s="8"/>
      <c r="Q2419" s="8"/>
      <c r="R2419" s="8"/>
      <c r="S2419" s="8"/>
      <c r="U2419" s="6"/>
      <c r="V2419" s="6"/>
      <c r="W2419" s="6"/>
      <c r="X2419" s="6"/>
      <c r="Y2419" s="6"/>
      <c r="Z2419" s="6"/>
    </row>
    <row r="2420" spans="14:26" ht="31.4" customHeight="1" x14ac:dyDescent="0.35">
      <c r="N2420" s="20"/>
      <c r="P2420" s="8"/>
      <c r="Q2420" s="8"/>
      <c r="R2420" s="8"/>
      <c r="S2420" s="8"/>
      <c r="U2420" s="6"/>
      <c r="V2420" s="6"/>
      <c r="W2420" s="6"/>
      <c r="X2420" s="6"/>
      <c r="Y2420" s="6"/>
      <c r="Z2420" s="6"/>
    </row>
    <row r="2421" spans="14:26" ht="31.4" customHeight="1" x14ac:dyDescent="0.35">
      <c r="N2421" s="20"/>
      <c r="P2421" s="8"/>
      <c r="Q2421" s="8"/>
      <c r="R2421" s="8"/>
      <c r="S2421" s="8"/>
      <c r="U2421" s="6"/>
      <c r="V2421" s="6"/>
      <c r="W2421" s="6"/>
      <c r="X2421" s="6"/>
      <c r="Y2421" s="6"/>
      <c r="Z2421" s="6"/>
    </row>
    <row r="2422" spans="14:26" ht="31.4" customHeight="1" x14ac:dyDescent="0.35">
      <c r="N2422" s="20"/>
      <c r="P2422" s="8"/>
      <c r="Q2422" s="8"/>
      <c r="R2422" s="8"/>
      <c r="S2422" s="8"/>
      <c r="U2422" s="6"/>
      <c r="V2422" s="6"/>
      <c r="W2422" s="6"/>
      <c r="X2422" s="6"/>
      <c r="Y2422" s="6"/>
      <c r="Z2422" s="6"/>
    </row>
    <row r="2423" spans="14:26" ht="31.4" customHeight="1" x14ac:dyDescent="0.35">
      <c r="N2423" s="20"/>
      <c r="P2423" s="8"/>
      <c r="Q2423" s="8"/>
      <c r="R2423" s="8"/>
      <c r="S2423" s="8"/>
      <c r="U2423" s="6"/>
      <c r="V2423" s="6"/>
      <c r="W2423" s="6"/>
      <c r="X2423" s="6"/>
      <c r="Y2423" s="6"/>
      <c r="Z2423" s="6"/>
    </row>
    <row r="2424" spans="14:26" ht="31.4" customHeight="1" x14ac:dyDescent="0.35">
      <c r="N2424" s="20"/>
      <c r="P2424" s="8"/>
      <c r="Q2424" s="8"/>
      <c r="R2424" s="8"/>
      <c r="S2424" s="8"/>
      <c r="U2424" s="6"/>
      <c r="V2424" s="6"/>
      <c r="W2424" s="6"/>
      <c r="X2424" s="6"/>
      <c r="Y2424" s="6"/>
      <c r="Z2424" s="6"/>
    </row>
    <row r="2425" spans="14:26" ht="31.4" customHeight="1" x14ac:dyDescent="0.35">
      <c r="N2425" s="20"/>
      <c r="P2425" s="8"/>
      <c r="Q2425" s="8"/>
      <c r="R2425" s="8"/>
      <c r="S2425" s="8"/>
      <c r="U2425" s="6"/>
      <c r="V2425" s="6"/>
      <c r="W2425" s="6"/>
      <c r="X2425" s="6"/>
      <c r="Y2425" s="6"/>
      <c r="Z2425" s="6"/>
    </row>
    <row r="2426" spans="14:26" ht="31.4" customHeight="1" x14ac:dyDescent="0.35">
      <c r="N2426" s="20"/>
      <c r="P2426" s="8"/>
      <c r="Q2426" s="8"/>
      <c r="R2426" s="8"/>
      <c r="S2426" s="8"/>
      <c r="U2426" s="6"/>
      <c r="V2426" s="6"/>
      <c r="W2426" s="6"/>
      <c r="X2426" s="6"/>
      <c r="Y2426" s="6"/>
      <c r="Z2426" s="6"/>
    </row>
    <row r="2427" spans="14:26" ht="31.4" customHeight="1" x14ac:dyDescent="0.35">
      <c r="N2427" s="20"/>
      <c r="P2427" s="8"/>
      <c r="Q2427" s="8"/>
      <c r="R2427" s="8"/>
      <c r="S2427" s="8"/>
      <c r="U2427" s="6"/>
      <c r="V2427" s="6"/>
      <c r="W2427" s="6"/>
      <c r="X2427" s="6"/>
      <c r="Y2427" s="6"/>
      <c r="Z2427" s="6"/>
    </row>
    <row r="2428" spans="14:26" ht="31.4" customHeight="1" x14ac:dyDescent="0.35">
      <c r="N2428" s="20"/>
      <c r="P2428" s="8"/>
      <c r="Q2428" s="8"/>
      <c r="R2428" s="8"/>
      <c r="S2428" s="8"/>
      <c r="U2428" s="6"/>
      <c r="V2428" s="6"/>
      <c r="W2428" s="6"/>
      <c r="X2428" s="6"/>
      <c r="Y2428" s="6"/>
      <c r="Z2428" s="6"/>
    </row>
    <row r="2429" spans="14:26" ht="31.4" customHeight="1" x14ac:dyDescent="0.35">
      <c r="N2429" s="20"/>
      <c r="P2429" s="8"/>
      <c r="Q2429" s="8"/>
      <c r="R2429" s="8"/>
      <c r="S2429" s="8"/>
      <c r="U2429" s="6"/>
      <c r="V2429" s="6"/>
      <c r="W2429" s="6"/>
      <c r="X2429" s="6"/>
      <c r="Y2429" s="6"/>
      <c r="Z2429" s="6"/>
    </row>
    <row r="2430" spans="14:26" ht="31.4" customHeight="1" x14ac:dyDescent="0.35">
      <c r="N2430" s="20"/>
      <c r="P2430" s="8"/>
      <c r="Q2430" s="8"/>
      <c r="R2430" s="8"/>
      <c r="S2430" s="8"/>
      <c r="U2430" s="6"/>
      <c r="V2430" s="6"/>
      <c r="W2430" s="6"/>
      <c r="X2430" s="6"/>
      <c r="Y2430" s="6"/>
      <c r="Z2430" s="6"/>
    </row>
    <row r="2431" spans="14:26" ht="31.4" customHeight="1" x14ac:dyDescent="0.35">
      <c r="N2431" s="20"/>
      <c r="P2431" s="8"/>
      <c r="Q2431" s="8"/>
      <c r="R2431" s="8"/>
      <c r="S2431" s="8"/>
      <c r="U2431" s="6"/>
      <c r="V2431" s="6"/>
      <c r="W2431" s="6"/>
      <c r="X2431" s="6"/>
      <c r="Y2431" s="6"/>
      <c r="Z2431" s="6"/>
    </row>
    <row r="2432" spans="14:26" ht="31.4" customHeight="1" x14ac:dyDescent="0.35">
      <c r="N2432" s="20"/>
      <c r="P2432" s="8"/>
      <c r="Q2432" s="8"/>
      <c r="R2432" s="8"/>
      <c r="S2432" s="8"/>
      <c r="U2432" s="6"/>
      <c r="V2432" s="6"/>
      <c r="W2432" s="6"/>
      <c r="X2432" s="6"/>
      <c r="Y2432" s="6"/>
      <c r="Z2432" s="6"/>
    </row>
    <row r="2433" spans="14:26" ht="31.4" customHeight="1" x14ac:dyDescent="0.35">
      <c r="N2433" s="20"/>
      <c r="P2433" s="8"/>
      <c r="Q2433" s="8"/>
      <c r="R2433" s="8"/>
      <c r="S2433" s="8"/>
      <c r="U2433" s="6"/>
      <c r="V2433" s="6"/>
      <c r="W2433" s="6"/>
      <c r="X2433" s="6"/>
      <c r="Y2433" s="6"/>
      <c r="Z2433" s="6"/>
    </row>
    <row r="2434" spans="14:26" ht="31.4" customHeight="1" x14ac:dyDescent="0.35">
      <c r="N2434" s="20"/>
      <c r="P2434" s="8"/>
      <c r="Q2434" s="8"/>
      <c r="R2434" s="8"/>
      <c r="S2434" s="8"/>
      <c r="U2434" s="6"/>
      <c r="V2434" s="6"/>
      <c r="W2434" s="6"/>
      <c r="X2434" s="6"/>
      <c r="Y2434" s="6"/>
      <c r="Z2434" s="6"/>
    </row>
    <row r="2435" spans="14:26" ht="31.4" customHeight="1" x14ac:dyDescent="0.35">
      <c r="N2435" s="20"/>
      <c r="P2435" s="8"/>
      <c r="Q2435" s="8"/>
      <c r="R2435" s="8"/>
      <c r="S2435" s="8"/>
      <c r="U2435" s="6"/>
      <c r="V2435" s="6"/>
      <c r="W2435" s="6"/>
      <c r="X2435" s="6"/>
      <c r="Y2435" s="6"/>
      <c r="Z2435" s="6"/>
    </row>
    <row r="2436" spans="14:26" ht="31.4" customHeight="1" x14ac:dyDescent="0.35">
      <c r="N2436" s="20"/>
      <c r="P2436" s="8"/>
      <c r="Q2436" s="8"/>
      <c r="R2436" s="8"/>
      <c r="S2436" s="8"/>
      <c r="U2436" s="6"/>
      <c r="V2436" s="6"/>
      <c r="W2436" s="6"/>
      <c r="X2436" s="6"/>
      <c r="Y2436" s="6"/>
      <c r="Z2436" s="6"/>
    </row>
    <row r="2437" spans="14:26" ht="31.4" customHeight="1" x14ac:dyDescent="0.35">
      <c r="N2437" s="20"/>
      <c r="P2437" s="8"/>
      <c r="Q2437" s="8"/>
      <c r="R2437" s="8"/>
      <c r="S2437" s="8"/>
      <c r="U2437" s="6"/>
      <c r="V2437" s="6"/>
      <c r="W2437" s="6"/>
      <c r="X2437" s="6"/>
      <c r="Y2437" s="6"/>
      <c r="Z2437" s="6"/>
    </row>
    <row r="2438" spans="14:26" ht="31.4" customHeight="1" x14ac:dyDescent="0.35">
      <c r="N2438" s="20"/>
      <c r="P2438" s="8"/>
      <c r="Q2438" s="8"/>
      <c r="R2438" s="8"/>
      <c r="S2438" s="8"/>
      <c r="U2438" s="6"/>
      <c r="V2438" s="6"/>
      <c r="W2438" s="6"/>
      <c r="X2438" s="6"/>
      <c r="Y2438" s="6"/>
      <c r="Z2438" s="6"/>
    </row>
    <row r="2439" spans="14:26" ht="31.4" customHeight="1" x14ac:dyDescent="0.35">
      <c r="N2439" s="20"/>
      <c r="P2439" s="8"/>
      <c r="Q2439" s="8"/>
      <c r="R2439" s="8"/>
      <c r="S2439" s="8"/>
      <c r="U2439" s="6"/>
      <c r="V2439" s="6"/>
      <c r="W2439" s="6"/>
      <c r="X2439" s="6"/>
      <c r="Y2439" s="6"/>
      <c r="Z2439" s="6"/>
    </row>
    <row r="2440" spans="14:26" ht="31.4" customHeight="1" x14ac:dyDescent="0.35">
      <c r="N2440" s="20"/>
      <c r="P2440" s="8"/>
      <c r="Q2440" s="8"/>
      <c r="R2440" s="8"/>
      <c r="S2440" s="8"/>
      <c r="U2440" s="6"/>
      <c r="V2440" s="6"/>
      <c r="W2440" s="6"/>
      <c r="X2440" s="6"/>
      <c r="Y2440" s="6"/>
      <c r="Z2440" s="6"/>
    </row>
    <row r="2441" spans="14:26" ht="31.4" customHeight="1" x14ac:dyDescent="0.35">
      <c r="N2441" s="20"/>
      <c r="P2441" s="8"/>
      <c r="Q2441" s="8"/>
      <c r="R2441" s="8"/>
      <c r="S2441" s="8"/>
      <c r="U2441" s="6"/>
      <c r="V2441" s="6"/>
      <c r="W2441" s="6"/>
      <c r="X2441" s="6"/>
      <c r="Y2441" s="6"/>
      <c r="Z2441" s="6"/>
    </row>
    <row r="2442" spans="14:26" ht="31.4" customHeight="1" x14ac:dyDescent="0.35">
      <c r="N2442" s="20"/>
      <c r="P2442" s="8"/>
      <c r="Q2442" s="8"/>
      <c r="R2442" s="8"/>
      <c r="S2442" s="8"/>
      <c r="U2442" s="6"/>
      <c r="V2442" s="6"/>
      <c r="W2442" s="6"/>
      <c r="X2442" s="6"/>
      <c r="Y2442" s="6"/>
      <c r="Z2442" s="6"/>
    </row>
    <row r="2443" spans="14:26" ht="31.4" customHeight="1" x14ac:dyDescent="0.35">
      <c r="N2443" s="20"/>
      <c r="P2443" s="8"/>
      <c r="Q2443" s="8"/>
      <c r="R2443" s="8"/>
      <c r="S2443" s="8"/>
      <c r="U2443" s="6"/>
      <c r="V2443" s="6"/>
      <c r="W2443" s="6"/>
      <c r="X2443" s="6"/>
      <c r="Y2443" s="6"/>
      <c r="Z2443" s="6"/>
    </row>
    <row r="2444" spans="14:26" ht="31.4" customHeight="1" x14ac:dyDescent="0.35">
      <c r="N2444" s="20"/>
      <c r="P2444" s="8"/>
      <c r="Q2444" s="8"/>
      <c r="R2444" s="8"/>
      <c r="S2444" s="8"/>
      <c r="U2444" s="6"/>
      <c r="V2444" s="6"/>
      <c r="W2444" s="6"/>
      <c r="X2444" s="6"/>
      <c r="Y2444" s="6"/>
      <c r="Z2444" s="6"/>
    </row>
    <row r="2445" spans="14:26" ht="31.4" customHeight="1" x14ac:dyDescent="0.35">
      <c r="N2445" s="20"/>
      <c r="P2445" s="8"/>
      <c r="Q2445" s="8"/>
      <c r="R2445" s="8"/>
      <c r="S2445" s="8"/>
      <c r="U2445" s="6"/>
      <c r="V2445" s="6"/>
      <c r="W2445" s="6"/>
      <c r="X2445" s="6"/>
      <c r="Y2445" s="6"/>
      <c r="Z2445" s="6"/>
    </row>
    <row r="2446" spans="14:26" ht="31.4" customHeight="1" x14ac:dyDescent="0.35">
      <c r="N2446" s="20"/>
      <c r="P2446" s="8"/>
      <c r="Q2446" s="8"/>
      <c r="R2446" s="8"/>
      <c r="S2446" s="8"/>
      <c r="U2446" s="6"/>
      <c r="V2446" s="6"/>
      <c r="W2446" s="6"/>
      <c r="X2446" s="6"/>
      <c r="Y2446" s="6"/>
      <c r="Z2446" s="6"/>
    </row>
    <row r="2447" spans="14:26" ht="31.4" customHeight="1" x14ac:dyDescent="0.35">
      <c r="N2447" s="20"/>
      <c r="P2447" s="8"/>
      <c r="Q2447" s="8"/>
      <c r="R2447" s="8"/>
      <c r="S2447" s="8"/>
      <c r="U2447" s="6"/>
      <c r="V2447" s="6"/>
      <c r="W2447" s="6"/>
      <c r="X2447" s="6"/>
      <c r="Y2447" s="6"/>
      <c r="Z2447" s="6"/>
    </row>
    <row r="2448" spans="14:26" ht="31.4" customHeight="1" x14ac:dyDescent="0.35">
      <c r="N2448" s="20"/>
      <c r="P2448" s="8"/>
      <c r="Q2448" s="8"/>
      <c r="R2448" s="8"/>
      <c r="S2448" s="8"/>
      <c r="U2448" s="6"/>
      <c r="V2448" s="6"/>
      <c r="W2448" s="6"/>
      <c r="X2448" s="6"/>
      <c r="Y2448" s="6"/>
      <c r="Z2448" s="6"/>
    </row>
    <row r="2449" spans="14:26" ht="31.4" customHeight="1" x14ac:dyDescent="0.35">
      <c r="N2449" s="20"/>
      <c r="P2449" s="8"/>
      <c r="Q2449" s="8"/>
      <c r="R2449" s="8"/>
      <c r="S2449" s="8"/>
      <c r="U2449" s="6"/>
      <c r="V2449" s="6"/>
      <c r="W2449" s="6"/>
      <c r="X2449" s="6"/>
      <c r="Y2449" s="6"/>
      <c r="Z2449" s="6"/>
    </row>
    <row r="2450" spans="14:26" ht="31.4" customHeight="1" x14ac:dyDescent="0.35">
      <c r="N2450" s="20"/>
      <c r="P2450" s="8"/>
      <c r="Q2450" s="8"/>
      <c r="R2450" s="8"/>
      <c r="S2450" s="8"/>
      <c r="U2450" s="6"/>
      <c r="V2450" s="6"/>
      <c r="W2450" s="6"/>
      <c r="X2450" s="6"/>
      <c r="Y2450" s="6"/>
      <c r="Z2450" s="6"/>
    </row>
    <row r="2451" spans="14:26" ht="31.4" customHeight="1" x14ac:dyDescent="0.35">
      <c r="N2451" s="20"/>
      <c r="P2451" s="8"/>
      <c r="Q2451" s="8"/>
      <c r="R2451" s="8"/>
      <c r="S2451" s="8"/>
      <c r="U2451" s="6"/>
      <c r="V2451" s="6"/>
      <c r="W2451" s="6"/>
      <c r="X2451" s="6"/>
      <c r="Y2451" s="6"/>
      <c r="Z2451" s="6"/>
    </row>
    <row r="2452" spans="14:26" ht="31.4" customHeight="1" x14ac:dyDescent="0.35">
      <c r="N2452" s="20"/>
      <c r="P2452" s="8"/>
      <c r="Q2452" s="8"/>
      <c r="R2452" s="8"/>
      <c r="S2452" s="8"/>
      <c r="U2452" s="6"/>
      <c r="V2452" s="6"/>
      <c r="W2452" s="6"/>
      <c r="X2452" s="6"/>
      <c r="Y2452" s="6"/>
      <c r="Z2452" s="6"/>
    </row>
    <row r="2453" spans="14:26" ht="31.4" customHeight="1" x14ac:dyDescent="0.35">
      <c r="N2453" s="20"/>
      <c r="P2453" s="8"/>
      <c r="Q2453" s="8"/>
      <c r="R2453" s="8"/>
      <c r="S2453" s="8"/>
      <c r="U2453" s="6"/>
      <c r="V2453" s="6"/>
      <c r="W2453" s="6"/>
      <c r="X2453" s="6"/>
      <c r="Y2453" s="6"/>
      <c r="Z2453" s="6"/>
    </row>
    <row r="2454" spans="14:26" ht="31.4" customHeight="1" x14ac:dyDescent="0.35">
      <c r="N2454" s="20"/>
      <c r="P2454" s="8"/>
      <c r="Q2454" s="8"/>
      <c r="R2454" s="8"/>
      <c r="S2454" s="8"/>
      <c r="U2454" s="6"/>
      <c r="V2454" s="6"/>
      <c r="W2454" s="6"/>
      <c r="X2454" s="6"/>
      <c r="Y2454" s="6"/>
      <c r="Z2454" s="6"/>
    </row>
    <row r="2455" spans="14:26" ht="31.4" customHeight="1" x14ac:dyDescent="0.35">
      <c r="N2455" s="20"/>
      <c r="P2455" s="8"/>
      <c r="Q2455" s="8"/>
      <c r="R2455" s="8"/>
      <c r="S2455" s="8"/>
      <c r="U2455" s="6"/>
      <c r="V2455" s="6"/>
      <c r="W2455" s="6"/>
      <c r="X2455" s="6"/>
      <c r="Y2455" s="6"/>
      <c r="Z2455" s="6"/>
    </row>
    <row r="2456" spans="14:26" ht="31.4" customHeight="1" x14ac:dyDescent="0.35">
      <c r="N2456" s="20"/>
      <c r="P2456" s="8"/>
      <c r="Q2456" s="8"/>
      <c r="R2456" s="8"/>
      <c r="S2456" s="8"/>
      <c r="U2456" s="6"/>
      <c r="V2456" s="6"/>
      <c r="W2456" s="6"/>
      <c r="X2456" s="6"/>
      <c r="Y2456" s="6"/>
      <c r="Z2456" s="6"/>
    </row>
    <row r="2457" spans="14:26" ht="31.4" customHeight="1" x14ac:dyDescent="0.35">
      <c r="N2457" s="20"/>
      <c r="P2457" s="8"/>
      <c r="Q2457" s="8"/>
      <c r="R2457" s="8"/>
      <c r="S2457" s="8"/>
      <c r="U2457" s="6"/>
      <c r="V2457" s="6"/>
      <c r="W2457" s="6"/>
      <c r="X2457" s="6"/>
      <c r="Y2457" s="6"/>
      <c r="Z2457" s="6"/>
    </row>
    <row r="2458" spans="14:26" ht="31.4" customHeight="1" x14ac:dyDescent="0.35">
      <c r="N2458" s="20"/>
      <c r="P2458" s="8"/>
      <c r="Q2458" s="8"/>
      <c r="R2458" s="8"/>
      <c r="S2458" s="8"/>
      <c r="U2458" s="6"/>
      <c r="V2458" s="6"/>
      <c r="W2458" s="6"/>
      <c r="X2458" s="6"/>
      <c r="Y2458" s="6"/>
      <c r="Z2458" s="6"/>
    </row>
    <row r="2459" spans="14:26" ht="31.4" customHeight="1" x14ac:dyDescent="0.35">
      <c r="N2459" s="20"/>
      <c r="P2459" s="8"/>
      <c r="Q2459" s="8"/>
      <c r="R2459" s="8"/>
      <c r="S2459" s="8"/>
      <c r="U2459" s="6"/>
      <c r="V2459" s="6"/>
      <c r="W2459" s="6"/>
      <c r="X2459" s="6"/>
      <c r="Y2459" s="6"/>
      <c r="Z2459" s="6"/>
    </row>
    <row r="2460" spans="14:26" ht="31.4" customHeight="1" x14ac:dyDescent="0.35">
      <c r="N2460" s="20"/>
      <c r="P2460" s="8"/>
      <c r="Q2460" s="8"/>
      <c r="R2460" s="8"/>
      <c r="S2460" s="8"/>
      <c r="U2460" s="6"/>
      <c r="V2460" s="6"/>
      <c r="W2460" s="6"/>
      <c r="X2460" s="6"/>
      <c r="Y2460" s="6"/>
      <c r="Z2460" s="6"/>
    </row>
    <row r="2461" spans="14:26" ht="31.4" customHeight="1" x14ac:dyDescent="0.35">
      <c r="N2461" s="20"/>
      <c r="P2461" s="8"/>
      <c r="Q2461" s="8"/>
      <c r="R2461" s="8"/>
      <c r="S2461" s="8"/>
      <c r="U2461" s="6"/>
      <c r="V2461" s="6"/>
      <c r="W2461" s="6"/>
      <c r="X2461" s="6"/>
      <c r="Y2461" s="6"/>
      <c r="Z2461" s="6"/>
    </row>
    <row r="2462" spans="14:26" ht="31.4" customHeight="1" x14ac:dyDescent="0.35">
      <c r="N2462" s="20"/>
      <c r="P2462" s="8"/>
      <c r="Q2462" s="8"/>
      <c r="R2462" s="8"/>
      <c r="S2462" s="8"/>
      <c r="U2462" s="6"/>
      <c r="V2462" s="6"/>
      <c r="W2462" s="6"/>
      <c r="X2462" s="6"/>
      <c r="Y2462" s="6"/>
      <c r="Z2462" s="6"/>
    </row>
    <row r="2463" spans="14:26" ht="31.4" customHeight="1" x14ac:dyDescent="0.35">
      <c r="N2463" s="20"/>
      <c r="P2463" s="8"/>
      <c r="Q2463" s="8"/>
      <c r="R2463" s="8"/>
      <c r="S2463" s="8"/>
      <c r="U2463" s="6"/>
      <c r="V2463" s="6"/>
      <c r="W2463" s="6"/>
      <c r="X2463" s="6"/>
      <c r="Y2463" s="6"/>
      <c r="Z2463" s="6"/>
    </row>
    <row r="2464" spans="14:26" ht="31.4" customHeight="1" x14ac:dyDescent="0.35">
      <c r="N2464" s="20"/>
      <c r="P2464" s="8"/>
      <c r="Q2464" s="8"/>
      <c r="R2464" s="8"/>
      <c r="S2464" s="8"/>
      <c r="U2464" s="6"/>
      <c r="V2464" s="6"/>
      <c r="W2464" s="6"/>
      <c r="X2464" s="6"/>
      <c r="Y2464" s="6"/>
      <c r="Z2464" s="6"/>
    </row>
    <row r="2465" spans="14:26" ht="31.4" customHeight="1" x14ac:dyDescent="0.35">
      <c r="N2465" s="20"/>
      <c r="P2465" s="8"/>
      <c r="Q2465" s="8"/>
      <c r="R2465" s="8"/>
      <c r="S2465" s="8"/>
      <c r="U2465" s="6"/>
      <c r="V2465" s="6"/>
      <c r="W2465" s="6"/>
      <c r="X2465" s="6"/>
      <c r="Y2465" s="6"/>
      <c r="Z2465" s="6"/>
    </row>
    <row r="2466" spans="14:26" ht="31.4" customHeight="1" x14ac:dyDescent="0.35">
      <c r="N2466" s="20"/>
      <c r="P2466" s="8"/>
      <c r="Q2466" s="8"/>
      <c r="R2466" s="8"/>
      <c r="S2466" s="8"/>
      <c r="U2466" s="6"/>
      <c r="V2466" s="6"/>
      <c r="W2466" s="6"/>
      <c r="X2466" s="6"/>
      <c r="Y2466" s="6"/>
      <c r="Z2466" s="6"/>
    </row>
    <row r="2467" spans="14:26" ht="31.4" customHeight="1" x14ac:dyDescent="0.35">
      <c r="N2467" s="20"/>
      <c r="P2467" s="8"/>
      <c r="Q2467" s="8"/>
      <c r="R2467" s="8"/>
      <c r="S2467" s="8"/>
      <c r="U2467" s="6"/>
      <c r="V2467" s="6"/>
      <c r="W2467" s="6"/>
      <c r="X2467" s="6"/>
      <c r="Y2467" s="6"/>
      <c r="Z2467" s="6"/>
    </row>
    <row r="2468" spans="14:26" ht="31.4" customHeight="1" x14ac:dyDescent="0.35">
      <c r="N2468" s="20"/>
      <c r="P2468" s="8"/>
      <c r="Q2468" s="8"/>
      <c r="R2468" s="8"/>
      <c r="S2468" s="8"/>
      <c r="U2468" s="6"/>
      <c r="V2468" s="6"/>
      <c r="W2468" s="6"/>
      <c r="X2468" s="6"/>
      <c r="Y2468" s="6"/>
      <c r="Z2468" s="6"/>
    </row>
    <row r="2469" spans="14:26" ht="31.4" customHeight="1" x14ac:dyDescent="0.35">
      <c r="N2469" s="20"/>
      <c r="P2469" s="8"/>
      <c r="Q2469" s="8"/>
      <c r="R2469" s="8"/>
      <c r="S2469" s="8"/>
      <c r="U2469" s="6"/>
      <c r="V2469" s="6"/>
      <c r="W2469" s="6"/>
      <c r="X2469" s="6"/>
      <c r="Y2469" s="6"/>
      <c r="Z2469" s="6"/>
    </row>
    <row r="2470" spans="14:26" ht="31.4" customHeight="1" x14ac:dyDescent="0.35">
      <c r="N2470" s="20"/>
      <c r="P2470" s="8"/>
      <c r="Q2470" s="8"/>
      <c r="R2470" s="8"/>
      <c r="S2470" s="8"/>
      <c r="U2470" s="6"/>
      <c r="V2470" s="6"/>
      <c r="W2470" s="6"/>
      <c r="X2470" s="6"/>
      <c r="Y2470" s="6"/>
      <c r="Z2470" s="6"/>
    </row>
    <row r="2471" spans="14:26" ht="31.4" customHeight="1" x14ac:dyDescent="0.35">
      <c r="N2471" s="20"/>
      <c r="P2471" s="8"/>
      <c r="Q2471" s="8"/>
      <c r="R2471" s="8"/>
      <c r="S2471" s="8"/>
      <c r="U2471" s="6"/>
      <c r="V2471" s="6"/>
      <c r="W2471" s="6"/>
      <c r="X2471" s="6"/>
      <c r="Y2471" s="6"/>
      <c r="Z2471" s="6"/>
    </row>
    <row r="2472" spans="14:26" ht="31.4" customHeight="1" x14ac:dyDescent="0.35">
      <c r="N2472" s="20"/>
      <c r="P2472" s="8"/>
      <c r="Q2472" s="8"/>
      <c r="R2472" s="8"/>
      <c r="S2472" s="8"/>
      <c r="U2472" s="6"/>
      <c r="V2472" s="6"/>
      <c r="W2472" s="6"/>
      <c r="X2472" s="6"/>
      <c r="Y2472" s="6"/>
      <c r="Z2472" s="6"/>
    </row>
    <row r="2473" spans="14:26" ht="31.4" customHeight="1" x14ac:dyDescent="0.35">
      <c r="N2473" s="20"/>
      <c r="P2473" s="8"/>
      <c r="Q2473" s="8"/>
      <c r="R2473" s="8"/>
      <c r="S2473" s="8"/>
      <c r="U2473" s="6"/>
      <c r="V2473" s="6"/>
      <c r="W2473" s="6"/>
      <c r="X2473" s="6"/>
      <c r="Y2473" s="6"/>
      <c r="Z2473" s="6"/>
    </row>
    <row r="2474" spans="14:26" ht="31.4" customHeight="1" x14ac:dyDescent="0.35">
      <c r="N2474" s="20"/>
      <c r="P2474" s="8"/>
      <c r="Q2474" s="8"/>
      <c r="R2474" s="8"/>
      <c r="S2474" s="8"/>
      <c r="U2474" s="6"/>
      <c r="V2474" s="6"/>
      <c r="W2474" s="6"/>
      <c r="X2474" s="6"/>
      <c r="Y2474" s="6"/>
      <c r="Z2474" s="6"/>
    </row>
    <row r="2475" spans="14:26" ht="31.4" customHeight="1" x14ac:dyDescent="0.35">
      <c r="N2475" s="20"/>
      <c r="P2475" s="8"/>
      <c r="Q2475" s="8"/>
      <c r="R2475" s="8"/>
      <c r="S2475" s="8"/>
      <c r="U2475" s="6"/>
      <c r="V2475" s="6"/>
      <c r="W2475" s="6"/>
      <c r="X2475" s="6"/>
      <c r="Y2475" s="6"/>
      <c r="Z2475" s="6"/>
    </row>
    <row r="2476" spans="14:26" ht="31.4" customHeight="1" x14ac:dyDescent="0.35">
      <c r="N2476" s="20"/>
      <c r="P2476" s="8"/>
      <c r="Q2476" s="8"/>
      <c r="R2476" s="8"/>
      <c r="S2476" s="8"/>
      <c r="U2476" s="6"/>
      <c r="V2476" s="6"/>
      <c r="W2476" s="6"/>
      <c r="X2476" s="6"/>
      <c r="Y2476" s="6"/>
      <c r="Z2476" s="6"/>
    </row>
    <row r="2477" spans="14:26" ht="31.4" customHeight="1" x14ac:dyDescent="0.35">
      <c r="N2477" s="20"/>
      <c r="P2477" s="8"/>
      <c r="Q2477" s="8"/>
      <c r="R2477" s="8"/>
      <c r="S2477" s="8"/>
      <c r="U2477" s="6"/>
      <c r="V2477" s="6"/>
      <c r="W2477" s="6"/>
      <c r="X2477" s="6"/>
      <c r="Y2477" s="6"/>
      <c r="Z2477" s="6"/>
    </row>
    <row r="2478" spans="14:26" ht="31.4" customHeight="1" x14ac:dyDescent="0.35">
      <c r="N2478" s="20"/>
      <c r="P2478" s="8"/>
      <c r="Q2478" s="8"/>
      <c r="R2478" s="8"/>
      <c r="S2478" s="8"/>
      <c r="U2478" s="6"/>
      <c r="V2478" s="6"/>
      <c r="W2478" s="6"/>
      <c r="X2478" s="6"/>
      <c r="Y2478" s="6"/>
      <c r="Z2478" s="6"/>
    </row>
    <row r="2479" spans="14:26" ht="31.4" customHeight="1" x14ac:dyDescent="0.35">
      <c r="N2479" s="20"/>
      <c r="P2479" s="8"/>
      <c r="Q2479" s="8"/>
      <c r="R2479" s="8"/>
      <c r="S2479" s="8"/>
      <c r="U2479" s="6"/>
      <c r="V2479" s="6"/>
      <c r="W2479" s="6"/>
      <c r="X2479" s="6"/>
      <c r="Y2479" s="6"/>
      <c r="Z2479" s="6"/>
    </row>
    <row r="2480" spans="14:26" ht="31.4" customHeight="1" x14ac:dyDescent="0.35">
      <c r="N2480" s="20"/>
      <c r="P2480" s="8"/>
      <c r="Q2480" s="8"/>
      <c r="R2480" s="8"/>
      <c r="S2480" s="8"/>
      <c r="U2480" s="6"/>
      <c r="V2480" s="6"/>
      <c r="W2480" s="6"/>
      <c r="X2480" s="6"/>
      <c r="Y2480" s="6"/>
      <c r="Z2480" s="6"/>
    </row>
    <row r="2481" spans="14:26" ht="31.4" customHeight="1" x14ac:dyDescent="0.35">
      <c r="N2481" s="20"/>
      <c r="P2481" s="8"/>
      <c r="Q2481" s="8"/>
      <c r="R2481" s="8"/>
      <c r="S2481" s="8"/>
      <c r="U2481" s="6"/>
      <c r="V2481" s="6"/>
      <c r="W2481" s="6"/>
      <c r="X2481" s="6"/>
      <c r="Y2481" s="6"/>
      <c r="Z2481" s="6"/>
    </row>
    <row r="2482" spans="14:26" ht="31.4" customHeight="1" x14ac:dyDescent="0.35">
      <c r="N2482" s="20"/>
      <c r="P2482" s="8"/>
      <c r="Q2482" s="8"/>
      <c r="R2482" s="8"/>
      <c r="S2482" s="8"/>
      <c r="U2482" s="6"/>
      <c r="V2482" s="6"/>
      <c r="W2482" s="6"/>
      <c r="X2482" s="6"/>
      <c r="Y2482" s="6"/>
      <c r="Z2482" s="6"/>
    </row>
    <row r="2483" spans="14:26" ht="31.4" customHeight="1" x14ac:dyDescent="0.35">
      <c r="N2483" s="20"/>
      <c r="P2483" s="8"/>
      <c r="Q2483" s="8"/>
      <c r="R2483" s="8"/>
      <c r="S2483" s="8"/>
      <c r="U2483" s="6"/>
      <c r="V2483" s="6"/>
      <c r="W2483" s="6"/>
      <c r="X2483" s="6"/>
      <c r="Y2483" s="6"/>
      <c r="Z2483" s="6"/>
    </row>
    <row r="2484" spans="14:26" ht="31.4" customHeight="1" x14ac:dyDescent="0.35">
      <c r="N2484" s="20"/>
      <c r="P2484" s="8"/>
      <c r="Q2484" s="8"/>
      <c r="R2484" s="8"/>
      <c r="S2484" s="8"/>
      <c r="U2484" s="6"/>
      <c r="V2484" s="6"/>
      <c r="W2484" s="6"/>
      <c r="X2484" s="6"/>
      <c r="Y2484" s="6"/>
      <c r="Z2484" s="6"/>
    </row>
    <row r="2485" spans="14:26" ht="31.4" customHeight="1" x14ac:dyDescent="0.35">
      <c r="N2485" s="20"/>
      <c r="P2485" s="8"/>
      <c r="Q2485" s="8"/>
      <c r="R2485" s="8"/>
      <c r="S2485" s="8"/>
      <c r="U2485" s="6"/>
      <c r="V2485" s="6"/>
      <c r="W2485" s="6"/>
      <c r="X2485" s="6"/>
      <c r="Y2485" s="6"/>
      <c r="Z2485" s="6"/>
    </row>
    <row r="2486" spans="14:26" ht="31.4" customHeight="1" x14ac:dyDescent="0.35">
      <c r="N2486" s="20"/>
      <c r="P2486" s="8"/>
      <c r="Q2486" s="8"/>
      <c r="R2486" s="8"/>
      <c r="S2486" s="8"/>
      <c r="U2486" s="6"/>
      <c r="V2486" s="6"/>
      <c r="W2486" s="6"/>
      <c r="X2486" s="6"/>
      <c r="Y2486" s="6"/>
      <c r="Z2486" s="6"/>
    </row>
    <row r="2487" spans="14:26" ht="31.4" customHeight="1" x14ac:dyDescent="0.35">
      <c r="N2487" s="20"/>
      <c r="P2487" s="8"/>
      <c r="Q2487" s="8"/>
      <c r="R2487" s="8"/>
      <c r="S2487" s="8"/>
      <c r="U2487" s="6"/>
      <c r="V2487" s="6"/>
      <c r="W2487" s="6"/>
      <c r="X2487" s="6"/>
      <c r="Y2487" s="6"/>
      <c r="Z2487" s="6"/>
    </row>
    <row r="2488" spans="14:26" ht="31.4" customHeight="1" x14ac:dyDescent="0.35">
      <c r="N2488" s="20"/>
      <c r="P2488" s="8"/>
      <c r="Q2488" s="8"/>
      <c r="R2488" s="8"/>
      <c r="S2488" s="8"/>
      <c r="U2488" s="6"/>
      <c r="V2488" s="6"/>
      <c r="W2488" s="6"/>
      <c r="X2488" s="6"/>
      <c r="Y2488" s="6"/>
      <c r="Z2488" s="6"/>
    </row>
    <row r="2489" spans="14:26" ht="31.4" customHeight="1" x14ac:dyDescent="0.35">
      <c r="N2489" s="20"/>
      <c r="P2489" s="8"/>
      <c r="Q2489" s="8"/>
      <c r="R2489" s="8"/>
      <c r="S2489" s="8"/>
      <c r="U2489" s="6"/>
      <c r="V2489" s="6"/>
      <c r="W2489" s="6"/>
      <c r="X2489" s="6"/>
      <c r="Y2489" s="6"/>
      <c r="Z2489" s="6"/>
    </row>
    <row r="2490" spans="14:26" ht="31.4" customHeight="1" x14ac:dyDescent="0.35">
      <c r="N2490" s="20"/>
      <c r="P2490" s="8"/>
      <c r="Q2490" s="8"/>
      <c r="R2490" s="8"/>
      <c r="S2490" s="8"/>
      <c r="U2490" s="6"/>
      <c r="V2490" s="6"/>
      <c r="W2490" s="6"/>
      <c r="X2490" s="6"/>
      <c r="Y2490" s="6"/>
      <c r="Z2490" s="6"/>
    </row>
    <row r="2491" spans="14:26" ht="31.4" customHeight="1" x14ac:dyDescent="0.35">
      <c r="N2491" s="20"/>
      <c r="P2491" s="8"/>
      <c r="Q2491" s="8"/>
      <c r="R2491" s="8"/>
      <c r="S2491" s="8"/>
      <c r="U2491" s="6"/>
      <c r="V2491" s="6"/>
      <c r="W2491" s="6"/>
      <c r="X2491" s="6"/>
      <c r="Y2491" s="6"/>
      <c r="Z2491" s="6"/>
    </row>
    <row r="2492" spans="14:26" ht="31.4" customHeight="1" x14ac:dyDescent="0.35">
      <c r="N2492" s="20"/>
      <c r="P2492" s="8"/>
      <c r="Q2492" s="8"/>
      <c r="R2492" s="8"/>
      <c r="S2492" s="8"/>
      <c r="U2492" s="6"/>
      <c r="V2492" s="6"/>
      <c r="W2492" s="6"/>
      <c r="X2492" s="6"/>
      <c r="Y2492" s="6"/>
      <c r="Z2492" s="6"/>
    </row>
    <row r="2493" spans="14:26" ht="31.4" customHeight="1" x14ac:dyDescent="0.35">
      <c r="N2493" s="20"/>
      <c r="P2493" s="8"/>
      <c r="Q2493" s="8"/>
      <c r="R2493" s="8"/>
      <c r="S2493" s="8"/>
      <c r="U2493" s="6"/>
      <c r="V2493" s="6"/>
      <c r="W2493" s="6"/>
      <c r="X2493" s="6"/>
      <c r="Y2493" s="6"/>
      <c r="Z2493" s="6"/>
    </row>
    <row r="2494" spans="14:26" ht="31.4" customHeight="1" x14ac:dyDescent="0.35">
      <c r="N2494" s="20"/>
      <c r="P2494" s="8"/>
      <c r="Q2494" s="8"/>
      <c r="R2494" s="8"/>
      <c r="S2494" s="8"/>
      <c r="U2494" s="6"/>
      <c r="V2494" s="6"/>
      <c r="W2494" s="6"/>
      <c r="X2494" s="6"/>
      <c r="Y2494" s="6"/>
      <c r="Z2494" s="6"/>
    </row>
    <row r="2495" spans="14:26" ht="31.4" customHeight="1" x14ac:dyDescent="0.35">
      <c r="N2495" s="20"/>
      <c r="P2495" s="8"/>
      <c r="Q2495" s="8"/>
      <c r="R2495" s="8"/>
      <c r="S2495" s="8"/>
      <c r="U2495" s="6"/>
      <c r="V2495" s="6"/>
      <c r="W2495" s="6"/>
      <c r="X2495" s="6"/>
      <c r="Y2495" s="6"/>
      <c r="Z2495" s="6"/>
    </row>
    <row r="2496" spans="14:26" ht="31.4" customHeight="1" x14ac:dyDescent="0.35">
      <c r="N2496" s="20"/>
      <c r="P2496" s="8"/>
      <c r="Q2496" s="8"/>
      <c r="R2496" s="8"/>
      <c r="S2496" s="8"/>
      <c r="U2496" s="6"/>
      <c r="V2496" s="6"/>
      <c r="W2496" s="6"/>
      <c r="X2496" s="6"/>
      <c r="Y2496" s="6"/>
      <c r="Z2496" s="6"/>
    </row>
    <row r="2497" spans="14:26" ht="31.4" customHeight="1" x14ac:dyDescent="0.35">
      <c r="N2497" s="20"/>
      <c r="P2497" s="8"/>
      <c r="Q2497" s="8"/>
      <c r="R2497" s="8"/>
      <c r="S2497" s="8"/>
      <c r="U2497" s="6"/>
      <c r="V2497" s="6"/>
      <c r="W2497" s="6"/>
      <c r="X2497" s="6"/>
      <c r="Y2497" s="6"/>
      <c r="Z2497" s="6"/>
    </row>
    <row r="2498" spans="14:26" ht="31.4" customHeight="1" x14ac:dyDescent="0.35">
      <c r="N2498" s="20"/>
      <c r="P2498" s="8"/>
      <c r="Q2498" s="8"/>
      <c r="R2498" s="8"/>
      <c r="S2498" s="8"/>
      <c r="U2498" s="6"/>
      <c r="V2498" s="6"/>
      <c r="W2498" s="6"/>
      <c r="X2498" s="6"/>
      <c r="Y2498" s="6"/>
      <c r="Z2498" s="6"/>
    </row>
    <row r="2499" spans="14:26" ht="31.4" customHeight="1" x14ac:dyDescent="0.35">
      <c r="N2499" s="20"/>
      <c r="P2499" s="8"/>
      <c r="Q2499" s="8"/>
      <c r="R2499" s="8"/>
      <c r="S2499" s="8"/>
      <c r="U2499" s="6"/>
      <c r="V2499" s="6"/>
      <c r="W2499" s="6"/>
      <c r="X2499" s="6"/>
      <c r="Y2499" s="6"/>
      <c r="Z2499" s="6"/>
    </row>
    <row r="2500" spans="14:26" ht="31.4" customHeight="1" x14ac:dyDescent="0.35">
      <c r="N2500" s="20"/>
      <c r="P2500" s="8"/>
      <c r="Q2500" s="8"/>
      <c r="R2500" s="8"/>
      <c r="S2500" s="8"/>
      <c r="U2500" s="6"/>
      <c r="V2500" s="6"/>
      <c r="W2500" s="6"/>
      <c r="X2500" s="6"/>
      <c r="Y2500" s="6"/>
      <c r="Z2500" s="6"/>
    </row>
    <row r="2501" spans="14:26" ht="31.4" customHeight="1" x14ac:dyDescent="0.35">
      <c r="N2501" s="20"/>
      <c r="P2501" s="8"/>
      <c r="Q2501" s="8"/>
      <c r="R2501" s="8"/>
      <c r="S2501" s="8"/>
      <c r="U2501" s="6"/>
      <c r="V2501" s="6"/>
      <c r="W2501" s="6"/>
      <c r="X2501" s="6"/>
      <c r="Y2501" s="6"/>
      <c r="Z2501" s="6"/>
    </row>
    <row r="2502" spans="14:26" ht="31.4" customHeight="1" x14ac:dyDescent="0.35">
      <c r="N2502" s="20"/>
      <c r="P2502" s="8"/>
      <c r="Q2502" s="8"/>
      <c r="R2502" s="8"/>
      <c r="S2502" s="8"/>
      <c r="U2502" s="6"/>
      <c r="V2502" s="6"/>
      <c r="W2502" s="6"/>
      <c r="X2502" s="6"/>
      <c r="Y2502" s="6"/>
      <c r="Z2502" s="6"/>
    </row>
    <row r="2503" spans="14:26" ht="31.4" customHeight="1" x14ac:dyDescent="0.35">
      <c r="N2503" s="20"/>
      <c r="P2503" s="8"/>
      <c r="Q2503" s="8"/>
      <c r="R2503" s="8"/>
      <c r="S2503" s="8"/>
      <c r="U2503" s="6"/>
      <c r="V2503" s="6"/>
      <c r="W2503" s="6"/>
      <c r="X2503" s="6"/>
      <c r="Y2503" s="6"/>
      <c r="Z2503" s="6"/>
    </row>
    <row r="2504" spans="14:26" ht="31.4" customHeight="1" x14ac:dyDescent="0.35">
      <c r="N2504" s="20"/>
      <c r="P2504" s="8"/>
      <c r="Q2504" s="8"/>
      <c r="R2504" s="8"/>
      <c r="S2504" s="8"/>
      <c r="U2504" s="6"/>
      <c r="V2504" s="6"/>
      <c r="W2504" s="6"/>
      <c r="X2504" s="6"/>
      <c r="Y2504" s="6"/>
      <c r="Z2504" s="6"/>
    </row>
    <row r="2505" spans="14:26" ht="31.4" customHeight="1" x14ac:dyDescent="0.35">
      <c r="N2505" s="20"/>
      <c r="P2505" s="8"/>
      <c r="Q2505" s="8"/>
      <c r="R2505" s="8"/>
      <c r="S2505" s="8"/>
      <c r="U2505" s="6"/>
      <c r="V2505" s="6"/>
      <c r="W2505" s="6"/>
      <c r="X2505" s="6"/>
      <c r="Y2505" s="6"/>
      <c r="Z2505" s="6"/>
    </row>
    <row r="2506" spans="14:26" ht="31.4" customHeight="1" x14ac:dyDescent="0.35">
      <c r="N2506" s="20"/>
      <c r="P2506" s="8"/>
      <c r="Q2506" s="8"/>
      <c r="R2506" s="8"/>
      <c r="S2506" s="8"/>
      <c r="U2506" s="6"/>
      <c r="V2506" s="6"/>
      <c r="W2506" s="6"/>
      <c r="X2506" s="6"/>
      <c r="Y2506" s="6"/>
      <c r="Z2506" s="6"/>
    </row>
    <row r="2507" spans="14:26" ht="31.4" customHeight="1" x14ac:dyDescent="0.35">
      <c r="N2507" s="20"/>
      <c r="P2507" s="8"/>
      <c r="Q2507" s="8"/>
      <c r="R2507" s="8"/>
      <c r="S2507" s="8"/>
      <c r="U2507" s="6"/>
      <c r="V2507" s="6"/>
      <c r="W2507" s="6"/>
      <c r="X2507" s="6"/>
      <c r="Y2507" s="6"/>
      <c r="Z2507" s="6"/>
    </row>
    <row r="2508" spans="14:26" ht="31.4" customHeight="1" x14ac:dyDescent="0.35">
      <c r="N2508" s="20"/>
      <c r="P2508" s="8"/>
      <c r="Q2508" s="8"/>
      <c r="R2508" s="8"/>
      <c r="S2508" s="8"/>
      <c r="U2508" s="6"/>
      <c r="V2508" s="6"/>
      <c r="W2508" s="6"/>
      <c r="X2508" s="6"/>
      <c r="Y2508" s="6"/>
      <c r="Z2508" s="6"/>
    </row>
    <row r="2509" spans="14:26" ht="31.4" customHeight="1" x14ac:dyDescent="0.35">
      <c r="N2509" s="20"/>
      <c r="P2509" s="8"/>
      <c r="Q2509" s="8"/>
      <c r="R2509" s="8"/>
      <c r="S2509" s="8"/>
      <c r="U2509" s="6"/>
      <c r="V2509" s="6"/>
      <c r="W2509" s="6"/>
      <c r="X2509" s="6"/>
      <c r="Y2509" s="6"/>
      <c r="Z2509" s="6"/>
    </row>
    <row r="2510" spans="14:26" ht="31.4" customHeight="1" x14ac:dyDescent="0.35">
      <c r="N2510" s="20"/>
      <c r="P2510" s="8"/>
      <c r="Q2510" s="8"/>
      <c r="R2510" s="8"/>
      <c r="S2510" s="8"/>
      <c r="U2510" s="6"/>
      <c r="V2510" s="6"/>
      <c r="W2510" s="6"/>
      <c r="X2510" s="6"/>
      <c r="Y2510" s="6"/>
      <c r="Z2510" s="6"/>
    </row>
    <row r="2511" spans="14:26" ht="31.4" customHeight="1" x14ac:dyDescent="0.35">
      <c r="N2511" s="20"/>
      <c r="P2511" s="8"/>
      <c r="Q2511" s="8"/>
      <c r="R2511" s="8"/>
      <c r="S2511" s="8"/>
      <c r="U2511" s="6"/>
      <c r="V2511" s="6"/>
      <c r="W2511" s="6"/>
      <c r="X2511" s="6"/>
      <c r="Y2511" s="6"/>
      <c r="Z2511" s="6"/>
    </row>
    <row r="2512" spans="14:26" ht="31.4" customHeight="1" x14ac:dyDescent="0.35">
      <c r="N2512" s="20"/>
      <c r="P2512" s="8"/>
      <c r="Q2512" s="8"/>
      <c r="R2512" s="8"/>
      <c r="S2512" s="8"/>
      <c r="U2512" s="6"/>
      <c r="V2512" s="6"/>
      <c r="W2512" s="6"/>
      <c r="X2512" s="6"/>
      <c r="Y2512" s="6"/>
      <c r="Z2512" s="6"/>
    </row>
    <row r="2513" spans="14:26" ht="31.4" customHeight="1" x14ac:dyDescent="0.35">
      <c r="N2513" s="20"/>
      <c r="P2513" s="8"/>
      <c r="Q2513" s="8"/>
      <c r="R2513" s="8"/>
      <c r="S2513" s="8"/>
      <c r="U2513" s="6"/>
      <c r="V2513" s="6"/>
      <c r="W2513" s="6"/>
      <c r="X2513" s="6"/>
      <c r="Y2513" s="6"/>
      <c r="Z2513" s="6"/>
    </row>
    <row r="2514" spans="14:26" ht="31.4" customHeight="1" x14ac:dyDescent="0.35">
      <c r="N2514" s="20"/>
      <c r="P2514" s="8"/>
      <c r="Q2514" s="8"/>
      <c r="R2514" s="8"/>
      <c r="S2514" s="8"/>
      <c r="U2514" s="6"/>
      <c r="V2514" s="6"/>
      <c r="W2514" s="6"/>
      <c r="X2514" s="6"/>
      <c r="Y2514" s="6"/>
      <c r="Z2514" s="6"/>
    </row>
    <row r="2515" spans="14:26" ht="31.4" customHeight="1" x14ac:dyDescent="0.35">
      <c r="N2515" s="20"/>
      <c r="P2515" s="8"/>
      <c r="Q2515" s="8"/>
      <c r="R2515" s="8"/>
      <c r="S2515" s="8"/>
      <c r="U2515" s="6"/>
      <c r="V2515" s="6"/>
      <c r="W2515" s="6"/>
      <c r="X2515" s="6"/>
      <c r="Y2515" s="6"/>
      <c r="Z2515" s="6"/>
    </row>
    <row r="2516" spans="14:26" ht="31.4" customHeight="1" x14ac:dyDescent="0.35">
      <c r="N2516" s="20"/>
      <c r="P2516" s="8"/>
      <c r="Q2516" s="8"/>
      <c r="R2516" s="8"/>
      <c r="S2516" s="8"/>
      <c r="U2516" s="6"/>
      <c r="V2516" s="6"/>
      <c r="W2516" s="6"/>
      <c r="X2516" s="6"/>
      <c r="Y2516" s="6"/>
      <c r="Z2516" s="6"/>
    </row>
    <row r="2517" spans="14:26" ht="31.4" customHeight="1" x14ac:dyDescent="0.35">
      <c r="N2517" s="20"/>
      <c r="P2517" s="8"/>
      <c r="Q2517" s="8"/>
      <c r="R2517" s="8"/>
      <c r="S2517" s="8"/>
      <c r="U2517" s="6"/>
      <c r="V2517" s="6"/>
      <c r="W2517" s="6"/>
      <c r="X2517" s="6"/>
      <c r="Y2517" s="6"/>
      <c r="Z2517" s="6"/>
    </row>
    <row r="2518" spans="14:26" ht="31.4" customHeight="1" x14ac:dyDescent="0.35">
      <c r="N2518" s="20"/>
      <c r="P2518" s="8"/>
      <c r="Q2518" s="8"/>
      <c r="R2518" s="8"/>
      <c r="S2518" s="8"/>
      <c r="U2518" s="6"/>
      <c r="V2518" s="6"/>
      <c r="W2518" s="6"/>
      <c r="X2518" s="6"/>
      <c r="Y2518" s="6"/>
      <c r="Z2518" s="6"/>
    </row>
    <row r="2519" spans="14:26" ht="31.4" customHeight="1" x14ac:dyDescent="0.35">
      <c r="N2519" s="20"/>
      <c r="P2519" s="8"/>
      <c r="Q2519" s="8"/>
      <c r="R2519" s="8"/>
      <c r="S2519" s="8"/>
      <c r="U2519" s="6"/>
      <c r="V2519" s="6"/>
      <c r="W2519" s="6"/>
      <c r="X2519" s="6"/>
      <c r="Y2519" s="6"/>
      <c r="Z2519" s="6"/>
    </row>
    <row r="2520" spans="14:26" ht="31.4" customHeight="1" x14ac:dyDescent="0.35">
      <c r="N2520" s="20"/>
      <c r="P2520" s="8"/>
      <c r="Q2520" s="8"/>
      <c r="R2520" s="8"/>
      <c r="S2520" s="8"/>
      <c r="U2520" s="6"/>
      <c r="V2520" s="6"/>
      <c r="W2520" s="6"/>
      <c r="X2520" s="6"/>
      <c r="Y2520" s="6"/>
      <c r="Z2520" s="6"/>
    </row>
    <row r="2521" spans="14:26" ht="31.4" customHeight="1" x14ac:dyDescent="0.35">
      <c r="N2521" s="20"/>
      <c r="P2521" s="8"/>
      <c r="Q2521" s="8"/>
      <c r="R2521" s="8"/>
      <c r="S2521" s="8"/>
      <c r="U2521" s="6"/>
      <c r="V2521" s="6"/>
      <c r="W2521" s="6"/>
      <c r="X2521" s="6"/>
      <c r="Y2521" s="6"/>
      <c r="Z2521" s="6"/>
    </row>
    <row r="2522" spans="14:26" ht="31.4" customHeight="1" x14ac:dyDescent="0.35">
      <c r="N2522" s="20"/>
      <c r="P2522" s="8"/>
      <c r="Q2522" s="8"/>
      <c r="R2522" s="8"/>
      <c r="S2522" s="8"/>
      <c r="U2522" s="6"/>
      <c r="V2522" s="6"/>
      <c r="W2522" s="6"/>
      <c r="X2522" s="6"/>
      <c r="Y2522" s="6"/>
      <c r="Z2522" s="6"/>
    </row>
    <row r="2523" spans="14:26" ht="31.4" customHeight="1" x14ac:dyDescent="0.35">
      <c r="N2523" s="20"/>
      <c r="P2523" s="8"/>
      <c r="Q2523" s="8"/>
      <c r="R2523" s="8"/>
      <c r="S2523" s="8"/>
      <c r="U2523" s="6"/>
      <c r="V2523" s="6"/>
      <c r="W2523" s="6"/>
      <c r="X2523" s="6"/>
      <c r="Y2523" s="6"/>
      <c r="Z2523" s="6"/>
    </row>
    <row r="2524" spans="14:26" ht="31.4" customHeight="1" x14ac:dyDescent="0.35">
      <c r="N2524" s="20"/>
      <c r="P2524" s="8"/>
      <c r="Q2524" s="8"/>
      <c r="R2524" s="8"/>
      <c r="S2524" s="8"/>
      <c r="U2524" s="6"/>
      <c r="V2524" s="6"/>
      <c r="W2524" s="6"/>
      <c r="X2524" s="6"/>
      <c r="Y2524" s="6"/>
      <c r="Z2524" s="6"/>
    </row>
    <row r="2525" spans="14:26" ht="31.4" customHeight="1" x14ac:dyDescent="0.35">
      <c r="N2525" s="20"/>
      <c r="P2525" s="8"/>
      <c r="Q2525" s="8"/>
      <c r="R2525" s="8"/>
      <c r="S2525" s="8"/>
      <c r="U2525" s="6"/>
      <c r="V2525" s="6"/>
      <c r="W2525" s="6"/>
      <c r="X2525" s="6"/>
      <c r="Y2525" s="6"/>
      <c r="Z2525" s="6"/>
    </row>
    <row r="2526" spans="14:26" ht="31.4" customHeight="1" x14ac:dyDescent="0.35">
      <c r="N2526" s="20"/>
      <c r="P2526" s="8"/>
      <c r="Q2526" s="8"/>
      <c r="R2526" s="8"/>
      <c r="S2526" s="8"/>
      <c r="U2526" s="6"/>
      <c r="V2526" s="6"/>
      <c r="W2526" s="6"/>
      <c r="X2526" s="6"/>
      <c r="Y2526" s="6"/>
      <c r="Z2526" s="6"/>
    </row>
    <row r="2527" spans="14:26" ht="31.4" customHeight="1" x14ac:dyDescent="0.35">
      <c r="N2527" s="20"/>
      <c r="P2527" s="8"/>
      <c r="Q2527" s="8"/>
      <c r="R2527" s="8"/>
      <c r="S2527" s="8"/>
      <c r="U2527" s="6"/>
      <c r="V2527" s="6"/>
      <c r="W2527" s="6"/>
      <c r="X2527" s="6"/>
      <c r="Y2527" s="6"/>
      <c r="Z2527" s="6"/>
    </row>
    <row r="2528" spans="14:26" ht="31.4" customHeight="1" x14ac:dyDescent="0.35">
      <c r="N2528" s="20"/>
      <c r="P2528" s="8"/>
      <c r="Q2528" s="8"/>
      <c r="R2528" s="8"/>
      <c r="S2528" s="8"/>
      <c r="U2528" s="6"/>
      <c r="V2528" s="6"/>
      <c r="W2528" s="6"/>
      <c r="X2528" s="6"/>
      <c r="Y2528" s="6"/>
      <c r="Z2528" s="6"/>
    </row>
    <row r="2529" spans="14:26" ht="31.4" customHeight="1" x14ac:dyDescent="0.35">
      <c r="N2529" s="20"/>
      <c r="P2529" s="8"/>
      <c r="Q2529" s="8"/>
      <c r="R2529" s="8"/>
      <c r="S2529" s="8"/>
      <c r="U2529" s="6"/>
      <c r="V2529" s="6"/>
      <c r="W2529" s="6"/>
      <c r="X2529" s="6"/>
      <c r="Y2529" s="6"/>
      <c r="Z2529" s="6"/>
    </row>
    <row r="2530" spans="14:26" ht="31.4" customHeight="1" x14ac:dyDescent="0.35">
      <c r="N2530" s="20"/>
      <c r="P2530" s="8"/>
      <c r="Q2530" s="8"/>
      <c r="R2530" s="8"/>
      <c r="S2530" s="8"/>
      <c r="U2530" s="6"/>
      <c r="V2530" s="6"/>
      <c r="W2530" s="6"/>
      <c r="X2530" s="6"/>
      <c r="Y2530" s="6"/>
      <c r="Z2530" s="6"/>
    </row>
    <row r="2531" spans="14:26" ht="31.4" customHeight="1" x14ac:dyDescent="0.35">
      <c r="N2531" s="20"/>
      <c r="P2531" s="8"/>
      <c r="Q2531" s="8"/>
      <c r="R2531" s="8"/>
      <c r="S2531" s="8"/>
      <c r="U2531" s="6"/>
      <c r="V2531" s="6"/>
      <c r="W2531" s="6"/>
      <c r="X2531" s="6"/>
      <c r="Y2531" s="6"/>
      <c r="Z2531" s="6"/>
    </row>
    <row r="2532" spans="14:26" ht="31.4" customHeight="1" x14ac:dyDescent="0.35">
      <c r="N2532" s="20"/>
      <c r="P2532" s="8"/>
      <c r="Q2532" s="8"/>
      <c r="R2532" s="8"/>
      <c r="S2532" s="8"/>
      <c r="U2532" s="6"/>
      <c r="V2532" s="6"/>
      <c r="W2532" s="6"/>
      <c r="X2532" s="6"/>
      <c r="Y2532" s="6"/>
      <c r="Z2532" s="6"/>
    </row>
    <row r="2533" spans="14:26" ht="31.4" customHeight="1" x14ac:dyDescent="0.35">
      <c r="N2533" s="20"/>
      <c r="P2533" s="8"/>
      <c r="Q2533" s="8"/>
      <c r="R2533" s="8"/>
      <c r="S2533" s="8"/>
      <c r="U2533" s="6"/>
      <c r="V2533" s="6"/>
      <c r="W2533" s="6"/>
      <c r="X2533" s="6"/>
      <c r="Y2533" s="6"/>
      <c r="Z2533" s="6"/>
    </row>
    <row r="2534" spans="14:26" ht="31.4" customHeight="1" x14ac:dyDescent="0.35">
      <c r="N2534" s="20"/>
      <c r="P2534" s="8"/>
      <c r="Q2534" s="8"/>
      <c r="R2534" s="8"/>
      <c r="S2534" s="8"/>
      <c r="U2534" s="6"/>
      <c r="V2534" s="6"/>
      <c r="W2534" s="6"/>
      <c r="X2534" s="6"/>
      <c r="Y2534" s="6"/>
      <c r="Z2534" s="6"/>
    </row>
    <row r="2535" spans="14:26" ht="31.4" customHeight="1" x14ac:dyDescent="0.35">
      <c r="N2535" s="20"/>
      <c r="P2535" s="8"/>
      <c r="Q2535" s="8"/>
      <c r="R2535" s="8"/>
      <c r="S2535" s="8"/>
      <c r="U2535" s="6"/>
      <c r="V2535" s="6"/>
      <c r="W2535" s="6"/>
      <c r="X2535" s="6"/>
      <c r="Y2535" s="6"/>
      <c r="Z2535" s="6"/>
    </row>
    <row r="2536" spans="14:26" ht="31.4" customHeight="1" x14ac:dyDescent="0.35">
      <c r="N2536" s="20"/>
      <c r="P2536" s="8"/>
      <c r="Q2536" s="8"/>
      <c r="R2536" s="8"/>
      <c r="S2536" s="8"/>
      <c r="U2536" s="6"/>
      <c r="V2536" s="6"/>
      <c r="W2536" s="6"/>
      <c r="X2536" s="6"/>
      <c r="Y2536" s="6"/>
      <c r="Z2536" s="6"/>
    </row>
    <row r="2537" spans="14:26" ht="31.4" customHeight="1" x14ac:dyDescent="0.35">
      <c r="N2537" s="20"/>
      <c r="P2537" s="8"/>
      <c r="Q2537" s="8"/>
      <c r="R2537" s="8"/>
      <c r="S2537" s="8"/>
      <c r="U2537" s="6"/>
      <c r="V2537" s="6"/>
      <c r="W2537" s="6"/>
      <c r="X2537" s="6"/>
      <c r="Y2537" s="6"/>
      <c r="Z2537" s="6"/>
    </row>
    <row r="2538" spans="14:26" ht="31.4" customHeight="1" x14ac:dyDescent="0.35">
      <c r="N2538" s="20"/>
      <c r="P2538" s="8"/>
      <c r="Q2538" s="8"/>
      <c r="R2538" s="8"/>
      <c r="S2538" s="8"/>
      <c r="U2538" s="6"/>
      <c r="V2538" s="6"/>
      <c r="W2538" s="6"/>
      <c r="X2538" s="6"/>
      <c r="Y2538" s="6"/>
      <c r="Z2538" s="6"/>
    </row>
    <row r="2539" spans="14:26" ht="31.4" customHeight="1" x14ac:dyDescent="0.35">
      <c r="N2539" s="20"/>
      <c r="P2539" s="8"/>
      <c r="Q2539" s="8"/>
      <c r="R2539" s="8"/>
      <c r="S2539" s="8"/>
      <c r="U2539" s="6"/>
      <c r="V2539" s="6"/>
      <c r="W2539" s="6"/>
      <c r="X2539" s="6"/>
      <c r="Y2539" s="6"/>
      <c r="Z2539" s="6"/>
    </row>
    <row r="2540" spans="14:26" ht="31.4" customHeight="1" x14ac:dyDescent="0.35">
      <c r="N2540" s="20"/>
      <c r="P2540" s="8"/>
      <c r="Q2540" s="8"/>
      <c r="R2540" s="8"/>
      <c r="S2540" s="8"/>
      <c r="U2540" s="6"/>
      <c r="V2540" s="6"/>
      <c r="W2540" s="6"/>
      <c r="X2540" s="6"/>
      <c r="Y2540" s="6"/>
      <c r="Z2540" s="6"/>
    </row>
    <row r="2541" spans="14:26" ht="31.4" customHeight="1" x14ac:dyDescent="0.35">
      <c r="N2541" s="20"/>
      <c r="P2541" s="8"/>
      <c r="Q2541" s="8"/>
      <c r="R2541" s="8"/>
      <c r="S2541" s="8"/>
      <c r="U2541" s="6"/>
      <c r="V2541" s="6"/>
      <c r="W2541" s="6"/>
      <c r="X2541" s="6"/>
      <c r="Y2541" s="6"/>
      <c r="Z2541" s="6"/>
    </row>
    <row r="2542" spans="14:26" ht="31.4" customHeight="1" x14ac:dyDescent="0.35">
      <c r="N2542" s="20"/>
      <c r="P2542" s="8"/>
      <c r="Q2542" s="8"/>
      <c r="R2542" s="8"/>
      <c r="S2542" s="8"/>
      <c r="U2542" s="6"/>
      <c r="V2542" s="6"/>
      <c r="W2542" s="6"/>
      <c r="X2542" s="6"/>
      <c r="Y2542" s="6"/>
      <c r="Z2542" s="6"/>
    </row>
    <row r="2543" spans="14:26" ht="31.4" customHeight="1" x14ac:dyDescent="0.35">
      <c r="N2543" s="20"/>
      <c r="P2543" s="8"/>
      <c r="Q2543" s="8"/>
      <c r="R2543" s="8"/>
      <c r="S2543" s="8"/>
      <c r="U2543" s="6"/>
      <c r="V2543" s="6"/>
      <c r="W2543" s="6"/>
      <c r="X2543" s="6"/>
      <c r="Y2543" s="6"/>
      <c r="Z2543" s="6"/>
    </row>
    <row r="2544" spans="14:26" ht="31.4" customHeight="1" x14ac:dyDescent="0.35">
      <c r="N2544" s="20"/>
      <c r="P2544" s="8"/>
      <c r="Q2544" s="8"/>
      <c r="R2544" s="8"/>
      <c r="S2544" s="8"/>
      <c r="U2544" s="6"/>
      <c r="V2544" s="6"/>
      <c r="W2544" s="6"/>
      <c r="X2544" s="6"/>
      <c r="Y2544" s="6"/>
      <c r="Z2544" s="6"/>
    </row>
    <row r="2545" spans="14:26" ht="31.4" customHeight="1" x14ac:dyDescent="0.35">
      <c r="N2545" s="20"/>
      <c r="P2545" s="8"/>
      <c r="Q2545" s="8"/>
      <c r="R2545" s="8"/>
      <c r="S2545" s="8"/>
      <c r="U2545" s="6"/>
      <c r="V2545" s="6"/>
      <c r="W2545" s="6"/>
      <c r="X2545" s="6"/>
      <c r="Y2545" s="6"/>
      <c r="Z2545" s="6"/>
    </row>
    <row r="2546" spans="14:26" ht="31.4" customHeight="1" x14ac:dyDescent="0.35">
      <c r="N2546" s="20"/>
      <c r="P2546" s="8"/>
      <c r="Q2546" s="8"/>
      <c r="R2546" s="8"/>
      <c r="S2546" s="8"/>
      <c r="U2546" s="6"/>
      <c r="V2546" s="6"/>
      <c r="W2546" s="6"/>
      <c r="X2546" s="6"/>
      <c r="Y2546" s="6"/>
      <c r="Z2546" s="6"/>
    </row>
    <row r="2547" spans="14:26" ht="31.4" customHeight="1" x14ac:dyDescent="0.35">
      <c r="N2547" s="20"/>
      <c r="P2547" s="8"/>
      <c r="Q2547" s="8"/>
      <c r="R2547" s="8"/>
      <c r="S2547" s="8"/>
      <c r="U2547" s="6"/>
      <c r="V2547" s="6"/>
      <c r="W2547" s="6"/>
      <c r="X2547" s="6"/>
      <c r="Y2547" s="6"/>
      <c r="Z2547" s="6"/>
    </row>
    <row r="2548" spans="14:26" ht="31.4" customHeight="1" x14ac:dyDescent="0.35">
      <c r="N2548" s="20"/>
      <c r="P2548" s="8"/>
      <c r="Q2548" s="8"/>
      <c r="R2548" s="8"/>
      <c r="S2548" s="8"/>
      <c r="U2548" s="6"/>
      <c r="V2548" s="6"/>
      <c r="W2548" s="6"/>
      <c r="X2548" s="6"/>
      <c r="Y2548" s="6"/>
      <c r="Z2548" s="6"/>
    </row>
    <row r="2549" spans="14:26" ht="31.4" customHeight="1" x14ac:dyDescent="0.35">
      <c r="N2549" s="20"/>
      <c r="P2549" s="8"/>
      <c r="Q2549" s="8"/>
      <c r="R2549" s="8"/>
      <c r="S2549" s="8"/>
      <c r="U2549" s="6"/>
      <c r="V2549" s="6"/>
      <c r="W2549" s="6"/>
      <c r="X2549" s="6"/>
      <c r="Y2549" s="6"/>
      <c r="Z2549" s="6"/>
    </row>
    <row r="2550" spans="14:26" ht="31.4" customHeight="1" x14ac:dyDescent="0.35">
      <c r="N2550" s="20"/>
      <c r="P2550" s="8"/>
      <c r="Q2550" s="8"/>
      <c r="R2550" s="8"/>
      <c r="S2550" s="8"/>
      <c r="U2550" s="6"/>
      <c r="V2550" s="6"/>
      <c r="W2550" s="6"/>
      <c r="X2550" s="6"/>
      <c r="Y2550" s="6"/>
      <c r="Z2550" s="6"/>
    </row>
    <row r="2551" spans="14:26" ht="31.4" customHeight="1" x14ac:dyDescent="0.35">
      <c r="N2551" s="20"/>
      <c r="P2551" s="8"/>
      <c r="Q2551" s="8"/>
      <c r="R2551" s="8"/>
      <c r="S2551" s="8"/>
      <c r="U2551" s="6"/>
      <c r="V2551" s="6"/>
      <c r="W2551" s="6"/>
      <c r="X2551" s="6"/>
      <c r="Y2551" s="6"/>
      <c r="Z2551" s="6"/>
    </row>
    <row r="2552" spans="14:26" ht="31.4" customHeight="1" x14ac:dyDescent="0.35">
      <c r="N2552" s="20"/>
      <c r="P2552" s="8"/>
      <c r="Q2552" s="8"/>
      <c r="R2552" s="8"/>
      <c r="S2552" s="8"/>
      <c r="U2552" s="6"/>
      <c r="V2552" s="6"/>
      <c r="W2552" s="6"/>
      <c r="X2552" s="6"/>
      <c r="Y2552" s="6"/>
      <c r="Z2552" s="6"/>
    </row>
    <row r="2553" spans="14:26" ht="31.4" customHeight="1" x14ac:dyDescent="0.35">
      <c r="N2553" s="20"/>
      <c r="P2553" s="8"/>
      <c r="Q2553" s="8"/>
      <c r="R2553" s="8"/>
      <c r="S2553" s="8"/>
      <c r="U2553" s="6"/>
      <c r="V2553" s="6"/>
      <c r="W2553" s="6"/>
      <c r="X2553" s="6"/>
      <c r="Y2553" s="6"/>
      <c r="Z2553" s="6"/>
    </row>
    <row r="2554" spans="14:26" ht="31.4" customHeight="1" x14ac:dyDescent="0.35">
      <c r="N2554" s="20"/>
      <c r="P2554" s="8"/>
      <c r="Q2554" s="8"/>
      <c r="R2554" s="8"/>
      <c r="S2554" s="8"/>
      <c r="U2554" s="6"/>
      <c r="V2554" s="6"/>
      <c r="W2554" s="6"/>
      <c r="X2554" s="6"/>
      <c r="Y2554" s="6"/>
      <c r="Z2554" s="6"/>
    </row>
    <row r="2555" spans="14:26" ht="31.4" customHeight="1" x14ac:dyDescent="0.35">
      <c r="N2555" s="20"/>
      <c r="P2555" s="8"/>
      <c r="Q2555" s="8"/>
      <c r="R2555" s="8"/>
      <c r="S2555" s="8"/>
      <c r="U2555" s="6"/>
      <c r="V2555" s="6"/>
      <c r="W2555" s="6"/>
      <c r="X2555" s="6"/>
      <c r="Y2555" s="6"/>
      <c r="Z2555" s="6"/>
    </row>
    <row r="2556" spans="14:26" ht="31.4" customHeight="1" x14ac:dyDescent="0.35">
      <c r="N2556" s="20"/>
      <c r="P2556" s="8"/>
      <c r="Q2556" s="8"/>
      <c r="R2556" s="8"/>
      <c r="S2556" s="8"/>
      <c r="U2556" s="6"/>
      <c r="V2556" s="6"/>
      <c r="W2556" s="6"/>
      <c r="X2556" s="6"/>
      <c r="Y2556" s="6"/>
      <c r="Z2556" s="6"/>
    </row>
    <row r="2557" spans="14:26" ht="31.4" customHeight="1" x14ac:dyDescent="0.35">
      <c r="N2557" s="20"/>
      <c r="P2557" s="8"/>
      <c r="Q2557" s="8"/>
      <c r="R2557" s="8"/>
      <c r="S2557" s="8"/>
      <c r="U2557" s="6"/>
      <c r="V2557" s="6"/>
      <c r="W2557" s="6"/>
      <c r="X2557" s="6"/>
      <c r="Y2557" s="6"/>
      <c r="Z2557" s="6"/>
    </row>
    <row r="2558" spans="14:26" ht="31.4" customHeight="1" x14ac:dyDescent="0.35">
      <c r="N2558" s="20"/>
      <c r="P2558" s="8"/>
      <c r="Q2558" s="8"/>
      <c r="R2558" s="8"/>
      <c r="S2558" s="8"/>
      <c r="U2558" s="6"/>
      <c r="V2558" s="6"/>
      <c r="W2558" s="6"/>
      <c r="X2558" s="6"/>
      <c r="Y2558" s="6"/>
      <c r="Z2558" s="6"/>
    </row>
    <row r="2559" spans="14:26" ht="31.4" customHeight="1" x14ac:dyDescent="0.35">
      <c r="N2559" s="20"/>
      <c r="P2559" s="8"/>
      <c r="Q2559" s="8"/>
      <c r="R2559" s="8"/>
      <c r="S2559" s="8"/>
      <c r="U2559" s="6"/>
      <c r="V2559" s="6"/>
      <c r="W2559" s="6"/>
      <c r="X2559" s="6"/>
      <c r="Y2559" s="6"/>
      <c r="Z2559" s="6"/>
    </row>
    <row r="2560" spans="14:26" ht="31.4" customHeight="1" x14ac:dyDescent="0.35">
      <c r="N2560" s="20"/>
      <c r="P2560" s="8"/>
      <c r="Q2560" s="8"/>
      <c r="R2560" s="8"/>
      <c r="S2560" s="8"/>
      <c r="U2560" s="6"/>
      <c r="V2560" s="6"/>
      <c r="W2560" s="6"/>
      <c r="X2560" s="6"/>
      <c r="Y2560" s="6"/>
      <c r="Z2560" s="6"/>
    </row>
    <row r="2561" spans="14:26" ht="31.4" customHeight="1" x14ac:dyDescent="0.35">
      <c r="N2561" s="20"/>
      <c r="P2561" s="8"/>
      <c r="Q2561" s="8"/>
      <c r="R2561" s="8"/>
      <c r="S2561" s="8"/>
      <c r="U2561" s="6"/>
      <c r="V2561" s="6"/>
      <c r="W2561" s="6"/>
      <c r="X2561" s="6"/>
      <c r="Y2561" s="6"/>
      <c r="Z2561" s="6"/>
    </row>
    <row r="2562" spans="14:26" ht="31.4" customHeight="1" x14ac:dyDescent="0.35">
      <c r="N2562" s="20"/>
      <c r="P2562" s="8"/>
      <c r="Q2562" s="8"/>
      <c r="R2562" s="8"/>
      <c r="S2562" s="8"/>
      <c r="U2562" s="6"/>
      <c r="V2562" s="6"/>
      <c r="W2562" s="6"/>
      <c r="X2562" s="6"/>
      <c r="Y2562" s="6"/>
      <c r="Z2562" s="6"/>
    </row>
    <row r="2563" spans="14:26" ht="31.4" customHeight="1" x14ac:dyDescent="0.35">
      <c r="N2563" s="20"/>
      <c r="P2563" s="8"/>
      <c r="Q2563" s="8"/>
      <c r="R2563" s="8"/>
      <c r="S2563" s="8"/>
      <c r="U2563" s="6"/>
      <c r="V2563" s="6"/>
      <c r="W2563" s="6"/>
      <c r="X2563" s="6"/>
      <c r="Y2563" s="6"/>
      <c r="Z2563" s="6"/>
    </row>
    <row r="2564" spans="14:26" ht="31.4" customHeight="1" x14ac:dyDescent="0.35">
      <c r="N2564" s="20"/>
      <c r="P2564" s="8"/>
      <c r="Q2564" s="8"/>
      <c r="R2564" s="8"/>
      <c r="S2564" s="8"/>
      <c r="U2564" s="6"/>
      <c r="V2564" s="6"/>
      <c r="W2564" s="6"/>
      <c r="X2564" s="6"/>
      <c r="Y2564" s="6"/>
      <c r="Z2564" s="6"/>
    </row>
    <row r="2565" spans="14:26" ht="31.4" customHeight="1" x14ac:dyDescent="0.35">
      <c r="N2565" s="20"/>
      <c r="P2565" s="8"/>
      <c r="Q2565" s="8"/>
      <c r="R2565" s="8"/>
      <c r="S2565" s="8"/>
      <c r="U2565" s="6"/>
      <c r="V2565" s="6"/>
      <c r="W2565" s="6"/>
      <c r="X2565" s="6"/>
      <c r="Y2565" s="6"/>
      <c r="Z2565" s="6"/>
    </row>
    <row r="2566" spans="14:26" ht="31.4" customHeight="1" x14ac:dyDescent="0.35">
      <c r="N2566" s="20"/>
      <c r="P2566" s="8"/>
      <c r="Q2566" s="8"/>
      <c r="R2566" s="8"/>
      <c r="S2566" s="8"/>
      <c r="U2566" s="6"/>
      <c r="V2566" s="6"/>
      <c r="W2566" s="6"/>
      <c r="X2566" s="6"/>
      <c r="Y2566" s="6"/>
      <c r="Z2566" s="6"/>
    </row>
    <row r="2567" spans="14:26" ht="31.4" customHeight="1" x14ac:dyDescent="0.35">
      <c r="N2567" s="20"/>
      <c r="P2567" s="8"/>
      <c r="Q2567" s="8"/>
      <c r="R2567" s="8"/>
      <c r="S2567" s="8"/>
      <c r="U2567" s="6"/>
      <c r="V2567" s="6"/>
      <c r="W2567" s="6"/>
      <c r="X2567" s="6"/>
      <c r="Y2567" s="6"/>
      <c r="Z2567" s="6"/>
    </row>
    <row r="2568" spans="14:26" ht="31.4" customHeight="1" x14ac:dyDescent="0.35">
      <c r="N2568" s="20"/>
      <c r="P2568" s="8"/>
      <c r="Q2568" s="8"/>
      <c r="R2568" s="8"/>
      <c r="S2568" s="8"/>
      <c r="U2568" s="6"/>
      <c r="V2568" s="6"/>
      <c r="W2568" s="6"/>
      <c r="X2568" s="6"/>
      <c r="Y2568" s="6"/>
      <c r="Z2568" s="6"/>
    </row>
    <row r="2569" spans="14:26" ht="31.4" customHeight="1" x14ac:dyDescent="0.35">
      <c r="N2569" s="20"/>
      <c r="P2569" s="8"/>
      <c r="Q2569" s="8"/>
      <c r="R2569" s="8"/>
      <c r="S2569" s="8"/>
      <c r="U2569" s="6"/>
      <c r="V2569" s="6"/>
      <c r="W2569" s="6"/>
      <c r="X2569" s="6"/>
      <c r="Y2569" s="6"/>
      <c r="Z2569" s="6"/>
    </row>
    <row r="2570" spans="14:26" ht="31.4" customHeight="1" x14ac:dyDescent="0.35">
      <c r="N2570" s="20"/>
      <c r="P2570" s="8"/>
      <c r="Q2570" s="8"/>
      <c r="R2570" s="8"/>
      <c r="S2570" s="8"/>
      <c r="U2570" s="6"/>
      <c r="V2570" s="6"/>
      <c r="W2570" s="6"/>
      <c r="X2570" s="6"/>
      <c r="Y2570" s="6"/>
      <c r="Z2570" s="6"/>
    </row>
    <row r="2571" spans="14:26" ht="31.4" customHeight="1" x14ac:dyDescent="0.35">
      <c r="N2571" s="20"/>
      <c r="P2571" s="8"/>
      <c r="Q2571" s="8"/>
      <c r="R2571" s="8"/>
      <c r="S2571" s="8"/>
      <c r="U2571" s="6"/>
      <c r="V2571" s="6"/>
      <c r="W2571" s="6"/>
      <c r="X2571" s="6"/>
      <c r="Y2571" s="6"/>
      <c r="Z2571" s="6"/>
    </row>
    <row r="2572" spans="14:26" ht="31.4" customHeight="1" x14ac:dyDescent="0.35">
      <c r="N2572" s="20"/>
      <c r="P2572" s="8"/>
      <c r="Q2572" s="8"/>
      <c r="R2572" s="8"/>
      <c r="S2572" s="8"/>
      <c r="U2572" s="6"/>
      <c r="V2572" s="6"/>
      <c r="W2572" s="6"/>
      <c r="X2572" s="6"/>
      <c r="Y2572" s="6"/>
      <c r="Z2572" s="6"/>
    </row>
    <row r="2573" spans="14:26" ht="31.4" customHeight="1" x14ac:dyDescent="0.35">
      <c r="N2573" s="20"/>
      <c r="P2573" s="8"/>
      <c r="Q2573" s="8"/>
      <c r="R2573" s="8"/>
      <c r="S2573" s="8"/>
      <c r="U2573" s="6"/>
      <c r="V2573" s="6"/>
      <c r="W2573" s="6"/>
      <c r="X2573" s="6"/>
      <c r="Y2573" s="6"/>
      <c r="Z2573" s="6"/>
    </row>
    <row r="2574" spans="14:26" ht="31.4" customHeight="1" x14ac:dyDescent="0.35">
      <c r="N2574" s="20"/>
      <c r="P2574" s="8"/>
      <c r="Q2574" s="8"/>
      <c r="R2574" s="8"/>
      <c r="S2574" s="8"/>
      <c r="U2574" s="6"/>
      <c r="V2574" s="6"/>
      <c r="W2574" s="6"/>
      <c r="X2574" s="6"/>
      <c r="Y2574" s="6"/>
      <c r="Z2574" s="6"/>
    </row>
    <row r="2575" spans="14:26" ht="31.4" customHeight="1" x14ac:dyDescent="0.35">
      <c r="N2575" s="20"/>
      <c r="P2575" s="8"/>
      <c r="Q2575" s="8"/>
      <c r="R2575" s="8"/>
      <c r="S2575" s="8"/>
      <c r="U2575" s="6"/>
      <c r="V2575" s="6"/>
      <c r="W2575" s="6"/>
      <c r="X2575" s="6"/>
      <c r="Y2575" s="6"/>
      <c r="Z2575" s="6"/>
    </row>
    <row r="2576" spans="14:26" ht="31.4" customHeight="1" x14ac:dyDescent="0.35">
      <c r="N2576" s="20"/>
      <c r="P2576" s="8"/>
      <c r="Q2576" s="8"/>
      <c r="R2576" s="8"/>
      <c r="S2576" s="8"/>
      <c r="U2576" s="6"/>
      <c r="V2576" s="6"/>
      <c r="W2576" s="6"/>
      <c r="X2576" s="6"/>
      <c r="Y2576" s="6"/>
      <c r="Z2576" s="6"/>
    </row>
    <row r="2577" spans="14:26" ht="31.4" customHeight="1" x14ac:dyDescent="0.35">
      <c r="N2577" s="20"/>
      <c r="P2577" s="8"/>
      <c r="Q2577" s="8"/>
      <c r="R2577" s="8"/>
      <c r="S2577" s="8"/>
      <c r="U2577" s="6"/>
      <c r="V2577" s="6"/>
      <c r="W2577" s="6"/>
      <c r="X2577" s="6"/>
      <c r="Y2577" s="6"/>
      <c r="Z2577" s="6"/>
    </row>
    <row r="2578" spans="14:26" ht="31.4" customHeight="1" x14ac:dyDescent="0.35">
      <c r="N2578" s="20"/>
      <c r="P2578" s="8"/>
      <c r="Q2578" s="8"/>
      <c r="R2578" s="8"/>
      <c r="S2578" s="8"/>
      <c r="U2578" s="6"/>
      <c r="V2578" s="6"/>
      <c r="W2578" s="6"/>
      <c r="X2578" s="6"/>
      <c r="Y2578" s="6"/>
      <c r="Z2578" s="6"/>
    </row>
    <row r="2579" spans="14:26" ht="31.4" customHeight="1" x14ac:dyDescent="0.35">
      <c r="N2579" s="20"/>
      <c r="P2579" s="8"/>
      <c r="Q2579" s="8"/>
      <c r="R2579" s="8"/>
      <c r="S2579" s="8"/>
      <c r="U2579" s="6"/>
      <c r="V2579" s="6"/>
      <c r="W2579" s="6"/>
      <c r="X2579" s="6"/>
      <c r="Y2579" s="6"/>
      <c r="Z2579" s="6"/>
    </row>
    <row r="2580" spans="14:26" ht="31.4" customHeight="1" x14ac:dyDescent="0.35">
      <c r="N2580" s="20"/>
      <c r="P2580" s="8"/>
      <c r="Q2580" s="8"/>
      <c r="R2580" s="8"/>
      <c r="S2580" s="8"/>
      <c r="U2580" s="6"/>
      <c r="V2580" s="6"/>
      <c r="W2580" s="6"/>
      <c r="X2580" s="6"/>
      <c r="Y2580" s="6"/>
      <c r="Z2580" s="6"/>
    </row>
    <row r="2581" spans="14:26" ht="31.4" customHeight="1" x14ac:dyDescent="0.35">
      <c r="N2581" s="20"/>
      <c r="P2581" s="8"/>
      <c r="Q2581" s="8"/>
      <c r="R2581" s="8"/>
      <c r="S2581" s="8"/>
      <c r="U2581" s="6"/>
      <c r="V2581" s="6"/>
      <c r="W2581" s="6"/>
      <c r="X2581" s="6"/>
      <c r="Y2581" s="6"/>
      <c r="Z2581" s="6"/>
    </row>
    <row r="2582" spans="14:26" ht="31.4" customHeight="1" x14ac:dyDescent="0.35">
      <c r="N2582" s="20"/>
      <c r="P2582" s="8"/>
      <c r="Q2582" s="8"/>
      <c r="R2582" s="8"/>
      <c r="S2582" s="8"/>
      <c r="U2582" s="6"/>
      <c r="V2582" s="6"/>
      <c r="W2582" s="6"/>
      <c r="X2582" s="6"/>
      <c r="Y2582" s="6"/>
      <c r="Z2582" s="6"/>
    </row>
    <row r="2583" spans="14:26" ht="31.4" customHeight="1" x14ac:dyDescent="0.35">
      <c r="N2583" s="20"/>
      <c r="P2583" s="8"/>
      <c r="Q2583" s="8"/>
      <c r="R2583" s="8"/>
      <c r="S2583" s="8"/>
      <c r="U2583" s="6"/>
      <c r="V2583" s="6"/>
      <c r="W2583" s="6"/>
      <c r="X2583" s="6"/>
      <c r="Y2583" s="6"/>
      <c r="Z2583" s="6"/>
    </row>
    <row r="2584" spans="14:26" ht="31.4" customHeight="1" x14ac:dyDescent="0.35">
      <c r="N2584" s="20"/>
      <c r="P2584" s="8"/>
      <c r="Q2584" s="8"/>
      <c r="R2584" s="8"/>
      <c r="S2584" s="8"/>
      <c r="U2584" s="6"/>
      <c r="V2584" s="6"/>
      <c r="W2584" s="6"/>
      <c r="X2584" s="6"/>
      <c r="Y2584" s="6"/>
      <c r="Z2584" s="6"/>
    </row>
    <row r="2585" spans="14:26" ht="31.4" customHeight="1" x14ac:dyDescent="0.35">
      <c r="N2585" s="20"/>
      <c r="P2585" s="8"/>
      <c r="Q2585" s="8"/>
      <c r="R2585" s="8"/>
      <c r="S2585" s="8"/>
      <c r="U2585" s="6"/>
      <c r="V2585" s="6"/>
      <c r="W2585" s="6"/>
      <c r="X2585" s="6"/>
      <c r="Y2585" s="6"/>
      <c r="Z2585" s="6"/>
    </row>
    <row r="2586" spans="14:26" ht="31.4" customHeight="1" x14ac:dyDescent="0.35">
      <c r="N2586" s="20"/>
      <c r="P2586" s="8"/>
      <c r="Q2586" s="8"/>
      <c r="R2586" s="8"/>
      <c r="S2586" s="8"/>
      <c r="U2586" s="6"/>
      <c r="V2586" s="6"/>
      <c r="W2586" s="6"/>
      <c r="X2586" s="6"/>
      <c r="Y2586" s="6"/>
      <c r="Z2586" s="6"/>
    </row>
    <row r="2587" spans="14:26" ht="31.4" customHeight="1" x14ac:dyDescent="0.35">
      <c r="N2587" s="20"/>
      <c r="P2587" s="8"/>
      <c r="Q2587" s="8"/>
      <c r="R2587" s="8"/>
      <c r="S2587" s="8"/>
      <c r="U2587" s="6"/>
      <c r="V2587" s="6"/>
      <c r="W2587" s="6"/>
      <c r="X2587" s="6"/>
      <c r="Y2587" s="6"/>
      <c r="Z2587" s="6"/>
    </row>
    <row r="2588" spans="14:26" ht="31.4" customHeight="1" x14ac:dyDescent="0.35">
      <c r="N2588" s="20"/>
      <c r="P2588" s="8"/>
      <c r="Q2588" s="8"/>
      <c r="R2588" s="8"/>
      <c r="S2588" s="8"/>
      <c r="U2588" s="6"/>
      <c r="V2588" s="6"/>
      <c r="W2588" s="6"/>
      <c r="X2588" s="6"/>
      <c r="Y2588" s="6"/>
      <c r="Z2588" s="6"/>
    </row>
    <row r="2589" spans="14:26" ht="31.4" customHeight="1" x14ac:dyDescent="0.35">
      <c r="N2589" s="20"/>
      <c r="P2589" s="8"/>
      <c r="Q2589" s="8"/>
      <c r="R2589" s="8"/>
      <c r="S2589" s="8"/>
      <c r="U2589" s="6"/>
      <c r="V2589" s="6"/>
      <c r="W2589" s="6"/>
      <c r="X2589" s="6"/>
      <c r="Y2589" s="6"/>
      <c r="Z2589" s="6"/>
    </row>
    <row r="2590" spans="14:26" ht="31.4" customHeight="1" x14ac:dyDescent="0.35">
      <c r="N2590" s="20"/>
      <c r="P2590" s="8"/>
      <c r="Q2590" s="8"/>
      <c r="R2590" s="8"/>
      <c r="S2590" s="8"/>
      <c r="U2590" s="6"/>
      <c r="V2590" s="6"/>
      <c r="W2590" s="6"/>
      <c r="X2590" s="6"/>
      <c r="Y2590" s="6"/>
      <c r="Z2590" s="6"/>
    </row>
    <row r="2591" spans="14:26" ht="31.4" customHeight="1" x14ac:dyDescent="0.35">
      <c r="N2591" s="20"/>
      <c r="P2591" s="8"/>
      <c r="Q2591" s="8"/>
      <c r="R2591" s="8"/>
      <c r="S2591" s="8"/>
      <c r="U2591" s="6"/>
      <c r="V2591" s="6"/>
      <c r="W2591" s="6"/>
      <c r="X2591" s="6"/>
      <c r="Y2591" s="6"/>
      <c r="Z2591" s="6"/>
    </row>
    <row r="2592" spans="14:26" ht="31.4" customHeight="1" x14ac:dyDescent="0.35">
      <c r="N2592" s="20"/>
      <c r="P2592" s="8"/>
      <c r="Q2592" s="8"/>
      <c r="R2592" s="8"/>
      <c r="S2592" s="8"/>
      <c r="U2592" s="6"/>
      <c r="V2592" s="6"/>
      <c r="W2592" s="6"/>
      <c r="X2592" s="6"/>
      <c r="Y2592" s="6"/>
      <c r="Z2592" s="6"/>
    </row>
    <row r="2593" spans="14:26" ht="31.4" customHeight="1" x14ac:dyDescent="0.35">
      <c r="N2593" s="20"/>
      <c r="P2593" s="8"/>
      <c r="Q2593" s="8"/>
      <c r="R2593" s="8"/>
      <c r="S2593" s="8"/>
      <c r="U2593" s="6"/>
      <c r="V2593" s="6"/>
      <c r="W2593" s="6"/>
      <c r="X2593" s="6"/>
      <c r="Y2593" s="6"/>
      <c r="Z2593" s="6"/>
    </row>
    <row r="2594" spans="14:26" ht="31.4" customHeight="1" x14ac:dyDescent="0.35">
      <c r="N2594" s="20"/>
      <c r="P2594" s="8"/>
      <c r="Q2594" s="8"/>
      <c r="R2594" s="8"/>
      <c r="S2594" s="8"/>
      <c r="U2594" s="6"/>
      <c r="V2594" s="6"/>
      <c r="W2594" s="6"/>
      <c r="X2594" s="6"/>
      <c r="Y2594" s="6"/>
      <c r="Z2594" s="6"/>
    </row>
    <row r="2595" spans="14:26" ht="31.4" customHeight="1" x14ac:dyDescent="0.35">
      <c r="N2595" s="20"/>
      <c r="P2595" s="8"/>
      <c r="Q2595" s="8"/>
      <c r="R2595" s="8"/>
      <c r="S2595" s="8"/>
      <c r="U2595" s="6"/>
      <c r="V2595" s="6"/>
      <c r="W2595" s="6"/>
      <c r="X2595" s="6"/>
      <c r="Y2595" s="6"/>
      <c r="Z2595" s="6"/>
    </row>
    <row r="2596" spans="14:26" ht="31.4" customHeight="1" x14ac:dyDescent="0.35">
      <c r="N2596" s="20"/>
      <c r="P2596" s="8"/>
      <c r="Q2596" s="8"/>
      <c r="R2596" s="8"/>
      <c r="S2596" s="8"/>
      <c r="U2596" s="6"/>
      <c r="V2596" s="6"/>
      <c r="W2596" s="6"/>
      <c r="X2596" s="6"/>
      <c r="Y2596" s="6"/>
      <c r="Z2596" s="6"/>
    </row>
    <row r="2597" spans="14:26" ht="31.4" customHeight="1" x14ac:dyDescent="0.35">
      <c r="N2597" s="20"/>
      <c r="P2597" s="8"/>
      <c r="Q2597" s="8"/>
      <c r="R2597" s="8"/>
      <c r="S2597" s="8"/>
      <c r="U2597" s="6"/>
      <c r="V2597" s="6"/>
      <c r="W2597" s="6"/>
      <c r="X2597" s="6"/>
      <c r="Y2597" s="6"/>
      <c r="Z2597" s="6"/>
    </row>
    <row r="2598" spans="14:26" ht="31.4" customHeight="1" x14ac:dyDescent="0.35">
      <c r="N2598" s="20"/>
      <c r="P2598" s="8"/>
      <c r="Q2598" s="8"/>
      <c r="R2598" s="8"/>
      <c r="S2598" s="8"/>
      <c r="U2598" s="6"/>
      <c r="V2598" s="6"/>
      <c r="W2598" s="6"/>
      <c r="X2598" s="6"/>
      <c r="Y2598" s="6"/>
      <c r="Z2598" s="6"/>
    </row>
    <row r="2599" spans="14:26" ht="31.4" customHeight="1" x14ac:dyDescent="0.35">
      <c r="N2599" s="20"/>
      <c r="P2599" s="8"/>
      <c r="Q2599" s="8"/>
      <c r="R2599" s="8"/>
      <c r="S2599" s="8"/>
      <c r="U2599" s="6"/>
      <c r="V2599" s="6"/>
      <c r="W2599" s="6"/>
      <c r="X2599" s="6"/>
      <c r="Y2599" s="6"/>
      <c r="Z2599" s="6"/>
    </row>
    <row r="2600" spans="14:26" ht="31.4" customHeight="1" x14ac:dyDescent="0.35">
      <c r="N2600" s="20"/>
      <c r="P2600" s="8"/>
      <c r="Q2600" s="8"/>
      <c r="R2600" s="8"/>
      <c r="S2600" s="8"/>
      <c r="U2600" s="6"/>
      <c r="V2600" s="6"/>
      <c r="W2600" s="6"/>
      <c r="X2600" s="6"/>
      <c r="Y2600" s="6"/>
      <c r="Z2600" s="6"/>
    </row>
    <row r="2601" spans="14:26" ht="31.4" customHeight="1" x14ac:dyDescent="0.35">
      <c r="N2601" s="20"/>
      <c r="P2601" s="8"/>
      <c r="Q2601" s="8"/>
      <c r="R2601" s="8"/>
      <c r="S2601" s="8"/>
      <c r="U2601" s="6"/>
      <c r="V2601" s="6"/>
      <c r="W2601" s="6"/>
      <c r="X2601" s="6"/>
      <c r="Y2601" s="6"/>
      <c r="Z2601" s="6"/>
    </row>
    <row r="2602" spans="14:26" ht="31.4" customHeight="1" x14ac:dyDescent="0.35">
      <c r="N2602" s="20"/>
      <c r="P2602" s="8"/>
      <c r="Q2602" s="8"/>
      <c r="R2602" s="8"/>
      <c r="S2602" s="8"/>
      <c r="U2602" s="6"/>
      <c r="V2602" s="6"/>
      <c r="W2602" s="6"/>
      <c r="X2602" s="6"/>
      <c r="Y2602" s="6"/>
      <c r="Z2602" s="6"/>
    </row>
    <row r="2603" spans="14:26" ht="31.4" customHeight="1" x14ac:dyDescent="0.35">
      <c r="N2603" s="20"/>
      <c r="P2603" s="8"/>
      <c r="Q2603" s="8"/>
      <c r="R2603" s="8"/>
      <c r="S2603" s="8"/>
      <c r="U2603" s="6"/>
      <c r="V2603" s="6"/>
      <c r="W2603" s="6"/>
      <c r="X2603" s="6"/>
      <c r="Y2603" s="6"/>
      <c r="Z2603" s="6"/>
    </row>
    <row r="2604" spans="14:26" ht="31.4" customHeight="1" x14ac:dyDescent="0.35">
      <c r="N2604" s="20"/>
      <c r="P2604" s="8"/>
      <c r="Q2604" s="8"/>
      <c r="R2604" s="8"/>
      <c r="S2604" s="8"/>
      <c r="U2604" s="6"/>
      <c r="V2604" s="6"/>
      <c r="W2604" s="6"/>
      <c r="X2604" s="6"/>
      <c r="Y2604" s="6"/>
      <c r="Z2604" s="6"/>
    </row>
    <row r="2605" spans="14:26" ht="31.4" customHeight="1" x14ac:dyDescent="0.35">
      <c r="N2605" s="20"/>
      <c r="P2605" s="8"/>
      <c r="Q2605" s="8"/>
      <c r="R2605" s="8"/>
      <c r="S2605" s="8"/>
      <c r="U2605" s="6"/>
      <c r="V2605" s="6"/>
      <c r="W2605" s="6"/>
      <c r="X2605" s="6"/>
      <c r="Y2605" s="6"/>
      <c r="Z2605" s="6"/>
    </row>
    <row r="2606" spans="14:26" ht="31.4" customHeight="1" x14ac:dyDescent="0.35">
      <c r="N2606" s="20"/>
      <c r="P2606" s="8"/>
      <c r="Q2606" s="8"/>
      <c r="R2606" s="8"/>
      <c r="S2606" s="8"/>
      <c r="U2606" s="6"/>
      <c r="V2606" s="6"/>
      <c r="W2606" s="6"/>
      <c r="X2606" s="6"/>
      <c r="Y2606" s="6"/>
      <c r="Z2606" s="6"/>
    </row>
    <row r="2607" spans="14:26" ht="31.4" customHeight="1" x14ac:dyDescent="0.35">
      <c r="N2607" s="20"/>
      <c r="P2607" s="8"/>
      <c r="Q2607" s="8"/>
      <c r="R2607" s="8"/>
      <c r="S2607" s="8"/>
      <c r="U2607" s="6"/>
      <c r="V2607" s="6"/>
      <c r="W2607" s="6"/>
      <c r="X2607" s="6"/>
      <c r="Y2607" s="6"/>
      <c r="Z2607" s="6"/>
    </row>
    <row r="2608" spans="14:26" ht="31.4" customHeight="1" x14ac:dyDescent="0.35">
      <c r="N2608" s="20"/>
      <c r="P2608" s="8"/>
      <c r="Q2608" s="8"/>
      <c r="R2608" s="8"/>
      <c r="S2608" s="8"/>
      <c r="U2608" s="6"/>
      <c r="V2608" s="6"/>
      <c r="W2608" s="6"/>
      <c r="X2608" s="6"/>
      <c r="Y2608" s="6"/>
      <c r="Z2608" s="6"/>
    </row>
    <row r="2609" spans="14:26" ht="31.4" customHeight="1" x14ac:dyDescent="0.35">
      <c r="N2609" s="20"/>
      <c r="P2609" s="8"/>
      <c r="Q2609" s="8"/>
      <c r="R2609" s="8"/>
      <c r="S2609" s="8"/>
      <c r="U2609" s="6"/>
      <c r="V2609" s="6"/>
      <c r="W2609" s="6"/>
      <c r="X2609" s="6"/>
      <c r="Y2609" s="6"/>
      <c r="Z2609" s="6"/>
    </row>
    <row r="2610" spans="14:26" ht="31.4" customHeight="1" x14ac:dyDescent="0.35">
      <c r="N2610" s="20"/>
      <c r="P2610" s="8"/>
      <c r="Q2610" s="8"/>
      <c r="R2610" s="8"/>
      <c r="S2610" s="8"/>
      <c r="U2610" s="6"/>
      <c r="V2610" s="6"/>
      <c r="W2610" s="6"/>
      <c r="X2610" s="6"/>
      <c r="Y2610" s="6"/>
      <c r="Z2610" s="6"/>
    </row>
    <row r="2611" spans="14:26" ht="31.4" customHeight="1" x14ac:dyDescent="0.35">
      <c r="N2611" s="20"/>
      <c r="P2611" s="8"/>
      <c r="Q2611" s="8"/>
      <c r="R2611" s="8"/>
      <c r="S2611" s="8"/>
      <c r="U2611" s="6"/>
      <c r="V2611" s="6"/>
      <c r="W2611" s="6"/>
      <c r="X2611" s="6"/>
      <c r="Y2611" s="6"/>
      <c r="Z2611" s="6"/>
    </row>
    <row r="2612" spans="14:26" ht="31.4" customHeight="1" x14ac:dyDescent="0.35">
      <c r="N2612" s="20"/>
      <c r="P2612" s="8"/>
      <c r="Q2612" s="8"/>
      <c r="R2612" s="8"/>
      <c r="S2612" s="8"/>
      <c r="U2612" s="6"/>
      <c r="V2612" s="6"/>
      <c r="W2612" s="6"/>
      <c r="X2612" s="6"/>
      <c r="Y2612" s="6"/>
      <c r="Z2612" s="6"/>
    </row>
    <row r="2613" spans="14:26" ht="31.4" customHeight="1" x14ac:dyDescent="0.35">
      <c r="N2613" s="20"/>
      <c r="P2613" s="8"/>
      <c r="Q2613" s="8"/>
      <c r="R2613" s="8"/>
      <c r="S2613" s="8"/>
      <c r="U2613" s="6"/>
      <c r="V2613" s="6"/>
      <c r="W2613" s="6"/>
      <c r="X2613" s="6"/>
      <c r="Y2613" s="6"/>
      <c r="Z2613" s="6"/>
    </row>
    <row r="2614" spans="14:26" ht="31.4" customHeight="1" x14ac:dyDescent="0.35">
      <c r="N2614" s="20"/>
      <c r="P2614" s="8"/>
      <c r="Q2614" s="8"/>
      <c r="R2614" s="8"/>
      <c r="S2614" s="8"/>
      <c r="U2614" s="6"/>
      <c r="V2614" s="6"/>
      <c r="W2614" s="6"/>
      <c r="X2614" s="6"/>
      <c r="Y2614" s="6"/>
      <c r="Z2614" s="6"/>
    </row>
    <row r="2615" spans="14:26" ht="31.4" customHeight="1" x14ac:dyDescent="0.35">
      <c r="N2615" s="20"/>
      <c r="P2615" s="8"/>
      <c r="Q2615" s="8"/>
      <c r="R2615" s="8"/>
      <c r="S2615" s="8"/>
      <c r="U2615" s="6"/>
      <c r="V2615" s="6"/>
      <c r="W2615" s="6"/>
      <c r="X2615" s="6"/>
      <c r="Y2615" s="6"/>
      <c r="Z2615" s="6"/>
    </row>
    <row r="2616" spans="14:26" ht="31.4" customHeight="1" x14ac:dyDescent="0.35">
      <c r="N2616" s="20"/>
      <c r="P2616" s="8"/>
      <c r="Q2616" s="8"/>
      <c r="R2616" s="8"/>
      <c r="S2616" s="8"/>
      <c r="U2616" s="6"/>
      <c r="V2616" s="6"/>
      <c r="W2616" s="6"/>
      <c r="X2616" s="6"/>
      <c r="Y2616" s="6"/>
      <c r="Z2616" s="6"/>
    </row>
    <row r="2617" spans="14:26" ht="31.4" customHeight="1" x14ac:dyDescent="0.35">
      <c r="N2617" s="20"/>
      <c r="P2617" s="8"/>
      <c r="Q2617" s="8"/>
      <c r="R2617" s="8"/>
      <c r="S2617" s="8"/>
      <c r="U2617" s="6"/>
      <c r="V2617" s="6"/>
      <c r="W2617" s="6"/>
      <c r="X2617" s="6"/>
      <c r="Y2617" s="6"/>
      <c r="Z2617" s="6"/>
    </row>
    <row r="2618" spans="14:26" ht="31.4" customHeight="1" x14ac:dyDescent="0.35">
      <c r="N2618" s="20"/>
      <c r="P2618" s="8"/>
      <c r="Q2618" s="8"/>
      <c r="R2618" s="8"/>
      <c r="S2618" s="8"/>
      <c r="U2618" s="6"/>
      <c r="V2618" s="6"/>
      <c r="W2618" s="6"/>
      <c r="X2618" s="6"/>
      <c r="Y2618" s="6"/>
      <c r="Z2618" s="6"/>
    </row>
    <row r="2619" spans="14:26" ht="31.4" customHeight="1" x14ac:dyDescent="0.35">
      <c r="N2619" s="20"/>
      <c r="P2619" s="8"/>
      <c r="Q2619" s="8"/>
      <c r="R2619" s="8"/>
      <c r="S2619" s="8"/>
      <c r="U2619" s="6"/>
      <c r="V2619" s="6"/>
      <c r="W2619" s="6"/>
      <c r="X2619" s="6"/>
      <c r="Y2619" s="6"/>
      <c r="Z2619" s="6"/>
    </row>
    <row r="2620" spans="14:26" ht="31.4" customHeight="1" x14ac:dyDescent="0.35">
      <c r="N2620" s="20"/>
      <c r="P2620" s="8"/>
      <c r="Q2620" s="8"/>
      <c r="R2620" s="8"/>
      <c r="S2620" s="8"/>
      <c r="U2620" s="6"/>
      <c r="V2620" s="6"/>
      <c r="W2620" s="6"/>
      <c r="X2620" s="6"/>
      <c r="Y2620" s="6"/>
      <c r="Z2620" s="6"/>
    </row>
    <row r="2621" spans="14:26" ht="31.4" customHeight="1" x14ac:dyDescent="0.35">
      <c r="N2621" s="20"/>
      <c r="P2621" s="8"/>
      <c r="Q2621" s="8"/>
      <c r="R2621" s="8"/>
      <c r="S2621" s="8"/>
      <c r="U2621" s="6"/>
      <c r="V2621" s="6"/>
      <c r="W2621" s="6"/>
      <c r="X2621" s="6"/>
      <c r="Y2621" s="6"/>
      <c r="Z2621" s="6"/>
    </row>
    <row r="2622" spans="14:26" ht="31.4" customHeight="1" x14ac:dyDescent="0.35">
      <c r="N2622" s="20"/>
      <c r="P2622" s="8"/>
      <c r="Q2622" s="8"/>
      <c r="R2622" s="8"/>
      <c r="S2622" s="8"/>
      <c r="U2622" s="6"/>
      <c r="V2622" s="6"/>
      <c r="W2622" s="6"/>
      <c r="X2622" s="6"/>
      <c r="Y2622" s="6"/>
      <c r="Z2622" s="6"/>
    </row>
    <row r="2623" spans="14:26" ht="31.4" customHeight="1" x14ac:dyDescent="0.35">
      <c r="N2623" s="20"/>
      <c r="P2623" s="8"/>
      <c r="Q2623" s="8"/>
      <c r="R2623" s="8"/>
      <c r="S2623" s="8"/>
      <c r="U2623" s="6"/>
      <c r="V2623" s="6"/>
      <c r="W2623" s="6"/>
      <c r="X2623" s="6"/>
      <c r="Y2623" s="6"/>
      <c r="Z2623" s="6"/>
    </row>
    <row r="2624" spans="14:26" ht="31.4" customHeight="1" x14ac:dyDescent="0.35">
      <c r="N2624" s="20"/>
      <c r="P2624" s="8"/>
      <c r="Q2624" s="8"/>
      <c r="R2624" s="8"/>
      <c r="S2624" s="8"/>
      <c r="U2624" s="6"/>
      <c r="V2624" s="6"/>
      <c r="W2624" s="6"/>
      <c r="X2624" s="6"/>
      <c r="Y2624" s="6"/>
      <c r="Z2624" s="6"/>
    </row>
    <row r="2625" spans="14:26" ht="31.4" customHeight="1" x14ac:dyDescent="0.35">
      <c r="N2625" s="20"/>
      <c r="P2625" s="8"/>
      <c r="Q2625" s="8"/>
      <c r="R2625" s="8"/>
      <c r="S2625" s="8"/>
      <c r="U2625" s="6"/>
      <c r="V2625" s="6"/>
      <c r="W2625" s="6"/>
      <c r="X2625" s="6"/>
      <c r="Y2625" s="6"/>
      <c r="Z2625" s="6"/>
    </row>
    <row r="2626" spans="14:26" ht="31.4" customHeight="1" x14ac:dyDescent="0.35">
      <c r="N2626" s="20"/>
      <c r="P2626" s="8"/>
      <c r="Q2626" s="8"/>
      <c r="R2626" s="8"/>
      <c r="S2626" s="8"/>
      <c r="U2626" s="6"/>
      <c r="V2626" s="6"/>
      <c r="W2626" s="6"/>
      <c r="X2626" s="6"/>
      <c r="Y2626" s="6"/>
      <c r="Z2626" s="6"/>
    </row>
    <row r="2627" spans="14:26" ht="31.4" customHeight="1" x14ac:dyDescent="0.35">
      <c r="N2627" s="20"/>
      <c r="P2627" s="8"/>
      <c r="Q2627" s="8"/>
      <c r="R2627" s="8"/>
      <c r="S2627" s="8"/>
      <c r="U2627" s="6"/>
      <c r="V2627" s="6"/>
      <c r="W2627" s="6"/>
      <c r="X2627" s="6"/>
      <c r="Y2627" s="6"/>
      <c r="Z2627" s="6"/>
    </row>
    <row r="2628" spans="14:26" ht="31.4" customHeight="1" x14ac:dyDescent="0.35">
      <c r="N2628" s="20"/>
      <c r="P2628" s="8"/>
      <c r="Q2628" s="8"/>
      <c r="R2628" s="8"/>
      <c r="S2628" s="8"/>
      <c r="U2628" s="6"/>
      <c r="V2628" s="6"/>
      <c r="W2628" s="6"/>
      <c r="X2628" s="6"/>
      <c r="Y2628" s="6"/>
      <c r="Z2628" s="6"/>
    </row>
    <row r="2629" spans="14:26" ht="31.4" customHeight="1" x14ac:dyDescent="0.35">
      <c r="N2629" s="20"/>
      <c r="P2629" s="8"/>
      <c r="Q2629" s="8"/>
      <c r="R2629" s="8"/>
      <c r="S2629" s="8"/>
      <c r="U2629" s="6"/>
      <c r="V2629" s="6"/>
      <c r="W2629" s="6"/>
      <c r="X2629" s="6"/>
      <c r="Y2629" s="6"/>
      <c r="Z2629" s="6"/>
    </row>
    <row r="2630" spans="14:26" ht="31.4" customHeight="1" x14ac:dyDescent="0.35">
      <c r="N2630" s="20"/>
      <c r="P2630" s="8"/>
      <c r="Q2630" s="8"/>
      <c r="R2630" s="8"/>
      <c r="S2630" s="8"/>
      <c r="U2630" s="6"/>
      <c r="V2630" s="6"/>
      <c r="W2630" s="6"/>
      <c r="X2630" s="6"/>
      <c r="Y2630" s="6"/>
      <c r="Z2630" s="6"/>
    </row>
    <row r="2631" spans="14:26" ht="31.4" customHeight="1" x14ac:dyDescent="0.35">
      <c r="N2631" s="20"/>
      <c r="P2631" s="8"/>
      <c r="Q2631" s="8"/>
      <c r="R2631" s="8"/>
      <c r="S2631" s="8"/>
      <c r="U2631" s="6"/>
      <c r="V2631" s="6"/>
      <c r="W2631" s="6"/>
      <c r="X2631" s="6"/>
      <c r="Y2631" s="6"/>
      <c r="Z2631" s="6"/>
    </row>
    <row r="2632" spans="14:26" ht="31.4" customHeight="1" x14ac:dyDescent="0.35">
      <c r="N2632" s="20"/>
      <c r="P2632" s="8"/>
      <c r="Q2632" s="8"/>
      <c r="R2632" s="8"/>
      <c r="S2632" s="8"/>
      <c r="U2632" s="6"/>
      <c r="V2632" s="6"/>
      <c r="W2632" s="6"/>
      <c r="X2632" s="6"/>
      <c r="Y2632" s="6"/>
      <c r="Z2632" s="6"/>
    </row>
    <row r="2633" spans="14:26" ht="31.4" customHeight="1" x14ac:dyDescent="0.35">
      <c r="N2633" s="20"/>
      <c r="P2633" s="8"/>
      <c r="Q2633" s="8"/>
      <c r="R2633" s="8"/>
      <c r="S2633" s="8"/>
      <c r="U2633" s="6"/>
      <c r="V2633" s="6"/>
      <c r="W2633" s="6"/>
      <c r="X2633" s="6"/>
      <c r="Y2633" s="6"/>
      <c r="Z2633" s="6"/>
    </row>
    <row r="2634" spans="14:26" ht="31.4" customHeight="1" x14ac:dyDescent="0.35">
      <c r="N2634" s="20"/>
      <c r="P2634" s="8"/>
      <c r="Q2634" s="8"/>
      <c r="R2634" s="8"/>
      <c r="S2634" s="8"/>
      <c r="U2634" s="6"/>
      <c r="V2634" s="6"/>
      <c r="W2634" s="6"/>
      <c r="X2634" s="6"/>
      <c r="Y2634" s="6"/>
      <c r="Z2634" s="6"/>
    </row>
    <row r="2635" spans="14:26" ht="31.4" customHeight="1" x14ac:dyDescent="0.35">
      <c r="N2635" s="20"/>
      <c r="P2635" s="8"/>
      <c r="Q2635" s="8"/>
      <c r="R2635" s="8"/>
      <c r="S2635" s="8"/>
      <c r="U2635" s="6"/>
      <c r="V2635" s="6"/>
      <c r="W2635" s="6"/>
      <c r="X2635" s="6"/>
      <c r="Y2635" s="6"/>
      <c r="Z2635" s="6"/>
    </row>
    <row r="2636" spans="14:26" ht="31.4" customHeight="1" x14ac:dyDescent="0.35">
      <c r="N2636" s="20"/>
      <c r="P2636" s="8"/>
      <c r="Q2636" s="8"/>
      <c r="R2636" s="8"/>
      <c r="S2636" s="8"/>
      <c r="U2636" s="6"/>
      <c r="V2636" s="6"/>
      <c r="W2636" s="6"/>
      <c r="X2636" s="6"/>
      <c r="Y2636" s="6"/>
      <c r="Z2636" s="6"/>
    </row>
    <row r="2637" spans="14:26" ht="31.4" customHeight="1" x14ac:dyDescent="0.35">
      <c r="N2637" s="20"/>
      <c r="P2637" s="8"/>
      <c r="Q2637" s="8"/>
      <c r="R2637" s="8"/>
      <c r="S2637" s="8"/>
      <c r="U2637" s="6"/>
      <c r="V2637" s="6"/>
      <c r="W2637" s="6"/>
      <c r="X2637" s="6"/>
      <c r="Y2637" s="6"/>
      <c r="Z2637" s="6"/>
    </row>
    <row r="2638" spans="14:26" ht="31.4" customHeight="1" x14ac:dyDescent="0.35">
      <c r="N2638" s="20"/>
      <c r="P2638" s="8"/>
      <c r="Q2638" s="8"/>
      <c r="R2638" s="8"/>
      <c r="S2638" s="8"/>
      <c r="U2638" s="6"/>
      <c r="V2638" s="6"/>
      <c r="W2638" s="6"/>
      <c r="X2638" s="6"/>
      <c r="Y2638" s="6"/>
      <c r="Z2638" s="6"/>
    </row>
    <row r="2639" spans="14:26" ht="31.4" customHeight="1" x14ac:dyDescent="0.35">
      <c r="N2639" s="20"/>
      <c r="P2639" s="8"/>
      <c r="Q2639" s="8"/>
      <c r="R2639" s="8"/>
      <c r="S2639" s="8"/>
      <c r="U2639" s="6"/>
      <c r="V2639" s="6"/>
      <c r="W2639" s="6"/>
      <c r="X2639" s="6"/>
      <c r="Y2639" s="6"/>
      <c r="Z2639" s="6"/>
    </row>
    <row r="2640" spans="14:26" ht="31.4" customHeight="1" x14ac:dyDescent="0.35">
      <c r="N2640" s="20"/>
      <c r="P2640" s="8"/>
      <c r="Q2640" s="8"/>
      <c r="R2640" s="8"/>
      <c r="S2640" s="8"/>
      <c r="U2640" s="6"/>
      <c r="V2640" s="6"/>
      <c r="W2640" s="6"/>
      <c r="X2640" s="6"/>
      <c r="Y2640" s="6"/>
      <c r="Z2640" s="6"/>
    </row>
    <row r="2641" spans="14:26" ht="31.4" customHeight="1" x14ac:dyDescent="0.35">
      <c r="N2641" s="20"/>
      <c r="P2641" s="8"/>
      <c r="Q2641" s="8"/>
      <c r="R2641" s="8"/>
      <c r="S2641" s="8"/>
      <c r="U2641" s="6"/>
      <c r="V2641" s="6"/>
      <c r="W2641" s="6"/>
      <c r="X2641" s="6"/>
      <c r="Y2641" s="6"/>
      <c r="Z2641" s="6"/>
    </row>
    <row r="2642" spans="14:26" ht="31.4" customHeight="1" x14ac:dyDescent="0.35">
      <c r="N2642" s="20"/>
      <c r="P2642" s="8"/>
      <c r="Q2642" s="8"/>
      <c r="R2642" s="8"/>
      <c r="S2642" s="8"/>
      <c r="U2642" s="6"/>
      <c r="V2642" s="6"/>
      <c r="W2642" s="6"/>
      <c r="X2642" s="6"/>
      <c r="Y2642" s="6"/>
      <c r="Z2642" s="6"/>
    </row>
    <row r="2643" spans="14:26" ht="31.4" customHeight="1" x14ac:dyDescent="0.35">
      <c r="N2643" s="20"/>
      <c r="P2643" s="8"/>
      <c r="Q2643" s="8"/>
      <c r="R2643" s="8"/>
      <c r="S2643" s="8"/>
      <c r="U2643" s="6"/>
      <c r="V2643" s="6"/>
      <c r="W2643" s="6"/>
      <c r="X2643" s="6"/>
      <c r="Y2643" s="6"/>
      <c r="Z2643" s="6"/>
    </row>
    <row r="2644" spans="14:26" ht="31.4" customHeight="1" x14ac:dyDescent="0.35">
      <c r="N2644" s="20"/>
      <c r="P2644" s="8"/>
      <c r="Q2644" s="8"/>
      <c r="R2644" s="8"/>
      <c r="S2644" s="8"/>
      <c r="U2644" s="6"/>
      <c r="V2644" s="6"/>
      <c r="W2644" s="6"/>
      <c r="X2644" s="6"/>
      <c r="Y2644" s="6"/>
      <c r="Z2644" s="6"/>
    </row>
    <row r="2645" spans="14:26" ht="31.4" customHeight="1" x14ac:dyDescent="0.35">
      <c r="N2645" s="20"/>
      <c r="P2645" s="8"/>
      <c r="Q2645" s="8"/>
      <c r="R2645" s="8"/>
      <c r="S2645" s="8"/>
      <c r="U2645" s="6"/>
      <c r="V2645" s="6"/>
      <c r="W2645" s="6"/>
      <c r="X2645" s="6"/>
      <c r="Y2645" s="6"/>
      <c r="Z2645" s="6"/>
    </row>
    <row r="2646" spans="14:26" ht="31.4" customHeight="1" x14ac:dyDescent="0.35">
      <c r="N2646" s="20"/>
      <c r="P2646" s="8"/>
      <c r="Q2646" s="8"/>
      <c r="R2646" s="8"/>
      <c r="S2646" s="8"/>
      <c r="U2646" s="6"/>
      <c r="V2646" s="6"/>
      <c r="W2646" s="6"/>
      <c r="X2646" s="6"/>
      <c r="Y2646" s="6"/>
      <c r="Z2646" s="6"/>
    </row>
    <row r="2647" spans="14:26" ht="31.4" customHeight="1" x14ac:dyDescent="0.35">
      <c r="N2647" s="20"/>
      <c r="P2647" s="8"/>
      <c r="Q2647" s="8"/>
      <c r="R2647" s="8"/>
      <c r="S2647" s="8"/>
      <c r="U2647" s="6"/>
      <c r="V2647" s="6"/>
      <c r="W2647" s="6"/>
      <c r="X2647" s="6"/>
      <c r="Y2647" s="6"/>
      <c r="Z2647" s="6"/>
    </row>
    <row r="2648" spans="14:26" ht="31.4" customHeight="1" x14ac:dyDescent="0.35">
      <c r="N2648" s="20"/>
      <c r="P2648" s="8"/>
      <c r="Q2648" s="8"/>
      <c r="R2648" s="8"/>
      <c r="S2648" s="8"/>
      <c r="U2648" s="6"/>
      <c r="V2648" s="6"/>
      <c r="W2648" s="6"/>
      <c r="X2648" s="6"/>
      <c r="Y2648" s="6"/>
      <c r="Z2648" s="6"/>
    </row>
    <row r="2649" spans="14:26" ht="31.4" customHeight="1" x14ac:dyDescent="0.35">
      <c r="N2649" s="20"/>
      <c r="P2649" s="8"/>
      <c r="Q2649" s="8"/>
      <c r="R2649" s="8"/>
      <c r="S2649" s="8"/>
      <c r="U2649" s="6"/>
      <c r="V2649" s="6"/>
      <c r="W2649" s="6"/>
      <c r="X2649" s="6"/>
      <c r="Y2649" s="6"/>
      <c r="Z2649" s="6"/>
    </row>
    <row r="2650" spans="14:26" ht="31.4" customHeight="1" x14ac:dyDescent="0.35">
      <c r="N2650" s="20"/>
      <c r="P2650" s="8"/>
      <c r="Q2650" s="8"/>
      <c r="R2650" s="8"/>
      <c r="S2650" s="8"/>
      <c r="U2650" s="6"/>
      <c r="V2650" s="6"/>
      <c r="W2650" s="6"/>
      <c r="X2650" s="6"/>
      <c r="Y2650" s="6"/>
      <c r="Z2650" s="6"/>
    </row>
    <row r="2651" spans="14:26" ht="31.4" customHeight="1" x14ac:dyDescent="0.35">
      <c r="N2651" s="20"/>
      <c r="P2651" s="8"/>
      <c r="Q2651" s="8"/>
      <c r="R2651" s="8"/>
      <c r="S2651" s="8"/>
      <c r="U2651" s="6"/>
      <c r="V2651" s="6"/>
      <c r="W2651" s="6"/>
      <c r="X2651" s="6"/>
      <c r="Y2651" s="6"/>
      <c r="Z2651" s="6"/>
    </row>
    <row r="2652" spans="14:26" ht="31.4" customHeight="1" x14ac:dyDescent="0.35">
      <c r="N2652" s="20"/>
      <c r="P2652" s="8"/>
      <c r="Q2652" s="8"/>
      <c r="R2652" s="8"/>
      <c r="S2652" s="8"/>
      <c r="U2652" s="6"/>
      <c r="V2652" s="6"/>
      <c r="W2652" s="6"/>
      <c r="X2652" s="6"/>
      <c r="Y2652" s="6"/>
      <c r="Z2652" s="6"/>
    </row>
    <row r="2653" spans="14:26" ht="31.4" customHeight="1" x14ac:dyDescent="0.35">
      <c r="N2653" s="20"/>
      <c r="P2653" s="8"/>
      <c r="Q2653" s="8"/>
      <c r="R2653" s="8"/>
      <c r="S2653" s="8"/>
      <c r="U2653" s="6"/>
      <c r="V2653" s="6"/>
      <c r="W2653" s="6"/>
      <c r="X2653" s="6"/>
      <c r="Y2653" s="6"/>
      <c r="Z2653" s="6"/>
    </row>
    <row r="2654" spans="14:26" ht="31.4" customHeight="1" x14ac:dyDescent="0.35">
      <c r="N2654" s="20"/>
      <c r="P2654" s="8"/>
      <c r="Q2654" s="8"/>
      <c r="R2654" s="8"/>
      <c r="S2654" s="8"/>
      <c r="U2654" s="6"/>
      <c r="V2654" s="6"/>
      <c r="W2654" s="6"/>
      <c r="X2654" s="6"/>
      <c r="Y2654" s="6"/>
      <c r="Z2654" s="6"/>
    </row>
    <row r="2655" spans="14:26" ht="31.4" customHeight="1" x14ac:dyDescent="0.35">
      <c r="N2655" s="20"/>
      <c r="P2655" s="8"/>
      <c r="Q2655" s="8"/>
      <c r="R2655" s="8"/>
      <c r="S2655" s="8"/>
      <c r="U2655" s="6"/>
      <c r="V2655" s="6"/>
      <c r="W2655" s="6"/>
      <c r="X2655" s="6"/>
      <c r="Y2655" s="6"/>
      <c r="Z2655" s="6"/>
    </row>
    <row r="2656" spans="14:26" ht="31.4" customHeight="1" x14ac:dyDescent="0.35">
      <c r="N2656" s="20"/>
      <c r="P2656" s="8"/>
      <c r="Q2656" s="8"/>
      <c r="R2656" s="8"/>
      <c r="S2656" s="8"/>
      <c r="U2656" s="6"/>
      <c r="V2656" s="6"/>
      <c r="W2656" s="6"/>
      <c r="X2656" s="6"/>
      <c r="Y2656" s="6"/>
      <c r="Z2656" s="6"/>
    </row>
    <row r="2657" spans="14:26" ht="31.4" customHeight="1" x14ac:dyDescent="0.35">
      <c r="N2657" s="20"/>
      <c r="P2657" s="8"/>
      <c r="Q2657" s="8"/>
      <c r="R2657" s="8"/>
      <c r="S2657" s="8"/>
      <c r="U2657" s="6"/>
      <c r="V2657" s="6"/>
      <c r="W2657" s="6"/>
      <c r="X2657" s="6"/>
      <c r="Y2657" s="6"/>
      <c r="Z2657" s="6"/>
    </row>
    <row r="2658" spans="14:26" ht="31.4" customHeight="1" x14ac:dyDescent="0.35">
      <c r="N2658" s="20"/>
      <c r="P2658" s="8"/>
      <c r="Q2658" s="8"/>
      <c r="R2658" s="8"/>
      <c r="S2658" s="8"/>
      <c r="U2658" s="6"/>
      <c r="V2658" s="6"/>
      <c r="W2658" s="6"/>
      <c r="X2658" s="6"/>
      <c r="Y2658" s="6"/>
      <c r="Z2658" s="6"/>
    </row>
    <row r="2659" spans="14:26" ht="31.4" customHeight="1" x14ac:dyDescent="0.35">
      <c r="N2659" s="20"/>
      <c r="P2659" s="8"/>
      <c r="Q2659" s="8"/>
      <c r="R2659" s="8"/>
      <c r="S2659" s="8"/>
      <c r="U2659" s="6"/>
      <c r="V2659" s="6"/>
      <c r="W2659" s="6"/>
      <c r="X2659" s="6"/>
      <c r="Y2659" s="6"/>
      <c r="Z2659" s="6"/>
    </row>
    <row r="2660" spans="14:26" ht="31.4" customHeight="1" x14ac:dyDescent="0.35">
      <c r="N2660" s="20"/>
      <c r="P2660" s="8"/>
      <c r="Q2660" s="8"/>
      <c r="R2660" s="8"/>
      <c r="S2660" s="8"/>
      <c r="U2660" s="6"/>
      <c r="V2660" s="6"/>
      <c r="W2660" s="6"/>
      <c r="X2660" s="6"/>
      <c r="Y2660" s="6"/>
      <c r="Z2660" s="6"/>
    </row>
    <row r="2661" spans="14:26" ht="31.4" customHeight="1" x14ac:dyDescent="0.35">
      <c r="N2661" s="20"/>
      <c r="P2661" s="8"/>
      <c r="Q2661" s="8"/>
      <c r="R2661" s="8"/>
      <c r="S2661" s="8"/>
      <c r="U2661" s="6"/>
      <c r="V2661" s="6"/>
      <c r="W2661" s="6"/>
      <c r="X2661" s="6"/>
      <c r="Y2661" s="6"/>
      <c r="Z2661" s="6"/>
    </row>
    <row r="2662" spans="14:26" ht="31.4" customHeight="1" x14ac:dyDescent="0.35">
      <c r="N2662" s="20"/>
      <c r="P2662" s="8"/>
      <c r="Q2662" s="8"/>
      <c r="R2662" s="8"/>
      <c r="S2662" s="8"/>
      <c r="U2662" s="6"/>
      <c r="V2662" s="6"/>
      <c r="W2662" s="6"/>
      <c r="X2662" s="6"/>
      <c r="Y2662" s="6"/>
      <c r="Z2662" s="6"/>
    </row>
    <row r="2663" spans="14:26" ht="31.4" customHeight="1" x14ac:dyDescent="0.35">
      <c r="N2663" s="20"/>
      <c r="P2663" s="8"/>
      <c r="Q2663" s="8"/>
      <c r="R2663" s="8"/>
      <c r="S2663" s="8"/>
      <c r="U2663" s="6"/>
      <c r="V2663" s="6"/>
      <c r="W2663" s="6"/>
      <c r="X2663" s="6"/>
      <c r="Y2663" s="6"/>
      <c r="Z2663" s="6"/>
    </row>
    <row r="2664" spans="14:26" ht="31.4" customHeight="1" x14ac:dyDescent="0.35">
      <c r="N2664" s="20"/>
      <c r="P2664" s="8"/>
      <c r="Q2664" s="8"/>
      <c r="R2664" s="8"/>
      <c r="S2664" s="8"/>
      <c r="U2664" s="6"/>
      <c r="V2664" s="6"/>
      <c r="W2664" s="6"/>
      <c r="X2664" s="6"/>
      <c r="Y2664" s="6"/>
      <c r="Z2664" s="6"/>
    </row>
    <row r="2665" spans="14:26" ht="31.4" customHeight="1" x14ac:dyDescent="0.35">
      <c r="N2665" s="20"/>
      <c r="P2665" s="8"/>
      <c r="Q2665" s="8"/>
      <c r="R2665" s="8"/>
      <c r="S2665" s="8"/>
      <c r="U2665" s="6"/>
      <c r="V2665" s="6"/>
      <c r="W2665" s="6"/>
      <c r="X2665" s="6"/>
      <c r="Y2665" s="6"/>
      <c r="Z2665" s="6"/>
    </row>
    <row r="2666" spans="14:26" ht="31.4" customHeight="1" x14ac:dyDescent="0.35">
      <c r="N2666" s="20"/>
      <c r="P2666" s="8"/>
      <c r="Q2666" s="8"/>
      <c r="R2666" s="8"/>
      <c r="S2666" s="8"/>
      <c r="U2666" s="6"/>
      <c r="V2666" s="6"/>
      <c r="W2666" s="6"/>
      <c r="X2666" s="6"/>
      <c r="Y2666" s="6"/>
      <c r="Z2666" s="6"/>
    </row>
    <row r="2667" spans="14:26" ht="31.4" customHeight="1" x14ac:dyDescent="0.35">
      <c r="N2667" s="20"/>
      <c r="P2667" s="8"/>
      <c r="Q2667" s="8"/>
      <c r="R2667" s="8"/>
      <c r="S2667" s="8"/>
      <c r="U2667" s="6"/>
      <c r="V2667" s="6"/>
      <c r="W2667" s="6"/>
      <c r="X2667" s="6"/>
      <c r="Y2667" s="6"/>
      <c r="Z2667" s="6"/>
    </row>
    <row r="2668" spans="14:26" ht="31.4" customHeight="1" x14ac:dyDescent="0.35">
      <c r="N2668" s="20"/>
      <c r="P2668" s="8"/>
      <c r="Q2668" s="8"/>
      <c r="R2668" s="8"/>
      <c r="S2668" s="8"/>
      <c r="U2668" s="6"/>
      <c r="V2668" s="6"/>
      <c r="W2668" s="6"/>
      <c r="X2668" s="6"/>
      <c r="Y2668" s="6"/>
      <c r="Z2668" s="6"/>
    </row>
    <row r="2669" spans="14:26" ht="31.4" customHeight="1" x14ac:dyDescent="0.35">
      <c r="N2669" s="20"/>
      <c r="P2669" s="8"/>
      <c r="Q2669" s="8"/>
      <c r="R2669" s="8"/>
      <c r="S2669" s="8"/>
      <c r="U2669" s="6"/>
      <c r="V2669" s="6"/>
      <c r="W2669" s="6"/>
      <c r="X2669" s="6"/>
      <c r="Y2669" s="6"/>
      <c r="Z2669" s="6"/>
    </row>
    <row r="2670" spans="14:26" ht="31.4" customHeight="1" x14ac:dyDescent="0.35">
      <c r="N2670" s="20"/>
      <c r="P2670" s="8"/>
      <c r="Q2670" s="8"/>
      <c r="R2670" s="8"/>
      <c r="S2670" s="8"/>
      <c r="U2670" s="6"/>
      <c r="V2670" s="6"/>
      <c r="W2670" s="6"/>
      <c r="X2670" s="6"/>
      <c r="Y2670" s="6"/>
      <c r="Z2670" s="6"/>
    </row>
    <row r="2671" spans="14:26" ht="31.4" customHeight="1" x14ac:dyDescent="0.35">
      <c r="N2671" s="20"/>
      <c r="P2671" s="8"/>
      <c r="Q2671" s="8"/>
      <c r="R2671" s="8"/>
      <c r="S2671" s="8"/>
      <c r="U2671" s="6"/>
      <c r="V2671" s="6"/>
      <c r="W2671" s="6"/>
      <c r="X2671" s="6"/>
      <c r="Y2671" s="6"/>
      <c r="Z2671" s="6"/>
    </row>
    <row r="2672" spans="14:26" ht="31.4" customHeight="1" x14ac:dyDescent="0.35">
      <c r="N2672" s="20"/>
      <c r="P2672" s="8"/>
      <c r="Q2672" s="8"/>
      <c r="R2672" s="8"/>
      <c r="S2672" s="8"/>
      <c r="U2672" s="6"/>
      <c r="V2672" s="6"/>
      <c r="W2672" s="6"/>
      <c r="X2672" s="6"/>
      <c r="Y2672" s="6"/>
      <c r="Z2672" s="6"/>
    </row>
    <row r="2673" spans="14:26" ht="31.4" customHeight="1" x14ac:dyDescent="0.35">
      <c r="N2673" s="20"/>
      <c r="P2673" s="8"/>
      <c r="Q2673" s="8"/>
      <c r="R2673" s="8"/>
      <c r="S2673" s="8"/>
      <c r="U2673" s="6"/>
      <c r="V2673" s="6"/>
      <c r="W2673" s="6"/>
      <c r="X2673" s="6"/>
      <c r="Y2673" s="6"/>
      <c r="Z2673" s="6"/>
    </row>
    <row r="2674" spans="14:26" ht="31.4" customHeight="1" x14ac:dyDescent="0.35">
      <c r="N2674" s="20"/>
      <c r="P2674" s="8"/>
      <c r="Q2674" s="8"/>
      <c r="R2674" s="8"/>
      <c r="S2674" s="8"/>
      <c r="U2674" s="6"/>
      <c r="V2674" s="6"/>
      <c r="W2674" s="6"/>
      <c r="X2674" s="6"/>
      <c r="Y2674" s="6"/>
      <c r="Z2674" s="6"/>
    </row>
    <row r="2675" spans="14:26" ht="31.4" customHeight="1" x14ac:dyDescent="0.35">
      <c r="N2675" s="20"/>
      <c r="P2675" s="8"/>
      <c r="Q2675" s="8"/>
      <c r="R2675" s="8"/>
      <c r="S2675" s="8"/>
      <c r="U2675" s="6"/>
      <c r="V2675" s="6"/>
      <c r="W2675" s="6"/>
      <c r="X2675" s="6"/>
      <c r="Y2675" s="6"/>
      <c r="Z2675" s="6"/>
    </row>
    <row r="2676" spans="14:26" ht="31.4" customHeight="1" x14ac:dyDescent="0.35">
      <c r="N2676" s="20"/>
      <c r="P2676" s="8"/>
      <c r="Q2676" s="8"/>
      <c r="R2676" s="8"/>
      <c r="S2676" s="8"/>
      <c r="U2676" s="6"/>
      <c r="V2676" s="6"/>
      <c r="W2676" s="6"/>
      <c r="X2676" s="6"/>
      <c r="Y2676" s="6"/>
      <c r="Z2676" s="6"/>
    </row>
    <row r="2677" spans="14:26" ht="31.4" customHeight="1" x14ac:dyDescent="0.35">
      <c r="N2677" s="20"/>
      <c r="P2677" s="8"/>
      <c r="Q2677" s="8"/>
      <c r="R2677" s="8"/>
      <c r="S2677" s="8"/>
      <c r="U2677" s="6"/>
      <c r="V2677" s="6"/>
      <c r="W2677" s="6"/>
      <c r="X2677" s="6"/>
      <c r="Y2677" s="6"/>
      <c r="Z2677" s="6"/>
    </row>
    <row r="2678" spans="14:26" ht="31.4" customHeight="1" x14ac:dyDescent="0.35">
      <c r="N2678" s="20"/>
      <c r="P2678" s="8"/>
      <c r="Q2678" s="8"/>
      <c r="R2678" s="8"/>
      <c r="S2678" s="8"/>
      <c r="U2678" s="6"/>
      <c r="V2678" s="6"/>
      <c r="W2678" s="6"/>
      <c r="X2678" s="6"/>
      <c r="Y2678" s="6"/>
      <c r="Z2678" s="6"/>
    </row>
    <row r="2679" spans="14:26" ht="31.4" customHeight="1" x14ac:dyDescent="0.35">
      <c r="N2679" s="20"/>
      <c r="P2679" s="8"/>
      <c r="Q2679" s="8"/>
      <c r="R2679" s="8"/>
      <c r="S2679" s="8"/>
      <c r="U2679" s="6"/>
      <c r="V2679" s="6"/>
      <c r="W2679" s="6"/>
      <c r="X2679" s="6"/>
      <c r="Y2679" s="6"/>
      <c r="Z2679" s="6"/>
    </row>
    <row r="2680" spans="14:26" ht="31.4" customHeight="1" x14ac:dyDescent="0.35">
      <c r="N2680" s="20"/>
      <c r="P2680" s="8"/>
      <c r="Q2680" s="8"/>
      <c r="R2680" s="8"/>
      <c r="S2680" s="8"/>
      <c r="U2680" s="6"/>
      <c r="V2680" s="6"/>
      <c r="W2680" s="6"/>
      <c r="X2680" s="6"/>
      <c r="Y2680" s="6"/>
      <c r="Z2680" s="6"/>
    </row>
    <row r="2681" spans="14:26" ht="31.4" customHeight="1" x14ac:dyDescent="0.35">
      <c r="N2681" s="20"/>
      <c r="P2681" s="8"/>
      <c r="Q2681" s="8"/>
      <c r="R2681" s="8"/>
      <c r="S2681" s="8"/>
      <c r="U2681" s="6"/>
      <c r="V2681" s="6"/>
      <c r="W2681" s="6"/>
      <c r="X2681" s="6"/>
      <c r="Y2681" s="6"/>
      <c r="Z2681" s="6"/>
    </row>
    <row r="2682" spans="14:26" ht="31.4" customHeight="1" x14ac:dyDescent="0.35">
      <c r="N2682" s="20"/>
      <c r="P2682" s="8"/>
      <c r="Q2682" s="8"/>
      <c r="R2682" s="8"/>
      <c r="S2682" s="8"/>
      <c r="U2682" s="6"/>
      <c r="V2682" s="6"/>
      <c r="W2682" s="6"/>
      <c r="X2682" s="6"/>
      <c r="Y2682" s="6"/>
      <c r="Z2682" s="6"/>
    </row>
    <row r="2683" spans="14:26" ht="31.4" customHeight="1" x14ac:dyDescent="0.35">
      <c r="N2683" s="20"/>
      <c r="P2683" s="8"/>
      <c r="Q2683" s="8"/>
      <c r="R2683" s="8"/>
      <c r="S2683" s="8"/>
      <c r="U2683" s="6"/>
      <c r="V2683" s="6"/>
      <c r="W2683" s="6"/>
      <c r="X2683" s="6"/>
      <c r="Y2683" s="6"/>
      <c r="Z2683" s="6"/>
    </row>
    <row r="2684" spans="14:26" ht="31.4" customHeight="1" x14ac:dyDescent="0.35">
      <c r="N2684" s="20"/>
      <c r="P2684" s="8"/>
      <c r="Q2684" s="8"/>
      <c r="R2684" s="8"/>
      <c r="S2684" s="8"/>
      <c r="U2684" s="6"/>
      <c r="V2684" s="6"/>
      <c r="W2684" s="6"/>
      <c r="X2684" s="6"/>
      <c r="Y2684" s="6"/>
      <c r="Z2684" s="6"/>
    </row>
    <row r="2685" spans="14:26" ht="31.4" customHeight="1" x14ac:dyDescent="0.35">
      <c r="N2685" s="20"/>
      <c r="P2685" s="8"/>
      <c r="Q2685" s="8"/>
      <c r="R2685" s="8"/>
      <c r="S2685" s="8"/>
      <c r="U2685" s="6"/>
      <c r="V2685" s="6"/>
      <c r="W2685" s="6"/>
      <c r="X2685" s="6"/>
      <c r="Y2685" s="6"/>
      <c r="Z2685" s="6"/>
    </row>
    <row r="2686" spans="14:26" ht="31.4" customHeight="1" x14ac:dyDescent="0.35">
      <c r="N2686" s="20"/>
      <c r="P2686" s="8"/>
      <c r="Q2686" s="8"/>
      <c r="R2686" s="8"/>
      <c r="S2686" s="8"/>
      <c r="U2686" s="6"/>
      <c r="V2686" s="6"/>
      <c r="W2686" s="6"/>
      <c r="X2686" s="6"/>
      <c r="Y2686" s="6"/>
      <c r="Z2686" s="6"/>
    </row>
    <row r="2687" spans="14:26" ht="31.4" customHeight="1" x14ac:dyDescent="0.35">
      <c r="N2687" s="20"/>
      <c r="P2687" s="8"/>
      <c r="Q2687" s="8"/>
      <c r="R2687" s="8"/>
      <c r="S2687" s="8"/>
      <c r="U2687" s="6"/>
      <c r="V2687" s="6"/>
      <c r="W2687" s="6"/>
      <c r="X2687" s="6"/>
      <c r="Y2687" s="6"/>
      <c r="Z2687" s="6"/>
    </row>
    <row r="2688" spans="14:26" ht="31.4" customHeight="1" x14ac:dyDescent="0.35">
      <c r="N2688" s="20"/>
      <c r="P2688" s="8"/>
      <c r="Q2688" s="8"/>
      <c r="R2688" s="8"/>
      <c r="S2688" s="8"/>
      <c r="U2688" s="6"/>
      <c r="V2688" s="6"/>
      <c r="W2688" s="6"/>
      <c r="X2688" s="6"/>
      <c r="Y2688" s="6"/>
      <c r="Z2688" s="6"/>
    </row>
    <row r="2689" spans="14:26" ht="31.4" customHeight="1" x14ac:dyDescent="0.35">
      <c r="N2689" s="20"/>
      <c r="P2689" s="8"/>
      <c r="Q2689" s="8"/>
      <c r="R2689" s="8"/>
      <c r="S2689" s="8"/>
      <c r="U2689" s="6"/>
      <c r="V2689" s="6"/>
      <c r="W2689" s="6"/>
      <c r="X2689" s="6"/>
      <c r="Y2689" s="6"/>
      <c r="Z2689" s="6"/>
    </row>
    <row r="2690" spans="14:26" ht="31.4" customHeight="1" x14ac:dyDescent="0.35">
      <c r="N2690" s="20"/>
      <c r="P2690" s="8"/>
      <c r="Q2690" s="8"/>
      <c r="R2690" s="8"/>
      <c r="S2690" s="8"/>
      <c r="U2690" s="6"/>
      <c r="V2690" s="6"/>
      <c r="W2690" s="6"/>
      <c r="X2690" s="6"/>
      <c r="Y2690" s="6"/>
      <c r="Z2690" s="6"/>
    </row>
    <row r="2691" spans="14:26" ht="31.4" customHeight="1" x14ac:dyDescent="0.35">
      <c r="N2691" s="20"/>
      <c r="P2691" s="8"/>
      <c r="Q2691" s="8"/>
      <c r="R2691" s="8"/>
      <c r="S2691" s="8"/>
      <c r="U2691" s="6"/>
      <c r="V2691" s="6"/>
      <c r="W2691" s="6"/>
      <c r="X2691" s="6"/>
      <c r="Y2691" s="6"/>
      <c r="Z2691" s="6"/>
    </row>
    <row r="2692" spans="14:26" ht="31.4" customHeight="1" x14ac:dyDescent="0.35">
      <c r="N2692" s="20"/>
      <c r="P2692" s="8"/>
      <c r="Q2692" s="8"/>
      <c r="R2692" s="8"/>
      <c r="S2692" s="8"/>
      <c r="U2692" s="6"/>
      <c r="V2692" s="6"/>
      <c r="W2692" s="6"/>
      <c r="X2692" s="6"/>
      <c r="Y2692" s="6"/>
      <c r="Z2692" s="6"/>
    </row>
    <row r="2693" spans="14:26" ht="31.4" customHeight="1" x14ac:dyDescent="0.35">
      <c r="N2693" s="20"/>
      <c r="P2693" s="8"/>
      <c r="Q2693" s="8"/>
      <c r="R2693" s="8"/>
      <c r="S2693" s="8"/>
      <c r="U2693" s="6"/>
      <c r="V2693" s="6"/>
      <c r="W2693" s="6"/>
      <c r="X2693" s="6"/>
      <c r="Y2693" s="6"/>
      <c r="Z2693" s="6"/>
    </row>
    <row r="2694" spans="14:26" ht="31.4" customHeight="1" x14ac:dyDescent="0.35">
      <c r="N2694" s="20"/>
      <c r="P2694" s="8"/>
      <c r="Q2694" s="8"/>
      <c r="R2694" s="8"/>
      <c r="S2694" s="8"/>
      <c r="U2694" s="6"/>
      <c r="V2694" s="6"/>
      <c r="W2694" s="6"/>
      <c r="X2694" s="6"/>
      <c r="Y2694" s="6"/>
      <c r="Z2694" s="6"/>
    </row>
    <row r="2695" spans="14:26" ht="31.4" customHeight="1" x14ac:dyDescent="0.35">
      <c r="N2695" s="20"/>
      <c r="P2695" s="8"/>
      <c r="Q2695" s="8"/>
      <c r="R2695" s="8"/>
      <c r="S2695" s="8"/>
      <c r="U2695" s="6"/>
      <c r="V2695" s="6"/>
      <c r="W2695" s="6"/>
      <c r="X2695" s="6"/>
      <c r="Y2695" s="6"/>
      <c r="Z2695" s="6"/>
    </row>
    <row r="2696" spans="14:26" ht="31.4" customHeight="1" x14ac:dyDescent="0.35">
      <c r="N2696" s="20"/>
      <c r="P2696" s="8"/>
      <c r="Q2696" s="8"/>
      <c r="R2696" s="8"/>
      <c r="S2696" s="8"/>
      <c r="U2696" s="6"/>
      <c r="V2696" s="6"/>
      <c r="W2696" s="6"/>
      <c r="X2696" s="6"/>
      <c r="Y2696" s="6"/>
      <c r="Z2696" s="6"/>
    </row>
    <row r="2697" spans="14:26" ht="31.4" customHeight="1" x14ac:dyDescent="0.35">
      <c r="N2697" s="20"/>
      <c r="P2697" s="8"/>
      <c r="Q2697" s="8"/>
      <c r="R2697" s="8"/>
      <c r="S2697" s="8"/>
      <c r="U2697" s="6"/>
      <c r="V2697" s="6"/>
      <c r="W2697" s="6"/>
      <c r="X2697" s="6"/>
      <c r="Y2697" s="6"/>
      <c r="Z2697" s="6"/>
    </row>
    <row r="2698" spans="14:26" ht="31.4" customHeight="1" x14ac:dyDescent="0.35">
      <c r="N2698" s="20"/>
      <c r="P2698" s="8"/>
      <c r="Q2698" s="8"/>
      <c r="R2698" s="8"/>
      <c r="S2698" s="8"/>
      <c r="U2698" s="6"/>
      <c r="V2698" s="6"/>
      <c r="W2698" s="6"/>
      <c r="X2698" s="6"/>
      <c r="Y2698" s="6"/>
      <c r="Z2698" s="6"/>
    </row>
    <row r="2699" spans="14:26" ht="31.4" customHeight="1" x14ac:dyDescent="0.35">
      <c r="N2699" s="20"/>
      <c r="P2699" s="8"/>
      <c r="Q2699" s="8"/>
      <c r="R2699" s="8"/>
      <c r="S2699" s="8"/>
      <c r="U2699" s="6"/>
      <c r="V2699" s="6"/>
      <c r="W2699" s="6"/>
      <c r="X2699" s="6"/>
      <c r="Y2699" s="6"/>
      <c r="Z2699" s="6"/>
    </row>
    <row r="2700" spans="14:26" ht="31.4" customHeight="1" x14ac:dyDescent="0.35">
      <c r="N2700" s="20"/>
      <c r="P2700" s="8"/>
      <c r="Q2700" s="8"/>
      <c r="R2700" s="8"/>
      <c r="S2700" s="8"/>
      <c r="U2700" s="6"/>
      <c r="V2700" s="6"/>
      <c r="W2700" s="6"/>
      <c r="X2700" s="6"/>
      <c r="Y2700" s="6"/>
      <c r="Z2700" s="6"/>
    </row>
    <row r="2701" spans="14:26" ht="31.4" customHeight="1" x14ac:dyDescent="0.35">
      <c r="N2701" s="20"/>
      <c r="P2701" s="8"/>
      <c r="Q2701" s="8"/>
      <c r="R2701" s="8"/>
      <c r="S2701" s="8"/>
      <c r="U2701" s="6"/>
      <c r="V2701" s="6"/>
      <c r="W2701" s="6"/>
      <c r="X2701" s="6"/>
      <c r="Y2701" s="6"/>
      <c r="Z2701" s="6"/>
    </row>
    <row r="2702" spans="14:26" ht="31.4" customHeight="1" x14ac:dyDescent="0.35">
      <c r="N2702" s="20"/>
      <c r="P2702" s="8"/>
      <c r="Q2702" s="8"/>
      <c r="R2702" s="8"/>
      <c r="S2702" s="8"/>
      <c r="U2702" s="6"/>
      <c r="V2702" s="6"/>
      <c r="W2702" s="6"/>
      <c r="X2702" s="6"/>
      <c r="Y2702" s="6"/>
      <c r="Z2702" s="6"/>
    </row>
    <row r="2703" spans="14:26" ht="31.4" customHeight="1" x14ac:dyDescent="0.35">
      <c r="N2703" s="20"/>
      <c r="P2703" s="8"/>
      <c r="Q2703" s="8"/>
      <c r="R2703" s="8"/>
      <c r="S2703" s="8"/>
      <c r="U2703" s="6"/>
      <c r="V2703" s="6"/>
      <c r="W2703" s="6"/>
      <c r="X2703" s="6"/>
      <c r="Y2703" s="6"/>
      <c r="Z2703" s="6"/>
    </row>
    <row r="2704" spans="14:26" ht="31.4" customHeight="1" x14ac:dyDescent="0.35">
      <c r="N2704" s="20"/>
      <c r="P2704" s="8"/>
      <c r="Q2704" s="8"/>
      <c r="R2704" s="8"/>
      <c r="S2704" s="8"/>
      <c r="U2704" s="6"/>
      <c r="V2704" s="6"/>
      <c r="W2704" s="6"/>
      <c r="X2704" s="6"/>
      <c r="Y2704" s="6"/>
      <c r="Z2704" s="6"/>
    </row>
    <row r="2705" spans="14:26" ht="31.4" customHeight="1" x14ac:dyDescent="0.35">
      <c r="N2705" s="20"/>
      <c r="P2705" s="8"/>
      <c r="Q2705" s="8"/>
      <c r="R2705" s="8"/>
      <c r="S2705" s="8"/>
      <c r="U2705" s="6"/>
      <c r="V2705" s="6"/>
      <c r="W2705" s="6"/>
      <c r="X2705" s="6"/>
      <c r="Y2705" s="6"/>
      <c r="Z2705" s="6"/>
    </row>
    <row r="2706" spans="14:26" ht="31.4" customHeight="1" x14ac:dyDescent="0.35">
      <c r="N2706" s="20"/>
      <c r="P2706" s="8"/>
      <c r="Q2706" s="8"/>
      <c r="R2706" s="8"/>
      <c r="S2706" s="8"/>
      <c r="U2706" s="6"/>
      <c r="V2706" s="6"/>
      <c r="W2706" s="6"/>
      <c r="X2706" s="6"/>
      <c r="Y2706" s="6"/>
      <c r="Z2706" s="6"/>
    </row>
    <row r="2707" spans="14:26" ht="31.4" customHeight="1" x14ac:dyDescent="0.35">
      <c r="N2707" s="20"/>
      <c r="P2707" s="8"/>
      <c r="Q2707" s="8"/>
      <c r="R2707" s="8"/>
      <c r="S2707" s="8"/>
      <c r="U2707" s="6"/>
      <c r="V2707" s="6"/>
      <c r="W2707" s="6"/>
      <c r="X2707" s="6"/>
      <c r="Y2707" s="6"/>
      <c r="Z2707" s="6"/>
    </row>
    <row r="2708" spans="14:26" ht="31.4" customHeight="1" x14ac:dyDescent="0.35">
      <c r="N2708" s="20"/>
      <c r="P2708" s="8"/>
      <c r="Q2708" s="8"/>
      <c r="R2708" s="8"/>
      <c r="S2708" s="8"/>
      <c r="U2708" s="6"/>
      <c r="V2708" s="6"/>
      <c r="W2708" s="6"/>
      <c r="X2708" s="6"/>
      <c r="Y2708" s="6"/>
      <c r="Z2708" s="6"/>
    </row>
    <row r="2709" spans="14:26" ht="31.4" customHeight="1" x14ac:dyDescent="0.35">
      <c r="N2709" s="20"/>
      <c r="P2709" s="8"/>
      <c r="Q2709" s="8"/>
      <c r="R2709" s="8"/>
      <c r="S2709" s="8"/>
      <c r="U2709" s="6"/>
      <c r="V2709" s="6"/>
      <c r="W2709" s="6"/>
      <c r="X2709" s="6"/>
      <c r="Y2709" s="6"/>
      <c r="Z2709" s="6"/>
    </row>
    <row r="2710" spans="14:26" ht="31.4" customHeight="1" x14ac:dyDescent="0.35">
      <c r="N2710" s="20"/>
      <c r="P2710" s="8"/>
      <c r="Q2710" s="8"/>
      <c r="R2710" s="8"/>
      <c r="S2710" s="8"/>
      <c r="U2710" s="6"/>
      <c r="V2710" s="6"/>
      <c r="W2710" s="6"/>
      <c r="X2710" s="6"/>
      <c r="Y2710" s="6"/>
      <c r="Z2710" s="6"/>
    </row>
    <row r="2711" spans="14:26" ht="31.4" customHeight="1" x14ac:dyDescent="0.35">
      <c r="N2711" s="20"/>
      <c r="P2711" s="8"/>
      <c r="Q2711" s="8"/>
      <c r="R2711" s="8"/>
      <c r="S2711" s="8"/>
      <c r="U2711" s="6"/>
      <c r="V2711" s="6"/>
      <c r="W2711" s="6"/>
      <c r="X2711" s="6"/>
      <c r="Y2711" s="6"/>
      <c r="Z2711" s="6"/>
    </row>
    <row r="2712" spans="14:26" ht="31.4" customHeight="1" x14ac:dyDescent="0.35">
      <c r="N2712" s="20"/>
      <c r="P2712" s="8"/>
      <c r="Q2712" s="8"/>
      <c r="R2712" s="8"/>
      <c r="S2712" s="8"/>
      <c r="U2712" s="6"/>
      <c r="V2712" s="6"/>
      <c r="W2712" s="6"/>
      <c r="X2712" s="6"/>
      <c r="Y2712" s="6"/>
      <c r="Z2712" s="6"/>
    </row>
    <row r="2713" spans="14:26" ht="31.4" customHeight="1" x14ac:dyDescent="0.35">
      <c r="N2713" s="20"/>
      <c r="P2713" s="8"/>
      <c r="Q2713" s="8"/>
      <c r="R2713" s="8"/>
      <c r="S2713" s="8"/>
      <c r="U2713" s="6"/>
      <c r="V2713" s="6"/>
      <c r="W2713" s="6"/>
      <c r="X2713" s="6"/>
      <c r="Y2713" s="6"/>
      <c r="Z2713" s="6"/>
    </row>
    <row r="2714" spans="14:26" ht="31.4" customHeight="1" x14ac:dyDescent="0.35">
      <c r="N2714" s="20"/>
      <c r="P2714" s="8"/>
      <c r="Q2714" s="8"/>
      <c r="R2714" s="8"/>
      <c r="S2714" s="8"/>
      <c r="U2714" s="6"/>
      <c r="V2714" s="6"/>
      <c r="W2714" s="6"/>
      <c r="X2714" s="6"/>
      <c r="Y2714" s="6"/>
      <c r="Z2714" s="6"/>
    </row>
    <row r="2715" spans="14:26" ht="31.4" customHeight="1" x14ac:dyDescent="0.35">
      <c r="N2715" s="20"/>
      <c r="P2715" s="8"/>
      <c r="Q2715" s="8"/>
      <c r="R2715" s="8"/>
      <c r="S2715" s="8"/>
      <c r="U2715" s="6"/>
      <c r="V2715" s="6"/>
      <c r="W2715" s="6"/>
      <c r="X2715" s="6"/>
      <c r="Y2715" s="6"/>
      <c r="Z2715" s="6"/>
    </row>
    <row r="2716" spans="14:26" ht="31.4" customHeight="1" x14ac:dyDescent="0.35">
      <c r="N2716" s="20"/>
      <c r="P2716" s="8"/>
      <c r="Q2716" s="8"/>
      <c r="R2716" s="8"/>
      <c r="S2716" s="8"/>
      <c r="U2716" s="6"/>
      <c r="V2716" s="6"/>
      <c r="W2716" s="6"/>
      <c r="X2716" s="6"/>
      <c r="Y2716" s="6"/>
      <c r="Z2716" s="6"/>
    </row>
    <row r="2717" spans="14:26" ht="31.4" customHeight="1" x14ac:dyDescent="0.35">
      <c r="N2717" s="20"/>
      <c r="P2717" s="8"/>
      <c r="Q2717" s="8"/>
      <c r="R2717" s="8"/>
      <c r="S2717" s="8"/>
      <c r="U2717" s="6"/>
      <c r="V2717" s="6"/>
      <c r="W2717" s="6"/>
      <c r="X2717" s="6"/>
      <c r="Y2717" s="6"/>
      <c r="Z2717" s="6"/>
    </row>
    <row r="2718" spans="14:26" ht="31.4" customHeight="1" x14ac:dyDescent="0.35">
      <c r="N2718" s="20"/>
      <c r="P2718" s="8"/>
      <c r="Q2718" s="8"/>
      <c r="R2718" s="8"/>
      <c r="S2718" s="8"/>
      <c r="U2718" s="6"/>
      <c r="V2718" s="6"/>
      <c r="W2718" s="6"/>
      <c r="X2718" s="6"/>
      <c r="Y2718" s="6"/>
      <c r="Z2718" s="6"/>
    </row>
    <row r="2719" spans="14:26" ht="31.4" customHeight="1" x14ac:dyDescent="0.35">
      <c r="N2719" s="20"/>
      <c r="P2719" s="8"/>
      <c r="Q2719" s="8"/>
      <c r="R2719" s="8"/>
      <c r="S2719" s="8"/>
      <c r="U2719" s="6"/>
      <c r="V2719" s="6"/>
      <c r="W2719" s="6"/>
      <c r="X2719" s="6"/>
      <c r="Y2719" s="6"/>
      <c r="Z2719" s="6"/>
    </row>
    <row r="2720" spans="14:26" ht="31.4" customHeight="1" x14ac:dyDescent="0.35">
      <c r="N2720" s="20"/>
      <c r="P2720" s="8"/>
      <c r="Q2720" s="8"/>
      <c r="R2720" s="8"/>
      <c r="S2720" s="8"/>
      <c r="U2720" s="6"/>
      <c r="V2720" s="6"/>
      <c r="W2720" s="6"/>
      <c r="X2720" s="6"/>
      <c r="Y2720" s="6"/>
      <c r="Z2720" s="6"/>
    </row>
    <row r="2721" spans="14:26" ht="31.4" customHeight="1" x14ac:dyDescent="0.35">
      <c r="N2721" s="20"/>
      <c r="P2721" s="8"/>
      <c r="Q2721" s="8"/>
      <c r="R2721" s="8"/>
      <c r="S2721" s="8"/>
      <c r="U2721" s="6"/>
      <c r="V2721" s="6"/>
      <c r="W2721" s="6"/>
      <c r="X2721" s="6"/>
      <c r="Y2721" s="6"/>
      <c r="Z2721" s="6"/>
    </row>
    <row r="2722" spans="14:26" ht="31.4" customHeight="1" x14ac:dyDescent="0.35">
      <c r="N2722" s="20"/>
      <c r="P2722" s="8"/>
      <c r="Q2722" s="8"/>
      <c r="R2722" s="8"/>
      <c r="S2722" s="8"/>
      <c r="U2722" s="6"/>
      <c r="V2722" s="6"/>
      <c r="W2722" s="6"/>
      <c r="X2722" s="6"/>
      <c r="Y2722" s="6"/>
      <c r="Z2722" s="6"/>
    </row>
    <row r="2723" spans="14:26" ht="31.4" customHeight="1" x14ac:dyDescent="0.35">
      <c r="N2723" s="20"/>
      <c r="P2723" s="8"/>
      <c r="Q2723" s="8"/>
      <c r="R2723" s="8"/>
      <c r="S2723" s="8"/>
      <c r="U2723" s="6"/>
      <c r="V2723" s="6"/>
      <c r="W2723" s="6"/>
      <c r="X2723" s="6"/>
      <c r="Y2723" s="6"/>
      <c r="Z2723" s="6"/>
    </row>
    <row r="2724" spans="14:26" ht="31.4" customHeight="1" x14ac:dyDescent="0.35">
      <c r="N2724" s="20"/>
      <c r="P2724" s="8"/>
      <c r="Q2724" s="8"/>
      <c r="R2724" s="8"/>
      <c r="S2724" s="8"/>
      <c r="U2724" s="6"/>
      <c r="V2724" s="6"/>
      <c r="W2724" s="6"/>
      <c r="X2724" s="6"/>
      <c r="Y2724" s="6"/>
      <c r="Z2724" s="6"/>
    </row>
    <row r="2725" spans="14:26" ht="31.4" customHeight="1" x14ac:dyDescent="0.35">
      <c r="N2725" s="20"/>
      <c r="P2725" s="8"/>
      <c r="Q2725" s="8"/>
      <c r="R2725" s="8"/>
      <c r="S2725" s="8"/>
      <c r="U2725" s="6"/>
      <c r="V2725" s="6"/>
      <c r="W2725" s="6"/>
      <c r="X2725" s="6"/>
      <c r="Y2725" s="6"/>
      <c r="Z2725" s="6"/>
    </row>
    <row r="2726" spans="14:26" ht="31.4" customHeight="1" x14ac:dyDescent="0.35">
      <c r="N2726" s="20"/>
      <c r="P2726" s="8"/>
      <c r="Q2726" s="8"/>
      <c r="R2726" s="8"/>
      <c r="S2726" s="8"/>
      <c r="U2726" s="6"/>
      <c r="V2726" s="6"/>
      <c r="W2726" s="6"/>
      <c r="X2726" s="6"/>
      <c r="Y2726" s="6"/>
      <c r="Z2726" s="6"/>
    </row>
    <row r="2727" spans="14:26" ht="31.4" customHeight="1" x14ac:dyDescent="0.35">
      <c r="N2727" s="20"/>
      <c r="P2727" s="8"/>
      <c r="Q2727" s="8"/>
      <c r="R2727" s="8"/>
      <c r="S2727" s="8"/>
      <c r="U2727" s="6"/>
      <c r="V2727" s="6"/>
      <c r="W2727" s="6"/>
      <c r="X2727" s="6"/>
      <c r="Y2727" s="6"/>
      <c r="Z2727" s="6"/>
    </row>
    <row r="2728" spans="14:26" ht="31.4" customHeight="1" x14ac:dyDescent="0.35">
      <c r="N2728" s="20"/>
      <c r="P2728" s="8"/>
      <c r="Q2728" s="8"/>
      <c r="R2728" s="8"/>
      <c r="S2728" s="8"/>
      <c r="U2728" s="6"/>
      <c r="V2728" s="6"/>
      <c r="W2728" s="6"/>
      <c r="X2728" s="6"/>
      <c r="Y2728" s="6"/>
      <c r="Z2728" s="6"/>
    </row>
    <row r="2729" spans="14:26" ht="31.4" customHeight="1" x14ac:dyDescent="0.35">
      <c r="N2729" s="20"/>
      <c r="P2729" s="8"/>
      <c r="Q2729" s="8"/>
      <c r="R2729" s="8"/>
      <c r="S2729" s="8"/>
      <c r="U2729" s="6"/>
      <c r="V2729" s="6"/>
      <c r="W2729" s="6"/>
      <c r="X2729" s="6"/>
      <c r="Y2729" s="6"/>
      <c r="Z2729" s="6"/>
    </row>
    <row r="2730" spans="14:26" ht="31.4" customHeight="1" x14ac:dyDescent="0.35">
      <c r="N2730" s="20"/>
      <c r="P2730" s="8"/>
      <c r="Q2730" s="8"/>
      <c r="R2730" s="8"/>
      <c r="S2730" s="8"/>
      <c r="U2730" s="6"/>
      <c r="V2730" s="6"/>
      <c r="W2730" s="6"/>
      <c r="X2730" s="6"/>
      <c r="Y2730" s="6"/>
      <c r="Z2730" s="6"/>
    </row>
    <row r="2731" spans="14:26" ht="31.4" customHeight="1" x14ac:dyDescent="0.35">
      <c r="N2731" s="20"/>
      <c r="P2731" s="8"/>
      <c r="Q2731" s="8"/>
      <c r="R2731" s="8"/>
      <c r="S2731" s="8"/>
      <c r="U2731" s="6"/>
      <c r="V2731" s="6"/>
      <c r="W2731" s="6"/>
      <c r="X2731" s="6"/>
      <c r="Y2731" s="6"/>
      <c r="Z2731" s="6"/>
    </row>
    <row r="2732" spans="14:26" ht="31.4" customHeight="1" x14ac:dyDescent="0.35">
      <c r="N2732" s="20"/>
      <c r="P2732" s="8"/>
      <c r="Q2732" s="8"/>
      <c r="R2732" s="8"/>
      <c r="S2732" s="8"/>
      <c r="U2732" s="6"/>
      <c r="V2732" s="6"/>
      <c r="W2732" s="6"/>
      <c r="X2732" s="6"/>
      <c r="Y2732" s="6"/>
      <c r="Z2732" s="6"/>
    </row>
    <row r="2733" spans="14:26" ht="31.4" customHeight="1" x14ac:dyDescent="0.35">
      <c r="N2733" s="20"/>
      <c r="P2733" s="8"/>
      <c r="Q2733" s="8"/>
      <c r="R2733" s="8"/>
      <c r="S2733" s="8"/>
      <c r="U2733" s="6"/>
      <c r="V2733" s="6"/>
      <c r="W2733" s="6"/>
      <c r="X2733" s="6"/>
      <c r="Y2733" s="6"/>
      <c r="Z2733" s="6"/>
    </row>
    <row r="2734" spans="14:26" ht="31.4" customHeight="1" x14ac:dyDescent="0.35">
      <c r="N2734" s="20"/>
      <c r="P2734" s="8"/>
      <c r="Q2734" s="8"/>
      <c r="R2734" s="8"/>
      <c r="S2734" s="8"/>
      <c r="U2734" s="6"/>
      <c r="V2734" s="6"/>
      <c r="W2734" s="6"/>
      <c r="X2734" s="6"/>
      <c r="Y2734" s="6"/>
      <c r="Z2734" s="6"/>
    </row>
    <row r="2735" spans="14:26" ht="31.4" customHeight="1" x14ac:dyDescent="0.35">
      <c r="N2735" s="20"/>
      <c r="P2735" s="8"/>
      <c r="Q2735" s="8"/>
      <c r="R2735" s="8"/>
      <c r="S2735" s="8"/>
      <c r="U2735" s="6"/>
      <c r="V2735" s="6"/>
      <c r="W2735" s="6"/>
      <c r="X2735" s="6"/>
      <c r="Y2735" s="6"/>
      <c r="Z2735" s="6"/>
    </row>
    <row r="2736" spans="14:26" ht="31.4" customHeight="1" x14ac:dyDescent="0.35">
      <c r="N2736" s="20"/>
      <c r="P2736" s="8"/>
      <c r="Q2736" s="8"/>
      <c r="R2736" s="8"/>
      <c r="S2736" s="8"/>
      <c r="U2736" s="6"/>
      <c r="V2736" s="6"/>
      <c r="W2736" s="6"/>
      <c r="X2736" s="6"/>
      <c r="Y2736" s="6"/>
      <c r="Z2736" s="6"/>
    </row>
    <row r="2737" spans="14:26" ht="31.4" customHeight="1" x14ac:dyDescent="0.35">
      <c r="N2737" s="20"/>
      <c r="P2737" s="8"/>
      <c r="Q2737" s="8"/>
      <c r="R2737" s="8"/>
      <c r="S2737" s="8"/>
      <c r="U2737" s="6"/>
      <c r="V2737" s="6"/>
      <c r="W2737" s="6"/>
      <c r="X2737" s="6"/>
      <c r="Y2737" s="6"/>
      <c r="Z2737" s="6"/>
    </row>
    <row r="2738" spans="14:26" ht="31.4" customHeight="1" x14ac:dyDescent="0.35">
      <c r="N2738" s="20"/>
      <c r="P2738" s="8"/>
      <c r="Q2738" s="8"/>
      <c r="R2738" s="8"/>
      <c r="S2738" s="8"/>
      <c r="U2738" s="6"/>
      <c r="V2738" s="6"/>
      <c r="W2738" s="6"/>
      <c r="X2738" s="6"/>
      <c r="Y2738" s="6"/>
      <c r="Z2738" s="6"/>
    </row>
    <row r="2739" spans="14:26" ht="31.4" customHeight="1" x14ac:dyDescent="0.35">
      <c r="N2739" s="20"/>
      <c r="P2739" s="8"/>
      <c r="Q2739" s="8"/>
      <c r="R2739" s="8"/>
      <c r="S2739" s="8"/>
      <c r="U2739" s="6"/>
      <c r="V2739" s="6"/>
      <c r="W2739" s="6"/>
      <c r="X2739" s="6"/>
      <c r="Y2739" s="6"/>
      <c r="Z2739" s="6"/>
    </row>
    <row r="2740" spans="14:26" ht="31.4" customHeight="1" x14ac:dyDescent="0.35">
      <c r="N2740" s="20"/>
      <c r="P2740" s="8"/>
      <c r="Q2740" s="8"/>
      <c r="R2740" s="8"/>
      <c r="S2740" s="8"/>
      <c r="U2740" s="6"/>
      <c r="V2740" s="6"/>
      <c r="W2740" s="6"/>
      <c r="X2740" s="6"/>
      <c r="Y2740" s="6"/>
      <c r="Z2740" s="6"/>
    </row>
    <row r="2741" spans="14:26" ht="31.4" customHeight="1" x14ac:dyDescent="0.35">
      <c r="N2741" s="20"/>
      <c r="P2741" s="8"/>
      <c r="Q2741" s="8"/>
      <c r="R2741" s="8"/>
      <c r="S2741" s="8"/>
      <c r="U2741" s="6"/>
      <c r="V2741" s="6"/>
      <c r="W2741" s="6"/>
      <c r="X2741" s="6"/>
      <c r="Y2741" s="6"/>
      <c r="Z2741" s="6"/>
    </row>
    <row r="2742" spans="14:26" ht="31.4" customHeight="1" x14ac:dyDescent="0.35">
      <c r="N2742" s="20"/>
      <c r="P2742" s="8"/>
      <c r="Q2742" s="8"/>
      <c r="R2742" s="8"/>
      <c r="S2742" s="8"/>
      <c r="U2742" s="6"/>
      <c r="V2742" s="6"/>
      <c r="W2742" s="6"/>
      <c r="X2742" s="6"/>
      <c r="Y2742" s="6"/>
      <c r="Z2742" s="6"/>
    </row>
    <row r="2743" spans="14:26" ht="31.4" customHeight="1" x14ac:dyDescent="0.35">
      <c r="N2743" s="20"/>
      <c r="P2743" s="8"/>
      <c r="Q2743" s="8"/>
      <c r="R2743" s="8"/>
      <c r="S2743" s="8"/>
      <c r="U2743" s="6"/>
      <c r="V2743" s="6"/>
      <c r="W2743" s="6"/>
      <c r="X2743" s="6"/>
      <c r="Y2743" s="6"/>
      <c r="Z2743" s="6"/>
    </row>
    <row r="2744" spans="14:26" ht="31.4" customHeight="1" x14ac:dyDescent="0.35">
      <c r="N2744" s="20"/>
      <c r="P2744" s="8"/>
      <c r="Q2744" s="8"/>
      <c r="R2744" s="8"/>
      <c r="S2744" s="8"/>
      <c r="U2744" s="6"/>
      <c r="V2744" s="6"/>
      <c r="W2744" s="6"/>
      <c r="X2744" s="6"/>
      <c r="Y2744" s="6"/>
      <c r="Z2744" s="6"/>
    </row>
    <row r="2745" spans="14:26" ht="31.4" customHeight="1" x14ac:dyDescent="0.35">
      <c r="N2745" s="20"/>
      <c r="P2745" s="8"/>
      <c r="Q2745" s="8"/>
      <c r="R2745" s="8"/>
      <c r="S2745" s="8"/>
      <c r="U2745" s="6"/>
      <c r="V2745" s="6"/>
      <c r="W2745" s="6"/>
      <c r="X2745" s="6"/>
      <c r="Y2745" s="6"/>
      <c r="Z2745" s="6"/>
    </row>
    <row r="2746" spans="14:26" ht="31.4" customHeight="1" x14ac:dyDescent="0.35">
      <c r="N2746" s="20"/>
      <c r="P2746" s="8"/>
      <c r="Q2746" s="8"/>
      <c r="R2746" s="8"/>
      <c r="S2746" s="8"/>
      <c r="U2746" s="6"/>
      <c r="V2746" s="6"/>
      <c r="W2746" s="6"/>
      <c r="X2746" s="6"/>
      <c r="Y2746" s="6"/>
      <c r="Z2746" s="6"/>
    </row>
    <row r="2747" spans="14:26" ht="31.4" customHeight="1" x14ac:dyDescent="0.35">
      <c r="N2747" s="20"/>
      <c r="P2747" s="8"/>
      <c r="Q2747" s="8"/>
      <c r="R2747" s="8"/>
      <c r="S2747" s="8"/>
      <c r="U2747" s="6"/>
      <c r="V2747" s="6"/>
      <c r="W2747" s="6"/>
      <c r="X2747" s="6"/>
      <c r="Y2747" s="6"/>
      <c r="Z2747" s="6"/>
    </row>
    <row r="2748" spans="14:26" ht="31.4" customHeight="1" x14ac:dyDescent="0.35">
      <c r="N2748" s="20"/>
      <c r="P2748" s="8"/>
      <c r="Q2748" s="8"/>
      <c r="R2748" s="8"/>
      <c r="S2748" s="8"/>
      <c r="U2748" s="6"/>
      <c r="V2748" s="6"/>
      <c r="W2748" s="6"/>
      <c r="X2748" s="6"/>
      <c r="Y2748" s="6"/>
      <c r="Z2748" s="6"/>
    </row>
    <row r="2749" spans="14:26" ht="31.4" customHeight="1" x14ac:dyDescent="0.35">
      <c r="N2749" s="20"/>
      <c r="P2749" s="8"/>
      <c r="Q2749" s="8"/>
      <c r="R2749" s="8"/>
      <c r="S2749" s="8"/>
      <c r="U2749" s="6"/>
      <c r="V2749" s="6"/>
      <c r="W2749" s="6"/>
      <c r="X2749" s="6"/>
      <c r="Y2749" s="6"/>
      <c r="Z2749" s="6"/>
    </row>
    <row r="2750" spans="14:26" ht="31.4" customHeight="1" x14ac:dyDescent="0.35">
      <c r="N2750" s="20"/>
      <c r="P2750" s="8"/>
      <c r="Q2750" s="8"/>
      <c r="R2750" s="8"/>
      <c r="S2750" s="8"/>
      <c r="U2750" s="6"/>
      <c r="V2750" s="6"/>
      <c r="W2750" s="6"/>
      <c r="X2750" s="6"/>
      <c r="Y2750" s="6"/>
      <c r="Z2750" s="6"/>
    </row>
    <row r="2751" spans="14:26" ht="31.4" customHeight="1" x14ac:dyDescent="0.35">
      <c r="N2751" s="20"/>
      <c r="P2751" s="8"/>
      <c r="Q2751" s="8"/>
      <c r="R2751" s="8"/>
      <c r="S2751" s="8"/>
      <c r="U2751" s="6"/>
      <c r="V2751" s="6"/>
      <c r="W2751" s="6"/>
      <c r="X2751" s="6"/>
      <c r="Y2751" s="6"/>
      <c r="Z2751" s="6"/>
    </row>
    <row r="2752" spans="14:26" ht="31.4" customHeight="1" x14ac:dyDescent="0.35">
      <c r="N2752" s="20"/>
      <c r="P2752" s="8"/>
      <c r="Q2752" s="8"/>
      <c r="R2752" s="8"/>
      <c r="S2752" s="8"/>
      <c r="U2752" s="6"/>
      <c r="V2752" s="6"/>
      <c r="W2752" s="6"/>
      <c r="X2752" s="6"/>
      <c r="Y2752" s="6"/>
      <c r="Z2752" s="6"/>
    </row>
    <row r="2753" spans="14:26" ht="31.4" customHeight="1" x14ac:dyDescent="0.35">
      <c r="N2753" s="20"/>
      <c r="P2753" s="8"/>
      <c r="Q2753" s="8"/>
      <c r="R2753" s="8"/>
      <c r="S2753" s="8"/>
      <c r="U2753" s="6"/>
      <c r="V2753" s="6"/>
      <c r="W2753" s="6"/>
      <c r="X2753" s="6"/>
      <c r="Y2753" s="6"/>
      <c r="Z2753" s="6"/>
    </row>
    <row r="2754" spans="14:26" ht="31.4" customHeight="1" x14ac:dyDescent="0.35">
      <c r="N2754" s="20"/>
      <c r="P2754" s="8"/>
      <c r="Q2754" s="8"/>
      <c r="R2754" s="8"/>
      <c r="S2754" s="8"/>
      <c r="U2754" s="6"/>
      <c r="V2754" s="6"/>
      <c r="W2754" s="6"/>
      <c r="X2754" s="6"/>
      <c r="Y2754" s="6"/>
      <c r="Z2754" s="6"/>
    </row>
    <row r="2755" spans="14:26" ht="31.4" customHeight="1" x14ac:dyDescent="0.35">
      <c r="N2755" s="20"/>
      <c r="P2755" s="8"/>
      <c r="Q2755" s="8"/>
      <c r="R2755" s="8"/>
      <c r="S2755" s="8"/>
      <c r="U2755" s="6"/>
      <c r="V2755" s="6"/>
      <c r="W2755" s="6"/>
      <c r="X2755" s="6"/>
      <c r="Y2755" s="6"/>
      <c r="Z2755" s="6"/>
    </row>
    <row r="2756" spans="14:26" ht="31.4" customHeight="1" x14ac:dyDescent="0.35">
      <c r="N2756" s="20"/>
      <c r="P2756" s="8"/>
      <c r="Q2756" s="8"/>
      <c r="R2756" s="8"/>
      <c r="S2756" s="8"/>
      <c r="U2756" s="6"/>
      <c r="V2756" s="6"/>
      <c r="W2756" s="6"/>
      <c r="X2756" s="6"/>
      <c r="Y2756" s="6"/>
      <c r="Z2756" s="6"/>
    </row>
    <row r="2757" spans="14:26" ht="31.4" customHeight="1" x14ac:dyDescent="0.35">
      <c r="N2757" s="20"/>
      <c r="P2757" s="8"/>
      <c r="Q2757" s="8"/>
      <c r="R2757" s="8"/>
      <c r="S2757" s="8"/>
      <c r="U2757" s="6"/>
      <c r="V2757" s="6"/>
      <c r="W2757" s="6"/>
      <c r="X2757" s="6"/>
      <c r="Y2757" s="6"/>
      <c r="Z2757" s="6"/>
    </row>
    <row r="2758" spans="14:26" ht="31.4" customHeight="1" x14ac:dyDescent="0.35">
      <c r="N2758" s="20"/>
      <c r="P2758" s="8"/>
      <c r="Q2758" s="8"/>
      <c r="R2758" s="8"/>
      <c r="S2758" s="8"/>
      <c r="U2758" s="6"/>
      <c r="V2758" s="6"/>
      <c r="W2758" s="6"/>
      <c r="X2758" s="6"/>
      <c r="Y2758" s="6"/>
      <c r="Z2758" s="6"/>
    </row>
    <row r="2759" spans="14:26" ht="31.4" customHeight="1" x14ac:dyDescent="0.35">
      <c r="N2759" s="20"/>
      <c r="P2759" s="8"/>
      <c r="Q2759" s="8"/>
      <c r="R2759" s="8"/>
      <c r="S2759" s="8"/>
      <c r="U2759" s="6"/>
      <c r="V2759" s="6"/>
      <c r="W2759" s="6"/>
      <c r="X2759" s="6"/>
      <c r="Y2759" s="6"/>
      <c r="Z2759" s="6"/>
    </row>
    <row r="2760" spans="14:26" ht="31.4" customHeight="1" x14ac:dyDescent="0.35">
      <c r="N2760" s="20"/>
      <c r="P2760" s="8"/>
      <c r="Q2760" s="8"/>
      <c r="R2760" s="8"/>
      <c r="S2760" s="8"/>
      <c r="U2760" s="6"/>
      <c r="V2760" s="6"/>
      <c r="W2760" s="6"/>
      <c r="X2760" s="6"/>
      <c r="Y2760" s="6"/>
      <c r="Z2760" s="6"/>
    </row>
    <row r="2761" spans="14:26" ht="31.4" customHeight="1" x14ac:dyDescent="0.35">
      <c r="N2761" s="20"/>
      <c r="P2761" s="8"/>
      <c r="Q2761" s="8"/>
      <c r="R2761" s="8"/>
      <c r="S2761" s="8"/>
      <c r="U2761" s="6"/>
      <c r="V2761" s="6"/>
      <c r="W2761" s="6"/>
      <c r="X2761" s="6"/>
      <c r="Y2761" s="6"/>
      <c r="Z2761" s="6"/>
    </row>
    <row r="2762" spans="14:26" ht="31.4" customHeight="1" x14ac:dyDescent="0.35">
      <c r="N2762" s="20"/>
      <c r="P2762" s="8"/>
      <c r="Q2762" s="8"/>
      <c r="R2762" s="8"/>
      <c r="S2762" s="8"/>
      <c r="U2762" s="6"/>
      <c r="V2762" s="6"/>
      <c r="W2762" s="6"/>
      <c r="X2762" s="6"/>
      <c r="Y2762" s="6"/>
      <c r="Z2762" s="6"/>
    </row>
    <row r="2763" spans="14:26" ht="31.4" customHeight="1" x14ac:dyDescent="0.35">
      <c r="N2763" s="20"/>
      <c r="P2763" s="8"/>
      <c r="Q2763" s="8"/>
      <c r="R2763" s="8"/>
      <c r="S2763" s="8"/>
      <c r="U2763" s="6"/>
      <c r="V2763" s="6"/>
      <c r="W2763" s="6"/>
      <c r="X2763" s="6"/>
      <c r="Y2763" s="6"/>
      <c r="Z2763" s="6"/>
    </row>
    <row r="2764" spans="14:26" ht="31.4" customHeight="1" x14ac:dyDescent="0.35">
      <c r="N2764" s="20"/>
      <c r="P2764" s="8"/>
      <c r="Q2764" s="8"/>
      <c r="R2764" s="8"/>
      <c r="S2764" s="8"/>
      <c r="U2764" s="6"/>
      <c r="V2764" s="6"/>
      <c r="W2764" s="6"/>
      <c r="X2764" s="6"/>
      <c r="Y2764" s="6"/>
      <c r="Z2764" s="6"/>
    </row>
    <row r="2765" spans="14:26" ht="31.4" customHeight="1" x14ac:dyDescent="0.35">
      <c r="N2765" s="20"/>
      <c r="P2765" s="8"/>
      <c r="Q2765" s="8"/>
      <c r="R2765" s="8"/>
      <c r="S2765" s="8"/>
      <c r="U2765" s="6"/>
      <c r="V2765" s="6"/>
      <c r="W2765" s="6"/>
      <c r="X2765" s="6"/>
      <c r="Y2765" s="6"/>
      <c r="Z2765" s="6"/>
    </row>
    <row r="2766" spans="14:26" ht="31.4" customHeight="1" x14ac:dyDescent="0.35">
      <c r="N2766" s="20"/>
      <c r="P2766" s="8"/>
      <c r="Q2766" s="8"/>
      <c r="R2766" s="8"/>
      <c r="S2766" s="8"/>
      <c r="U2766" s="6"/>
      <c r="V2766" s="6"/>
      <c r="W2766" s="6"/>
      <c r="X2766" s="6"/>
      <c r="Y2766" s="6"/>
      <c r="Z2766" s="6"/>
    </row>
    <row r="2767" spans="14:26" ht="31.4" customHeight="1" x14ac:dyDescent="0.35">
      <c r="N2767" s="20"/>
      <c r="P2767" s="8"/>
      <c r="Q2767" s="8"/>
      <c r="R2767" s="8"/>
      <c r="S2767" s="8"/>
      <c r="U2767" s="6"/>
      <c r="V2767" s="6"/>
      <c r="W2767" s="6"/>
      <c r="X2767" s="6"/>
      <c r="Y2767" s="6"/>
      <c r="Z2767" s="6"/>
    </row>
    <row r="2768" spans="14:26" ht="31.4" customHeight="1" x14ac:dyDescent="0.35">
      <c r="N2768" s="20"/>
      <c r="P2768" s="8"/>
      <c r="Q2768" s="8"/>
      <c r="R2768" s="8"/>
      <c r="S2768" s="8"/>
      <c r="U2768" s="6"/>
      <c r="V2768" s="6"/>
      <c r="W2768" s="6"/>
      <c r="X2768" s="6"/>
      <c r="Y2768" s="6"/>
      <c r="Z2768" s="6"/>
    </row>
    <row r="2769" spans="14:26" ht="31.4" customHeight="1" x14ac:dyDescent="0.35">
      <c r="N2769" s="20"/>
      <c r="P2769" s="8"/>
      <c r="Q2769" s="8"/>
      <c r="R2769" s="8"/>
      <c r="S2769" s="8"/>
      <c r="U2769" s="6"/>
      <c r="V2769" s="6"/>
      <c r="W2769" s="6"/>
      <c r="X2769" s="6"/>
      <c r="Y2769" s="6"/>
      <c r="Z2769" s="6"/>
    </row>
    <row r="2770" spans="14:26" ht="31.4" customHeight="1" x14ac:dyDescent="0.35">
      <c r="N2770" s="20"/>
      <c r="P2770" s="8"/>
      <c r="Q2770" s="8"/>
      <c r="R2770" s="8"/>
      <c r="S2770" s="8"/>
      <c r="U2770" s="6"/>
      <c r="V2770" s="6"/>
      <c r="W2770" s="6"/>
      <c r="X2770" s="6"/>
      <c r="Y2770" s="6"/>
      <c r="Z2770" s="6"/>
    </row>
    <row r="2771" spans="14:26" ht="31.4" customHeight="1" x14ac:dyDescent="0.35">
      <c r="N2771" s="20"/>
      <c r="P2771" s="8"/>
      <c r="Q2771" s="8"/>
      <c r="R2771" s="8"/>
      <c r="S2771" s="8"/>
      <c r="U2771" s="6"/>
      <c r="V2771" s="6"/>
      <c r="W2771" s="6"/>
      <c r="X2771" s="6"/>
      <c r="Y2771" s="6"/>
      <c r="Z2771" s="6"/>
    </row>
    <row r="2772" spans="14:26" ht="31.4" customHeight="1" x14ac:dyDescent="0.35">
      <c r="N2772" s="20"/>
      <c r="P2772" s="8"/>
      <c r="Q2772" s="8"/>
      <c r="R2772" s="8"/>
      <c r="S2772" s="8"/>
      <c r="U2772" s="6"/>
      <c r="V2772" s="6"/>
      <c r="W2772" s="6"/>
      <c r="X2772" s="6"/>
      <c r="Y2772" s="6"/>
      <c r="Z2772" s="6"/>
    </row>
    <row r="2773" spans="14:26" ht="31.4" customHeight="1" x14ac:dyDescent="0.35">
      <c r="N2773" s="20"/>
      <c r="P2773" s="8"/>
      <c r="Q2773" s="8"/>
      <c r="R2773" s="8"/>
      <c r="S2773" s="8"/>
      <c r="U2773" s="6"/>
      <c r="V2773" s="6"/>
      <c r="W2773" s="6"/>
      <c r="X2773" s="6"/>
      <c r="Y2773" s="6"/>
      <c r="Z2773" s="6"/>
    </row>
    <row r="2774" spans="14:26" ht="31.4" customHeight="1" x14ac:dyDescent="0.35">
      <c r="N2774" s="20"/>
      <c r="P2774" s="8"/>
      <c r="Q2774" s="8"/>
      <c r="R2774" s="8"/>
      <c r="S2774" s="8"/>
      <c r="U2774" s="6"/>
      <c r="V2774" s="6"/>
      <c r="W2774" s="6"/>
      <c r="X2774" s="6"/>
      <c r="Y2774" s="6"/>
      <c r="Z2774" s="6"/>
    </row>
    <row r="2775" spans="14:26" ht="31.4" customHeight="1" x14ac:dyDescent="0.35">
      <c r="N2775" s="20"/>
      <c r="P2775" s="8"/>
      <c r="Q2775" s="8"/>
      <c r="R2775" s="8"/>
      <c r="S2775" s="8"/>
      <c r="U2775" s="6"/>
      <c r="V2775" s="6"/>
      <c r="W2775" s="6"/>
      <c r="X2775" s="6"/>
      <c r="Y2775" s="6"/>
      <c r="Z2775" s="6"/>
    </row>
    <row r="2776" spans="14:26" ht="31.4" customHeight="1" x14ac:dyDescent="0.35">
      <c r="N2776" s="20"/>
      <c r="P2776" s="8"/>
      <c r="Q2776" s="8"/>
      <c r="R2776" s="8"/>
      <c r="S2776" s="8"/>
      <c r="U2776" s="6"/>
      <c r="V2776" s="6"/>
      <c r="W2776" s="6"/>
      <c r="X2776" s="6"/>
      <c r="Y2776" s="6"/>
      <c r="Z2776" s="6"/>
    </row>
    <row r="2777" spans="14:26" ht="31.4" customHeight="1" x14ac:dyDescent="0.35">
      <c r="N2777" s="20"/>
      <c r="P2777" s="8"/>
      <c r="Q2777" s="8"/>
      <c r="R2777" s="8"/>
      <c r="S2777" s="8"/>
      <c r="U2777" s="6"/>
      <c r="V2777" s="6"/>
      <c r="W2777" s="6"/>
      <c r="X2777" s="6"/>
      <c r="Y2777" s="6"/>
      <c r="Z2777" s="6"/>
    </row>
    <row r="2778" spans="14:26" ht="31.4" customHeight="1" x14ac:dyDescent="0.35">
      <c r="N2778" s="20"/>
      <c r="P2778" s="8"/>
      <c r="Q2778" s="8"/>
      <c r="R2778" s="8"/>
      <c r="S2778" s="8"/>
      <c r="U2778" s="6"/>
      <c r="V2778" s="6"/>
      <c r="W2778" s="6"/>
      <c r="X2778" s="6"/>
      <c r="Y2778" s="6"/>
      <c r="Z2778" s="6"/>
    </row>
    <row r="2779" spans="14:26" ht="31.4" customHeight="1" x14ac:dyDescent="0.35">
      <c r="N2779" s="20"/>
      <c r="P2779" s="8"/>
      <c r="Q2779" s="8"/>
      <c r="R2779" s="8"/>
      <c r="S2779" s="8"/>
      <c r="U2779" s="6"/>
      <c r="V2779" s="6"/>
      <c r="W2779" s="6"/>
      <c r="X2779" s="6"/>
      <c r="Y2779" s="6"/>
      <c r="Z2779" s="6"/>
    </row>
    <row r="2780" spans="14:26" ht="31.4" customHeight="1" x14ac:dyDescent="0.35">
      <c r="N2780" s="20"/>
      <c r="P2780" s="8"/>
      <c r="Q2780" s="8"/>
      <c r="R2780" s="8"/>
      <c r="S2780" s="8"/>
      <c r="U2780" s="6"/>
      <c r="V2780" s="6"/>
      <c r="W2780" s="6"/>
      <c r="X2780" s="6"/>
      <c r="Y2780" s="6"/>
      <c r="Z2780" s="6"/>
    </row>
    <row r="2781" spans="14:26" ht="31.4" customHeight="1" x14ac:dyDescent="0.35">
      <c r="N2781" s="20"/>
      <c r="P2781" s="8"/>
      <c r="Q2781" s="8"/>
      <c r="R2781" s="8"/>
      <c r="S2781" s="8"/>
      <c r="U2781" s="6"/>
      <c r="V2781" s="6"/>
      <c r="W2781" s="6"/>
      <c r="X2781" s="6"/>
      <c r="Y2781" s="6"/>
      <c r="Z2781" s="6"/>
    </row>
    <row r="2782" spans="14:26" ht="31.4" customHeight="1" x14ac:dyDescent="0.35">
      <c r="N2782" s="20"/>
      <c r="P2782" s="8"/>
      <c r="Q2782" s="8"/>
      <c r="R2782" s="8"/>
      <c r="S2782" s="8"/>
      <c r="U2782" s="6"/>
      <c r="V2782" s="6"/>
      <c r="W2782" s="6"/>
      <c r="X2782" s="6"/>
      <c r="Y2782" s="6"/>
      <c r="Z2782" s="6"/>
    </row>
    <row r="2783" spans="14:26" ht="31.4" customHeight="1" x14ac:dyDescent="0.35">
      <c r="N2783" s="20"/>
      <c r="P2783" s="8"/>
      <c r="Q2783" s="8"/>
      <c r="R2783" s="8"/>
      <c r="S2783" s="8"/>
      <c r="U2783" s="6"/>
      <c r="V2783" s="6"/>
      <c r="W2783" s="6"/>
      <c r="X2783" s="6"/>
      <c r="Y2783" s="6"/>
      <c r="Z2783" s="6"/>
    </row>
    <row r="2784" spans="14:26" ht="31.4" customHeight="1" x14ac:dyDescent="0.35">
      <c r="N2784" s="20"/>
      <c r="P2784" s="8"/>
      <c r="Q2784" s="8"/>
      <c r="R2784" s="8"/>
      <c r="S2784" s="8"/>
      <c r="U2784" s="6"/>
      <c r="V2784" s="6"/>
      <c r="W2784" s="6"/>
      <c r="X2784" s="6"/>
      <c r="Y2784" s="6"/>
      <c r="Z2784" s="6"/>
    </row>
    <row r="2785" spans="14:26" ht="31.4" customHeight="1" x14ac:dyDescent="0.35">
      <c r="N2785" s="20"/>
      <c r="P2785" s="8"/>
      <c r="Q2785" s="8"/>
      <c r="R2785" s="8"/>
      <c r="S2785" s="8"/>
      <c r="U2785" s="6"/>
      <c r="V2785" s="6"/>
      <c r="W2785" s="6"/>
      <c r="X2785" s="6"/>
      <c r="Y2785" s="6"/>
      <c r="Z2785" s="6"/>
    </row>
    <row r="2786" spans="14:26" ht="31.4" customHeight="1" x14ac:dyDescent="0.35">
      <c r="N2786" s="20"/>
      <c r="P2786" s="8"/>
      <c r="Q2786" s="8"/>
      <c r="R2786" s="8"/>
      <c r="S2786" s="8"/>
      <c r="U2786" s="6"/>
      <c r="V2786" s="6"/>
      <c r="W2786" s="6"/>
      <c r="X2786" s="6"/>
      <c r="Y2786" s="6"/>
      <c r="Z2786" s="6"/>
    </row>
    <row r="2787" spans="14:26" ht="31.4" customHeight="1" x14ac:dyDescent="0.35">
      <c r="N2787" s="20"/>
      <c r="P2787" s="8"/>
      <c r="Q2787" s="8"/>
      <c r="R2787" s="8"/>
      <c r="S2787" s="8"/>
      <c r="U2787" s="6"/>
      <c r="V2787" s="6"/>
      <c r="W2787" s="6"/>
      <c r="X2787" s="6"/>
      <c r="Y2787" s="6"/>
      <c r="Z2787" s="6"/>
    </row>
    <row r="2788" spans="14:26" ht="31.4" customHeight="1" x14ac:dyDescent="0.35">
      <c r="N2788" s="20"/>
      <c r="P2788" s="8"/>
      <c r="Q2788" s="8"/>
      <c r="R2788" s="8"/>
      <c r="S2788" s="8"/>
      <c r="U2788" s="6"/>
      <c r="V2788" s="6"/>
      <c r="W2788" s="6"/>
      <c r="X2788" s="6"/>
      <c r="Y2788" s="6"/>
      <c r="Z2788" s="6"/>
    </row>
    <row r="2789" spans="14:26" ht="31.4" customHeight="1" x14ac:dyDescent="0.35">
      <c r="N2789" s="20"/>
      <c r="P2789" s="8"/>
      <c r="Q2789" s="8"/>
      <c r="R2789" s="8"/>
      <c r="S2789" s="8"/>
      <c r="U2789" s="6"/>
      <c r="V2789" s="6"/>
      <c r="W2789" s="6"/>
      <c r="X2789" s="6"/>
      <c r="Y2789" s="6"/>
      <c r="Z2789" s="6"/>
    </row>
    <row r="2790" spans="14:26" ht="31.4" customHeight="1" x14ac:dyDescent="0.35">
      <c r="N2790" s="20"/>
      <c r="P2790" s="8"/>
      <c r="Q2790" s="8"/>
      <c r="R2790" s="8"/>
      <c r="S2790" s="8"/>
      <c r="U2790" s="6"/>
      <c r="V2790" s="6"/>
      <c r="W2790" s="6"/>
      <c r="X2790" s="6"/>
      <c r="Y2790" s="6"/>
      <c r="Z2790" s="6"/>
    </row>
    <row r="2791" spans="14:26" ht="31.4" customHeight="1" x14ac:dyDescent="0.35">
      <c r="N2791" s="20"/>
      <c r="P2791" s="8"/>
      <c r="Q2791" s="8"/>
      <c r="R2791" s="8"/>
      <c r="S2791" s="8"/>
      <c r="U2791" s="6"/>
      <c r="V2791" s="6"/>
      <c r="W2791" s="6"/>
      <c r="X2791" s="6"/>
      <c r="Y2791" s="6"/>
      <c r="Z2791" s="6"/>
    </row>
    <row r="2792" spans="14:26" ht="31.4" customHeight="1" x14ac:dyDescent="0.35">
      <c r="N2792" s="20"/>
      <c r="P2792" s="8"/>
      <c r="Q2792" s="8"/>
      <c r="R2792" s="8"/>
      <c r="S2792" s="8"/>
      <c r="U2792" s="6"/>
      <c r="V2792" s="6"/>
      <c r="W2792" s="6"/>
      <c r="X2792" s="6"/>
      <c r="Y2792" s="6"/>
      <c r="Z2792" s="6"/>
    </row>
    <row r="2793" spans="14:26" ht="31.4" customHeight="1" x14ac:dyDescent="0.35">
      <c r="N2793" s="20"/>
      <c r="P2793" s="8"/>
      <c r="Q2793" s="8"/>
      <c r="R2793" s="8"/>
      <c r="S2793" s="8"/>
      <c r="U2793" s="6"/>
      <c r="V2793" s="6"/>
      <c r="W2793" s="6"/>
      <c r="X2793" s="6"/>
      <c r="Y2793" s="6"/>
      <c r="Z2793" s="6"/>
    </row>
    <row r="2794" spans="14:26" ht="31.4" customHeight="1" x14ac:dyDescent="0.35">
      <c r="N2794" s="20"/>
      <c r="P2794" s="8"/>
      <c r="Q2794" s="8"/>
      <c r="R2794" s="8"/>
      <c r="S2794" s="8"/>
      <c r="U2794" s="6"/>
      <c r="V2794" s="6"/>
      <c r="W2794" s="6"/>
      <c r="X2794" s="6"/>
      <c r="Y2794" s="6"/>
      <c r="Z2794" s="6"/>
    </row>
    <row r="2795" spans="14:26" ht="31.4" customHeight="1" x14ac:dyDescent="0.35">
      <c r="N2795" s="20"/>
      <c r="P2795" s="8"/>
      <c r="Q2795" s="8"/>
      <c r="R2795" s="8"/>
      <c r="S2795" s="8"/>
      <c r="U2795" s="6"/>
      <c r="V2795" s="6"/>
      <c r="W2795" s="6"/>
      <c r="X2795" s="6"/>
      <c r="Y2795" s="6"/>
      <c r="Z2795" s="6"/>
    </row>
    <row r="2796" spans="14:26" ht="31.4" customHeight="1" x14ac:dyDescent="0.35">
      <c r="N2796" s="20"/>
      <c r="P2796" s="8"/>
      <c r="Q2796" s="8"/>
      <c r="R2796" s="8"/>
      <c r="S2796" s="8"/>
      <c r="U2796" s="6"/>
      <c r="V2796" s="6"/>
      <c r="W2796" s="6"/>
      <c r="X2796" s="6"/>
      <c r="Y2796" s="6"/>
      <c r="Z2796" s="6"/>
    </row>
    <row r="2797" spans="14:26" ht="31.4" customHeight="1" x14ac:dyDescent="0.35">
      <c r="N2797" s="20"/>
      <c r="P2797" s="8"/>
      <c r="Q2797" s="8"/>
      <c r="R2797" s="8"/>
      <c r="S2797" s="8"/>
      <c r="U2797" s="6"/>
      <c r="V2797" s="6"/>
      <c r="W2797" s="6"/>
      <c r="X2797" s="6"/>
      <c r="Y2797" s="6"/>
      <c r="Z2797" s="6"/>
    </row>
    <row r="2798" spans="14:26" ht="31.4" customHeight="1" x14ac:dyDescent="0.35">
      <c r="N2798" s="20"/>
      <c r="P2798" s="8"/>
      <c r="Q2798" s="8"/>
      <c r="R2798" s="8"/>
      <c r="S2798" s="8"/>
      <c r="U2798" s="6"/>
      <c r="V2798" s="6"/>
      <c r="W2798" s="6"/>
      <c r="X2798" s="6"/>
      <c r="Y2798" s="6"/>
      <c r="Z2798" s="6"/>
    </row>
    <row r="2799" spans="14:26" ht="31.4" customHeight="1" x14ac:dyDescent="0.35">
      <c r="N2799" s="20"/>
      <c r="P2799" s="8"/>
      <c r="Q2799" s="8"/>
      <c r="R2799" s="8"/>
      <c r="S2799" s="8"/>
      <c r="U2799" s="6"/>
      <c r="V2799" s="6"/>
      <c r="W2799" s="6"/>
      <c r="X2799" s="6"/>
      <c r="Y2799" s="6"/>
      <c r="Z2799" s="6"/>
    </row>
    <row r="2800" spans="14:26" ht="31.4" customHeight="1" x14ac:dyDescent="0.35">
      <c r="N2800" s="20"/>
      <c r="P2800" s="8"/>
      <c r="Q2800" s="8"/>
      <c r="R2800" s="8"/>
      <c r="S2800" s="8"/>
      <c r="U2800" s="6"/>
      <c r="V2800" s="6"/>
      <c r="W2800" s="6"/>
      <c r="X2800" s="6"/>
      <c r="Y2800" s="6"/>
      <c r="Z2800" s="6"/>
    </row>
    <row r="2801" spans="14:26" ht="31.4" customHeight="1" x14ac:dyDescent="0.35">
      <c r="N2801" s="20"/>
      <c r="P2801" s="8"/>
      <c r="Q2801" s="8"/>
      <c r="R2801" s="8"/>
      <c r="S2801" s="8"/>
      <c r="U2801" s="6"/>
      <c r="V2801" s="6"/>
      <c r="W2801" s="6"/>
      <c r="X2801" s="6"/>
      <c r="Y2801" s="6"/>
      <c r="Z2801" s="6"/>
    </row>
    <row r="2802" spans="14:26" ht="31.4" customHeight="1" x14ac:dyDescent="0.35">
      <c r="N2802" s="20"/>
      <c r="P2802" s="8"/>
      <c r="Q2802" s="8"/>
      <c r="R2802" s="8"/>
      <c r="S2802" s="8"/>
      <c r="U2802" s="6"/>
      <c r="V2802" s="6"/>
      <c r="W2802" s="6"/>
      <c r="X2802" s="6"/>
      <c r="Y2802" s="6"/>
      <c r="Z2802" s="6"/>
    </row>
    <row r="2803" spans="14:26" ht="31.4" customHeight="1" x14ac:dyDescent="0.35">
      <c r="N2803" s="20"/>
      <c r="P2803" s="8"/>
      <c r="Q2803" s="8"/>
      <c r="R2803" s="8"/>
      <c r="S2803" s="8"/>
      <c r="U2803" s="6"/>
      <c r="V2803" s="6"/>
      <c r="W2803" s="6"/>
      <c r="X2803" s="6"/>
      <c r="Y2803" s="6"/>
      <c r="Z2803" s="6"/>
    </row>
    <row r="2804" spans="14:26" ht="31.4" customHeight="1" x14ac:dyDescent="0.35">
      <c r="N2804" s="20"/>
      <c r="P2804" s="8"/>
      <c r="Q2804" s="8"/>
      <c r="R2804" s="8"/>
      <c r="S2804" s="8"/>
      <c r="U2804" s="6"/>
      <c r="V2804" s="6"/>
      <c r="W2804" s="6"/>
      <c r="X2804" s="6"/>
      <c r="Y2804" s="6"/>
      <c r="Z2804" s="6"/>
    </row>
    <row r="2805" spans="14:26" ht="31.4" customHeight="1" x14ac:dyDescent="0.35">
      <c r="N2805" s="20"/>
      <c r="P2805" s="8"/>
      <c r="Q2805" s="8"/>
      <c r="R2805" s="8"/>
      <c r="S2805" s="8"/>
      <c r="U2805" s="6"/>
      <c r="V2805" s="6"/>
      <c r="W2805" s="6"/>
      <c r="X2805" s="6"/>
      <c r="Y2805" s="6"/>
      <c r="Z2805" s="6"/>
    </row>
    <row r="2806" spans="14:26" ht="31.4" customHeight="1" x14ac:dyDescent="0.35">
      <c r="N2806" s="20"/>
      <c r="P2806" s="8"/>
      <c r="Q2806" s="8"/>
      <c r="R2806" s="8"/>
      <c r="S2806" s="8"/>
      <c r="U2806" s="6"/>
      <c r="V2806" s="6"/>
      <c r="W2806" s="6"/>
      <c r="X2806" s="6"/>
      <c r="Y2806" s="6"/>
      <c r="Z2806" s="6"/>
    </row>
    <row r="2807" spans="14:26" ht="31.4" customHeight="1" x14ac:dyDescent="0.35">
      <c r="N2807" s="20"/>
      <c r="P2807" s="8"/>
      <c r="Q2807" s="8"/>
      <c r="R2807" s="8"/>
      <c r="S2807" s="8"/>
      <c r="U2807" s="6"/>
      <c r="V2807" s="6"/>
      <c r="W2807" s="6"/>
      <c r="X2807" s="6"/>
      <c r="Y2807" s="6"/>
      <c r="Z2807" s="6"/>
    </row>
    <row r="2808" spans="14:26" ht="31.4" customHeight="1" x14ac:dyDescent="0.35">
      <c r="N2808" s="20"/>
      <c r="P2808" s="8"/>
      <c r="Q2808" s="8"/>
      <c r="R2808" s="8"/>
      <c r="S2808" s="8"/>
      <c r="U2808" s="6"/>
      <c r="V2808" s="6"/>
      <c r="W2808" s="6"/>
      <c r="X2808" s="6"/>
      <c r="Y2808" s="6"/>
      <c r="Z2808" s="6"/>
    </row>
    <row r="2809" spans="14:26" ht="31.4" customHeight="1" x14ac:dyDescent="0.35">
      <c r="N2809" s="20"/>
      <c r="P2809" s="8"/>
      <c r="Q2809" s="8"/>
      <c r="R2809" s="8"/>
      <c r="S2809" s="8"/>
      <c r="U2809" s="6"/>
      <c r="V2809" s="6"/>
      <c r="W2809" s="6"/>
      <c r="X2809" s="6"/>
      <c r="Y2809" s="6"/>
      <c r="Z2809" s="6"/>
    </row>
    <row r="2810" spans="14:26" ht="31.4" customHeight="1" x14ac:dyDescent="0.35">
      <c r="N2810" s="20"/>
      <c r="P2810" s="8"/>
      <c r="Q2810" s="8"/>
      <c r="R2810" s="8"/>
      <c r="S2810" s="8"/>
      <c r="U2810" s="6"/>
      <c r="V2810" s="6"/>
      <c r="W2810" s="6"/>
      <c r="X2810" s="6"/>
      <c r="Y2810" s="6"/>
      <c r="Z2810" s="6"/>
    </row>
    <row r="2811" spans="14:26" ht="31.4" customHeight="1" x14ac:dyDescent="0.35">
      <c r="N2811" s="20"/>
      <c r="P2811" s="8"/>
      <c r="Q2811" s="8"/>
      <c r="R2811" s="8"/>
      <c r="S2811" s="8"/>
      <c r="U2811" s="6"/>
      <c r="V2811" s="6"/>
      <c r="W2811" s="6"/>
      <c r="X2811" s="6"/>
      <c r="Y2811" s="6"/>
      <c r="Z2811" s="6"/>
    </row>
    <row r="2812" spans="14:26" ht="31.4" customHeight="1" x14ac:dyDescent="0.35">
      <c r="N2812" s="20"/>
      <c r="P2812" s="8"/>
      <c r="Q2812" s="8"/>
      <c r="R2812" s="8"/>
      <c r="S2812" s="8"/>
      <c r="U2812" s="6"/>
      <c r="V2812" s="6"/>
      <c r="W2812" s="6"/>
      <c r="X2812" s="6"/>
      <c r="Y2812" s="6"/>
      <c r="Z2812" s="6"/>
    </row>
    <row r="2813" spans="14:26" ht="31.4" customHeight="1" x14ac:dyDescent="0.35">
      <c r="N2813" s="20"/>
      <c r="P2813" s="8"/>
      <c r="Q2813" s="8"/>
      <c r="R2813" s="8"/>
      <c r="S2813" s="8"/>
      <c r="U2813" s="6"/>
      <c r="V2813" s="6"/>
      <c r="W2813" s="6"/>
      <c r="X2813" s="6"/>
      <c r="Y2813" s="6"/>
      <c r="Z2813" s="6"/>
    </row>
    <row r="2814" spans="14:26" ht="31.4" customHeight="1" x14ac:dyDescent="0.35">
      <c r="N2814" s="20"/>
      <c r="P2814" s="8"/>
      <c r="Q2814" s="8"/>
      <c r="R2814" s="8"/>
      <c r="S2814" s="8"/>
      <c r="U2814" s="6"/>
      <c r="V2814" s="6"/>
      <c r="W2814" s="6"/>
      <c r="X2814" s="6"/>
      <c r="Y2814" s="6"/>
      <c r="Z2814" s="6"/>
    </row>
    <row r="2815" spans="14:26" ht="31.4" customHeight="1" x14ac:dyDescent="0.35">
      <c r="N2815" s="20"/>
      <c r="P2815" s="8"/>
      <c r="Q2815" s="8"/>
      <c r="R2815" s="8"/>
      <c r="S2815" s="8"/>
      <c r="U2815" s="6"/>
      <c r="V2815" s="6"/>
      <c r="W2815" s="6"/>
      <c r="X2815" s="6"/>
      <c r="Y2815" s="6"/>
      <c r="Z2815" s="6"/>
    </row>
    <row r="2816" spans="14:26" ht="31.4" customHeight="1" x14ac:dyDescent="0.35">
      <c r="N2816" s="20"/>
      <c r="P2816" s="8"/>
      <c r="Q2816" s="8"/>
      <c r="R2816" s="8"/>
      <c r="S2816" s="8"/>
      <c r="U2816" s="6"/>
      <c r="V2816" s="6"/>
      <c r="W2816" s="6"/>
      <c r="X2816" s="6"/>
      <c r="Y2816" s="6"/>
      <c r="Z2816" s="6"/>
    </row>
    <row r="2817" spans="14:26" ht="31.4" customHeight="1" x14ac:dyDescent="0.35">
      <c r="N2817" s="20"/>
      <c r="P2817" s="8"/>
      <c r="Q2817" s="8"/>
      <c r="R2817" s="8"/>
      <c r="S2817" s="8"/>
      <c r="U2817" s="6"/>
      <c r="V2817" s="6"/>
      <c r="W2817" s="6"/>
      <c r="X2817" s="6"/>
      <c r="Y2817" s="6"/>
      <c r="Z2817" s="6"/>
    </row>
    <row r="2818" spans="14:26" ht="31.4" customHeight="1" x14ac:dyDescent="0.35">
      <c r="N2818" s="20"/>
      <c r="P2818" s="8"/>
      <c r="Q2818" s="8"/>
      <c r="R2818" s="8"/>
      <c r="S2818" s="8"/>
      <c r="U2818" s="6"/>
      <c r="V2818" s="6"/>
      <c r="W2818" s="6"/>
      <c r="X2818" s="6"/>
      <c r="Y2818" s="6"/>
      <c r="Z2818" s="6"/>
    </row>
    <row r="2819" spans="14:26" ht="31.4" customHeight="1" x14ac:dyDescent="0.35">
      <c r="N2819" s="20"/>
      <c r="P2819" s="8"/>
      <c r="Q2819" s="8"/>
      <c r="R2819" s="8"/>
      <c r="S2819" s="8"/>
      <c r="U2819" s="6"/>
      <c r="V2819" s="6"/>
      <c r="W2819" s="6"/>
      <c r="X2819" s="6"/>
      <c r="Y2819" s="6"/>
      <c r="Z2819" s="6"/>
    </row>
    <row r="2820" spans="14:26" ht="31.4" customHeight="1" x14ac:dyDescent="0.35">
      <c r="N2820" s="20"/>
      <c r="P2820" s="8"/>
      <c r="Q2820" s="8"/>
      <c r="R2820" s="8"/>
      <c r="S2820" s="8"/>
      <c r="U2820" s="6"/>
      <c r="V2820" s="6"/>
      <c r="W2820" s="6"/>
      <c r="X2820" s="6"/>
      <c r="Y2820" s="6"/>
      <c r="Z2820" s="6"/>
    </row>
    <row r="2821" spans="14:26" ht="31.4" customHeight="1" x14ac:dyDescent="0.35">
      <c r="N2821" s="20"/>
      <c r="P2821" s="8"/>
      <c r="Q2821" s="8"/>
      <c r="R2821" s="8"/>
      <c r="S2821" s="8"/>
      <c r="U2821" s="6"/>
      <c r="V2821" s="6"/>
      <c r="W2821" s="6"/>
      <c r="X2821" s="6"/>
      <c r="Y2821" s="6"/>
      <c r="Z2821" s="6"/>
    </row>
    <row r="2822" spans="14:26" ht="31.4" customHeight="1" x14ac:dyDescent="0.35">
      <c r="N2822" s="20"/>
      <c r="P2822" s="8"/>
      <c r="Q2822" s="8"/>
      <c r="R2822" s="8"/>
      <c r="S2822" s="8"/>
      <c r="U2822" s="6"/>
      <c r="V2822" s="6"/>
      <c r="W2822" s="6"/>
      <c r="X2822" s="6"/>
      <c r="Y2822" s="6"/>
      <c r="Z2822" s="6"/>
    </row>
    <row r="2823" spans="14:26" ht="31.4" customHeight="1" x14ac:dyDescent="0.35">
      <c r="N2823" s="20"/>
      <c r="P2823" s="8"/>
      <c r="Q2823" s="8"/>
      <c r="R2823" s="8"/>
      <c r="S2823" s="8"/>
      <c r="U2823" s="6"/>
      <c r="V2823" s="6"/>
      <c r="W2823" s="6"/>
      <c r="X2823" s="6"/>
      <c r="Y2823" s="6"/>
      <c r="Z2823" s="6"/>
    </row>
    <row r="2824" spans="14:26" ht="31.4" customHeight="1" x14ac:dyDescent="0.35">
      <c r="N2824" s="20"/>
      <c r="P2824" s="8"/>
      <c r="Q2824" s="8"/>
      <c r="R2824" s="8"/>
      <c r="S2824" s="8"/>
      <c r="U2824" s="6"/>
      <c r="V2824" s="6"/>
      <c r="W2824" s="6"/>
      <c r="X2824" s="6"/>
      <c r="Y2824" s="6"/>
      <c r="Z2824" s="6"/>
    </row>
    <row r="2825" spans="14:26" ht="31.4" customHeight="1" x14ac:dyDescent="0.35">
      <c r="N2825" s="20"/>
      <c r="P2825" s="8"/>
      <c r="Q2825" s="8"/>
      <c r="R2825" s="8"/>
      <c r="S2825" s="8"/>
      <c r="U2825" s="6"/>
      <c r="V2825" s="6"/>
      <c r="W2825" s="6"/>
      <c r="X2825" s="6"/>
      <c r="Y2825" s="6"/>
      <c r="Z2825" s="6"/>
    </row>
    <row r="2826" spans="14:26" ht="31.4" customHeight="1" x14ac:dyDescent="0.35">
      <c r="N2826" s="20"/>
      <c r="P2826" s="8"/>
      <c r="Q2826" s="8"/>
      <c r="R2826" s="8"/>
      <c r="S2826" s="8"/>
      <c r="U2826" s="6"/>
      <c r="V2826" s="6"/>
      <c r="W2826" s="6"/>
      <c r="X2826" s="6"/>
      <c r="Y2826" s="6"/>
      <c r="Z2826" s="6"/>
    </row>
    <row r="2827" spans="14:26" ht="31.4" customHeight="1" x14ac:dyDescent="0.35">
      <c r="N2827" s="20"/>
      <c r="P2827" s="8"/>
      <c r="Q2827" s="8"/>
      <c r="R2827" s="8"/>
      <c r="S2827" s="8"/>
      <c r="U2827" s="6"/>
      <c r="V2827" s="6"/>
      <c r="W2827" s="6"/>
      <c r="X2827" s="6"/>
      <c r="Y2827" s="6"/>
      <c r="Z2827" s="6"/>
    </row>
    <row r="2828" spans="14:26" ht="31.4" customHeight="1" x14ac:dyDescent="0.35">
      <c r="N2828" s="20"/>
      <c r="P2828" s="8"/>
      <c r="Q2828" s="8"/>
      <c r="R2828" s="8"/>
      <c r="S2828" s="8"/>
      <c r="U2828" s="6"/>
      <c r="V2828" s="6"/>
      <c r="W2828" s="6"/>
      <c r="X2828" s="6"/>
      <c r="Y2828" s="6"/>
      <c r="Z2828" s="6"/>
    </row>
    <row r="2829" spans="14:26" ht="31.4" customHeight="1" x14ac:dyDescent="0.35">
      <c r="N2829" s="20"/>
      <c r="P2829" s="8"/>
      <c r="Q2829" s="8"/>
      <c r="R2829" s="8"/>
      <c r="S2829" s="8"/>
      <c r="U2829" s="6"/>
      <c r="V2829" s="6"/>
      <c r="W2829" s="6"/>
      <c r="X2829" s="6"/>
      <c r="Y2829" s="6"/>
      <c r="Z2829" s="6"/>
    </row>
    <row r="2830" spans="14:26" ht="31.4" customHeight="1" x14ac:dyDescent="0.35">
      <c r="N2830" s="20"/>
      <c r="P2830" s="8"/>
      <c r="Q2830" s="8"/>
      <c r="R2830" s="8"/>
      <c r="S2830" s="8"/>
      <c r="U2830" s="6"/>
      <c r="V2830" s="6"/>
      <c r="W2830" s="6"/>
      <c r="X2830" s="6"/>
      <c r="Y2830" s="6"/>
      <c r="Z2830" s="6"/>
    </row>
    <row r="2831" spans="14:26" ht="31.4" customHeight="1" x14ac:dyDescent="0.35">
      <c r="N2831" s="20"/>
      <c r="P2831" s="8"/>
      <c r="Q2831" s="8"/>
      <c r="R2831" s="8"/>
      <c r="S2831" s="8"/>
      <c r="U2831" s="6"/>
      <c r="V2831" s="6"/>
      <c r="W2831" s="6"/>
      <c r="X2831" s="6"/>
      <c r="Y2831" s="6"/>
      <c r="Z2831" s="6"/>
    </row>
    <row r="2832" spans="14:26" ht="31.4" customHeight="1" x14ac:dyDescent="0.35">
      <c r="N2832" s="20"/>
      <c r="P2832" s="8"/>
      <c r="Q2832" s="8"/>
      <c r="R2832" s="8"/>
      <c r="S2832" s="8"/>
      <c r="U2832" s="6"/>
      <c r="V2832" s="6"/>
      <c r="W2832" s="6"/>
      <c r="X2832" s="6"/>
      <c r="Y2832" s="6"/>
      <c r="Z2832" s="6"/>
    </row>
    <row r="2833" spans="14:26" ht="31.4" customHeight="1" x14ac:dyDescent="0.35">
      <c r="N2833" s="20"/>
      <c r="P2833" s="8"/>
      <c r="Q2833" s="8"/>
      <c r="R2833" s="8"/>
      <c r="S2833" s="8"/>
      <c r="U2833" s="6"/>
      <c r="V2833" s="6"/>
      <c r="W2833" s="6"/>
      <c r="X2833" s="6"/>
      <c r="Y2833" s="6"/>
      <c r="Z2833" s="6"/>
    </row>
    <row r="2834" spans="14:26" ht="31.4" customHeight="1" x14ac:dyDescent="0.35">
      <c r="N2834" s="20"/>
      <c r="P2834" s="8"/>
      <c r="Q2834" s="8"/>
      <c r="R2834" s="8"/>
      <c r="S2834" s="8"/>
      <c r="U2834" s="6"/>
      <c r="V2834" s="6"/>
      <c r="W2834" s="6"/>
      <c r="X2834" s="6"/>
      <c r="Y2834" s="6"/>
      <c r="Z2834" s="6"/>
    </row>
    <row r="2835" spans="14:26" ht="31.4" customHeight="1" x14ac:dyDescent="0.35">
      <c r="N2835" s="20"/>
      <c r="P2835" s="8"/>
      <c r="Q2835" s="8"/>
      <c r="R2835" s="8"/>
      <c r="S2835" s="8"/>
      <c r="U2835" s="6"/>
      <c r="V2835" s="6"/>
      <c r="W2835" s="6"/>
      <c r="X2835" s="6"/>
      <c r="Y2835" s="6"/>
      <c r="Z2835" s="6"/>
    </row>
    <row r="2836" spans="14:26" ht="31.4" customHeight="1" x14ac:dyDescent="0.35">
      <c r="N2836" s="20"/>
      <c r="P2836" s="8"/>
      <c r="Q2836" s="8"/>
      <c r="R2836" s="8"/>
      <c r="S2836" s="8"/>
      <c r="U2836" s="6"/>
      <c r="V2836" s="6"/>
      <c r="W2836" s="6"/>
      <c r="X2836" s="6"/>
      <c r="Y2836" s="6"/>
      <c r="Z2836" s="6"/>
    </row>
    <row r="2837" spans="14:26" ht="31.4" customHeight="1" x14ac:dyDescent="0.35">
      <c r="N2837" s="20"/>
      <c r="P2837" s="8"/>
      <c r="Q2837" s="8"/>
      <c r="R2837" s="8"/>
      <c r="S2837" s="8"/>
      <c r="U2837" s="6"/>
      <c r="V2837" s="6"/>
      <c r="W2837" s="6"/>
      <c r="X2837" s="6"/>
      <c r="Y2837" s="6"/>
      <c r="Z2837" s="6"/>
    </row>
    <row r="2838" spans="14:26" ht="31.4" customHeight="1" x14ac:dyDescent="0.35">
      <c r="N2838" s="20"/>
      <c r="P2838" s="8"/>
      <c r="Q2838" s="8"/>
      <c r="R2838" s="8"/>
      <c r="S2838" s="8"/>
      <c r="U2838" s="6"/>
      <c r="V2838" s="6"/>
      <c r="W2838" s="6"/>
      <c r="X2838" s="6"/>
      <c r="Y2838" s="6"/>
      <c r="Z2838" s="6"/>
    </row>
    <row r="2839" spans="14:26" ht="31.4" customHeight="1" x14ac:dyDescent="0.35">
      <c r="N2839" s="20"/>
      <c r="P2839" s="8"/>
      <c r="Q2839" s="8"/>
      <c r="R2839" s="8"/>
      <c r="S2839" s="8"/>
      <c r="U2839" s="6"/>
      <c r="V2839" s="6"/>
      <c r="W2839" s="6"/>
      <c r="X2839" s="6"/>
      <c r="Y2839" s="6"/>
      <c r="Z2839" s="6"/>
    </row>
    <row r="2840" spans="14:26" ht="31.4" customHeight="1" x14ac:dyDescent="0.35">
      <c r="N2840" s="20"/>
      <c r="P2840" s="8"/>
      <c r="Q2840" s="8"/>
      <c r="R2840" s="8"/>
      <c r="S2840" s="8"/>
      <c r="U2840" s="6"/>
      <c r="V2840" s="6"/>
      <c r="W2840" s="6"/>
      <c r="X2840" s="6"/>
      <c r="Y2840" s="6"/>
      <c r="Z2840" s="6"/>
    </row>
    <row r="2841" spans="14:26" ht="31.4" customHeight="1" x14ac:dyDescent="0.35">
      <c r="N2841" s="20"/>
      <c r="P2841" s="8"/>
      <c r="Q2841" s="8"/>
      <c r="R2841" s="8"/>
      <c r="S2841" s="8"/>
      <c r="U2841" s="6"/>
      <c r="V2841" s="6"/>
      <c r="W2841" s="6"/>
      <c r="X2841" s="6"/>
      <c r="Y2841" s="6"/>
      <c r="Z2841" s="6"/>
    </row>
    <row r="2842" spans="14:26" ht="31.4" customHeight="1" x14ac:dyDescent="0.35">
      <c r="N2842" s="20"/>
      <c r="P2842" s="8"/>
      <c r="Q2842" s="8"/>
      <c r="R2842" s="8"/>
      <c r="S2842" s="8"/>
      <c r="U2842" s="6"/>
      <c r="V2842" s="6"/>
      <c r="W2842" s="6"/>
      <c r="X2842" s="6"/>
      <c r="Y2842" s="6"/>
      <c r="Z2842" s="6"/>
    </row>
    <row r="2843" spans="14:26" ht="31.4" customHeight="1" x14ac:dyDescent="0.35">
      <c r="N2843" s="20"/>
      <c r="P2843" s="8"/>
      <c r="Q2843" s="8"/>
      <c r="R2843" s="8"/>
      <c r="S2843" s="8"/>
      <c r="U2843" s="6"/>
      <c r="V2843" s="6"/>
      <c r="W2843" s="6"/>
      <c r="X2843" s="6"/>
      <c r="Y2843" s="6"/>
      <c r="Z2843" s="6"/>
    </row>
    <row r="2844" spans="14:26" ht="31.4" customHeight="1" x14ac:dyDescent="0.35">
      <c r="N2844" s="20"/>
      <c r="P2844" s="8"/>
      <c r="Q2844" s="8"/>
      <c r="R2844" s="8"/>
      <c r="S2844" s="8"/>
      <c r="U2844" s="6"/>
      <c r="V2844" s="6"/>
      <c r="W2844" s="6"/>
      <c r="X2844" s="6"/>
      <c r="Y2844" s="6"/>
      <c r="Z2844" s="6"/>
    </row>
    <row r="2845" spans="14:26" ht="31.4" customHeight="1" x14ac:dyDescent="0.35">
      <c r="N2845" s="20"/>
      <c r="P2845" s="8"/>
      <c r="Q2845" s="8"/>
      <c r="R2845" s="8"/>
      <c r="S2845" s="8"/>
      <c r="U2845" s="6"/>
      <c r="V2845" s="6"/>
      <c r="W2845" s="6"/>
      <c r="X2845" s="6"/>
      <c r="Y2845" s="6"/>
      <c r="Z2845" s="6"/>
    </row>
    <row r="2846" spans="14:26" ht="31.4" customHeight="1" x14ac:dyDescent="0.35">
      <c r="N2846" s="20"/>
      <c r="P2846" s="8"/>
      <c r="Q2846" s="8"/>
      <c r="R2846" s="8"/>
      <c r="S2846" s="8"/>
      <c r="U2846" s="6"/>
      <c r="V2846" s="6"/>
      <c r="W2846" s="6"/>
      <c r="X2846" s="6"/>
      <c r="Y2846" s="6"/>
      <c r="Z2846" s="6"/>
    </row>
    <row r="2847" spans="14:26" ht="31.4" customHeight="1" x14ac:dyDescent="0.35">
      <c r="N2847" s="20"/>
      <c r="P2847" s="8"/>
      <c r="Q2847" s="8"/>
      <c r="R2847" s="8"/>
      <c r="S2847" s="8"/>
      <c r="U2847" s="6"/>
      <c r="V2847" s="6"/>
      <c r="W2847" s="6"/>
      <c r="X2847" s="6"/>
      <c r="Y2847" s="6"/>
      <c r="Z2847" s="6"/>
    </row>
    <row r="2848" spans="14:26" ht="31.4" customHeight="1" x14ac:dyDescent="0.35">
      <c r="N2848" s="20"/>
      <c r="P2848" s="8"/>
      <c r="Q2848" s="8"/>
      <c r="R2848" s="8"/>
      <c r="S2848" s="8"/>
      <c r="U2848" s="6"/>
      <c r="V2848" s="6"/>
      <c r="W2848" s="6"/>
      <c r="X2848" s="6"/>
      <c r="Y2848" s="6"/>
      <c r="Z2848" s="6"/>
    </row>
    <row r="2849" spans="14:26" ht="31.4" customHeight="1" x14ac:dyDescent="0.35">
      <c r="N2849" s="20"/>
      <c r="P2849" s="8"/>
      <c r="Q2849" s="8"/>
      <c r="R2849" s="8"/>
      <c r="S2849" s="8"/>
      <c r="U2849" s="6"/>
      <c r="V2849" s="6"/>
      <c r="W2849" s="6"/>
      <c r="X2849" s="6"/>
      <c r="Y2849" s="6"/>
      <c r="Z2849" s="6"/>
    </row>
    <row r="2850" spans="14:26" ht="31.4" customHeight="1" x14ac:dyDescent="0.35">
      <c r="N2850" s="20"/>
      <c r="P2850" s="8"/>
      <c r="Q2850" s="8"/>
      <c r="R2850" s="8"/>
      <c r="S2850" s="8"/>
      <c r="U2850" s="6"/>
      <c r="V2850" s="6"/>
      <c r="W2850" s="6"/>
      <c r="X2850" s="6"/>
      <c r="Y2850" s="6"/>
      <c r="Z2850" s="6"/>
    </row>
    <row r="2851" spans="14:26" ht="31.4" customHeight="1" x14ac:dyDescent="0.35">
      <c r="N2851" s="20"/>
      <c r="P2851" s="8"/>
      <c r="Q2851" s="8"/>
      <c r="R2851" s="8"/>
      <c r="S2851" s="8"/>
      <c r="U2851" s="6"/>
      <c r="V2851" s="6"/>
      <c r="W2851" s="6"/>
      <c r="X2851" s="6"/>
      <c r="Y2851" s="6"/>
      <c r="Z2851" s="6"/>
    </row>
    <row r="2852" spans="14:26" ht="31.4" customHeight="1" x14ac:dyDescent="0.35">
      <c r="N2852" s="20"/>
      <c r="P2852" s="8"/>
      <c r="Q2852" s="8"/>
      <c r="R2852" s="8"/>
      <c r="S2852" s="8"/>
      <c r="U2852" s="6"/>
      <c r="V2852" s="6"/>
      <c r="W2852" s="6"/>
      <c r="X2852" s="6"/>
      <c r="Y2852" s="6"/>
      <c r="Z2852" s="6"/>
    </row>
    <row r="2853" spans="14:26" ht="31.4" customHeight="1" x14ac:dyDescent="0.35">
      <c r="N2853" s="20"/>
      <c r="P2853" s="8"/>
      <c r="Q2853" s="8"/>
      <c r="R2853" s="8"/>
      <c r="S2853" s="8"/>
      <c r="U2853" s="6"/>
      <c r="V2853" s="6"/>
      <c r="W2853" s="6"/>
      <c r="X2853" s="6"/>
      <c r="Y2853" s="6"/>
      <c r="Z2853" s="6"/>
    </row>
    <row r="2854" spans="14:26" ht="31.4" customHeight="1" x14ac:dyDescent="0.35">
      <c r="N2854" s="20"/>
      <c r="P2854" s="8"/>
      <c r="Q2854" s="8"/>
      <c r="R2854" s="8"/>
      <c r="S2854" s="8"/>
      <c r="U2854" s="6"/>
      <c r="V2854" s="6"/>
      <c r="W2854" s="6"/>
      <c r="X2854" s="6"/>
      <c r="Y2854" s="6"/>
      <c r="Z2854" s="6"/>
    </row>
    <row r="2855" spans="14:26" ht="31.4" customHeight="1" x14ac:dyDescent="0.35">
      <c r="N2855" s="20"/>
      <c r="P2855" s="8"/>
      <c r="Q2855" s="8"/>
      <c r="R2855" s="8"/>
      <c r="S2855" s="8"/>
      <c r="U2855" s="6"/>
      <c r="V2855" s="6"/>
      <c r="W2855" s="6"/>
      <c r="X2855" s="6"/>
      <c r="Y2855" s="6"/>
      <c r="Z2855" s="6"/>
    </row>
    <row r="2856" spans="14:26" ht="31.4" customHeight="1" x14ac:dyDescent="0.35">
      <c r="N2856" s="20"/>
      <c r="P2856" s="8"/>
      <c r="Q2856" s="8"/>
      <c r="R2856" s="8"/>
      <c r="S2856" s="8"/>
      <c r="U2856" s="6"/>
      <c r="V2856" s="6"/>
      <c r="W2856" s="6"/>
      <c r="X2856" s="6"/>
      <c r="Y2856" s="6"/>
      <c r="Z2856" s="6"/>
    </row>
    <row r="2857" spans="14:26" ht="31.4" customHeight="1" x14ac:dyDescent="0.35">
      <c r="N2857" s="20"/>
      <c r="P2857" s="8"/>
      <c r="Q2857" s="8"/>
      <c r="R2857" s="8"/>
      <c r="S2857" s="8"/>
      <c r="U2857" s="6"/>
      <c r="V2857" s="6"/>
      <c r="W2857" s="6"/>
      <c r="X2857" s="6"/>
      <c r="Y2857" s="6"/>
      <c r="Z2857" s="6"/>
    </row>
    <row r="2858" spans="14:26" ht="31.4" customHeight="1" x14ac:dyDescent="0.35">
      <c r="N2858" s="20"/>
      <c r="P2858" s="8"/>
      <c r="Q2858" s="8"/>
      <c r="R2858" s="8"/>
      <c r="S2858" s="8"/>
      <c r="U2858" s="6"/>
      <c r="V2858" s="6"/>
      <c r="W2858" s="6"/>
      <c r="X2858" s="6"/>
      <c r="Y2858" s="6"/>
      <c r="Z2858" s="6"/>
    </row>
    <row r="2859" spans="14:26" ht="31.4" customHeight="1" x14ac:dyDescent="0.35">
      <c r="N2859" s="20"/>
      <c r="P2859" s="8"/>
      <c r="Q2859" s="8"/>
      <c r="R2859" s="8"/>
      <c r="S2859" s="8"/>
      <c r="U2859" s="6"/>
      <c r="V2859" s="6"/>
      <c r="W2859" s="6"/>
      <c r="X2859" s="6"/>
      <c r="Y2859" s="6"/>
      <c r="Z2859" s="6"/>
    </row>
    <row r="2860" spans="14:26" ht="31.4" customHeight="1" x14ac:dyDescent="0.35">
      <c r="N2860" s="20"/>
      <c r="P2860" s="8"/>
      <c r="Q2860" s="8"/>
      <c r="R2860" s="8"/>
      <c r="S2860" s="8"/>
      <c r="U2860" s="6"/>
      <c r="V2860" s="6"/>
      <c r="W2860" s="6"/>
      <c r="X2860" s="6"/>
      <c r="Y2860" s="6"/>
      <c r="Z2860" s="6"/>
    </row>
    <row r="2861" spans="14:26" ht="31.4" customHeight="1" x14ac:dyDescent="0.35">
      <c r="N2861" s="20"/>
      <c r="P2861" s="8"/>
      <c r="Q2861" s="8"/>
      <c r="R2861" s="8"/>
      <c r="S2861" s="8"/>
      <c r="U2861" s="6"/>
      <c r="V2861" s="6"/>
      <c r="W2861" s="6"/>
      <c r="X2861" s="6"/>
      <c r="Y2861" s="6"/>
      <c r="Z2861" s="6"/>
    </row>
    <row r="2862" spans="14:26" ht="31.4" customHeight="1" x14ac:dyDescent="0.35">
      <c r="N2862" s="20"/>
      <c r="P2862" s="8"/>
      <c r="Q2862" s="8"/>
      <c r="R2862" s="8"/>
      <c r="S2862" s="8"/>
      <c r="U2862" s="6"/>
      <c r="V2862" s="6"/>
      <c r="W2862" s="6"/>
      <c r="X2862" s="6"/>
      <c r="Y2862" s="6"/>
      <c r="Z2862" s="6"/>
    </row>
    <row r="2863" spans="14:26" ht="31.4" customHeight="1" x14ac:dyDescent="0.35">
      <c r="N2863" s="20"/>
      <c r="P2863" s="8"/>
      <c r="Q2863" s="8"/>
      <c r="R2863" s="8"/>
      <c r="S2863" s="8"/>
      <c r="U2863" s="6"/>
      <c r="V2863" s="6"/>
      <c r="W2863" s="6"/>
      <c r="X2863" s="6"/>
      <c r="Y2863" s="6"/>
      <c r="Z2863" s="6"/>
    </row>
    <row r="2864" spans="14:26" ht="31.4" customHeight="1" x14ac:dyDescent="0.35">
      <c r="N2864" s="20"/>
      <c r="P2864" s="8"/>
      <c r="Q2864" s="8"/>
      <c r="R2864" s="8"/>
      <c r="S2864" s="8"/>
      <c r="U2864" s="6"/>
      <c r="V2864" s="6"/>
      <c r="W2864" s="6"/>
      <c r="X2864" s="6"/>
      <c r="Y2864" s="6"/>
      <c r="Z2864" s="6"/>
    </row>
    <row r="2865" spans="14:26" ht="31.4" customHeight="1" x14ac:dyDescent="0.35">
      <c r="N2865" s="20"/>
      <c r="P2865" s="8"/>
      <c r="Q2865" s="8"/>
      <c r="R2865" s="8"/>
      <c r="S2865" s="8"/>
      <c r="U2865" s="6"/>
      <c r="V2865" s="6"/>
      <c r="W2865" s="6"/>
      <c r="X2865" s="6"/>
      <c r="Y2865" s="6"/>
      <c r="Z2865" s="6"/>
    </row>
    <row r="2866" spans="14:26" ht="31.4" customHeight="1" x14ac:dyDescent="0.35">
      <c r="N2866" s="20"/>
      <c r="P2866" s="8"/>
      <c r="Q2866" s="8"/>
      <c r="R2866" s="8"/>
      <c r="S2866" s="8"/>
      <c r="U2866" s="6"/>
      <c r="V2866" s="6"/>
      <c r="W2866" s="6"/>
      <c r="X2866" s="6"/>
      <c r="Y2866" s="6"/>
      <c r="Z2866" s="6"/>
    </row>
    <row r="2867" spans="14:26" ht="31.4" customHeight="1" x14ac:dyDescent="0.35">
      <c r="N2867" s="20"/>
      <c r="P2867" s="8"/>
      <c r="Q2867" s="8"/>
      <c r="R2867" s="8"/>
      <c r="S2867" s="8"/>
      <c r="U2867" s="6"/>
      <c r="V2867" s="6"/>
      <c r="W2867" s="6"/>
      <c r="X2867" s="6"/>
      <c r="Y2867" s="6"/>
      <c r="Z2867" s="6"/>
    </row>
    <row r="2868" spans="14:26" ht="31.4" customHeight="1" x14ac:dyDescent="0.35">
      <c r="N2868" s="20"/>
      <c r="P2868" s="8"/>
      <c r="Q2868" s="8"/>
      <c r="R2868" s="8"/>
      <c r="S2868" s="8"/>
      <c r="U2868" s="6"/>
      <c r="V2868" s="6"/>
      <c r="W2868" s="6"/>
      <c r="X2868" s="6"/>
      <c r="Y2868" s="6"/>
      <c r="Z2868" s="6"/>
    </row>
    <row r="2869" spans="14:26" ht="31.4" customHeight="1" x14ac:dyDescent="0.35">
      <c r="N2869" s="20"/>
      <c r="P2869" s="8"/>
      <c r="Q2869" s="8"/>
      <c r="R2869" s="8"/>
      <c r="S2869" s="8"/>
      <c r="U2869" s="6"/>
      <c r="V2869" s="6"/>
      <c r="W2869" s="6"/>
      <c r="X2869" s="6"/>
      <c r="Y2869" s="6"/>
      <c r="Z2869" s="6"/>
    </row>
    <row r="2870" spans="14:26" ht="31.4" customHeight="1" x14ac:dyDescent="0.35">
      <c r="N2870" s="20"/>
      <c r="P2870" s="8"/>
      <c r="Q2870" s="8"/>
      <c r="R2870" s="8"/>
      <c r="S2870" s="8"/>
      <c r="U2870" s="6"/>
      <c r="V2870" s="6"/>
      <c r="W2870" s="6"/>
      <c r="X2870" s="6"/>
      <c r="Y2870" s="6"/>
      <c r="Z2870" s="6"/>
    </row>
    <row r="2871" spans="14:26" ht="31.4" customHeight="1" x14ac:dyDescent="0.35">
      <c r="N2871" s="20"/>
      <c r="P2871" s="8"/>
      <c r="Q2871" s="8"/>
      <c r="R2871" s="8"/>
      <c r="S2871" s="8"/>
      <c r="U2871" s="6"/>
      <c r="V2871" s="6"/>
      <c r="W2871" s="6"/>
      <c r="X2871" s="6"/>
      <c r="Y2871" s="6"/>
      <c r="Z2871" s="6"/>
    </row>
    <row r="2872" spans="14:26" ht="31.4" customHeight="1" x14ac:dyDescent="0.35">
      <c r="N2872" s="20"/>
      <c r="P2872" s="8"/>
      <c r="Q2872" s="8"/>
      <c r="R2872" s="8"/>
      <c r="S2872" s="8"/>
      <c r="U2872" s="6"/>
      <c r="V2872" s="6"/>
      <c r="W2872" s="6"/>
      <c r="X2872" s="6"/>
      <c r="Y2872" s="6"/>
      <c r="Z2872" s="6"/>
    </row>
    <row r="2873" spans="14:26" ht="31.4" customHeight="1" x14ac:dyDescent="0.35">
      <c r="N2873" s="20"/>
      <c r="P2873" s="8"/>
      <c r="Q2873" s="8"/>
      <c r="R2873" s="8"/>
      <c r="S2873" s="8"/>
      <c r="U2873" s="6"/>
      <c r="V2873" s="6"/>
      <c r="W2873" s="6"/>
      <c r="X2873" s="6"/>
      <c r="Y2873" s="6"/>
      <c r="Z2873" s="6"/>
    </row>
    <row r="2874" spans="14:26" ht="31.4" customHeight="1" x14ac:dyDescent="0.35">
      <c r="N2874" s="20"/>
      <c r="P2874" s="8"/>
      <c r="Q2874" s="8"/>
      <c r="R2874" s="8"/>
      <c r="S2874" s="8"/>
      <c r="U2874" s="6"/>
      <c r="V2874" s="6"/>
      <c r="W2874" s="6"/>
      <c r="X2874" s="6"/>
      <c r="Y2874" s="6"/>
      <c r="Z2874" s="6"/>
    </row>
    <row r="2875" spans="14:26" ht="31.4" customHeight="1" x14ac:dyDescent="0.35">
      <c r="N2875" s="20"/>
      <c r="P2875" s="8"/>
      <c r="Q2875" s="8"/>
      <c r="R2875" s="8"/>
      <c r="S2875" s="8"/>
      <c r="U2875" s="6"/>
      <c r="V2875" s="6"/>
      <c r="W2875" s="6"/>
      <c r="X2875" s="6"/>
      <c r="Y2875" s="6"/>
      <c r="Z2875" s="6"/>
    </row>
    <row r="2876" spans="14:26" ht="31.4" customHeight="1" x14ac:dyDescent="0.35">
      <c r="N2876" s="20"/>
      <c r="P2876" s="8"/>
      <c r="Q2876" s="8"/>
      <c r="R2876" s="8"/>
      <c r="S2876" s="8"/>
      <c r="U2876" s="6"/>
      <c r="V2876" s="6"/>
      <c r="W2876" s="6"/>
      <c r="X2876" s="6"/>
      <c r="Y2876" s="6"/>
      <c r="Z2876" s="6"/>
    </row>
    <row r="2877" spans="14:26" ht="31.4" customHeight="1" x14ac:dyDescent="0.35">
      <c r="N2877" s="20"/>
      <c r="P2877" s="8"/>
      <c r="Q2877" s="8"/>
      <c r="R2877" s="8"/>
      <c r="S2877" s="8"/>
      <c r="U2877" s="6"/>
      <c r="V2877" s="6"/>
      <c r="W2877" s="6"/>
      <c r="X2877" s="6"/>
      <c r="Y2877" s="6"/>
      <c r="Z2877" s="6"/>
    </row>
    <row r="2878" spans="14:26" ht="31.4" customHeight="1" x14ac:dyDescent="0.35">
      <c r="N2878" s="20"/>
      <c r="P2878" s="8"/>
      <c r="Q2878" s="8"/>
      <c r="R2878" s="8"/>
      <c r="S2878" s="8"/>
      <c r="U2878" s="6"/>
      <c r="V2878" s="6"/>
      <c r="W2878" s="6"/>
      <c r="X2878" s="6"/>
      <c r="Y2878" s="6"/>
      <c r="Z2878" s="6"/>
    </row>
    <row r="2879" spans="14:26" ht="31.4" customHeight="1" x14ac:dyDescent="0.35">
      <c r="N2879" s="20"/>
      <c r="P2879" s="8"/>
      <c r="Q2879" s="8"/>
      <c r="R2879" s="8"/>
      <c r="S2879" s="8"/>
      <c r="U2879" s="6"/>
      <c r="V2879" s="6"/>
      <c r="W2879" s="6"/>
      <c r="X2879" s="6"/>
      <c r="Y2879" s="6"/>
      <c r="Z2879" s="6"/>
    </row>
    <row r="2880" spans="14:26" ht="31.4" customHeight="1" x14ac:dyDescent="0.35">
      <c r="N2880" s="20"/>
      <c r="P2880" s="8"/>
      <c r="Q2880" s="8"/>
      <c r="R2880" s="8"/>
      <c r="S2880" s="8"/>
      <c r="U2880" s="6"/>
      <c r="V2880" s="6"/>
      <c r="W2880" s="6"/>
      <c r="X2880" s="6"/>
      <c r="Y2880" s="6"/>
      <c r="Z2880" s="6"/>
    </row>
    <row r="2881" spans="14:26" ht="31.4" customHeight="1" x14ac:dyDescent="0.35">
      <c r="N2881" s="20"/>
      <c r="P2881" s="8"/>
      <c r="Q2881" s="8"/>
      <c r="R2881" s="8"/>
      <c r="S2881" s="8"/>
      <c r="U2881" s="6"/>
      <c r="V2881" s="6"/>
      <c r="W2881" s="6"/>
      <c r="X2881" s="6"/>
      <c r="Y2881" s="6"/>
      <c r="Z2881" s="6"/>
    </row>
    <row r="2882" spans="14:26" ht="31.4" customHeight="1" x14ac:dyDescent="0.35">
      <c r="N2882" s="20"/>
      <c r="P2882" s="8"/>
      <c r="Q2882" s="8"/>
      <c r="R2882" s="8"/>
      <c r="S2882" s="8"/>
      <c r="U2882" s="6"/>
      <c r="V2882" s="6"/>
      <c r="W2882" s="6"/>
      <c r="X2882" s="6"/>
      <c r="Y2882" s="6"/>
      <c r="Z2882" s="6"/>
    </row>
    <row r="2883" spans="14:26" ht="31.4" customHeight="1" x14ac:dyDescent="0.35">
      <c r="N2883" s="20"/>
      <c r="P2883" s="8"/>
      <c r="Q2883" s="8"/>
      <c r="R2883" s="8"/>
      <c r="S2883" s="8"/>
      <c r="U2883" s="6"/>
      <c r="V2883" s="6"/>
      <c r="W2883" s="6"/>
      <c r="X2883" s="6"/>
      <c r="Y2883" s="6"/>
      <c r="Z2883" s="6"/>
    </row>
    <row r="2884" spans="14:26" ht="31.4" customHeight="1" x14ac:dyDescent="0.35">
      <c r="N2884" s="20"/>
      <c r="P2884" s="8"/>
      <c r="Q2884" s="8"/>
      <c r="R2884" s="8"/>
      <c r="S2884" s="8"/>
      <c r="U2884" s="6"/>
      <c r="V2884" s="6"/>
      <c r="W2884" s="6"/>
      <c r="X2884" s="6"/>
      <c r="Y2884" s="6"/>
      <c r="Z2884" s="6"/>
    </row>
    <row r="2885" spans="14:26" ht="31.4" customHeight="1" x14ac:dyDescent="0.35">
      <c r="N2885" s="20"/>
      <c r="P2885" s="8"/>
      <c r="Q2885" s="8"/>
      <c r="R2885" s="8"/>
      <c r="S2885" s="8"/>
      <c r="U2885" s="6"/>
      <c r="V2885" s="6"/>
      <c r="W2885" s="6"/>
      <c r="X2885" s="6"/>
      <c r="Y2885" s="6"/>
      <c r="Z2885" s="6"/>
    </row>
    <row r="2886" spans="14:26" ht="31.4" customHeight="1" x14ac:dyDescent="0.35">
      <c r="N2886" s="20"/>
      <c r="P2886" s="8"/>
      <c r="Q2886" s="8"/>
      <c r="R2886" s="8"/>
      <c r="S2886" s="8"/>
      <c r="U2886" s="6"/>
      <c r="V2886" s="6"/>
      <c r="W2886" s="6"/>
      <c r="X2886" s="6"/>
      <c r="Y2886" s="6"/>
      <c r="Z2886" s="6"/>
    </row>
    <row r="2887" spans="14:26" ht="31.4" customHeight="1" x14ac:dyDescent="0.35">
      <c r="N2887" s="20"/>
      <c r="P2887" s="8"/>
      <c r="Q2887" s="8"/>
      <c r="R2887" s="8"/>
      <c r="S2887" s="8"/>
      <c r="U2887" s="6"/>
      <c r="V2887" s="6"/>
      <c r="W2887" s="6"/>
      <c r="X2887" s="6"/>
      <c r="Y2887" s="6"/>
      <c r="Z2887" s="6"/>
    </row>
    <row r="2888" spans="14:26" ht="31.4" customHeight="1" x14ac:dyDescent="0.35">
      <c r="N2888" s="20"/>
      <c r="P2888" s="8"/>
      <c r="Q2888" s="8"/>
      <c r="R2888" s="8"/>
      <c r="S2888" s="8"/>
      <c r="U2888" s="6"/>
      <c r="V2888" s="6"/>
      <c r="W2888" s="6"/>
      <c r="X2888" s="6"/>
      <c r="Y2888" s="6"/>
      <c r="Z2888" s="6"/>
    </row>
    <row r="2889" spans="14:26" ht="31.4" customHeight="1" x14ac:dyDescent="0.35">
      <c r="N2889" s="20"/>
      <c r="P2889" s="8"/>
      <c r="Q2889" s="8"/>
      <c r="R2889" s="8"/>
      <c r="S2889" s="8"/>
      <c r="U2889" s="6"/>
      <c r="V2889" s="6"/>
      <c r="W2889" s="6"/>
      <c r="X2889" s="6"/>
      <c r="Y2889" s="6"/>
      <c r="Z2889" s="6"/>
    </row>
    <row r="2890" spans="14:26" ht="31.4" customHeight="1" x14ac:dyDescent="0.35">
      <c r="N2890" s="20"/>
      <c r="P2890" s="8"/>
      <c r="Q2890" s="8"/>
      <c r="R2890" s="8"/>
      <c r="S2890" s="8"/>
      <c r="U2890" s="6"/>
      <c r="V2890" s="6"/>
      <c r="W2890" s="6"/>
      <c r="X2890" s="6"/>
      <c r="Y2890" s="6"/>
      <c r="Z2890" s="6"/>
    </row>
    <row r="2891" spans="14:26" ht="31.4" customHeight="1" x14ac:dyDescent="0.35">
      <c r="N2891" s="20"/>
      <c r="P2891" s="8"/>
      <c r="Q2891" s="8"/>
      <c r="R2891" s="8"/>
      <c r="S2891" s="8"/>
      <c r="U2891" s="6"/>
      <c r="V2891" s="6"/>
      <c r="W2891" s="6"/>
      <c r="X2891" s="6"/>
      <c r="Y2891" s="6"/>
      <c r="Z2891" s="6"/>
    </row>
    <row r="2892" spans="14:26" ht="31.4" customHeight="1" x14ac:dyDescent="0.35">
      <c r="N2892" s="20"/>
      <c r="P2892" s="8"/>
      <c r="Q2892" s="8"/>
      <c r="R2892" s="8"/>
      <c r="S2892" s="8"/>
      <c r="U2892" s="6"/>
      <c r="V2892" s="6"/>
      <c r="W2892" s="6"/>
      <c r="X2892" s="6"/>
      <c r="Y2892" s="6"/>
      <c r="Z2892" s="6"/>
    </row>
    <row r="2893" spans="14:26" ht="31.4" customHeight="1" x14ac:dyDescent="0.35">
      <c r="N2893" s="20"/>
      <c r="P2893" s="8"/>
      <c r="Q2893" s="8"/>
      <c r="R2893" s="8"/>
      <c r="S2893" s="8"/>
      <c r="U2893" s="6"/>
      <c r="V2893" s="6"/>
      <c r="W2893" s="6"/>
      <c r="X2893" s="6"/>
      <c r="Y2893" s="6"/>
      <c r="Z2893" s="6"/>
    </row>
    <row r="2894" spans="14:26" ht="31.4" customHeight="1" x14ac:dyDescent="0.35">
      <c r="N2894" s="20"/>
      <c r="P2894" s="8"/>
      <c r="Q2894" s="8"/>
      <c r="R2894" s="8"/>
      <c r="S2894" s="8"/>
      <c r="U2894" s="6"/>
      <c r="V2894" s="6"/>
      <c r="W2894" s="6"/>
      <c r="X2894" s="6"/>
      <c r="Y2894" s="6"/>
      <c r="Z2894" s="6"/>
    </row>
    <row r="2895" spans="14:26" ht="31.4" customHeight="1" x14ac:dyDescent="0.35">
      <c r="N2895" s="20"/>
      <c r="P2895" s="8"/>
      <c r="Q2895" s="8"/>
      <c r="R2895" s="8"/>
      <c r="S2895" s="8"/>
      <c r="U2895" s="6"/>
      <c r="V2895" s="6"/>
      <c r="W2895" s="6"/>
      <c r="X2895" s="6"/>
      <c r="Y2895" s="6"/>
      <c r="Z2895" s="6"/>
    </row>
    <row r="2896" spans="14:26" ht="31.4" customHeight="1" x14ac:dyDescent="0.35">
      <c r="N2896" s="20"/>
      <c r="P2896" s="8"/>
      <c r="Q2896" s="8"/>
      <c r="R2896" s="8"/>
      <c r="S2896" s="8"/>
      <c r="U2896" s="6"/>
      <c r="V2896" s="6"/>
      <c r="W2896" s="6"/>
      <c r="X2896" s="6"/>
      <c r="Y2896" s="6"/>
      <c r="Z2896" s="6"/>
    </row>
    <row r="2897" spans="14:26" ht="31.4" customHeight="1" x14ac:dyDescent="0.35">
      <c r="N2897" s="20"/>
      <c r="P2897" s="8"/>
      <c r="Q2897" s="8"/>
      <c r="R2897" s="8"/>
      <c r="S2897" s="8"/>
      <c r="U2897" s="6"/>
      <c r="V2897" s="6"/>
      <c r="W2897" s="6"/>
      <c r="X2897" s="6"/>
      <c r="Y2897" s="6"/>
      <c r="Z2897" s="6"/>
    </row>
    <row r="2898" spans="14:26" ht="31.4" customHeight="1" x14ac:dyDescent="0.35">
      <c r="N2898" s="20"/>
      <c r="P2898" s="8"/>
      <c r="Q2898" s="8"/>
      <c r="R2898" s="8"/>
      <c r="S2898" s="8"/>
      <c r="U2898" s="6"/>
      <c r="V2898" s="6"/>
      <c r="W2898" s="6"/>
      <c r="X2898" s="6"/>
      <c r="Y2898" s="6"/>
      <c r="Z2898" s="6"/>
    </row>
    <row r="2899" spans="14:26" ht="31.4" customHeight="1" x14ac:dyDescent="0.35">
      <c r="N2899" s="20"/>
      <c r="P2899" s="8"/>
      <c r="Q2899" s="8"/>
      <c r="R2899" s="8"/>
      <c r="S2899" s="8"/>
      <c r="U2899" s="6"/>
      <c r="V2899" s="6"/>
      <c r="W2899" s="6"/>
      <c r="X2899" s="6"/>
      <c r="Y2899" s="6"/>
      <c r="Z2899" s="6"/>
    </row>
    <row r="2900" spans="14:26" ht="31.4" customHeight="1" x14ac:dyDescent="0.35">
      <c r="N2900" s="20"/>
      <c r="P2900" s="8"/>
      <c r="Q2900" s="8"/>
      <c r="R2900" s="8"/>
      <c r="S2900" s="8"/>
      <c r="U2900" s="6"/>
      <c r="V2900" s="6"/>
      <c r="W2900" s="6"/>
      <c r="X2900" s="6"/>
      <c r="Y2900" s="6"/>
      <c r="Z2900" s="6"/>
    </row>
    <row r="2901" spans="14:26" ht="31.4" customHeight="1" x14ac:dyDescent="0.35">
      <c r="N2901" s="20"/>
      <c r="P2901" s="8"/>
      <c r="Q2901" s="8"/>
      <c r="R2901" s="8"/>
      <c r="S2901" s="8"/>
      <c r="U2901" s="6"/>
      <c r="V2901" s="6"/>
      <c r="W2901" s="6"/>
      <c r="X2901" s="6"/>
      <c r="Y2901" s="6"/>
      <c r="Z2901" s="6"/>
    </row>
    <row r="2902" spans="14:26" ht="31.4" customHeight="1" x14ac:dyDescent="0.35">
      <c r="N2902" s="20"/>
      <c r="P2902" s="8"/>
      <c r="Q2902" s="8"/>
      <c r="R2902" s="8"/>
      <c r="S2902" s="8"/>
      <c r="U2902" s="6"/>
      <c r="V2902" s="6"/>
      <c r="W2902" s="6"/>
      <c r="X2902" s="6"/>
      <c r="Y2902" s="6"/>
      <c r="Z2902" s="6"/>
    </row>
    <row r="2903" spans="14:26" ht="31.4" customHeight="1" x14ac:dyDescent="0.35">
      <c r="N2903" s="20"/>
      <c r="P2903" s="8"/>
      <c r="Q2903" s="8"/>
      <c r="R2903" s="8"/>
      <c r="S2903" s="8"/>
      <c r="U2903" s="6"/>
      <c r="V2903" s="6"/>
      <c r="W2903" s="6"/>
      <c r="X2903" s="6"/>
      <c r="Y2903" s="6"/>
      <c r="Z2903" s="6"/>
    </row>
    <row r="2904" spans="14:26" ht="31.4" customHeight="1" x14ac:dyDescent="0.35">
      <c r="N2904" s="20"/>
      <c r="P2904" s="8"/>
      <c r="Q2904" s="8"/>
      <c r="R2904" s="8"/>
      <c r="S2904" s="8"/>
      <c r="U2904" s="6"/>
      <c r="V2904" s="6"/>
      <c r="W2904" s="6"/>
      <c r="X2904" s="6"/>
      <c r="Y2904" s="6"/>
      <c r="Z2904" s="6"/>
    </row>
    <row r="2905" spans="14:26" ht="31.4" customHeight="1" x14ac:dyDescent="0.35">
      <c r="N2905" s="20"/>
      <c r="P2905" s="8"/>
      <c r="Q2905" s="8"/>
      <c r="R2905" s="8"/>
      <c r="S2905" s="8"/>
      <c r="U2905" s="6"/>
      <c r="V2905" s="6"/>
      <c r="W2905" s="6"/>
      <c r="X2905" s="6"/>
      <c r="Y2905" s="6"/>
      <c r="Z2905" s="6"/>
    </row>
    <row r="2906" spans="14:26" ht="31.4" customHeight="1" x14ac:dyDescent="0.35">
      <c r="N2906" s="20"/>
      <c r="P2906" s="8"/>
      <c r="Q2906" s="8"/>
      <c r="R2906" s="8"/>
      <c r="S2906" s="8"/>
      <c r="U2906" s="6"/>
      <c r="V2906" s="6"/>
      <c r="W2906" s="6"/>
      <c r="X2906" s="6"/>
      <c r="Y2906" s="6"/>
      <c r="Z2906" s="6"/>
    </row>
    <row r="2907" spans="14:26" ht="31.4" customHeight="1" x14ac:dyDescent="0.35">
      <c r="N2907" s="20"/>
      <c r="P2907" s="8"/>
      <c r="Q2907" s="8"/>
      <c r="R2907" s="8"/>
      <c r="S2907" s="8"/>
      <c r="U2907" s="6"/>
      <c r="V2907" s="6"/>
      <c r="W2907" s="6"/>
      <c r="X2907" s="6"/>
      <c r="Y2907" s="6"/>
      <c r="Z2907" s="6"/>
    </row>
    <row r="2908" spans="14:26" ht="31.4" customHeight="1" x14ac:dyDescent="0.35">
      <c r="N2908" s="20"/>
      <c r="P2908" s="8"/>
      <c r="Q2908" s="8"/>
      <c r="R2908" s="8"/>
      <c r="S2908" s="8"/>
      <c r="U2908" s="6"/>
      <c r="V2908" s="6"/>
      <c r="W2908" s="6"/>
      <c r="X2908" s="6"/>
      <c r="Y2908" s="6"/>
      <c r="Z2908" s="6"/>
    </row>
    <row r="2909" spans="14:26" ht="31.4" customHeight="1" x14ac:dyDescent="0.35">
      <c r="N2909" s="20"/>
      <c r="P2909" s="8"/>
      <c r="Q2909" s="8"/>
      <c r="R2909" s="8"/>
      <c r="S2909" s="8"/>
      <c r="U2909" s="6"/>
      <c r="V2909" s="6"/>
      <c r="W2909" s="6"/>
      <c r="X2909" s="6"/>
      <c r="Y2909" s="6"/>
      <c r="Z2909" s="6"/>
    </row>
    <row r="2910" spans="14:26" ht="31.4" customHeight="1" x14ac:dyDescent="0.35">
      <c r="N2910" s="20"/>
      <c r="P2910" s="8"/>
      <c r="Q2910" s="8"/>
      <c r="R2910" s="8"/>
      <c r="S2910" s="8"/>
      <c r="U2910" s="6"/>
      <c r="V2910" s="6"/>
      <c r="W2910" s="6"/>
      <c r="X2910" s="6"/>
      <c r="Y2910" s="6"/>
      <c r="Z2910" s="6"/>
    </row>
    <row r="2911" spans="14:26" ht="31.4" customHeight="1" x14ac:dyDescent="0.35">
      <c r="N2911" s="20"/>
      <c r="P2911" s="8"/>
      <c r="Q2911" s="8"/>
      <c r="R2911" s="8"/>
      <c r="S2911" s="8"/>
      <c r="U2911" s="6"/>
      <c r="V2911" s="6"/>
      <c r="W2911" s="6"/>
      <c r="X2911" s="6"/>
      <c r="Y2911" s="6"/>
      <c r="Z2911" s="6"/>
    </row>
    <row r="2912" spans="14:26" ht="31.4" customHeight="1" x14ac:dyDescent="0.35">
      <c r="N2912" s="20"/>
      <c r="P2912" s="8"/>
      <c r="Q2912" s="8"/>
      <c r="R2912" s="8"/>
      <c r="S2912" s="8"/>
      <c r="U2912" s="6"/>
      <c r="V2912" s="6"/>
      <c r="W2912" s="6"/>
      <c r="X2912" s="6"/>
      <c r="Y2912" s="6"/>
      <c r="Z2912" s="6"/>
    </row>
    <row r="2913" spans="14:26" ht="31.4" customHeight="1" x14ac:dyDescent="0.35">
      <c r="N2913" s="20"/>
      <c r="P2913" s="8"/>
      <c r="Q2913" s="8"/>
      <c r="R2913" s="8"/>
      <c r="S2913" s="8"/>
      <c r="U2913" s="6"/>
      <c r="V2913" s="6"/>
      <c r="W2913" s="6"/>
      <c r="X2913" s="6"/>
      <c r="Y2913" s="6"/>
      <c r="Z2913" s="6"/>
    </row>
    <row r="2914" spans="14:26" ht="31.4" customHeight="1" x14ac:dyDescent="0.35">
      <c r="N2914" s="20"/>
      <c r="P2914" s="8"/>
      <c r="Q2914" s="8"/>
      <c r="R2914" s="8"/>
      <c r="S2914" s="8"/>
      <c r="U2914" s="6"/>
      <c r="V2914" s="6"/>
      <c r="W2914" s="6"/>
      <c r="X2914" s="6"/>
      <c r="Y2914" s="6"/>
      <c r="Z2914" s="6"/>
    </row>
    <row r="2915" spans="14:26" ht="31.4" customHeight="1" x14ac:dyDescent="0.35">
      <c r="N2915" s="20"/>
      <c r="P2915" s="8"/>
      <c r="Q2915" s="8"/>
      <c r="R2915" s="8"/>
      <c r="S2915" s="8"/>
      <c r="U2915" s="6"/>
      <c r="V2915" s="6"/>
      <c r="W2915" s="6"/>
      <c r="X2915" s="6"/>
      <c r="Y2915" s="6"/>
      <c r="Z2915" s="6"/>
    </row>
    <row r="2916" spans="14:26" ht="31.4" customHeight="1" x14ac:dyDescent="0.35">
      <c r="N2916" s="20"/>
      <c r="P2916" s="8"/>
      <c r="Q2916" s="8"/>
      <c r="R2916" s="8"/>
      <c r="S2916" s="8"/>
      <c r="U2916" s="6"/>
      <c r="V2916" s="6"/>
      <c r="W2916" s="6"/>
      <c r="X2916" s="6"/>
      <c r="Y2916" s="6"/>
      <c r="Z2916" s="6"/>
    </row>
    <row r="2917" spans="14:26" ht="31.4" customHeight="1" x14ac:dyDescent="0.35">
      <c r="N2917" s="20"/>
      <c r="P2917" s="8"/>
      <c r="Q2917" s="8"/>
      <c r="R2917" s="8"/>
      <c r="S2917" s="8"/>
      <c r="U2917" s="6"/>
      <c r="V2917" s="6"/>
      <c r="W2917" s="6"/>
      <c r="X2917" s="6"/>
      <c r="Y2917" s="6"/>
      <c r="Z2917" s="6"/>
    </row>
    <row r="2918" spans="14:26" ht="31.4" customHeight="1" x14ac:dyDescent="0.35">
      <c r="N2918" s="20"/>
      <c r="P2918" s="8"/>
      <c r="Q2918" s="8"/>
      <c r="R2918" s="8"/>
      <c r="S2918" s="8"/>
      <c r="U2918" s="6"/>
      <c r="V2918" s="6"/>
      <c r="W2918" s="6"/>
      <c r="X2918" s="6"/>
      <c r="Y2918" s="6"/>
      <c r="Z2918" s="6"/>
    </row>
    <row r="2919" spans="14:26" ht="31.4" customHeight="1" x14ac:dyDescent="0.35">
      <c r="N2919" s="20"/>
      <c r="P2919" s="8"/>
      <c r="Q2919" s="8"/>
      <c r="R2919" s="8"/>
      <c r="S2919" s="8"/>
      <c r="U2919" s="6"/>
      <c r="V2919" s="6"/>
      <c r="W2919" s="6"/>
      <c r="X2919" s="6"/>
      <c r="Y2919" s="6"/>
      <c r="Z2919" s="6"/>
    </row>
    <row r="2920" spans="14:26" ht="31.4" customHeight="1" x14ac:dyDescent="0.35">
      <c r="N2920" s="20"/>
      <c r="P2920" s="8"/>
      <c r="Q2920" s="8"/>
      <c r="R2920" s="8"/>
      <c r="S2920" s="8"/>
      <c r="U2920" s="6"/>
      <c r="V2920" s="6"/>
      <c r="W2920" s="6"/>
      <c r="X2920" s="6"/>
      <c r="Y2920" s="6"/>
      <c r="Z2920" s="6"/>
    </row>
    <row r="2921" spans="14:26" ht="31.4" customHeight="1" x14ac:dyDescent="0.35">
      <c r="N2921" s="20"/>
      <c r="P2921" s="8"/>
      <c r="Q2921" s="8"/>
      <c r="R2921" s="8"/>
      <c r="S2921" s="8"/>
      <c r="U2921" s="6"/>
      <c r="V2921" s="6"/>
      <c r="W2921" s="6"/>
      <c r="X2921" s="6"/>
      <c r="Y2921" s="6"/>
      <c r="Z2921" s="6"/>
    </row>
    <row r="2922" spans="14:26" ht="31.4" customHeight="1" x14ac:dyDescent="0.35">
      <c r="N2922" s="20"/>
      <c r="P2922" s="8"/>
      <c r="Q2922" s="8"/>
      <c r="R2922" s="8"/>
      <c r="S2922" s="8"/>
      <c r="U2922" s="6"/>
      <c r="V2922" s="6"/>
      <c r="W2922" s="6"/>
      <c r="X2922" s="6"/>
      <c r="Y2922" s="6"/>
      <c r="Z2922" s="6"/>
    </row>
    <row r="2923" spans="14:26" ht="31.4" customHeight="1" x14ac:dyDescent="0.35">
      <c r="N2923" s="20"/>
      <c r="P2923" s="8"/>
      <c r="Q2923" s="8"/>
      <c r="R2923" s="8"/>
      <c r="S2923" s="8"/>
      <c r="U2923" s="6"/>
      <c r="V2923" s="6"/>
      <c r="W2923" s="6"/>
      <c r="X2923" s="6"/>
      <c r="Y2923" s="6"/>
      <c r="Z2923" s="6"/>
    </row>
    <row r="2924" spans="14:26" ht="31.4" customHeight="1" x14ac:dyDescent="0.35">
      <c r="N2924" s="20"/>
      <c r="P2924" s="8"/>
      <c r="Q2924" s="8"/>
      <c r="R2924" s="8"/>
      <c r="S2924" s="8"/>
      <c r="U2924" s="6"/>
      <c r="V2924" s="6"/>
      <c r="W2924" s="6"/>
      <c r="X2924" s="6"/>
      <c r="Y2924" s="6"/>
      <c r="Z2924" s="6"/>
    </row>
    <row r="2925" spans="14:26" ht="31.4" customHeight="1" x14ac:dyDescent="0.35">
      <c r="N2925" s="20"/>
      <c r="P2925" s="8"/>
      <c r="Q2925" s="8"/>
      <c r="R2925" s="8"/>
      <c r="S2925" s="8"/>
      <c r="U2925" s="6"/>
      <c r="V2925" s="6"/>
      <c r="W2925" s="6"/>
      <c r="X2925" s="6"/>
      <c r="Y2925" s="6"/>
      <c r="Z2925" s="6"/>
    </row>
    <row r="2926" spans="14:26" ht="31.4" customHeight="1" x14ac:dyDescent="0.35">
      <c r="N2926" s="20"/>
      <c r="P2926" s="8"/>
      <c r="Q2926" s="8"/>
      <c r="R2926" s="8"/>
      <c r="S2926" s="8"/>
      <c r="U2926" s="6"/>
      <c r="V2926" s="6"/>
      <c r="W2926" s="6"/>
      <c r="X2926" s="6"/>
      <c r="Y2926" s="6"/>
      <c r="Z2926" s="6"/>
    </row>
    <row r="2927" spans="14:26" ht="31.4" customHeight="1" x14ac:dyDescent="0.35">
      <c r="N2927" s="20"/>
      <c r="P2927" s="8"/>
      <c r="Q2927" s="8"/>
      <c r="R2927" s="8"/>
      <c r="S2927" s="8"/>
      <c r="U2927" s="6"/>
      <c r="V2927" s="6"/>
      <c r="W2927" s="6"/>
      <c r="X2927" s="6"/>
      <c r="Y2927" s="6"/>
      <c r="Z2927" s="6"/>
    </row>
    <row r="2928" spans="14:26" ht="31.4" customHeight="1" x14ac:dyDescent="0.35">
      <c r="N2928" s="20"/>
      <c r="P2928" s="8"/>
      <c r="Q2928" s="8"/>
      <c r="R2928" s="8"/>
      <c r="S2928" s="8"/>
      <c r="U2928" s="6"/>
      <c r="V2928" s="6"/>
      <c r="W2928" s="6"/>
      <c r="X2928" s="6"/>
      <c r="Y2928" s="6"/>
      <c r="Z2928" s="6"/>
    </row>
    <row r="2929" spans="14:26" ht="31.4" customHeight="1" x14ac:dyDescent="0.35">
      <c r="N2929" s="20"/>
      <c r="P2929" s="8"/>
      <c r="Q2929" s="8"/>
      <c r="R2929" s="8"/>
      <c r="S2929" s="8"/>
      <c r="U2929" s="6"/>
      <c r="V2929" s="6"/>
      <c r="W2929" s="6"/>
      <c r="X2929" s="6"/>
      <c r="Y2929" s="6"/>
      <c r="Z2929" s="6"/>
    </row>
    <row r="2930" spans="14:26" ht="31.4" customHeight="1" x14ac:dyDescent="0.35">
      <c r="N2930" s="20"/>
      <c r="P2930" s="8"/>
      <c r="Q2930" s="8"/>
      <c r="R2930" s="8"/>
      <c r="S2930" s="8"/>
      <c r="U2930" s="6"/>
      <c r="V2930" s="6"/>
      <c r="W2930" s="6"/>
      <c r="X2930" s="6"/>
      <c r="Y2930" s="6"/>
      <c r="Z2930" s="6"/>
    </row>
    <row r="2931" spans="14:26" ht="31.4" customHeight="1" x14ac:dyDescent="0.35">
      <c r="N2931" s="20"/>
      <c r="P2931" s="8"/>
      <c r="Q2931" s="8"/>
      <c r="R2931" s="8"/>
      <c r="S2931" s="8"/>
      <c r="U2931" s="6"/>
      <c r="V2931" s="6"/>
      <c r="W2931" s="6"/>
      <c r="X2931" s="6"/>
      <c r="Y2931" s="6"/>
      <c r="Z2931" s="6"/>
    </row>
    <row r="2932" spans="14:26" ht="31.4" customHeight="1" x14ac:dyDescent="0.35">
      <c r="N2932" s="20"/>
      <c r="P2932" s="8"/>
      <c r="Q2932" s="8"/>
      <c r="R2932" s="8"/>
      <c r="S2932" s="8"/>
      <c r="U2932" s="6"/>
      <c r="V2932" s="6"/>
      <c r="W2932" s="6"/>
      <c r="X2932" s="6"/>
      <c r="Y2932" s="6"/>
      <c r="Z2932" s="6"/>
    </row>
    <row r="2933" spans="14:26" ht="31.4" customHeight="1" x14ac:dyDescent="0.35">
      <c r="N2933" s="20"/>
      <c r="P2933" s="8"/>
      <c r="Q2933" s="8"/>
      <c r="R2933" s="8"/>
      <c r="S2933" s="8"/>
      <c r="U2933" s="6"/>
      <c r="V2933" s="6"/>
      <c r="W2933" s="6"/>
      <c r="X2933" s="6"/>
      <c r="Y2933" s="6"/>
      <c r="Z2933" s="6"/>
    </row>
    <row r="2934" spans="14:26" ht="31.4" customHeight="1" x14ac:dyDescent="0.35">
      <c r="N2934" s="20"/>
      <c r="P2934" s="8"/>
      <c r="Q2934" s="8"/>
      <c r="R2934" s="8"/>
      <c r="S2934" s="8"/>
      <c r="U2934" s="6"/>
      <c r="V2934" s="6"/>
      <c r="W2934" s="6"/>
      <c r="X2934" s="6"/>
      <c r="Y2934" s="6"/>
      <c r="Z2934" s="6"/>
    </row>
    <row r="2935" spans="14:26" ht="31.4" customHeight="1" x14ac:dyDescent="0.35">
      <c r="N2935" s="20"/>
      <c r="P2935" s="8"/>
      <c r="Q2935" s="8"/>
      <c r="R2935" s="8"/>
      <c r="S2935" s="8"/>
      <c r="U2935" s="6"/>
      <c r="V2935" s="6"/>
      <c r="W2935" s="6"/>
      <c r="X2935" s="6"/>
      <c r="Y2935" s="6"/>
      <c r="Z2935" s="6"/>
    </row>
    <row r="2936" spans="14:26" ht="31.4" customHeight="1" x14ac:dyDescent="0.35">
      <c r="N2936" s="20"/>
      <c r="P2936" s="8"/>
      <c r="Q2936" s="8"/>
      <c r="R2936" s="8"/>
      <c r="S2936" s="8"/>
      <c r="U2936" s="6"/>
      <c r="V2936" s="6"/>
      <c r="W2936" s="6"/>
      <c r="X2936" s="6"/>
      <c r="Y2936" s="6"/>
      <c r="Z2936" s="6"/>
    </row>
    <row r="2937" spans="14:26" ht="31.4" customHeight="1" x14ac:dyDescent="0.35">
      <c r="N2937" s="20"/>
      <c r="P2937" s="8"/>
      <c r="Q2937" s="8"/>
      <c r="R2937" s="8"/>
      <c r="S2937" s="8"/>
      <c r="U2937" s="6"/>
      <c r="V2937" s="6"/>
      <c r="W2937" s="6"/>
      <c r="X2937" s="6"/>
      <c r="Y2937" s="6"/>
      <c r="Z2937" s="6"/>
    </row>
    <row r="2938" spans="14:26" ht="31.4" customHeight="1" x14ac:dyDescent="0.35">
      <c r="N2938" s="20"/>
      <c r="P2938" s="8"/>
      <c r="Q2938" s="8"/>
      <c r="R2938" s="8"/>
      <c r="S2938" s="8"/>
      <c r="U2938" s="6"/>
      <c r="V2938" s="6"/>
      <c r="W2938" s="6"/>
      <c r="X2938" s="6"/>
      <c r="Y2938" s="6"/>
      <c r="Z2938" s="6"/>
    </row>
    <row r="2939" spans="14:26" ht="31.4" customHeight="1" x14ac:dyDescent="0.35">
      <c r="N2939" s="20"/>
      <c r="P2939" s="8"/>
      <c r="Q2939" s="8"/>
      <c r="R2939" s="8"/>
      <c r="S2939" s="8"/>
      <c r="U2939" s="6"/>
      <c r="V2939" s="6"/>
      <c r="W2939" s="6"/>
      <c r="X2939" s="6"/>
      <c r="Y2939" s="6"/>
      <c r="Z2939" s="6"/>
    </row>
    <row r="2940" spans="14:26" ht="31.4" customHeight="1" x14ac:dyDescent="0.35">
      <c r="N2940" s="20"/>
      <c r="P2940" s="8"/>
      <c r="Q2940" s="8"/>
      <c r="R2940" s="8"/>
      <c r="S2940" s="8"/>
      <c r="U2940" s="6"/>
      <c r="V2940" s="6"/>
      <c r="W2940" s="6"/>
      <c r="X2940" s="6"/>
      <c r="Y2940" s="6"/>
      <c r="Z2940" s="6"/>
    </row>
    <row r="2941" spans="14:26" ht="31.4" customHeight="1" x14ac:dyDescent="0.35">
      <c r="N2941" s="20"/>
      <c r="P2941" s="8"/>
      <c r="Q2941" s="8"/>
      <c r="R2941" s="8"/>
      <c r="S2941" s="8"/>
      <c r="U2941" s="6"/>
      <c r="V2941" s="6"/>
      <c r="W2941" s="6"/>
      <c r="X2941" s="6"/>
      <c r="Y2941" s="6"/>
      <c r="Z2941" s="6"/>
    </row>
    <row r="2942" spans="14:26" ht="31.4" customHeight="1" x14ac:dyDescent="0.35">
      <c r="N2942" s="20"/>
      <c r="P2942" s="8"/>
      <c r="Q2942" s="8"/>
      <c r="R2942" s="8"/>
      <c r="S2942" s="8"/>
      <c r="U2942" s="6"/>
      <c r="V2942" s="6"/>
      <c r="W2942" s="6"/>
      <c r="X2942" s="6"/>
      <c r="Y2942" s="6"/>
      <c r="Z2942" s="6"/>
    </row>
    <row r="2943" spans="14:26" ht="31.4" customHeight="1" x14ac:dyDescent="0.35">
      <c r="N2943" s="20"/>
      <c r="P2943" s="8"/>
      <c r="Q2943" s="8"/>
      <c r="R2943" s="8"/>
      <c r="S2943" s="8"/>
      <c r="U2943" s="6"/>
      <c r="V2943" s="6"/>
      <c r="W2943" s="6"/>
      <c r="X2943" s="6"/>
      <c r="Y2943" s="6"/>
      <c r="Z2943" s="6"/>
    </row>
    <row r="2944" spans="14:26" ht="31.4" customHeight="1" x14ac:dyDescent="0.35">
      <c r="N2944" s="20"/>
      <c r="P2944" s="8"/>
      <c r="Q2944" s="8"/>
      <c r="R2944" s="8"/>
      <c r="S2944" s="8"/>
      <c r="U2944" s="6"/>
      <c r="V2944" s="6"/>
      <c r="W2944" s="6"/>
      <c r="X2944" s="6"/>
      <c r="Y2944" s="6"/>
      <c r="Z2944" s="6"/>
    </row>
    <row r="2945" spans="14:26" ht="31.4" customHeight="1" x14ac:dyDescent="0.35">
      <c r="N2945" s="20"/>
      <c r="P2945" s="8"/>
      <c r="Q2945" s="8"/>
      <c r="R2945" s="8"/>
      <c r="S2945" s="8"/>
      <c r="U2945" s="6"/>
      <c r="V2945" s="6"/>
      <c r="W2945" s="6"/>
      <c r="X2945" s="6"/>
      <c r="Y2945" s="6"/>
      <c r="Z2945" s="6"/>
    </row>
    <row r="2946" spans="14:26" ht="31.4" customHeight="1" x14ac:dyDescent="0.35">
      <c r="N2946" s="20"/>
      <c r="P2946" s="8"/>
      <c r="Q2946" s="8"/>
      <c r="R2946" s="8"/>
      <c r="S2946" s="8"/>
      <c r="U2946" s="6"/>
      <c r="V2946" s="6"/>
      <c r="W2946" s="6"/>
      <c r="X2946" s="6"/>
      <c r="Y2946" s="6"/>
      <c r="Z2946" s="6"/>
    </row>
    <row r="2947" spans="14:26" ht="31.4" customHeight="1" x14ac:dyDescent="0.35">
      <c r="N2947" s="20"/>
      <c r="P2947" s="8"/>
      <c r="Q2947" s="8"/>
      <c r="R2947" s="8"/>
      <c r="S2947" s="8"/>
      <c r="U2947" s="6"/>
      <c r="V2947" s="6"/>
      <c r="W2947" s="6"/>
      <c r="X2947" s="6"/>
      <c r="Y2947" s="6"/>
      <c r="Z2947" s="6"/>
    </row>
    <row r="2948" spans="14:26" ht="31.4" customHeight="1" x14ac:dyDescent="0.35">
      <c r="N2948" s="20"/>
      <c r="P2948" s="8"/>
      <c r="Q2948" s="8"/>
      <c r="R2948" s="8"/>
      <c r="S2948" s="8"/>
      <c r="U2948" s="6"/>
      <c r="V2948" s="6"/>
      <c r="W2948" s="6"/>
      <c r="X2948" s="6"/>
      <c r="Y2948" s="6"/>
      <c r="Z2948" s="6"/>
    </row>
    <row r="2949" spans="14:26" ht="31.4" customHeight="1" x14ac:dyDescent="0.35">
      <c r="N2949" s="20"/>
      <c r="P2949" s="8"/>
      <c r="Q2949" s="8"/>
      <c r="R2949" s="8"/>
      <c r="S2949" s="8"/>
      <c r="U2949" s="6"/>
      <c r="V2949" s="6"/>
      <c r="W2949" s="6"/>
      <c r="X2949" s="6"/>
      <c r="Y2949" s="6"/>
      <c r="Z2949" s="6"/>
    </row>
    <row r="2950" spans="14:26" ht="31.4" customHeight="1" x14ac:dyDescent="0.35">
      <c r="N2950" s="20"/>
      <c r="P2950" s="8"/>
      <c r="Q2950" s="8"/>
      <c r="R2950" s="8"/>
      <c r="S2950" s="8"/>
      <c r="U2950" s="6"/>
      <c r="V2950" s="6"/>
      <c r="W2950" s="6"/>
      <c r="X2950" s="6"/>
      <c r="Y2950" s="6"/>
      <c r="Z2950" s="6"/>
    </row>
    <row r="2951" spans="14:26" ht="31.4" customHeight="1" x14ac:dyDescent="0.35">
      <c r="N2951" s="20"/>
      <c r="P2951" s="8"/>
      <c r="Q2951" s="8"/>
      <c r="R2951" s="8"/>
      <c r="S2951" s="8"/>
      <c r="U2951" s="6"/>
      <c r="V2951" s="6"/>
      <c r="W2951" s="6"/>
      <c r="X2951" s="6"/>
      <c r="Y2951" s="6"/>
      <c r="Z2951" s="6"/>
    </row>
    <row r="2952" spans="14:26" ht="31.4" customHeight="1" x14ac:dyDescent="0.35">
      <c r="N2952" s="20"/>
      <c r="P2952" s="8"/>
      <c r="Q2952" s="8"/>
      <c r="R2952" s="8"/>
      <c r="S2952" s="8"/>
      <c r="U2952" s="6"/>
      <c r="V2952" s="6"/>
      <c r="W2952" s="6"/>
      <c r="X2952" s="6"/>
      <c r="Y2952" s="6"/>
      <c r="Z2952" s="6"/>
    </row>
    <row r="2953" spans="14:26" ht="31.4" customHeight="1" x14ac:dyDescent="0.35">
      <c r="N2953" s="20"/>
      <c r="P2953" s="8"/>
      <c r="Q2953" s="8"/>
      <c r="R2953" s="8"/>
      <c r="S2953" s="8"/>
      <c r="U2953" s="6"/>
      <c r="V2953" s="6"/>
      <c r="W2953" s="6"/>
      <c r="X2953" s="6"/>
      <c r="Y2953" s="6"/>
      <c r="Z2953" s="6"/>
    </row>
    <row r="2954" spans="14:26" ht="31.4" customHeight="1" x14ac:dyDescent="0.35">
      <c r="N2954" s="20"/>
      <c r="P2954" s="8"/>
      <c r="Q2954" s="8"/>
      <c r="R2954" s="8"/>
      <c r="S2954" s="8"/>
      <c r="U2954" s="6"/>
      <c r="V2954" s="6"/>
      <c r="W2954" s="6"/>
      <c r="X2954" s="6"/>
      <c r="Y2954" s="6"/>
      <c r="Z2954" s="6"/>
    </row>
    <row r="2955" spans="14:26" ht="31.4" customHeight="1" x14ac:dyDescent="0.35">
      <c r="N2955" s="20"/>
      <c r="P2955" s="8"/>
      <c r="Q2955" s="8"/>
      <c r="R2955" s="8"/>
      <c r="S2955" s="8"/>
      <c r="U2955" s="6"/>
      <c r="V2955" s="6"/>
      <c r="W2955" s="6"/>
      <c r="X2955" s="6"/>
      <c r="Y2955" s="6"/>
      <c r="Z2955" s="6"/>
    </row>
    <row r="2956" spans="14:26" ht="31.4" customHeight="1" x14ac:dyDescent="0.35">
      <c r="N2956" s="20"/>
      <c r="P2956" s="8"/>
      <c r="Q2956" s="8"/>
      <c r="R2956" s="8"/>
      <c r="S2956" s="8"/>
      <c r="U2956" s="6"/>
      <c r="V2956" s="6"/>
      <c r="W2956" s="6"/>
      <c r="X2956" s="6"/>
      <c r="Y2956" s="6"/>
      <c r="Z2956" s="6"/>
    </row>
    <row r="2957" spans="14:26" ht="31.4" customHeight="1" x14ac:dyDescent="0.35">
      <c r="N2957" s="20"/>
      <c r="P2957" s="8"/>
      <c r="Q2957" s="8"/>
      <c r="R2957" s="8"/>
      <c r="S2957" s="8"/>
      <c r="U2957" s="6"/>
      <c r="V2957" s="6"/>
      <c r="W2957" s="6"/>
      <c r="X2957" s="6"/>
      <c r="Y2957" s="6"/>
      <c r="Z2957" s="6"/>
    </row>
    <row r="2958" spans="14:26" ht="31.4" customHeight="1" x14ac:dyDescent="0.35">
      <c r="N2958" s="20"/>
      <c r="P2958" s="8"/>
      <c r="Q2958" s="8"/>
      <c r="R2958" s="8"/>
      <c r="S2958" s="8"/>
      <c r="U2958" s="6"/>
      <c r="V2958" s="6"/>
      <c r="W2958" s="6"/>
      <c r="X2958" s="6"/>
      <c r="Y2958" s="6"/>
      <c r="Z2958" s="6"/>
    </row>
    <row r="2959" spans="14:26" ht="31.4" customHeight="1" x14ac:dyDescent="0.35">
      <c r="N2959" s="20"/>
      <c r="P2959" s="8"/>
      <c r="Q2959" s="8"/>
      <c r="R2959" s="8"/>
      <c r="S2959" s="8"/>
      <c r="U2959" s="6"/>
      <c r="V2959" s="6"/>
      <c r="W2959" s="6"/>
      <c r="X2959" s="6"/>
      <c r="Y2959" s="6"/>
      <c r="Z2959" s="6"/>
    </row>
    <row r="2960" spans="14:26" ht="31.4" customHeight="1" x14ac:dyDescent="0.35">
      <c r="N2960" s="20"/>
      <c r="P2960" s="8"/>
      <c r="Q2960" s="8"/>
      <c r="R2960" s="8"/>
      <c r="S2960" s="8"/>
      <c r="U2960" s="6"/>
      <c r="V2960" s="6"/>
      <c r="W2960" s="6"/>
      <c r="X2960" s="6"/>
      <c r="Y2960" s="6"/>
      <c r="Z2960" s="6"/>
    </row>
    <row r="2961" spans="14:26" ht="31.4" customHeight="1" x14ac:dyDescent="0.35">
      <c r="N2961" s="20"/>
      <c r="P2961" s="8"/>
      <c r="Q2961" s="8"/>
      <c r="R2961" s="8"/>
      <c r="S2961" s="8"/>
      <c r="U2961" s="6"/>
      <c r="V2961" s="6"/>
      <c r="W2961" s="6"/>
      <c r="X2961" s="6"/>
      <c r="Y2961" s="6"/>
      <c r="Z2961" s="6"/>
    </row>
    <row r="2962" spans="14:26" ht="31.4" customHeight="1" x14ac:dyDescent="0.35">
      <c r="N2962" s="20"/>
      <c r="P2962" s="8"/>
      <c r="Q2962" s="8"/>
      <c r="R2962" s="8"/>
      <c r="S2962" s="8"/>
      <c r="U2962" s="6"/>
      <c r="V2962" s="6"/>
      <c r="W2962" s="6"/>
      <c r="X2962" s="6"/>
      <c r="Y2962" s="6"/>
      <c r="Z2962" s="6"/>
    </row>
    <row r="2963" spans="14:26" ht="31.4" customHeight="1" x14ac:dyDescent="0.35">
      <c r="N2963" s="20"/>
      <c r="P2963" s="8"/>
      <c r="Q2963" s="8"/>
      <c r="R2963" s="8"/>
      <c r="S2963" s="8"/>
      <c r="U2963" s="6"/>
      <c r="V2963" s="6"/>
      <c r="W2963" s="6"/>
      <c r="X2963" s="6"/>
      <c r="Y2963" s="6"/>
      <c r="Z2963" s="6"/>
    </row>
    <row r="2964" spans="14:26" ht="31.4" customHeight="1" x14ac:dyDescent="0.35">
      <c r="N2964" s="20"/>
      <c r="P2964" s="8"/>
      <c r="Q2964" s="8"/>
      <c r="R2964" s="8"/>
      <c r="S2964" s="8"/>
      <c r="U2964" s="6"/>
      <c r="V2964" s="6"/>
      <c r="W2964" s="6"/>
      <c r="X2964" s="6"/>
      <c r="Y2964" s="6"/>
      <c r="Z2964" s="6"/>
    </row>
    <row r="2965" spans="14:26" ht="31.4" customHeight="1" x14ac:dyDescent="0.35">
      <c r="N2965" s="20"/>
      <c r="P2965" s="8"/>
      <c r="Q2965" s="8"/>
      <c r="R2965" s="8"/>
      <c r="S2965" s="8"/>
      <c r="U2965" s="6"/>
      <c r="V2965" s="6"/>
      <c r="W2965" s="6"/>
      <c r="X2965" s="6"/>
      <c r="Y2965" s="6"/>
      <c r="Z2965" s="6"/>
    </row>
    <row r="2966" spans="14:26" ht="31.4" customHeight="1" x14ac:dyDescent="0.35">
      <c r="N2966" s="20"/>
      <c r="P2966" s="8"/>
      <c r="Q2966" s="8"/>
      <c r="R2966" s="8"/>
      <c r="S2966" s="8"/>
      <c r="U2966" s="6"/>
      <c r="V2966" s="6"/>
      <c r="W2966" s="6"/>
      <c r="X2966" s="6"/>
      <c r="Y2966" s="6"/>
      <c r="Z2966" s="6"/>
    </row>
    <row r="2967" spans="14:26" ht="31.4" customHeight="1" x14ac:dyDescent="0.35">
      <c r="N2967" s="20"/>
      <c r="P2967" s="8"/>
      <c r="Q2967" s="8"/>
      <c r="R2967" s="8"/>
      <c r="S2967" s="8"/>
      <c r="U2967" s="6"/>
      <c r="V2967" s="6"/>
      <c r="W2967" s="6"/>
      <c r="X2967" s="6"/>
      <c r="Y2967" s="6"/>
      <c r="Z2967" s="6"/>
    </row>
    <row r="2968" spans="14:26" ht="31.4" customHeight="1" x14ac:dyDescent="0.35">
      <c r="N2968" s="20"/>
      <c r="P2968" s="8"/>
      <c r="Q2968" s="8"/>
      <c r="R2968" s="8"/>
      <c r="S2968" s="8"/>
      <c r="U2968" s="6"/>
      <c r="V2968" s="6"/>
      <c r="W2968" s="6"/>
      <c r="X2968" s="6"/>
      <c r="Y2968" s="6"/>
      <c r="Z2968" s="6"/>
    </row>
    <row r="2969" spans="14:26" ht="31.4" customHeight="1" x14ac:dyDescent="0.35">
      <c r="N2969" s="20"/>
      <c r="P2969" s="8"/>
      <c r="Q2969" s="8"/>
      <c r="R2969" s="8"/>
      <c r="S2969" s="8"/>
      <c r="U2969" s="6"/>
      <c r="V2969" s="6"/>
      <c r="W2969" s="6"/>
      <c r="X2969" s="6"/>
      <c r="Y2969" s="6"/>
      <c r="Z2969" s="6"/>
    </row>
    <row r="2970" spans="14:26" ht="31.4" customHeight="1" x14ac:dyDescent="0.35">
      <c r="N2970" s="20"/>
      <c r="P2970" s="8"/>
      <c r="Q2970" s="8"/>
      <c r="R2970" s="8"/>
      <c r="S2970" s="8"/>
      <c r="U2970" s="6"/>
      <c r="V2970" s="6"/>
      <c r="W2970" s="6"/>
      <c r="X2970" s="6"/>
      <c r="Y2970" s="6"/>
      <c r="Z2970" s="6"/>
    </row>
    <row r="2971" spans="14:26" ht="31.4" customHeight="1" x14ac:dyDescent="0.35">
      <c r="N2971" s="20"/>
      <c r="P2971" s="8"/>
      <c r="Q2971" s="8"/>
      <c r="R2971" s="8"/>
      <c r="S2971" s="8"/>
      <c r="U2971" s="6"/>
      <c r="V2971" s="6"/>
      <c r="W2971" s="6"/>
      <c r="X2971" s="6"/>
      <c r="Y2971" s="6"/>
      <c r="Z2971" s="6"/>
    </row>
    <row r="2972" spans="14:26" ht="31.4" customHeight="1" x14ac:dyDescent="0.35">
      <c r="N2972" s="20"/>
      <c r="P2972" s="8"/>
      <c r="Q2972" s="8"/>
      <c r="R2972" s="8"/>
      <c r="S2972" s="8"/>
      <c r="U2972" s="6"/>
      <c r="V2972" s="6"/>
      <c r="W2972" s="6"/>
      <c r="X2972" s="6"/>
      <c r="Y2972" s="6"/>
      <c r="Z2972" s="6"/>
    </row>
    <row r="2973" spans="14:26" ht="31.4" customHeight="1" x14ac:dyDescent="0.35">
      <c r="N2973" s="20"/>
      <c r="P2973" s="8"/>
      <c r="Q2973" s="8"/>
      <c r="R2973" s="8"/>
      <c r="S2973" s="8"/>
      <c r="U2973" s="6"/>
      <c r="V2973" s="6"/>
      <c r="W2973" s="6"/>
      <c r="X2973" s="6"/>
      <c r="Y2973" s="6"/>
      <c r="Z2973" s="6"/>
    </row>
    <row r="2974" spans="14:26" ht="31.4" customHeight="1" x14ac:dyDescent="0.35">
      <c r="N2974" s="20"/>
      <c r="P2974" s="8"/>
      <c r="Q2974" s="8"/>
      <c r="R2974" s="8"/>
      <c r="S2974" s="8"/>
      <c r="U2974" s="6"/>
      <c r="V2974" s="6"/>
      <c r="W2974" s="6"/>
      <c r="X2974" s="6"/>
      <c r="Y2974" s="6"/>
      <c r="Z2974" s="6"/>
    </row>
    <row r="2975" spans="14:26" ht="31.4" customHeight="1" x14ac:dyDescent="0.35">
      <c r="N2975" s="20"/>
      <c r="P2975" s="8"/>
      <c r="Q2975" s="8"/>
      <c r="R2975" s="8"/>
      <c r="S2975" s="8"/>
      <c r="U2975" s="6"/>
      <c r="V2975" s="6"/>
      <c r="W2975" s="6"/>
      <c r="X2975" s="6"/>
      <c r="Y2975" s="6"/>
      <c r="Z2975" s="6"/>
    </row>
    <row r="2976" spans="14:26" ht="31.4" customHeight="1" x14ac:dyDescent="0.35">
      <c r="N2976" s="20"/>
      <c r="P2976" s="8"/>
      <c r="Q2976" s="8"/>
      <c r="R2976" s="8"/>
      <c r="S2976" s="8"/>
      <c r="U2976" s="6"/>
      <c r="V2976" s="6"/>
      <c r="W2976" s="6"/>
      <c r="X2976" s="6"/>
      <c r="Y2976" s="6"/>
      <c r="Z2976" s="6"/>
    </row>
    <row r="2977" spans="14:26" ht="31.4" customHeight="1" x14ac:dyDescent="0.35">
      <c r="N2977" s="20"/>
      <c r="P2977" s="8"/>
      <c r="Q2977" s="8"/>
      <c r="R2977" s="8"/>
      <c r="S2977" s="8"/>
      <c r="U2977" s="6"/>
      <c r="V2977" s="6"/>
      <c r="W2977" s="6"/>
      <c r="X2977" s="6"/>
      <c r="Y2977" s="6"/>
      <c r="Z2977" s="6"/>
    </row>
    <row r="2978" spans="14:26" ht="31.4" customHeight="1" x14ac:dyDescent="0.35">
      <c r="N2978" s="20"/>
      <c r="P2978" s="8"/>
      <c r="Q2978" s="8"/>
      <c r="R2978" s="8"/>
      <c r="S2978" s="8"/>
      <c r="U2978" s="6"/>
      <c r="V2978" s="6"/>
      <c r="W2978" s="6"/>
      <c r="X2978" s="6"/>
      <c r="Y2978" s="6"/>
      <c r="Z2978" s="6"/>
    </row>
    <row r="2979" spans="14:26" ht="31.4" customHeight="1" x14ac:dyDescent="0.35">
      <c r="N2979" s="20"/>
      <c r="P2979" s="8"/>
      <c r="Q2979" s="8"/>
      <c r="R2979" s="8"/>
      <c r="S2979" s="8"/>
      <c r="U2979" s="6"/>
      <c r="V2979" s="6"/>
      <c r="W2979" s="6"/>
      <c r="X2979" s="6"/>
      <c r="Y2979" s="6"/>
      <c r="Z2979" s="6"/>
    </row>
    <row r="2980" spans="14:26" ht="31.4" customHeight="1" x14ac:dyDescent="0.35">
      <c r="N2980" s="20"/>
      <c r="P2980" s="8"/>
      <c r="Q2980" s="8"/>
      <c r="R2980" s="8"/>
      <c r="S2980" s="8"/>
      <c r="U2980" s="6"/>
      <c r="V2980" s="6"/>
      <c r="W2980" s="6"/>
      <c r="X2980" s="6"/>
      <c r="Y2980" s="6"/>
      <c r="Z2980" s="6"/>
    </row>
    <row r="2981" spans="14:26" ht="31.4" customHeight="1" x14ac:dyDescent="0.35">
      <c r="N2981" s="20"/>
      <c r="P2981" s="8"/>
      <c r="Q2981" s="8"/>
      <c r="R2981" s="8"/>
      <c r="S2981" s="8"/>
      <c r="U2981" s="6"/>
      <c r="V2981" s="6"/>
      <c r="W2981" s="6"/>
      <c r="X2981" s="6"/>
      <c r="Y2981" s="6"/>
      <c r="Z2981" s="6"/>
    </row>
    <row r="2982" spans="14:26" ht="31.4" customHeight="1" x14ac:dyDescent="0.35">
      <c r="N2982" s="20"/>
      <c r="P2982" s="8"/>
      <c r="Q2982" s="8"/>
      <c r="R2982" s="8"/>
      <c r="S2982" s="8"/>
      <c r="U2982" s="6"/>
      <c r="V2982" s="6"/>
      <c r="W2982" s="6"/>
      <c r="X2982" s="6"/>
      <c r="Y2982" s="6"/>
      <c r="Z2982" s="6"/>
    </row>
    <row r="2983" spans="14:26" ht="31.4" customHeight="1" x14ac:dyDescent="0.35">
      <c r="N2983" s="20"/>
      <c r="P2983" s="8"/>
      <c r="Q2983" s="8"/>
      <c r="R2983" s="8"/>
      <c r="S2983" s="8"/>
      <c r="U2983" s="6"/>
      <c r="V2983" s="6"/>
      <c r="W2983" s="6"/>
      <c r="X2983" s="6"/>
      <c r="Y2983" s="6"/>
      <c r="Z2983" s="6"/>
    </row>
    <row r="2984" spans="14:26" ht="31.4" customHeight="1" x14ac:dyDescent="0.35">
      <c r="N2984" s="20"/>
      <c r="P2984" s="8"/>
      <c r="Q2984" s="8"/>
      <c r="R2984" s="8"/>
      <c r="S2984" s="8"/>
      <c r="U2984" s="6"/>
      <c r="V2984" s="6"/>
      <c r="W2984" s="6"/>
      <c r="X2984" s="6"/>
      <c r="Y2984" s="6"/>
      <c r="Z2984" s="6"/>
    </row>
    <row r="2985" spans="14:26" ht="31.4" customHeight="1" x14ac:dyDescent="0.35">
      <c r="N2985" s="20"/>
      <c r="P2985" s="8"/>
      <c r="Q2985" s="8"/>
      <c r="R2985" s="8"/>
      <c r="S2985" s="8"/>
      <c r="U2985" s="6"/>
      <c r="V2985" s="6"/>
      <c r="W2985" s="6"/>
      <c r="X2985" s="6"/>
      <c r="Y2985" s="6"/>
      <c r="Z2985" s="6"/>
    </row>
    <row r="2986" spans="14:26" ht="31.4" customHeight="1" x14ac:dyDescent="0.35">
      <c r="N2986" s="20"/>
      <c r="P2986" s="8"/>
      <c r="Q2986" s="8"/>
      <c r="R2986" s="8"/>
      <c r="S2986" s="8"/>
      <c r="U2986" s="6"/>
      <c r="V2986" s="6"/>
      <c r="W2986" s="6"/>
      <c r="X2986" s="6"/>
      <c r="Y2986" s="6"/>
      <c r="Z2986" s="6"/>
    </row>
    <row r="2987" spans="14:26" ht="31.4" customHeight="1" x14ac:dyDescent="0.35">
      <c r="N2987" s="20"/>
      <c r="P2987" s="8"/>
      <c r="Q2987" s="8"/>
      <c r="R2987" s="8"/>
      <c r="S2987" s="8"/>
      <c r="U2987" s="6"/>
      <c r="V2987" s="6"/>
      <c r="W2987" s="6"/>
      <c r="X2987" s="6"/>
      <c r="Y2987" s="6"/>
      <c r="Z2987" s="6"/>
    </row>
    <row r="2988" spans="14:26" ht="31.4" customHeight="1" x14ac:dyDescent="0.35">
      <c r="N2988" s="20"/>
      <c r="P2988" s="8"/>
      <c r="Q2988" s="8"/>
      <c r="R2988" s="8"/>
      <c r="S2988" s="8"/>
      <c r="U2988" s="6"/>
      <c r="V2988" s="6"/>
      <c r="W2988" s="6"/>
      <c r="X2988" s="6"/>
      <c r="Y2988" s="6"/>
      <c r="Z2988" s="6"/>
    </row>
    <row r="2989" spans="14:26" ht="31.4" customHeight="1" x14ac:dyDescent="0.35">
      <c r="N2989" s="20"/>
      <c r="P2989" s="8"/>
      <c r="Q2989" s="8"/>
      <c r="R2989" s="8"/>
      <c r="S2989" s="8"/>
      <c r="U2989" s="6"/>
      <c r="V2989" s="6"/>
      <c r="W2989" s="6"/>
      <c r="X2989" s="6"/>
      <c r="Y2989" s="6"/>
      <c r="Z2989" s="6"/>
    </row>
    <row r="2990" spans="14:26" ht="31.4" customHeight="1" x14ac:dyDescent="0.35">
      <c r="N2990" s="20"/>
      <c r="P2990" s="8"/>
      <c r="Q2990" s="8"/>
      <c r="R2990" s="8"/>
      <c r="S2990" s="8"/>
      <c r="U2990" s="6"/>
      <c r="V2990" s="6"/>
      <c r="W2990" s="6"/>
      <c r="X2990" s="6"/>
      <c r="Y2990" s="6"/>
      <c r="Z2990" s="6"/>
    </row>
    <row r="2991" spans="14:26" ht="31.4" customHeight="1" x14ac:dyDescent="0.35">
      <c r="N2991" s="20"/>
      <c r="P2991" s="8"/>
      <c r="Q2991" s="8"/>
      <c r="R2991" s="8"/>
      <c r="S2991" s="8"/>
      <c r="U2991" s="6"/>
      <c r="V2991" s="6"/>
      <c r="W2991" s="6"/>
      <c r="X2991" s="6"/>
      <c r="Y2991" s="6"/>
      <c r="Z2991" s="6"/>
    </row>
    <row r="2992" spans="14:26" ht="31.4" customHeight="1" x14ac:dyDescent="0.35">
      <c r="N2992" s="20"/>
      <c r="P2992" s="8"/>
      <c r="Q2992" s="8"/>
      <c r="R2992" s="8"/>
      <c r="S2992" s="8"/>
      <c r="U2992" s="6"/>
      <c r="V2992" s="6"/>
      <c r="W2992" s="6"/>
      <c r="X2992" s="6"/>
      <c r="Y2992" s="6"/>
      <c r="Z2992" s="6"/>
    </row>
    <row r="2993" spans="14:26" ht="31.4" customHeight="1" x14ac:dyDescent="0.35">
      <c r="N2993" s="20"/>
      <c r="P2993" s="8"/>
      <c r="Q2993" s="8"/>
      <c r="R2993" s="8"/>
      <c r="S2993" s="8"/>
      <c r="U2993" s="6"/>
      <c r="V2993" s="6"/>
      <c r="W2993" s="6"/>
      <c r="X2993" s="6"/>
      <c r="Y2993" s="6"/>
      <c r="Z2993" s="6"/>
    </row>
    <row r="2994" spans="14:26" ht="31.4" customHeight="1" x14ac:dyDescent="0.35">
      <c r="N2994" s="20"/>
      <c r="P2994" s="8"/>
      <c r="Q2994" s="8"/>
      <c r="R2994" s="8"/>
      <c r="S2994" s="8"/>
      <c r="U2994" s="6"/>
      <c r="V2994" s="6"/>
      <c r="W2994" s="6"/>
      <c r="X2994" s="6"/>
      <c r="Y2994" s="6"/>
      <c r="Z2994" s="6"/>
    </row>
    <row r="2995" spans="14:26" ht="31.4" customHeight="1" x14ac:dyDescent="0.35">
      <c r="N2995" s="20"/>
      <c r="P2995" s="8"/>
      <c r="Q2995" s="8"/>
      <c r="R2995" s="8"/>
      <c r="S2995" s="8"/>
      <c r="U2995" s="6"/>
      <c r="V2995" s="6"/>
      <c r="W2995" s="6"/>
      <c r="X2995" s="6"/>
      <c r="Y2995" s="6"/>
      <c r="Z2995" s="6"/>
    </row>
    <row r="2996" spans="14:26" ht="31.4" customHeight="1" x14ac:dyDescent="0.35">
      <c r="N2996" s="20"/>
      <c r="P2996" s="8"/>
      <c r="Q2996" s="8"/>
      <c r="R2996" s="8"/>
      <c r="S2996" s="8"/>
      <c r="U2996" s="6"/>
      <c r="V2996" s="6"/>
      <c r="W2996" s="6"/>
      <c r="X2996" s="6"/>
      <c r="Y2996" s="6"/>
      <c r="Z2996" s="6"/>
    </row>
    <row r="2997" spans="14:26" ht="31.4" customHeight="1" x14ac:dyDescent="0.35">
      <c r="N2997" s="20"/>
      <c r="P2997" s="8"/>
      <c r="Q2997" s="8"/>
      <c r="R2997" s="8"/>
      <c r="S2997" s="8"/>
      <c r="U2997" s="6"/>
      <c r="V2997" s="6"/>
      <c r="W2997" s="6"/>
      <c r="X2997" s="6"/>
      <c r="Y2997" s="6"/>
      <c r="Z2997" s="6"/>
    </row>
    <row r="2998" spans="14:26" ht="31.4" customHeight="1" x14ac:dyDescent="0.35">
      <c r="N2998" s="20"/>
      <c r="P2998" s="8"/>
      <c r="Q2998" s="8"/>
      <c r="R2998" s="8"/>
      <c r="S2998" s="8"/>
      <c r="U2998" s="6"/>
      <c r="V2998" s="6"/>
      <c r="W2998" s="6"/>
      <c r="X2998" s="6"/>
      <c r="Y2998" s="6"/>
      <c r="Z2998" s="6"/>
    </row>
    <row r="2999" spans="14:26" ht="31.4" customHeight="1" x14ac:dyDescent="0.35">
      <c r="N2999" s="20"/>
      <c r="P2999" s="8"/>
      <c r="Q2999" s="8"/>
      <c r="R2999" s="8"/>
      <c r="S2999" s="8"/>
      <c r="U2999" s="6"/>
      <c r="V2999" s="6"/>
      <c r="W2999" s="6"/>
      <c r="X2999" s="6"/>
      <c r="Y2999" s="6"/>
      <c r="Z2999" s="6"/>
    </row>
    <row r="3000" spans="14:26" ht="31.4" customHeight="1" x14ac:dyDescent="0.35">
      <c r="N3000" s="20"/>
      <c r="P3000" s="8"/>
      <c r="Q3000" s="8"/>
      <c r="R3000" s="8"/>
      <c r="S3000" s="8"/>
      <c r="U3000" s="6"/>
      <c r="V3000" s="6"/>
      <c r="W3000" s="6"/>
      <c r="X3000" s="6"/>
      <c r="Y3000" s="6"/>
      <c r="Z3000" s="6"/>
    </row>
    <row r="3001" spans="14:26" ht="31.4" customHeight="1" x14ac:dyDescent="0.35">
      <c r="N3001" s="20"/>
      <c r="P3001" s="8"/>
      <c r="Q3001" s="8"/>
      <c r="R3001" s="8"/>
      <c r="S3001" s="8"/>
      <c r="U3001" s="6"/>
      <c r="V3001" s="6"/>
      <c r="W3001" s="6"/>
      <c r="X3001" s="6"/>
      <c r="Y3001" s="6"/>
      <c r="Z3001" s="6"/>
    </row>
    <row r="3002" spans="14:26" ht="31.4" customHeight="1" x14ac:dyDescent="0.35">
      <c r="N3002" s="20"/>
      <c r="P3002" s="8"/>
      <c r="Q3002" s="8"/>
      <c r="R3002" s="8"/>
      <c r="S3002" s="8"/>
      <c r="U3002" s="6"/>
      <c r="V3002" s="6"/>
      <c r="W3002" s="6"/>
      <c r="X3002" s="6"/>
      <c r="Y3002" s="6"/>
      <c r="Z3002" s="6"/>
    </row>
    <row r="3003" spans="14:26" ht="31.4" customHeight="1" x14ac:dyDescent="0.35">
      <c r="N3003" s="20"/>
      <c r="P3003" s="8"/>
      <c r="Q3003" s="8"/>
      <c r="R3003" s="8"/>
      <c r="S3003" s="8"/>
      <c r="U3003" s="6"/>
      <c r="V3003" s="6"/>
      <c r="W3003" s="6"/>
      <c r="X3003" s="6"/>
      <c r="Y3003" s="6"/>
      <c r="Z3003" s="6"/>
    </row>
    <row r="3004" spans="14:26" ht="31.4" customHeight="1" x14ac:dyDescent="0.35">
      <c r="N3004" s="20"/>
      <c r="P3004" s="8"/>
      <c r="Q3004" s="8"/>
      <c r="R3004" s="8"/>
      <c r="S3004" s="8"/>
      <c r="U3004" s="6"/>
      <c r="V3004" s="6"/>
      <c r="W3004" s="6"/>
      <c r="X3004" s="6"/>
      <c r="Y3004" s="6"/>
      <c r="Z3004" s="6"/>
    </row>
    <row r="3005" spans="14:26" ht="31.4" customHeight="1" x14ac:dyDescent="0.35">
      <c r="N3005" s="20"/>
      <c r="P3005" s="8"/>
      <c r="Q3005" s="8"/>
      <c r="R3005" s="8"/>
      <c r="S3005" s="8"/>
      <c r="U3005" s="6"/>
      <c r="V3005" s="6"/>
      <c r="W3005" s="6"/>
      <c r="X3005" s="6"/>
      <c r="Y3005" s="6"/>
      <c r="Z3005" s="6"/>
    </row>
    <row r="3006" spans="14:26" ht="31.4" customHeight="1" x14ac:dyDescent="0.35">
      <c r="N3006" s="20"/>
      <c r="P3006" s="8"/>
      <c r="Q3006" s="8"/>
      <c r="R3006" s="8"/>
      <c r="S3006" s="8"/>
      <c r="U3006" s="6"/>
      <c r="V3006" s="6"/>
      <c r="W3006" s="6"/>
      <c r="X3006" s="6"/>
      <c r="Y3006" s="6"/>
      <c r="Z3006" s="6"/>
    </row>
    <row r="3007" spans="14:26" ht="31.4" customHeight="1" x14ac:dyDescent="0.35">
      <c r="N3007" s="20"/>
      <c r="P3007" s="8"/>
      <c r="Q3007" s="8"/>
      <c r="R3007" s="8"/>
      <c r="S3007" s="8"/>
      <c r="U3007" s="6"/>
      <c r="V3007" s="6"/>
      <c r="W3007" s="6"/>
      <c r="X3007" s="6"/>
      <c r="Y3007" s="6"/>
      <c r="Z3007" s="6"/>
    </row>
    <row r="3008" spans="14:26" ht="31.4" customHeight="1" x14ac:dyDescent="0.35">
      <c r="N3008" s="20"/>
      <c r="P3008" s="8"/>
      <c r="Q3008" s="8"/>
      <c r="R3008" s="8"/>
      <c r="S3008" s="8"/>
      <c r="U3008" s="6"/>
      <c r="V3008" s="6"/>
      <c r="W3008" s="6"/>
      <c r="X3008" s="6"/>
      <c r="Y3008" s="6"/>
      <c r="Z3008" s="6"/>
    </row>
    <row r="3009" spans="14:26" ht="31.4" customHeight="1" x14ac:dyDescent="0.35">
      <c r="N3009" s="20"/>
      <c r="P3009" s="8"/>
      <c r="Q3009" s="8"/>
      <c r="R3009" s="8"/>
      <c r="S3009" s="8"/>
      <c r="U3009" s="6"/>
      <c r="V3009" s="6"/>
      <c r="W3009" s="6"/>
      <c r="X3009" s="6"/>
      <c r="Y3009" s="6"/>
      <c r="Z3009" s="6"/>
    </row>
    <row r="3010" spans="14:26" ht="31.4" customHeight="1" x14ac:dyDescent="0.35">
      <c r="N3010" s="20"/>
      <c r="P3010" s="8"/>
      <c r="Q3010" s="8"/>
      <c r="R3010" s="8"/>
      <c r="S3010" s="8"/>
      <c r="U3010" s="6"/>
      <c r="V3010" s="6"/>
      <c r="W3010" s="6"/>
      <c r="X3010" s="6"/>
      <c r="Y3010" s="6"/>
      <c r="Z3010" s="6"/>
    </row>
    <row r="3011" spans="14:26" ht="31.4" customHeight="1" x14ac:dyDescent="0.35">
      <c r="N3011" s="20"/>
      <c r="P3011" s="8"/>
      <c r="Q3011" s="8"/>
      <c r="R3011" s="8"/>
      <c r="S3011" s="8"/>
      <c r="U3011" s="6"/>
      <c r="V3011" s="6"/>
      <c r="W3011" s="6"/>
      <c r="X3011" s="6"/>
      <c r="Y3011" s="6"/>
      <c r="Z3011" s="6"/>
    </row>
    <row r="3012" spans="14:26" ht="31.4" customHeight="1" x14ac:dyDescent="0.35">
      <c r="N3012" s="20"/>
      <c r="P3012" s="8"/>
      <c r="Q3012" s="8"/>
      <c r="R3012" s="8"/>
      <c r="S3012" s="8"/>
      <c r="U3012" s="6"/>
      <c r="V3012" s="6"/>
      <c r="W3012" s="6"/>
      <c r="X3012" s="6"/>
      <c r="Y3012" s="6"/>
      <c r="Z3012" s="6"/>
    </row>
    <row r="3013" spans="14:26" ht="31.4" customHeight="1" x14ac:dyDescent="0.35">
      <c r="N3013" s="20"/>
      <c r="P3013" s="8"/>
      <c r="Q3013" s="8"/>
      <c r="R3013" s="8"/>
      <c r="S3013" s="8"/>
      <c r="U3013" s="6"/>
      <c r="V3013" s="6"/>
      <c r="W3013" s="6"/>
      <c r="X3013" s="6"/>
      <c r="Y3013" s="6"/>
      <c r="Z3013" s="6"/>
    </row>
    <row r="3014" spans="14:26" ht="31.4" customHeight="1" x14ac:dyDescent="0.35">
      <c r="N3014" s="20"/>
      <c r="P3014" s="8"/>
      <c r="Q3014" s="8"/>
      <c r="R3014" s="8"/>
      <c r="S3014" s="8"/>
      <c r="U3014" s="6"/>
      <c r="V3014" s="6"/>
      <c r="W3014" s="6"/>
      <c r="X3014" s="6"/>
      <c r="Y3014" s="6"/>
      <c r="Z3014" s="6"/>
    </row>
    <row r="3015" spans="14:26" ht="31.4" customHeight="1" x14ac:dyDescent="0.35">
      <c r="N3015" s="20"/>
      <c r="P3015" s="8"/>
      <c r="Q3015" s="8"/>
      <c r="R3015" s="8"/>
      <c r="S3015" s="8"/>
      <c r="U3015" s="6"/>
      <c r="V3015" s="6"/>
      <c r="W3015" s="6"/>
      <c r="X3015" s="6"/>
      <c r="Y3015" s="6"/>
      <c r="Z3015" s="6"/>
    </row>
    <row r="3016" spans="14:26" ht="31.4" customHeight="1" x14ac:dyDescent="0.35">
      <c r="N3016" s="20"/>
      <c r="P3016" s="8"/>
      <c r="Q3016" s="8"/>
      <c r="R3016" s="8"/>
      <c r="S3016" s="8"/>
      <c r="U3016" s="6"/>
      <c r="V3016" s="6"/>
      <c r="W3016" s="6"/>
      <c r="X3016" s="6"/>
      <c r="Y3016" s="6"/>
      <c r="Z3016" s="6"/>
    </row>
    <row r="3017" spans="14:26" ht="31.4" customHeight="1" x14ac:dyDescent="0.35">
      <c r="N3017" s="20"/>
      <c r="P3017" s="8"/>
      <c r="Q3017" s="8"/>
      <c r="R3017" s="8"/>
      <c r="S3017" s="8"/>
      <c r="U3017" s="6"/>
      <c r="V3017" s="6"/>
      <c r="W3017" s="6"/>
      <c r="X3017" s="6"/>
      <c r="Y3017" s="6"/>
      <c r="Z3017" s="6"/>
    </row>
    <row r="3018" spans="14:26" ht="31.4" customHeight="1" x14ac:dyDescent="0.35">
      <c r="N3018" s="20"/>
      <c r="P3018" s="8"/>
      <c r="Q3018" s="8"/>
      <c r="R3018" s="8"/>
      <c r="S3018" s="8"/>
      <c r="U3018" s="6"/>
      <c r="V3018" s="6"/>
      <c r="W3018" s="6"/>
      <c r="X3018" s="6"/>
      <c r="Y3018" s="6"/>
      <c r="Z3018" s="6"/>
    </row>
    <row r="3019" spans="14:26" ht="31.4" customHeight="1" x14ac:dyDescent="0.35">
      <c r="N3019" s="20"/>
      <c r="P3019" s="8"/>
      <c r="Q3019" s="8"/>
      <c r="R3019" s="8"/>
      <c r="S3019" s="8"/>
      <c r="U3019" s="6"/>
      <c r="V3019" s="6"/>
      <c r="W3019" s="6"/>
      <c r="X3019" s="6"/>
      <c r="Y3019" s="6"/>
      <c r="Z3019" s="6"/>
    </row>
    <row r="3020" spans="14:26" ht="31.4" customHeight="1" x14ac:dyDescent="0.35">
      <c r="N3020" s="20"/>
      <c r="P3020" s="8"/>
      <c r="Q3020" s="8"/>
      <c r="R3020" s="8"/>
      <c r="S3020" s="8"/>
      <c r="U3020" s="6"/>
      <c r="V3020" s="6"/>
      <c r="W3020" s="6"/>
      <c r="X3020" s="6"/>
      <c r="Y3020" s="6"/>
      <c r="Z3020" s="6"/>
    </row>
    <row r="3021" spans="14:26" ht="31.4" customHeight="1" x14ac:dyDescent="0.35">
      <c r="N3021" s="20"/>
      <c r="P3021" s="8"/>
      <c r="Q3021" s="8"/>
      <c r="R3021" s="8"/>
      <c r="S3021" s="8"/>
      <c r="U3021" s="6"/>
      <c r="V3021" s="6"/>
      <c r="W3021" s="6"/>
      <c r="X3021" s="6"/>
      <c r="Y3021" s="6"/>
      <c r="Z3021" s="6"/>
    </row>
    <row r="3022" spans="14:26" ht="31.4" customHeight="1" x14ac:dyDescent="0.35">
      <c r="N3022" s="20"/>
      <c r="P3022" s="8"/>
      <c r="Q3022" s="8"/>
      <c r="R3022" s="8"/>
      <c r="S3022" s="8"/>
      <c r="U3022" s="6"/>
      <c r="V3022" s="6"/>
      <c r="W3022" s="6"/>
      <c r="X3022" s="6"/>
      <c r="Y3022" s="6"/>
      <c r="Z3022" s="6"/>
    </row>
    <row r="3023" spans="14:26" ht="31.4" customHeight="1" x14ac:dyDescent="0.35">
      <c r="N3023" s="20"/>
      <c r="P3023" s="8"/>
      <c r="Q3023" s="8"/>
      <c r="R3023" s="8"/>
      <c r="S3023" s="8"/>
      <c r="U3023" s="6"/>
      <c r="V3023" s="6"/>
      <c r="W3023" s="6"/>
      <c r="X3023" s="6"/>
      <c r="Y3023" s="6"/>
      <c r="Z3023" s="6"/>
    </row>
    <row r="3024" spans="14:26" ht="31.4" customHeight="1" x14ac:dyDescent="0.35">
      <c r="N3024" s="20"/>
      <c r="P3024" s="8"/>
      <c r="Q3024" s="8"/>
      <c r="R3024" s="8"/>
      <c r="S3024" s="8"/>
      <c r="U3024" s="6"/>
      <c r="V3024" s="6"/>
      <c r="W3024" s="6"/>
      <c r="X3024" s="6"/>
      <c r="Y3024" s="6"/>
      <c r="Z3024" s="6"/>
    </row>
    <row r="3025" spans="14:26" ht="31.4" customHeight="1" x14ac:dyDescent="0.35">
      <c r="N3025" s="20"/>
      <c r="P3025" s="8"/>
      <c r="Q3025" s="8"/>
      <c r="R3025" s="8"/>
      <c r="S3025" s="8"/>
      <c r="U3025" s="6"/>
      <c r="V3025" s="6"/>
      <c r="W3025" s="6"/>
      <c r="X3025" s="6"/>
      <c r="Y3025" s="6"/>
      <c r="Z3025" s="6"/>
    </row>
    <row r="3026" spans="14:26" ht="31.4" customHeight="1" x14ac:dyDescent="0.35">
      <c r="N3026" s="20"/>
      <c r="P3026" s="8"/>
      <c r="Q3026" s="8"/>
      <c r="R3026" s="8"/>
      <c r="S3026" s="8"/>
      <c r="U3026" s="6"/>
      <c r="V3026" s="6"/>
      <c r="W3026" s="6"/>
      <c r="X3026" s="6"/>
      <c r="Y3026" s="6"/>
      <c r="Z3026" s="6"/>
    </row>
    <row r="3027" spans="14:26" ht="31.4" customHeight="1" x14ac:dyDescent="0.35">
      <c r="N3027" s="20"/>
      <c r="P3027" s="8"/>
      <c r="Q3027" s="8"/>
      <c r="R3027" s="8"/>
      <c r="S3027" s="8"/>
      <c r="U3027" s="6"/>
      <c r="V3027" s="6"/>
      <c r="W3027" s="6"/>
      <c r="X3027" s="6"/>
      <c r="Y3027" s="6"/>
      <c r="Z3027" s="6"/>
    </row>
    <row r="3028" spans="14:26" ht="31.4" customHeight="1" x14ac:dyDescent="0.35">
      <c r="N3028" s="20"/>
      <c r="P3028" s="8"/>
      <c r="Q3028" s="8"/>
      <c r="R3028" s="8"/>
      <c r="S3028" s="8"/>
      <c r="U3028" s="6"/>
      <c r="V3028" s="6"/>
      <c r="W3028" s="6"/>
      <c r="X3028" s="6"/>
      <c r="Y3028" s="6"/>
      <c r="Z3028" s="6"/>
    </row>
    <row r="3029" spans="14:26" ht="31.4" customHeight="1" x14ac:dyDescent="0.35">
      <c r="N3029" s="20"/>
      <c r="P3029" s="8"/>
      <c r="Q3029" s="8"/>
      <c r="R3029" s="8"/>
      <c r="S3029" s="8"/>
      <c r="U3029" s="6"/>
      <c r="V3029" s="6"/>
      <c r="W3029" s="6"/>
      <c r="X3029" s="6"/>
      <c r="Y3029" s="6"/>
      <c r="Z3029" s="6"/>
    </row>
    <row r="3030" spans="14:26" ht="31.4" customHeight="1" x14ac:dyDescent="0.35">
      <c r="N3030" s="20"/>
      <c r="P3030" s="8"/>
      <c r="Q3030" s="8"/>
      <c r="R3030" s="8"/>
      <c r="S3030" s="8"/>
      <c r="U3030" s="6"/>
      <c r="V3030" s="6"/>
      <c r="W3030" s="6"/>
      <c r="X3030" s="6"/>
      <c r="Y3030" s="6"/>
      <c r="Z3030" s="6"/>
    </row>
    <row r="3031" spans="14:26" ht="31.4" customHeight="1" x14ac:dyDescent="0.35">
      <c r="N3031" s="20"/>
      <c r="P3031" s="8"/>
      <c r="Q3031" s="8"/>
      <c r="R3031" s="8"/>
      <c r="S3031" s="8"/>
      <c r="U3031" s="6"/>
      <c r="V3031" s="6"/>
      <c r="W3031" s="6"/>
      <c r="X3031" s="6"/>
      <c r="Y3031" s="6"/>
      <c r="Z3031" s="6"/>
    </row>
    <row r="3032" spans="14:26" ht="31.4" customHeight="1" x14ac:dyDescent="0.35">
      <c r="N3032" s="20"/>
      <c r="P3032" s="8"/>
      <c r="Q3032" s="8"/>
      <c r="R3032" s="8"/>
      <c r="S3032" s="8"/>
      <c r="U3032" s="6"/>
      <c r="V3032" s="6"/>
      <c r="W3032" s="6"/>
      <c r="X3032" s="6"/>
      <c r="Y3032" s="6"/>
      <c r="Z3032" s="6"/>
    </row>
    <row r="3033" spans="14:26" ht="31.4" customHeight="1" x14ac:dyDescent="0.35">
      <c r="N3033" s="20"/>
      <c r="P3033" s="8"/>
      <c r="Q3033" s="8"/>
      <c r="R3033" s="8"/>
      <c r="S3033" s="8"/>
      <c r="U3033" s="6"/>
      <c r="V3033" s="6"/>
      <c r="W3033" s="6"/>
      <c r="X3033" s="6"/>
      <c r="Y3033" s="6"/>
      <c r="Z3033" s="6"/>
    </row>
    <row r="3034" spans="14:26" ht="31.4" customHeight="1" x14ac:dyDescent="0.35">
      <c r="N3034" s="20"/>
      <c r="P3034" s="8"/>
      <c r="Q3034" s="8"/>
      <c r="R3034" s="8"/>
      <c r="S3034" s="8"/>
      <c r="U3034" s="6"/>
      <c r="V3034" s="6"/>
      <c r="W3034" s="6"/>
      <c r="X3034" s="6"/>
      <c r="Y3034" s="6"/>
      <c r="Z3034" s="6"/>
    </row>
    <row r="3035" spans="14:26" ht="31.4" customHeight="1" x14ac:dyDescent="0.35">
      <c r="N3035" s="20"/>
      <c r="P3035" s="8"/>
      <c r="Q3035" s="8"/>
      <c r="R3035" s="8"/>
      <c r="S3035" s="8"/>
      <c r="U3035" s="6"/>
      <c r="V3035" s="6"/>
      <c r="W3035" s="6"/>
      <c r="X3035" s="6"/>
      <c r="Y3035" s="6"/>
      <c r="Z3035" s="6"/>
    </row>
    <row r="3036" spans="14:26" ht="31.4" customHeight="1" x14ac:dyDescent="0.35">
      <c r="N3036" s="20"/>
      <c r="P3036" s="8"/>
      <c r="Q3036" s="8"/>
      <c r="R3036" s="8"/>
      <c r="S3036" s="8"/>
      <c r="U3036" s="6"/>
      <c r="V3036" s="6"/>
      <c r="W3036" s="6"/>
      <c r="X3036" s="6"/>
      <c r="Y3036" s="6"/>
      <c r="Z3036" s="6"/>
    </row>
    <row r="3037" spans="14:26" ht="31.4" customHeight="1" x14ac:dyDescent="0.35">
      <c r="N3037" s="20"/>
      <c r="P3037" s="8"/>
      <c r="Q3037" s="8"/>
      <c r="R3037" s="8"/>
      <c r="S3037" s="8"/>
      <c r="U3037" s="6"/>
      <c r="V3037" s="6"/>
      <c r="W3037" s="6"/>
      <c r="X3037" s="6"/>
      <c r="Y3037" s="6"/>
      <c r="Z3037" s="6"/>
    </row>
    <row r="3038" spans="14:26" ht="31.4" customHeight="1" x14ac:dyDescent="0.35">
      <c r="N3038" s="20"/>
      <c r="P3038" s="8"/>
      <c r="Q3038" s="8"/>
      <c r="R3038" s="8"/>
      <c r="S3038" s="8"/>
      <c r="U3038" s="6"/>
      <c r="V3038" s="6"/>
      <c r="W3038" s="6"/>
      <c r="X3038" s="6"/>
      <c r="Y3038" s="6"/>
      <c r="Z3038" s="6"/>
    </row>
    <row r="3039" spans="14:26" ht="31.4" customHeight="1" x14ac:dyDescent="0.35">
      <c r="N3039" s="20"/>
      <c r="P3039" s="8"/>
      <c r="Q3039" s="8"/>
      <c r="R3039" s="8"/>
      <c r="S3039" s="8"/>
      <c r="U3039" s="6"/>
      <c r="V3039" s="6"/>
      <c r="W3039" s="6"/>
      <c r="X3039" s="6"/>
      <c r="Y3039" s="6"/>
      <c r="Z3039" s="6"/>
    </row>
    <row r="3040" spans="14:26" ht="31.4" customHeight="1" x14ac:dyDescent="0.35">
      <c r="N3040" s="20"/>
      <c r="P3040" s="8"/>
      <c r="Q3040" s="8"/>
      <c r="R3040" s="8"/>
      <c r="S3040" s="8"/>
      <c r="U3040" s="6"/>
      <c r="V3040" s="6"/>
      <c r="W3040" s="6"/>
      <c r="X3040" s="6"/>
      <c r="Y3040" s="6"/>
      <c r="Z3040" s="6"/>
    </row>
    <row r="3041" spans="14:26" ht="31.4" customHeight="1" x14ac:dyDescent="0.35">
      <c r="N3041" s="20"/>
      <c r="P3041" s="8"/>
      <c r="Q3041" s="8"/>
      <c r="R3041" s="8"/>
      <c r="S3041" s="8"/>
      <c r="U3041" s="6"/>
      <c r="V3041" s="6"/>
      <c r="W3041" s="6"/>
      <c r="X3041" s="6"/>
      <c r="Y3041" s="6"/>
      <c r="Z3041" s="6"/>
    </row>
    <row r="3042" spans="14:26" ht="31.4" customHeight="1" x14ac:dyDescent="0.35">
      <c r="N3042" s="20"/>
      <c r="P3042" s="8"/>
      <c r="Q3042" s="8"/>
      <c r="R3042" s="8"/>
      <c r="S3042" s="8"/>
      <c r="U3042" s="6"/>
      <c r="V3042" s="6"/>
      <c r="W3042" s="6"/>
      <c r="X3042" s="6"/>
      <c r="Y3042" s="6"/>
      <c r="Z3042" s="6"/>
    </row>
    <row r="3043" spans="14:26" ht="31.4" customHeight="1" x14ac:dyDescent="0.35">
      <c r="N3043" s="20"/>
      <c r="P3043" s="8"/>
      <c r="Q3043" s="8"/>
      <c r="R3043" s="8"/>
      <c r="S3043" s="8"/>
      <c r="U3043" s="6"/>
      <c r="V3043" s="6"/>
      <c r="W3043" s="6"/>
      <c r="X3043" s="6"/>
      <c r="Y3043" s="6"/>
      <c r="Z3043" s="6"/>
    </row>
    <row r="3044" spans="14:26" ht="31.4" customHeight="1" x14ac:dyDescent="0.35">
      <c r="N3044" s="20"/>
      <c r="P3044" s="8"/>
      <c r="Q3044" s="8"/>
      <c r="R3044" s="8"/>
      <c r="S3044" s="8"/>
      <c r="U3044" s="6"/>
      <c r="V3044" s="6"/>
      <c r="W3044" s="6"/>
      <c r="X3044" s="6"/>
      <c r="Y3044" s="6"/>
      <c r="Z3044" s="6"/>
    </row>
    <row r="3045" spans="14:26" ht="31.4" customHeight="1" x14ac:dyDescent="0.35">
      <c r="N3045" s="20"/>
      <c r="P3045" s="8"/>
      <c r="Q3045" s="8"/>
      <c r="R3045" s="8"/>
      <c r="S3045" s="8"/>
      <c r="U3045" s="6"/>
      <c r="V3045" s="6"/>
      <c r="W3045" s="6"/>
      <c r="X3045" s="6"/>
      <c r="Y3045" s="6"/>
      <c r="Z3045" s="6"/>
    </row>
    <row r="3046" spans="14:26" ht="31.4" customHeight="1" x14ac:dyDescent="0.35">
      <c r="N3046" s="20"/>
      <c r="P3046" s="8"/>
      <c r="Q3046" s="8"/>
      <c r="R3046" s="8"/>
      <c r="S3046" s="8"/>
      <c r="U3046" s="6"/>
      <c r="V3046" s="6"/>
      <c r="W3046" s="6"/>
      <c r="X3046" s="6"/>
      <c r="Y3046" s="6"/>
      <c r="Z3046" s="6"/>
    </row>
    <row r="3047" spans="14:26" ht="31.4" customHeight="1" x14ac:dyDescent="0.35">
      <c r="N3047" s="20"/>
      <c r="P3047" s="8"/>
      <c r="Q3047" s="8"/>
      <c r="R3047" s="8"/>
      <c r="S3047" s="8"/>
      <c r="U3047" s="6"/>
      <c r="V3047" s="6"/>
      <c r="W3047" s="6"/>
      <c r="X3047" s="6"/>
      <c r="Y3047" s="6"/>
      <c r="Z3047" s="6"/>
    </row>
    <row r="3048" spans="14:26" ht="31.4" customHeight="1" x14ac:dyDescent="0.35">
      <c r="N3048" s="20"/>
      <c r="P3048" s="8"/>
      <c r="Q3048" s="8"/>
      <c r="R3048" s="8"/>
      <c r="S3048" s="8"/>
      <c r="U3048" s="6"/>
      <c r="V3048" s="6"/>
      <c r="W3048" s="6"/>
      <c r="X3048" s="6"/>
      <c r="Y3048" s="6"/>
      <c r="Z3048" s="6"/>
    </row>
    <row r="3049" spans="14:26" ht="31.4" customHeight="1" x14ac:dyDescent="0.35">
      <c r="N3049" s="20"/>
      <c r="P3049" s="8"/>
      <c r="Q3049" s="8"/>
      <c r="R3049" s="8"/>
      <c r="S3049" s="8"/>
      <c r="U3049" s="6"/>
      <c r="V3049" s="6"/>
      <c r="W3049" s="6"/>
      <c r="X3049" s="6"/>
      <c r="Y3049" s="6"/>
      <c r="Z3049" s="6"/>
    </row>
    <row r="3050" spans="14:26" ht="31.4" customHeight="1" x14ac:dyDescent="0.35">
      <c r="N3050" s="20"/>
      <c r="P3050" s="8"/>
      <c r="Q3050" s="8"/>
      <c r="R3050" s="8"/>
      <c r="S3050" s="8"/>
      <c r="U3050" s="6"/>
      <c r="V3050" s="6"/>
      <c r="W3050" s="6"/>
      <c r="X3050" s="6"/>
      <c r="Y3050" s="6"/>
      <c r="Z3050" s="6"/>
    </row>
    <row r="3051" spans="14:26" ht="31.4" customHeight="1" x14ac:dyDescent="0.35">
      <c r="N3051" s="20"/>
      <c r="P3051" s="8"/>
      <c r="Q3051" s="8"/>
      <c r="R3051" s="8"/>
      <c r="S3051" s="8"/>
      <c r="U3051" s="6"/>
      <c r="V3051" s="6"/>
      <c r="W3051" s="6"/>
      <c r="X3051" s="6"/>
      <c r="Y3051" s="6"/>
      <c r="Z3051" s="6"/>
    </row>
    <row r="3052" spans="14:26" ht="31.4" customHeight="1" x14ac:dyDescent="0.35">
      <c r="N3052" s="20"/>
      <c r="P3052" s="8"/>
      <c r="Q3052" s="8"/>
      <c r="R3052" s="8"/>
      <c r="S3052" s="8"/>
      <c r="U3052" s="6"/>
      <c r="V3052" s="6"/>
      <c r="W3052" s="6"/>
      <c r="X3052" s="6"/>
      <c r="Y3052" s="6"/>
      <c r="Z3052" s="6"/>
    </row>
    <row r="3053" spans="14:26" ht="31.4" customHeight="1" x14ac:dyDescent="0.35">
      <c r="N3053" s="20"/>
      <c r="P3053" s="8"/>
      <c r="Q3053" s="8"/>
      <c r="R3053" s="8"/>
      <c r="S3053" s="8"/>
      <c r="U3053" s="6"/>
      <c r="V3053" s="6"/>
      <c r="W3053" s="6"/>
      <c r="X3053" s="6"/>
      <c r="Y3053" s="6"/>
      <c r="Z3053" s="6"/>
    </row>
    <row r="3054" spans="14:26" ht="31.4" customHeight="1" x14ac:dyDescent="0.35">
      <c r="N3054" s="20"/>
      <c r="P3054" s="8"/>
      <c r="Q3054" s="8"/>
      <c r="R3054" s="8"/>
      <c r="S3054" s="8"/>
      <c r="U3054" s="6"/>
      <c r="V3054" s="6"/>
      <c r="W3054" s="6"/>
      <c r="X3054" s="6"/>
      <c r="Y3054" s="6"/>
      <c r="Z3054" s="6"/>
    </row>
    <row r="3055" spans="14:26" ht="31.4" customHeight="1" x14ac:dyDescent="0.35">
      <c r="N3055" s="20"/>
      <c r="P3055" s="8"/>
      <c r="Q3055" s="8"/>
      <c r="R3055" s="8"/>
      <c r="S3055" s="8"/>
      <c r="U3055" s="6"/>
      <c r="V3055" s="6"/>
      <c r="W3055" s="6"/>
      <c r="X3055" s="6"/>
      <c r="Y3055" s="6"/>
      <c r="Z3055" s="6"/>
    </row>
    <row r="3056" spans="14:26" ht="31.4" customHeight="1" x14ac:dyDescent="0.35">
      <c r="N3056" s="20"/>
      <c r="P3056" s="8"/>
      <c r="Q3056" s="8"/>
      <c r="R3056" s="8"/>
      <c r="S3056" s="8"/>
      <c r="U3056" s="6"/>
      <c r="V3056" s="6"/>
      <c r="W3056" s="6"/>
      <c r="X3056" s="6"/>
      <c r="Y3056" s="6"/>
      <c r="Z3056" s="6"/>
    </row>
    <row r="3057" spans="14:26" ht="31.4" customHeight="1" x14ac:dyDescent="0.35">
      <c r="N3057" s="20"/>
      <c r="P3057" s="8"/>
      <c r="Q3057" s="8"/>
      <c r="R3057" s="8"/>
      <c r="S3057" s="8"/>
      <c r="U3057" s="6"/>
      <c r="V3057" s="6"/>
      <c r="W3057" s="6"/>
      <c r="X3057" s="6"/>
      <c r="Y3057" s="6"/>
      <c r="Z3057" s="6"/>
    </row>
    <row r="3058" spans="14:26" ht="31.4" customHeight="1" x14ac:dyDescent="0.35">
      <c r="N3058" s="20"/>
      <c r="P3058" s="8"/>
      <c r="Q3058" s="8"/>
      <c r="R3058" s="8"/>
      <c r="S3058" s="8"/>
      <c r="U3058" s="6"/>
      <c r="V3058" s="6"/>
      <c r="W3058" s="6"/>
      <c r="X3058" s="6"/>
      <c r="Y3058" s="6"/>
      <c r="Z3058" s="6"/>
    </row>
    <row r="3059" spans="14:26" ht="31.4" customHeight="1" x14ac:dyDescent="0.35">
      <c r="N3059" s="20"/>
      <c r="P3059" s="8"/>
      <c r="Q3059" s="8"/>
      <c r="R3059" s="8"/>
      <c r="S3059" s="8"/>
      <c r="U3059" s="6"/>
      <c r="V3059" s="6"/>
      <c r="W3059" s="6"/>
      <c r="X3059" s="6"/>
      <c r="Y3059" s="6"/>
      <c r="Z3059" s="6"/>
    </row>
    <row r="3060" spans="14:26" ht="31.4" customHeight="1" x14ac:dyDescent="0.35">
      <c r="N3060" s="20"/>
      <c r="P3060" s="8"/>
      <c r="Q3060" s="8"/>
      <c r="R3060" s="8"/>
      <c r="S3060" s="8"/>
      <c r="U3060" s="6"/>
      <c r="V3060" s="6"/>
      <c r="W3060" s="6"/>
      <c r="X3060" s="6"/>
      <c r="Y3060" s="6"/>
      <c r="Z3060" s="6"/>
    </row>
    <row r="3061" spans="14:26" ht="31.4" customHeight="1" x14ac:dyDescent="0.35">
      <c r="N3061" s="20"/>
      <c r="P3061" s="8"/>
      <c r="Q3061" s="8"/>
      <c r="R3061" s="8"/>
      <c r="S3061" s="8"/>
      <c r="U3061" s="6"/>
      <c r="V3061" s="6"/>
      <c r="W3061" s="6"/>
      <c r="X3061" s="6"/>
      <c r="Y3061" s="6"/>
      <c r="Z3061" s="6"/>
    </row>
    <row r="3062" spans="14:26" ht="31.4" customHeight="1" x14ac:dyDescent="0.35">
      <c r="N3062" s="20"/>
      <c r="P3062" s="8"/>
      <c r="Q3062" s="8"/>
      <c r="R3062" s="8"/>
      <c r="S3062" s="8"/>
      <c r="U3062" s="6"/>
      <c r="V3062" s="6"/>
      <c r="W3062" s="6"/>
      <c r="X3062" s="6"/>
      <c r="Y3062" s="6"/>
      <c r="Z3062" s="6"/>
    </row>
    <row r="3063" spans="14:26" ht="31.4" customHeight="1" x14ac:dyDescent="0.35">
      <c r="N3063" s="20"/>
      <c r="P3063" s="8"/>
      <c r="Q3063" s="8"/>
      <c r="R3063" s="8"/>
      <c r="S3063" s="8"/>
      <c r="U3063" s="6"/>
      <c r="V3063" s="6"/>
      <c r="W3063" s="6"/>
      <c r="X3063" s="6"/>
      <c r="Y3063" s="6"/>
      <c r="Z3063" s="6"/>
    </row>
    <row r="3064" spans="14:26" ht="31.4" customHeight="1" x14ac:dyDescent="0.35">
      <c r="N3064" s="20"/>
      <c r="P3064" s="8"/>
      <c r="Q3064" s="8"/>
      <c r="R3064" s="8"/>
      <c r="S3064" s="8"/>
      <c r="U3064" s="6"/>
      <c r="V3064" s="6"/>
      <c r="W3064" s="6"/>
      <c r="X3064" s="6"/>
      <c r="Y3064" s="6"/>
      <c r="Z3064" s="6"/>
    </row>
    <row r="3065" spans="14:26" ht="31.4" customHeight="1" x14ac:dyDescent="0.35">
      <c r="N3065" s="20"/>
      <c r="P3065" s="8"/>
      <c r="Q3065" s="8"/>
      <c r="R3065" s="8"/>
      <c r="S3065" s="8"/>
      <c r="U3065" s="6"/>
      <c r="V3065" s="6"/>
      <c r="W3065" s="6"/>
      <c r="X3065" s="6"/>
      <c r="Y3065" s="6"/>
      <c r="Z3065" s="6"/>
    </row>
    <row r="3066" spans="14:26" ht="31.4" customHeight="1" x14ac:dyDescent="0.35">
      <c r="N3066" s="20"/>
      <c r="P3066" s="8"/>
      <c r="Q3066" s="8"/>
      <c r="R3066" s="8"/>
      <c r="S3066" s="8"/>
      <c r="U3066" s="6"/>
      <c r="V3066" s="6"/>
      <c r="W3066" s="6"/>
      <c r="X3066" s="6"/>
      <c r="Y3066" s="6"/>
      <c r="Z3066" s="6"/>
    </row>
    <row r="3067" spans="14:26" ht="31.4" customHeight="1" x14ac:dyDescent="0.35">
      <c r="N3067" s="20"/>
      <c r="P3067" s="8"/>
      <c r="Q3067" s="8"/>
      <c r="R3067" s="8"/>
      <c r="S3067" s="8"/>
      <c r="U3067" s="6"/>
      <c r="V3067" s="6"/>
      <c r="W3067" s="6"/>
      <c r="X3067" s="6"/>
      <c r="Y3067" s="6"/>
      <c r="Z3067" s="6"/>
    </row>
    <row r="3068" spans="14:26" ht="31.4" customHeight="1" x14ac:dyDescent="0.35">
      <c r="N3068" s="20"/>
      <c r="P3068" s="8"/>
      <c r="Q3068" s="8"/>
      <c r="R3068" s="8"/>
      <c r="S3068" s="8"/>
      <c r="U3068" s="6"/>
      <c r="V3068" s="6"/>
      <c r="W3068" s="6"/>
      <c r="X3068" s="6"/>
      <c r="Y3068" s="6"/>
      <c r="Z3068" s="6"/>
    </row>
    <row r="3069" spans="14:26" ht="31.4" customHeight="1" x14ac:dyDescent="0.35">
      <c r="N3069" s="20"/>
      <c r="P3069" s="8"/>
      <c r="Q3069" s="8"/>
      <c r="R3069" s="8"/>
      <c r="S3069" s="8"/>
      <c r="U3069" s="6"/>
      <c r="V3069" s="6"/>
      <c r="W3069" s="6"/>
      <c r="X3069" s="6"/>
      <c r="Y3069" s="6"/>
      <c r="Z3069" s="6"/>
    </row>
    <row r="3070" spans="14:26" ht="31.4" customHeight="1" x14ac:dyDescent="0.35">
      <c r="N3070" s="20"/>
      <c r="P3070" s="8"/>
      <c r="Q3070" s="8"/>
      <c r="R3070" s="8"/>
      <c r="S3070" s="8"/>
      <c r="U3070" s="6"/>
      <c r="V3070" s="6"/>
      <c r="W3070" s="6"/>
      <c r="X3070" s="6"/>
      <c r="Y3070" s="6"/>
      <c r="Z3070" s="6"/>
    </row>
    <row r="3071" spans="14:26" ht="31.4" customHeight="1" x14ac:dyDescent="0.35">
      <c r="N3071" s="20"/>
      <c r="P3071" s="8"/>
      <c r="Q3071" s="8"/>
      <c r="R3071" s="8"/>
      <c r="S3071" s="8"/>
      <c r="U3071" s="6"/>
      <c r="V3071" s="6"/>
      <c r="W3071" s="6"/>
      <c r="X3071" s="6"/>
      <c r="Y3071" s="6"/>
      <c r="Z3071" s="6"/>
    </row>
    <row r="3072" spans="14:26" ht="31.4" customHeight="1" x14ac:dyDescent="0.35">
      <c r="N3072" s="20"/>
      <c r="P3072" s="8"/>
      <c r="Q3072" s="8"/>
      <c r="R3072" s="8"/>
      <c r="S3072" s="8"/>
      <c r="U3072" s="6"/>
      <c r="V3072" s="6"/>
      <c r="W3072" s="6"/>
      <c r="X3072" s="6"/>
      <c r="Y3072" s="6"/>
      <c r="Z3072" s="6"/>
    </row>
    <row r="3073" spans="14:26" ht="31.4" customHeight="1" x14ac:dyDescent="0.35">
      <c r="N3073" s="20"/>
      <c r="P3073" s="8"/>
      <c r="Q3073" s="8"/>
      <c r="R3073" s="8"/>
      <c r="S3073" s="8"/>
      <c r="U3073" s="6"/>
      <c r="V3073" s="6"/>
      <c r="W3073" s="6"/>
      <c r="X3073" s="6"/>
      <c r="Y3073" s="6"/>
      <c r="Z3073" s="6"/>
    </row>
    <row r="3074" spans="14:26" ht="31.4" customHeight="1" x14ac:dyDescent="0.35">
      <c r="N3074" s="20"/>
      <c r="P3074" s="8"/>
      <c r="Q3074" s="8"/>
      <c r="R3074" s="8"/>
      <c r="S3074" s="8"/>
      <c r="U3074" s="6"/>
      <c r="V3074" s="6"/>
      <c r="W3074" s="6"/>
      <c r="X3074" s="6"/>
      <c r="Y3074" s="6"/>
      <c r="Z3074" s="6"/>
    </row>
    <row r="3075" spans="14:26" ht="31.4" customHeight="1" x14ac:dyDescent="0.35">
      <c r="N3075" s="20"/>
      <c r="P3075" s="8"/>
      <c r="Q3075" s="8"/>
      <c r="R3075" s="8"/>
      <c r="S3075" s="8"/>
      <c r="U3075" s="6"/>
      <c r="V3075" s="6"/>
      <c r="W3075" s="6"/>
      <c r="X3075" s="6"/>
      <c r="Y3075" s="6"/>
      <c r="Z3075" s="6"/>
    </row>
    <row r="3076" spans="14:26" ht="31.4" customHeight="1" x14ac:dyDescent="0.35">
      <c r="N3076" s="20"/>
      <c r="P3076" s="8"/>
      <c r="Q3076" s="8"/>
      <c r="R3076" s="8"/>
      <c r="S3076" s="8"/>
      <c r="U3076" s="6"/>
      <c r="V3076" s="6"/>
      <c r="W3076" s="6"/>
      <c r="X3076" s="6"/>
      <c r="Y3076" s="6"/>
      <c r="Z3076" s="6"/>
    </row>
    <row r="3077" spans="14:26" ht="31.4" customHeight="1" x14ac:dyDescent="0.35">
      <c r="N3077" s="20"/>
      <c r="P3077" s="8"/>
      <c r="Q3077" s="8"/>
      <c r="R3077" s="8"/>
      <c r="S3077" s="8"/>
      <c r="U3077" s="6"/>
      <c r="V3077" s="6"/>
      <c r="W3077" s="6"/>
      <c r="X3077" s="6"/>
      <c r="Y3077" s="6"/>
      <c r="Z3077" s="6"/>
    </row>
    <row r="3078" spans="14:26" ht="31.4" customHeight="1" x14ac:dyDescent="0.35">
      <c r="N3078" s="20"/>
      <c r="P3078" s="8"/>
      <c r="Q3078" s="8"/>
      <c r="R3078" s="8"/>
      <c r="S3078" s="8"/>
      <c r="U3078" s="6"/>
      <c r="V3078" s="6"/>
      <c r="W3078" s="6"/>
      <c r="X3078" s="6"/>
      <c r="Y3078" s="6"/>
      <c r="Z3078" s="6"/>
    </row>
    <row r="3079" spans="14:26" ht="31.4" customHeight="1" x14ac:dyDescent="0.35">
      <c r="N3079" s="20"/>
      <c r="P3079" s="8"/>
      <c r="Q3079" s="8"/>
      <c r="R3079" s="8"/>
      <c r="S3079" s="8"/>
      <c r="U3079" s="6"/>
      <c r="V3079" s="6"/>
      <c r="W3079" s="6"/>
      <c r="X3079" s="6"/>
      <c r="Y3079" s="6"/>
      <c r="Z3079" s="6"/>
    </row>
    <row r="3080" spans="14:26" ht="31.4" customHeight="1" x14ac:dyDescent="0.35">
      <c r="N3080" s="20"/>
      <c r="P3080" s="8"/>
      <c r="Q3080" s="8"/>
      <c r="R3080" s="8"/>
      <c r="S3080" s="8"/>
      <c r="U3080" s="6"/>
      <c r="V3080" s="6"/>
      <c r="W3080" s="6"/>
      <c r="X3080" s="6"/>
      <c r="Y3080" s="6"/>
      <c r="Z3080" s="6"/>
    </row>
    <row r="3081" spans="14:26" ht="31.4" customHeight="1" x14ac:dyDescent="0.35">
      <c r="N3081" s="20"/>
      <c r="P3081" s="8"/>
      <c r="Q3081" s="8"/>
      <c r="R3081" s="8"/>
      <c r="S3081" s="8"/>
      <c r="U3081" s="6"/>
      <c r="V3081" s="6"/>
      <c r="W3081" s="6"/>
      <c r="X3081" s="6"/>
      <c r="Y3081" s="6"/>
      <c r="Z3081" s="6"/>
    </row>
    <row r="3082" spans="14:26" ht="31.4" customHeight="1" x14ac:dyDescent="0.35">
      <c r="N3082" s="20"/>
      <c r="P3082" s="8"/>
      <c r="Q3082" s="8"/>
      <c r="R3082" s="8"/>
      <c r="S3082" s="8"/>
      <c r="U3082" s="6"/>
      <c r="V3082" s="6"/>
      <c r="W3082" s="6"/>
      <c r="X3082" s="6"/>
      <c r="Y3082" s="6"/>
      <c r="Z3082" s="6"/>
    </row>
    <row r="3083" spans="14:26" ht="31.4" customHeight="1" x14ac:dyDescent="0.35">
      <c r="N3083" s="20"/>
      <c r="P3083" s="8"/>
      <c r="Q3083" s="8"/>
      <c r="R3083" s="8"/>
      <c r="S3083" s="8"/>
      <c r="U3083" s="6"/>
      <c r="V3083" s="6"/>
      <c r="W3083" s="6"/>
      <c r="X3083" s="6"/>
      <c r="Y3083" s="6"/>
      <c r="Z3083" s="6"/>
    </row>
    <row r="3084" spans="14:26" ht="31.4" customHeight="1" x14ac:dyDescent="0.35">
      <c r="N3084" s="20"/>
      <c r="P3084" s="8"/>
      <c r="Q3084" s="8"/>
      <c r="R3084" s="8"/>
      <c r="S3084" s="8"/>
      <c r="U3084" s="6"/>
      <c r="V3084" s="6"/>
      <c r="W3084" s="6"/>
      <c r="X3084" s="6"/>
      <c r="Y3084" s="6"/>
      <c r="Z3084" s="6"/>
    </row>
    <row r="3085" spans="14:26" ht="31.4" customHeight="1" x14ac:dyDescent="0.35">
      <c r="N3085" s="20"/>
      <c r="P3085" s="8"/>
      <c r="Q3085" s="8"/>
      <c r="R3085" s="8"/>
      <c r="S3085" s="8"/>
      <c r="U3085" s="6"/>
      <c r="V3085" s="6"/>
      <c r="W3085" s="6"/>
      <c r="X3085" s="6"/>
      <c r="Y3085" s="6"/>
      <c r="Z3085" s="6"/>
    </row>
    <row r="3086" spans="14:26" ht="31.4" customHeight="1" x14ac:dyDescent="0.35">
      <c r="N3086" s="20"/>
      <c r="P3086" s="8"/>
      <c r="Q3086" s="8"/>
      <c r="R3086" s="8"/>
      <c r="S3086" s="8"/>
      <c r="U3086" s="6"/>
      <c r="V3086" s="6"/>
      <c r="W3086" s="6"/>
      <c r="X3086" s="6"/>
      <c r="Y3086" s="6"/>
      <c r="Z3086" s="6"/>
    </row>
    <row r="3087" spans="14:26" ht="31.4" customHeight="1" x14ac:dyDescent="0.35">
      <c r="N3087" s="20"/>
      <c r="P3087" s="8"/>
      <c r="Q3087" s="8"/>
      <c r="R3087" s="8"/>
      <c r="S3087" s="8"/>
      <c r="U3087" s="6"/>
      <c r="V3087" s="6"/>
      <c r="W3087" s="6"/>
      <c r="X3087" s="6"/>
      <c r="Y3087" s="6"/>
      <c r="Z3087" s="6"/>
    </row>
    <row r="3088" spans="14:26" ht="31.4" customHeight="1" x14ac:dyDescent="0.35">
      <c r="N3088" s="20"/>
      <c r="P3088" s="8"/>
      <c r="Q3088" s="8"/>
      <c r="R3088" s="8"/>
      <c r="S3088" s="8"/>
      <c r="U3088" s="6"/>
      <c r="V3088" s="6"/>
      <c r="W3088" s="6"/>
      <c r="X3088" s="6"/>
      <c r="Y3088" s="6"/>
      <c r="Z3088" s="6"/>
    </row>
    <row r="3089" spans="14:26" ht="31.4" customHeight="1" x14ac:dyDescent="0.35">
      <c r="N3089" s="20"/>
      <c r="P3089" s="8"/>
      <c r="Q3089" s="8"/>
      <c r="R3089" s="8"/>
      <c r="S3089" s="8"/>
      <c r="U3089" s="6"/>
      <c r="V3089" s="6"/>
      <c r="W3089" s="6"/>
      <c r="X3089" s="6"/>
      <c r="Y3089" s="6"/>
      <c r="Z3089" s="6"/>
    </row>
    <row r="3090" spans="14:26" ht="31.4" customHeight="1" x14ac:dyDescent="0.35">
      <c r="N3090" s="20"/>
      <c r="P3090" s="8"/>
      <c r="Q3090" s="8"/>
      <c r="R3090" s="8"/>
      <c r="S3090" s="8"/>
      <c r="U3090" s="6"/>
      <c r="V3090" s="6"/>
      <c r="W3090" s="6"/>
      <c r="X3090" s="6"/>
      <c r="Y3090" s="6"/>
      <c r="Z3090" s="6"/>
    </row>
    <row r="3091" spans="14:26" ht="31.4" customHeight="1" x14ac:dyDescent="0.35">
      <c r="N3091" s="20"/>
      <c r="P3091" s="8"/>
      <c r="Q3091" s="8"/>
      <c r="R3091" s="8"/>
      <c r="S3091" s="8"/>
      <c r="U3091" s="6"/>
      <c r="V3091" s="6"/>
      <c r="W3091" s="6"/>
      <c r="X3091" s="6"/>
      <c r="Y3091" s="6"/>
      <c r="Z3091" s="6"/>
    </row>
    <row r="3092" spans="14:26" ht="31.4" customHeight="1" x14ac:dyDescent="0.35">
      <c r="N3092" s="20"/>
      <c r="P3092" s="8"/>
      <c r="Q3092" s="8"/>
      <c r="R3092" s="8"/>
      <c r="S3092" s="8"/>
      <c r="U3092" s="6"/>
      <c r="V3092" s="6"/>
      <c r="W3092" s="6"/>
      <c r="X3092" s="6"/>
      <c r="Y3092" s="6"/>
      <c r="Z3092" s="6"/>
    </row>
    <row r="3093" spans="14:26" ht="31.4" customHeight="1" x14ac:dyDescent="0.35">
      <c r="N3093" s="20"/>
      <c r="P3093" s="8"/>
      <c r="Q3093" s="8"/>
      <c r="R3093" s="8"/>
      <c r="S3093" s="8"/>
      <c r="U3093" s="6"/>
      <c r="V3093" s="6"/>
      <c r="W3093" s="6"/>
      <c r="X3093" s="6"/>
      <c r="Y3093" s="6"/>
      <c r="Z3093" s="6"/>
    </row>
    <row r="3094" spans="14:26" ht="31.4" customHeight="1" x14ac:dyDescent="0.35">
      <c r="N3094" s="20"/>
      <c r="P3094" s="8"/>
      <c r="Q3094" s="8"/>
      <c r="R3094" s="8"/>
      <c r="S3094" s="8"/>
      <c r="U3094" s="6"/>
      <c r="V3094" s="6"/>
      <c r="W3094" s="6"/>
      <c r="X3094" s="6"/>
      <c r="Y3094" s="6"/>
      <c r="Z3094" s="6"/>
    </row>
    <row r="3095" spans="14:26" ht="31.4" customHeight="1" x14ac:dyDescent="0.35">
      <c r="N3095" s="20"/>
      <c r="P3095" s="8"/>
      <c r="Q3095" s="8"/>
      <c r="R3095" s="8"/>
      <c r="S3095" s="8"/>
      <c r="U3095" s="6"/>
      <c r="V3095" s="6"/>
      <c r="W3095" s="6"/>
      <c r="X3095" s="6"/>
      <c r="Y3095" s="6"/>
      <c r="Z3095" s="6"/>
    </row>
    <row r="3096" spans="14:26" ht="31.4" customHeight="1" x14ac:dyDescent="0.35">
      <c r="N3096" s="20"/>
      <c r="P3096" s="8"/>
      <c r="Q3096" s="8"/>
      <c r="R3096" s="8"/>
      <c r="S3096" s="8"/>
      <c r="U3096" s="6"/>
      <c r="V3096" s="6"/>
      <c r="W3096" s="6"/>
      <c r="X3096" s="6"/>
      <c r="Y3096" s="6"/>
      <c r="Z3096" s="6"/>
    </row>
    <row r="3097" spans="14:26" ht="31.4" customHeight="1" x14ac:dyDescent="0.35">
      <c r="N3097" s="20"/>
      <c r="P3097" s="8"/>
      <c r="Q3097" s="8"/>
      <c r="R3097" s="8"/>
      <c r="S3097" s="8"/>
      <c r="U3097" s="6"/>
      <c r="V3097" s="6"/>
      <c r="W3097" s="6"/>
      <c r="X3097" s="6"/>
      <c r="Y3097" s="6"/>
      <c r="Z3097" s="6"/>
    </row>
    <row r="3098" spans="14:26" ht="31.4" customHeight="1" x14ac:dyDescent="0.35">
      <c r="N3098" s="20"/>
      <c r="P3098" s="8"/>
      <c r="Q3098" s="8"/>
      <c r="R3098" s="8"/>
      <c r="S3098" s="8"/>
      <c r="U3098" s="6"/>
      <c r="V3098" s="6"/>
      <c r="W3098" s="6"/>
      <c r="X3098" s="6"/>
      <c r="Y3098" s="6"/>
      <c r="Z3098" s="6"/>
    </row>
    <row r="3099" spans="14:26" ht="31.4" customHeight="1" x14ac:dyDescent="0.35">
      <c r="N3099" s="20"/>
      <c r="P3099" s="8"/>
      <c r="Q3099" s="8"/>
      <c r="R3099" s="8"/>
      <c r="S3099" s="8"/>
      <c r="U3099" s="6"/>
      <c r="V3099" s="6"/>
      <c r="W3099" s="6"/>
      <c r="X3099" s="6"/>
      <c r="Y3099" s="6"/>
      <c r="Z3099" s="6"/>
    </row>
    <row r="3100" spans="14:26" ht="31.4" customHeight="1" x14ac:dyDescent="0.35">
      <c r="N3100" s="20"/>
      <c r="P3100" s="8"/>
      <c r="Q3100" s="8"/>
      <c r="R3100" s="8"/>
      <c r="S3100" s="8"/>
      <c r="U3100" s="6"/>
      <c r="V3100" s="6"/>
      <c r="W3100" s="6"/>
      <c r="X3100" s="6"/>
      <c r="Y3100" s="6"/>
      <c r="Z3100" s="6"/>
    </row>
    <row r="3101" spans="14:26" ht="31.4" customHeight="1" x14ac:dyDescent="0.35">
      <c r="N3101" s="20"/>
      <c r="P3101" s="8"/>
      <c r="Q3101" s="8"/>
      <c r="R3101" s="8"/>
      <c r="S3101" s="8"/>
      <c r="U3101" s="6"/>
      <c r="V3101" s="6"/>
      <c r="W3101" s="6"/>
      <c r="X3101" s="6"/>
      <c r="Y3101" s="6"/>
      <c r="Z3101" s="6"/>
    </row>
    <row r="3102" spans="14:26" ht="31.4" customHeight="1" x14ac:dyDescent="0.35">
      <c r="N3102" s="20"/>
      <c r="P3102" s="8"/>
      <c r="Q3102" s="8"/>
      <c r="R3102" s="8"/>
      <c r="S3102" s="8"/>
      <c r="U3102" s="6"/>
      <c r="V3102" s="6"/>
      <c r="W3102" s="6"/>
      <c r="X3102" s="6"/>
      <c r="Y3102" s="6"/>
      <c r="Z3102" s="6"/>
    </row>
    <row r="3103" spans="14:26" ht="31.4" customHeight="1" x14ac:dyDescent="0.35">
      <c r="N3103" s="20"/>
      <c r="P3103" s="8"/>
      <c r="Q3103" s="8"/>
      <c r="R3103" s="8"/>
      <c r="S3103" s="8"/>
      <c r="U3103" s="6"/>
      <c r="V3103" s="6"/>
      <c r="W3103" s="6"/>
      <c r="X3103" s="6"/>
      <c r="Y3103" s="6"/>
      <c r="Z3103" s="6"/>
    </row>
    <row r="3104" spans="14:26" ht="31.4" customHeight="1" x14ac:dyDescent="0.35">
      <c r="N3104" s="20"/>
      <c r="P3104" s="8"/>
      <c r="Q3104" s="8"/>
      <c r="R3104" s="8"/>
      <c r="S3104" s="8"/>
      <c r="U3104" s="6"/>
      <c r="V3104" s="6"/>
      <c r="W3104" s="6"/>
      <c r="X3104" s="6"/>
      <c r="Y3104" s="6"/>
      <c r="Z3104" s="6"/>
    </row>
    <row r="3105" spans="14:26" ht="31.4" customHeight="1" x14ac:dyDescent="0.35">
      <c r="N3105" s="20"/>
      <c r="P3105" s="8"/>
      <c r="Q3105" s="8"/>
      <c r="R3105" s="8"/>
      <c r="S3105" s="8"/>
      <c r="U3105" s="6"/>
      <c r="V3105" s="6"/>
      <c r="W3105" s="6"/>
      <c r="X3105" s="6"/>
      <c r="Y3105" s="6"/>
      <c r="Z3105" s="6"/>
    </row>
    <row r="3106" spans="14:26" ht="31.4" customHeight="1" x14ac:dyDescent="0.35">
      <c r="N3106" s="20"/>
      <c r="P3106" s="8"/>
      <c r="Q3106" s="8"/>
      <c r="R3106" s="8"/>
      <c r="S3106" s="8"/>
      <c r="U3106" s="6"/>
      <c r="V3106" s="6"/>
      <c r="W3106" s="6"/>
      <c r="X3106" s="6"/>
      <c r="Y3106" s="6"/>
      <c r="Z3106" s="6"/>
    </row>
    <row r="3107" spans="14:26" ht="31.4" customHeight="1" x14ac:dyDescent="0.35">
      <c r="N3107" s="20"/>
      <c r="P3107" s="8"/>
      <c r="Q3107" s="8"/>
      <c r="R3107" s="8"/>
      <c r="S3107" s="8"/>
      <c r="U3107" s="6"/>
      <c r="V3107" s="6"/>
      <c r="W3107" s="6"/>
      <c r="X3107" s="6"/>
      <c r="Y3107" s="6"/>
      <c r="Z3107" s="6"/>
    </row>
    <row r="3108" spans="14:26" ht="31.4" customHeight="1" x14ac:dyDescent="0.35">
      <c r="N3108" s="20"/>
      <c r="P3108" s="8"/>
      <c r="Q3108" s="8"/>
      <c r="R3108" s="8"/>
      <c r="S3108" s="8"/>
      <c r="U3108" s="6"/>
      <c r="V3108" s="6"/>
      <c r="W3108" s="6"/>
      <c r="X3108" s="6"/>
      <c r="Y3108" s="6"/>
      <c r="Z3108" s="6"/>
    </row>
    <row r="3109" spans="14:26" ht="31.4" customHeight="1" x14ac:dyDescent="0.35">
      <c r="N3109" s="20"/>
      <c r="P3109" s="8"/>
      <c r="Q3109" s="8"/>
      <c r="R3109" s="8"/>
      <c r="S3109" s="8"/>
      <c r="U3109" s="6"/>
      <c r="V3109" s="6"/>
      <c r="W3109" s="6"/>
      <c r="X3109" s="6"/>
      <c r="Y3109" s="6"/>
      <c r="Z3109" s="6"/>
    </row>
    <row r="3110" spans="14:26" ht="31.4" customHeight="1" x14ac:dyDescent="0.35">
      <c r="N3110" s="20"/>
      <c r="P3110" s="8"/>
      <c r="Q3110" s="8"/>
      <c r="R3110" s="8"/>
      <c r="S3110" s="8"/>
      <c r="U3110" s="6"/>
      <c r="V3110" s="6"/>
      <c r="W3110" s="6"/>
      <c r="X3110" s="6"/>
      <c r="Y3110" s="6"/>
      <c r="Z3110" s="6"/>
    </row>
    <row r="3111" spans="14:26" ht="31.4" customHeight="1" x14ac:dyDescent="0.35">
      <c r="N3111" s="20"/>
      <c r="P3111" s="8"/>
      <c r="Q3111" s="8"/>
      <c r="R3111" s="8"/>
      <c r="S3111" s="8"/>
      <c r="U3111" s="6"/>
      <c r="V3111" s="6"/>
      <c r="W3111" s="6"/>
      <c r="X3111" s="6"/>
      <c r="Y3111" s="6"/>
      <c r="Z3111" s="6"/>
    </row>
    <row r="3112" spans="14:26" ht="31.4" customHeight="1" x14ac:dyDescent="0.35">
      <c r="N3112" s="20"/>
      <c r="P3112" s="8"/>
      <c r="Q3112" s="8"/>
      <c r="R3112" s="8"/>
      <c r="S3112" s="8"/>
      <c r="U3112" s="6"/>
      <c r="V3112" s="6"/>
      <c r="W3112" s="6"/>
      <c r="X3112" s="6"/>
      <c r="Y3112" s="6"/>
      <c r="Z3112" s="6"/>
    </row>
    <row r="3113" spans="14:26" ht="31.4" customHeight="1" x14ac:dyDescent="0.35">
      <c r="N3113" s="20"/>
      <c r="P3113" s="8"/>
      <c r="Q3113" s="8"/>
      <c r="R3113" s="8"/>
      <c r="S3113" s="8"/>
      <c r="U3113" s="6"/>
      <c r="V3113" s="6"/>
      <c r="W3113" s="6"/>
      <c r="X3113" s="6"/>
      <c r="Y3113" s="6"/>
      <c r="Z3113" s="6"/>
    </row>
    <row r="3114" spans="14:26" ht="31.4" customHeight="1" x14ac:dyDescent="0.35">
      <c r="N3114" s="20"/>
      <c r="P3114" s="8"/>
      <c r="Q3114" s="8"/>
      <c r="R3114" s="8"/>
      <c r="S3114" s="8"/>
      <c r="U3114" s="6"/>
      <c r="V3114" s="6"/>
      <c r="W3114" s="6"/>
      <c r="X3114" s="6"/>
      <c r="Y3114" s="6"/>
      <c r="Z3114" s="6"/>
    </row>
    <row r="3115" spans="14:26" ht="31.4" customHeight="1" x14ac:dyDescent="0.35">
      <c r="N3115" s="20"/>
      <c r="P3115" s="8"/>
      <c r="Q3115" s="8"/>
      <c r="R3115" s="8"/>
      <c r="S3115" s="8"/>
      <c r="U3115" s="6"/>
      <c r="V3115" s="6"/>
      <c r="W3115" s="6"/>
      <c r="X3115" s="6"/>
      <c r="Y3115" s="6"/>
      <c r="Z3115" s="6"/>
    </row>
    <row r="3116" spans="14:26" ht="31.4" customHeight="1" x14ac:dyDescent="0.35">
      <c r="N3116" s="20"/>
      <c r="P3116" s="8"/>
      <c r="Q3116" s="8"/>
      <c r="R3116" s="8"/>
      <c r="S3116" s="8"/>
      <c r="U3116" s="6"/>
      <c r="V3116" s="6"/>
      <c r="W3116" s="6"/>
      <c r="X3116" s="6"/>
      <c r="Y3116" s="6"/>
      <c r="Z3116" s="6"/>
    </row>
    <row r="3117" spans="14:26" ht="31.4" customHeight="1" x14ac:dyDescent="0.35">
      <c r="N3117" s="20"/>
      <c r="P3117" s="8"/>
      <c r="Q3117" s="8"/>
      <c r="R3117" s="8"/>
      <c r="S3117" s="8"/>
      <c r="U3117" s="6"/>
      <c r="V3117" s="6"/>
      <c r="W3117" s="6"/>
      <c r="X3117" s="6"/>
      <c r="Y3117" s="6"/>
      <c r="Z3117" s="6"/>
    </row>
    <row r="3118" spans="14:26" ht="31.4" customHeight="1" x14ac:dyDescent="0.35">
      <c r="N3118" s="20"/>
      <c r="P3118" s="8"/>
      <c r="Q3118" s="8"/>
      <c r="R3118" s="8"/>
      <c r="S3118" s="8"/>
      <c r="U3118" s="6"/>
      <c r="V3118" s="6"/>
      <c r="W3118" s="6"/>
      <c r="X3118" s="6"/>
      <c r="Y3118" s="6"/>
      <c r="Z3118" s="6"/>
    </row>
    <row r="3119" spans="14:26" ht="31.4" customHeight="1" x14ac:dyDescent="0.35">
      <c r="N3119" s="20"/>
      <c r="P3119" s="8"/>
      <c r="Q3119" s="8"/>
      <c r="R3119" s="8"/>
      <c r="S3119" s="8"/>
      <c r="U3119" s="6"/>
      <c r="V3119" s="6"/>
      <c r="W3119" s="6"/>
      <c r="X3119" s="6"/>
      <c r="Y3119" s="6"/>
      <c r="Z3119" s="6"/>
    </row>
    <row r="3120" spans="14:26" ht="31.4" customHeight="1" x14ac:dyDescent="0.35">
      <c r="N3120" s="20"/>
      <c r="P3120" s="8"/>
      <c r="Q3120" s="8"/>
      <c r="R3120" s="8"/>
      <c r="S3120" s="8"/>
      <c r="U3120" s="6"/>
      <c r="V3120" s="6"/>
      <c r="W3120" s="6"/>
      <c r="X3120" s="6"/>
      <c r="Y3120" s="6"/>
      <c r="Z3120" s="6"/>
    </row>
    <row r="3121" spans="14:26" ht="31.4" customHeight="1" x14ac:dyDescent="0.35">
      <c r="N3121" s="20"/>
      <c r="P3121" s="8"/>
      <c r="Q3121" s="8"/>
      <c r="R3121" s="8"/>
      <c r="S3121" s="8"/>
      <c r="U3121" s="6"/>
      <c r="V3121" s="6"/>
      <c r="W3121" s="6"/>
      <c r="X3121" s="6"/>
      <c r="Y3121" s="6"/>
      <c r="Z3121" s="6"/>
    </row>
    <row r="3122" spans="14:26" ht="31.4" customHeight="1" x14ac:dyDescent="0.35">
      <c r="N3122" s="20"/>
      <c r="P3122" s="8"/>
      <c r="Q3122" s="8"/>
      <c r="R3122" s="8"/>
      <c r="S3122" s="8"/>
      <c r="U3122" s="6"/>
      <c r="V3122" s="6"/>
      <c r="W3122" s="6"/>
      <c r="X3122" s="6"/>
      <c r="Y3122" s="6"/>
      <c r="Z3122" s="6"/>
    </row>
    <row r="3123" spans="14:26" ht="31.4" customHeight="1" x14ac:dyDescent="0.35">
      <c r="N3123" s="20"/>
      <c r="P3123" s="8"/>
      <c r="Q3123" s="8"/>
      <c r="R3123" s="8"/>
      <c r="S3123" s="8"/>
      <c r="U3123" s="6"/>
      <c r="V3123" s="6"/>
      <c r="W3123" s="6"/>
      <c r="X3123" s="6"/>
      <c r="Y3123" s="6"/>
      <c r="Z3123" s="6"/>
    </row>
    <row r="3124" spans="14:26" ht="31.4" customHeight="1" x14ac:dyDescent="0.35">
      <c r="N3124" s="20"/>
      <c r="P3124" s="8"/>
      <c r="Q3124" s="8"/>
      <c r="R3124" s="8"/>
      <c r="S3124" s="8"/>
      <c r="U3124" s="6"/>
      <c r="V3124" s="6"/>
      <c r="W3124" s="6"/>
      <c r="X3124" s="6"/>
      <c r="Y3124" s="6"/>
      <c r="Z3124" s="6"/>
    </row>
    <row r="3125" spans="14:26" ht="31.4" customHeight="1" x14ac:dyDescent="0.35">
      <c r="N3125" s="20"/>
      <c r="P3125" s="8"/>
      <c r="Q3125" s="8"/>
      <c r="R3125" s="8"/>
      <c r="S3125" s="8"/>
      <c r="U3125" s="6"/>
      <c r="V3125" s="6"/>
      <c r="W3125" s="6"/>
      <c r="X3125" s="6"/>
      <c r="Y3125" s="6"/>
      <c r="Z3125" s="6"/>
    </row>
    <row r="3126" spans="14:26" ht="31.4" customHeight="1" x14ac:dyDescent="0.35">
      <c r="N3126" s="20"/>
      <c r="P3126" s="8"/>
      <c r="Q3126" s="8"/>
      <c r="R3126" s="8"/>
      <c r="S3126" s="8"/>
      <c r="U3126" s="6"/>
      <c r="V3126" s="6"/>
      <c r="W3126" s="6"/>
      <c r="X3126" s="6"/>
      <c r="Y3126" s="6"/>
      <c r="Z3126" s="6"/>
    </row>
    <row r="3127" spans="14:26" ht="31.4" customHeight="1" x14ac:dyDescent="0.35">
      <c r="N3127" s="20"/>
      <c r="P3127" s="8"/>
      <c r="Q3127" s="8"/>
      <c r="R3127" s="8"/>
      <c r="S3127" s="8"/>
      <c r="U3127" s="6"/>
      <c r="V3127" s="6"/>
      <c r="W3127" s="6"/>
      <c r="X3127" s="6"/>
      <c r="Y3127" s="6"/>
      <c r="Z3127" s="6"/>
    </row>
    <row r="3128" spans="14:26" ht="31.4" customHeight="1" x14ac:dyDescent="0.35">
      <c r="N3128" s="20"/>
      <c r="P3128" s="8"/>
      <c r="Q3128" s="8"/>
      <c r="R3128" s="8"/>
      <c r="S3128" s="8"/>
      <c r="U3128" s="6"/>
      <c r="V3128" s="6"/>
      <c r="W3128" s="6"/>
      <c r="X3128" s="6"/>
      <c r="Y3128" s="6"/>
      <c r="Z3128" s="6"/>
    </row>
    <row r="3129" spans="14:26" ht="31.4" customHeight="1" x14ac:dyDescent="0.35">
      <c r="N3129" s="20"/>
      <c r="P3129" s="8"/>
      <c r="Q3129" s="8"/>
      <c r="R3129" s="8"/>
      <c r="S3129" s="8"/>
      <c r="U3129" s="6"/>
      <c r="V3129" s="6"/>
      <c r="W3129" s="6"/>
      <c r="X3129" s="6"/>
      <c r="Y3129" s="6"/>
      <c r="Z3129" s="6"/>
    </row>
    <row r="3130" spans="14:26" ht="31.4" customHeight="1" x14ac:dyDescent="0.35">
      <c r="N3130" s="20"/>
      <c r="P3130" s="8"/>
      <c r="Q3130" s="8"/>
      <c r="R3130" s="8"/>
      <c r="S3130" s="8"/>
      <c r="U3130" s="6"/>
      <c r="V3130" s="6"/>
      <c r="W3130" s="6"/>
      <c r="X3130" s="6"/>
      <c r="Y3130" s="6"/>
      <c r="Z3130" s="6"/>
    </row>
    <row r="3131" spans="14:26" ht="31.4" customHeight="1" x14ac:dyDescent="0.35">
      <c r="N3131" s="20"/>
      <c r="P3131" s="8"/>
      <c r="Q3131" s="8"/>
      <c r="R3131" s="8"/>
      <c r="S3131" s="8"/>
      <c r="U3131" s="6"/>
      <c r="V3131" s="6"/>
      <c r="W3131" s="6"/>
      <c r="X3131" s="6"/>
      <c r="Y3131" s="6"/>
      <c r="Z3131" s="6"/>
    </row>
    <row r="3132" spans="14:26" ht="31.4" customHeight="1" x14ac:dyDescent="0.35">
      <c r="N3132" s="20"/>
      <c r="P3132" s="8"/>
      <c r="Q3132" s="8"/>
      <c r="R3132" s="8"/>
      <c r="S3132" s="8"/>
      <c r="U3132" s="6"/>
      <c r="V3132" s="6"/>
      <c r="W3132" s="6"/>
      <c r="X3132" s="6"/>
      <c r="Y3132" s="6"/>
      <c r="Z3132" s="6"/>
    </row>
    <row r="3133" spans="14:26" ht="31.4" customHeight="1" x14ac:dyDescent="0.35">
      <c r="N3133" s="20"/>
      <c r="P3133" s="8"/>
      <c r="Q3133" s="8"/>
      <c r="R3133" s="8"/>
      <c r="S3133" s="8"/>
      <c r="U3133" s="6"/>
      <c r="V3133" s="6"/>
      <c r="W3133" s="6"/>
      <c r="X3133" s="6"/>
      <c r="Y3133" s="6"/>
      <c r="Z3133" s="6"/>
    </row>
    <row r="3134" spans="14:26" ht="31.4" customHeight="1" x14ac:dyDescent="0.35">
      <c r="N3134" s="20"/>
      <c r="P3134" s="8"/>
      <c r="Q3134" s="8"/>
      <c r="R3134" s="8"/>
      <c r="S3134" s="8"/>
      <c r="U3134" s="6"/>
      <c r="V3134" s="6"/>
      <c r="W3134" s="6"/>
      <c r="X3134" s="6"/>
      <c r="Y3134" s="6"/>
      <c r="Z3134" s="6"/>
    </row>
    <row r="3135" spans="14:26" ht="31.4" customHeight="1" x14ac:dyDescent="0.35">
      <c r="N3135" s="20"/>
      <c r="P3135" s="8"/>
      <c r="Q3135" s="8"/>
      <c r="R3135" s="8"/>
      <c r="S3135" s="8"/>
      <c r="U3135" s="6"/>
      <c r="V3135" s="6"/>
      <c r="W3135" s="6"/>
      <c r="X3135" s="6"/>
      <c r="Y3135" s="6"/>
      <c r="Z3135" s="6"/>
    </row>
    <row r="3136" spans="14:26" ht="31.4" customHeight="1" x14ac:dyDescent="0.35">
      <c r="N3136" s="20"/>
      <c r="P3136" s="8"/>
      <c r="Q3136" s="8"/>
      <c r="R3136" s="8"/>
      <c r="S3136" s="8"/>
      <c r="U3136" s="6"/>
      <c r="V3136" s="6"/>
      <c r="W3136" s="6"/>
      <c r="X3136" s="6"/>
      <c r="Y3136" s="6"/>
      <c r="Z3136" s="6"/>
    </row>
    <row r="3137" spans="14:26" ht="31.4" customHeight="1" x14ac:dyDescent="0.35">
      <c r="N3137" s="20"/>
      <c r="P3137" s="8"/>
      <c r="Q3137" s="8"/>
      <c r="R3137" s="8"/>
      <c r="S3137" s="8"/>
      <c r="U3137" s="6"/>
      <c r="V3137" s="6"/>
      <c r="W3137" s="6"/>
      <c r="X3137" s="6"/>
      <c r="Y3137" s="6"/>
      <c r="Z3137" s="6"/>
    </row>
    <row r="3138" spans="14:26" ht="31.4" customHeight="1" x14ac:dyDescent="0.35">
      <c r="N3138" s="20"/>
      <c r="P3138" s="8"/>
      <c r="Q3138" s="8"/>
      <c r="R3138" s="8"/>
      <c r="S3138" s="8"/>
      <c r="U3138" s="6"/>
      <c r="V3138" s="6"/>
      <c r="W3138" s="6"/>
      <c r="X3138" s="6"/>
      <c r="Y3138" s="6"/>
      <c r="Z3138" s="6"/>
    </row>
    <row r="3139" spans="14:26" ht="31.4" customHeight="1" x14ac:dyDescent="0.35">
      <c r="N3139" s="20"/>
      <c r="P3139" s="8"/>
      <c r="Q3139" s="8"/>
      <c r="R3139" s="8"/>
      <c r="S3139" s="8"/>
      <c r="U3139" s="6"/>
      <c r="V3139" s="6"/>
      <c r="W3139" s="6"/>
      <c r="X3139" s="6"/>
      <c r="Y3139" s="6"/>
      <c r="Z3139" s="6"/>
    </row>
    <row r="3140" spans="14:26" ht="31.4" customHeight="1" x14ac:dyDescent="0.35">
      <c r="N3140" s="20"/>
      <c r="P3140" s="8"/>
      <c r="Q3140" s="8"/>
      <c r="R3140" s="8"/>
      <c r="S3140" s="8"/>
      <c r="U3140" s="6"/>
      <c r="V3140" s="6"/>
      <c r="W3140" s="6"/>
      <c r="X3140" s="6"/>
      <c r="Y3140" s="6"/>
      <c r="Z3140" s="6"/>
    </row>
    <row r="3141" spans="14:26" ht="31.4" customHeight="1" x14ac:dyDescent="0.35">
      <c r="N3141" s="20"/>
      <c r="P3141" s="8"/>
      <c r="Q3141" s="8"/>
      <c r="R3141" s="8"/>
      <c r="S3141" s="8"/>
      <c r="U3141" s="6"/>
      <c r="V3141" s="6"/>
      <c r="W3141" s="6"/>
      <c r="X3141" s="6"/>
      <c r="Y3141" s="6"/>
      <c r="Z3141" s="6"/>
    </row>
    <row r="3142" spans="14:26" ht="31.4" customHeight="1" x14ac:dyDescent="0.35">
      <c r="N3142" s="20"/>
      <c r="P3142" s="8"/>
      <c r="Q3142" s="8"/>
      <c r="R3142" s="8"/>
      <c r="S3142" s="8"/>
      <c r="U3142" s="6"/>
      <c r="V3142" s="6"/>
      <c r="W3142" s="6"/>
      <c r="X3142" s="6"/>
      <c r="Y3142" s="6"/>
      <c r="Z3142" s="6"/>
    </row>
    <row r="3143" spans="14:26" ht="31.4" customHeight="1" x14ac:dyDescent="0.35">
      <c r="N3143" s="20"/>
      <c r="P3143" s="8"/>
      <c r="Q3143" s="8"/>
      <c r="R3143" s="8"/>
      <c r="S3143" s="8"/>
      <c r="U3143" s="6"/>
      <c r="V3143" s="6"/>
      <c r="W3143" s="6"/>
      <c r="X3143" s="6"/>
      <c r="Y3143" s="6"/>
      <c r="Z3143" s="6"/>
    </row>
    <row r="3144" spans="14:26" ht="31.4" customHeight="1" x14ac:dyDescent="0.35">
      <c r="N3144" s="20"/>
      <c r="P3144" s="8"/>
      <c r="Q3144" s="8"/>
      <c r="R3144" s="8"/>
      <c r="S3144" s="8"/>
      <c r="U3144" s="6"/>
      <c r="V3144" s="6"/>
      <c r="W3144" s="6"/>
      <c r="X3144" s="6"/>
      <c r="Y3144" s="6"/>
      <c r="Z3144" s="6"/>
    </row>
    <row r="3145" spans="14:26" ht="31.4" customHeight="1" x14ac:dyDescent="0.35">
      <c r="N3145" s="20"/>
      <c r="P3145" s="8"/>
      <c r="Q3145" s="8"/>
      <c r="R3145" s="8"/>
      <c r="S3145" s="8"/>
      <c r="U3145" s="6"/>
      <c r="V3145" s="6"/>
      <c r="W3145" s="6"/>
      <c r="X3145" s="6"/>
      <c r="Y3145" s="6"/>
      <c r="Z3145" s="6"/>
    </row>
    <row r="3146" spans="14:26" ht="31.4" customHeight="1" x14ac:dyDescent="0.35">
      <c r="N3146" s="20"/>
      <c r="P3146" s="8"/>
      <c r="Q3146" s="8"/>
      <c r="R3146" s="8"/>
      <c r="S3146" s="8"/>
      <c r="U3146" s="6"/>
      <c r="V3146" s="6"/>
      <c r="W3146" s="6"/>
      <c r="X3146" s="6"/>
      <c r="Y3146" s="6"/>
      <c r="Z3146" s="6"/>
    </row>
    <row r="3147" spans="14:26" ht="31.4" customHeight="1" x14ac:dyDescent="0.35">
      <c r="N3147" s="20"/>
      <c r="P3147" s="8"/>
      <c r="Q3147" s="8"/>
      <c r="R3147" s="8"/>
      <c r="S3147" s="8"/>
      <c r="U3147" s="6"/>
      <c r="V3147" s="6"/>
      <c r="W3147" s="6"/>
      <c r="X3147" s="6"/>
      <c r="Y3147" s="6"/>
      <c r="Z3147" s="6"/>
    </row>
    <row r="3148" spans="14:26" ht="31.4" customHeight="1" x14ac:dyDescent="0.35">
      <c r="N3148" s="20"/>
      <c r="P3148" s="8"/>
      <c r="Q3148" s="8"/>
      <c r="R3148" s="8"/>
      <c r="S3148" s="8"/>
      <c r="U3148" s="6"/>
      <c r="V3148" s="6"/>
      <c r="W3148" s="6"/>
      <c r="X3148" s="6"/>
      <c r="Y3148" s="6"/>
      <c r="Z3148" s="6"/>
    </row>
    <row r="3149" spans="14:26" ht="31.4" customHeight="1" x14ac:dyDescent="0.35">
      <c r="N3149" s="20"/>
      <c r="P3149" s="8"/>
      <c r="Q3149" s="8"/>
      <c r="R3149" s="8"/>
      <c r="S3149" s="8"/>
      <c r="U3149" s="6"/>
      <c r="V3149" s="6"/>
      <c r="W3149" s="6"/>
      <c r="X3149" s="6"/>
      <c r="Y3149" s="6"/>
      <c r="Z3149" s="6"/>
    </row>
    <row r="3150" spans="14:26" ht="31.4" customHeight="1" x14ac:dyDescent="0.35">
      <c r="N3150" s="20"/>
      <c r="P3150" s="8"/>
      <c r="Q3150" s="8"/>
      <c r="R3150" s="8"/>
      <c r="S3150" s="8"/>
      <c r="U3150" s="6"/>
      <c r="V3150" s="6"/>
      <c r="W3150" s="6"/>
      <c r="X3150" s="6"/>
      <c r="Y3150" s="6"/>
      <c r="Z3150" s="6"/>
    </row>
    <row r="3151" spans="14:26" ht="31.4" customHeight="1" x14ac:dyDescent="0.35">
      <c r="N3151" s="20"/>
      <c r="P3151" s="8"/>
      <c r="Q3151" s="8"/>
      <c r="R3151" s="8"/>
      <c r="S3151" s="8"/>
      <c r="U3151" s="6"/>
      <c r="V3151" s="6"/>
      <c r="W3151" s="6"/>
      <c r="X3151" s="6"/>
      <c r="Y3151" s="6"/>
      <c r="Z3151" s="6"/>
    </row>
    <row r="3152" spans="14:26" ht="31.4" customHeight="1" x14ac:dyDescent="0.35">
      <c r="N3152" s="20"/>
      <c r="P3152" s="8"/>
      <c r="Q3152" s="8"/>
      <c r="R3152" s="8"/>
      <c r="S3152" s="8"/>
      <c r="U3152" s="6"/>
      <c r="V3152" s="6"/>
      <c r="W3152" s="6"/>
      <c r="X3152" s="6"/>
      <c r="Y3152" s="6"/>
      <c r="Z3152" s="6"/>
    </row>
    <row r="3153" spans="14:26" ht="31.4" customHeight="1" x14ac:dyDescent="0.35">
      <c r="N3153" s="20"/>
      <c r="P3153" s="8"/>
      <c r="Q3153" s="8"/>
      <c r="R3153" s="8"/>
      <c r="S3153" s="8"/>
      <c r="U3153" s="6"/>
      <c r="V3153" s="6"/>
      <c r="W3153" s="6"/>
      <c r="X3153" s="6"/>
      <c r="Y3153" s="6"/>
      <c r="Z3153" s="6"/>
    </row>
    <row r="3154" spans="14:26" ht="31.4" customHeight="1" x14ac:dyDescent="0.35">
      <c r="N3154" s="20"/>
      <c r="P3154" s="8"/>
      <c r="Q3154" s="8"/>
      <c r="R3154" s="8"/>
      <c r="S3154" s="8"/>
      <c r="U3154" s="6"/>
      <c r="V3154" s="6"/>
      <c r="W3154" s="6"/>
      <c r="X3154" s="6"/>
      <c r="Y3154" s="6"/>
      <c r="Z3154" s="6"/>
    </row>
    <row r="3155" spans="14:26" ht="31.4" customHeight="1" x14ac:dyDescent="0.35">
      <c r="N3155" s="20"/>
      <c r="P3155" s="8"/>
      <c r="Q3155" s="8"/>
      <c r="R3155" s="8"/>
      <c r="S3155" s="8"/>
      <c r="U3155" s="6"/>
      <c r="V3155" s="6"/>
      <c r="W3155" s="6"/>
      <c r="X3155" s="6"/>
      <c r="Y3155" s="6"/>
      <c r="Z3155" s="6"/>
    </row>
    <row r="3156" spans="14:26" ht="31.4" customHeight="1" x14ac:dyDescent="0.35">
      <c r="N3156" s="20"/>
      <c r="P3156" s="8"/>
      <c r="Q3156" s="8"/>
      <c r="R3156" s="8"/>
      <c r="S3156" s="8"/>
      <c r="U3156" s="6"/>
      <c r="V3156" s="6"/>
      <c r="W3156" s="6"/>
      <c r="X3156" s="6"/>
      <c r="Y3156" s="6"/>
      <c r="Z3156" s="6"/>
    </row>
    <row r="3157" spans="14:26" ht="31.4" customHeight="1" x14ac:dyDescent="0.35">
      <c r="N3157" s="20"/>
      <c r="P3157" s="8"/>
      <c r="Q3157" s="8"/>
      <c r="R3157" s="8"/>
      <c r="S3157" s="8"/>
      <c r="U3157" s="6"/>
      <c r="V3157" s="6"/>
      <c r="W3157" s="6"/>
      <c r="X3157" s="6"/>
      <c r="Y3157" s="6"/>
      <c r="Z3157" s="6"/>
    </row>
    <row r="3158" spans="14:26" ht="31.4" customHeight="1" x14ac:dyDescent="0.35">
      <c r="N3158" s="20"/>
      <c r="P3158" s="8"/>
      <c r="Q3158" s="8"/>
      <c r="R3158" s="8"/>
      <c r="S3158" s="8"/>
      <c r="U3158" s="6"/>
      <c r="V3158" s="6"/>
      <c r="W3158" s="6"/>
      <c r="X3158" s="6"/>
      <c r="Y3158" s="6"/>
      <c r="Z3158" s="6"/>
    </row>
    <row r="3159" spans="14:26" ht="31.4" customHeight="1" x14ac:dyDescent="0.35">
      <c r="N3159" s="20"/>
      <c r="P3159" s="8"/>
      <c r="Q3159" s="8"/>
      <c r="R3159" s="8"/>
      <c r="S3159" s="8"/>
      <c r="U3159" s="6"/>
      <c r="V3159" s="6"/>
      <c r="W3159" s="6"/>
      <c r="X3159" s="6"/>
      <c r="Y3159" s="6"/>
      <c r="Z3159" s="6"/>
    </row>
    <row r="3160" spans="14:26" ht="31.4" customHeight="1" x14ac:dyDescent="0.35">
      <c r="N3160" s="20"/>
      <c r="P3160" s="8"/>
      <c r="Q3160" s="8"/>
      <c r="R3160" s="8"/>
      <c r="S3160" s="8"/>
      <c r="U3160" s="6"/>
      <c r="V3160" s="6"/>
      <c r="W3160" s="6"/>
      <c r="X3160" s="6"/>
      <c r="Y3160" s="6"/>
      <c r="Z3160" s="6"/>
    </row>
    <row r="3161" spans="14:26" ht="31.4" customHeight="1" x14ac:dyDescent="0.35">
      <c r="N3161" s="20"/>
      <c r="P3161" s="8"/>
      <c r="Q3161" s="8"/>
      <c r="R3161" s="8"/>
      <c r="S3161" s="8"/>
      <c r="U3161" s="6"/>
      <c r="V3161" s="6"/>
      <c r="W3161" s="6"/>
      <c r="X3161" s="6"/>
      <c r="Y3161" s="6"/>
      <c r="Z3161" s="6"/>
    </row>
    <row r="3162" spans="14:26" ht="31.4" customHeight="1" x14ac:dyDescent="0.35">
      <c r="N3162" s="20"/>
      <c r="P3162" s="8"/>
      <c r="Q3162" s="8"/>
      <c r="R3162" s="8"/>
      <c r="S3162" s="8"/>
      <c r="U3162" s="6"/>
      <c r="V3162" s="6"/>
      <c r="W3162" s="6"/>
      <c r="X3162" s="6"/>
      <c r="Y3162" s="6"/>
      <c r="Z3162" s="6"/>
    </row>
    <row r="3163" spans="14:26" ht="31.4" customHeight="1" x14ac:dyDescent="0.35">
      <c r="N3163" s="20"/>
      <c r="P3163" s="8"/>
      <c r="Q3163" s="8"/>
      <c r="R3163" s="8"/>
      <c r="S3163" s="8"/>
      <c r="U3163" s="6"/>
      <c r="V3163" s="6"/>
      <c r="W3163" s="6"/>
      <c r="X3163" s="6"/>
      <c r="Y3163" s="6"/>
      <c r="Z3163" s="6"/>
    </row>
    <row r="3164" spans="14:26" ht="31.4" customHeight="1" x14ac:dyDescent="0.35">
      <c r="N3164" s="20"/>
      <c r="P3164" s="8"/>
      <c r="Q3164" s="8"/>
      <c r="R3164" s="8"/>
      <c r="S3164" s="8"/>
      <c r="U3164" s="6"/>
      <c r="V3164" s="6"/>
      <c r="W3164" s="6"/>
      <c r="X3164" s="6"/>
      <c r="Y3164" s="6"/>
      <c r="Z3164" s="6"/>
    </row>
    <row r="3165" spans="14:26" ht="31.4" customHeight="1" x14ac:dyDescent="0.35">
      <c r="N3165" s="20"/>
      <c r="P3165" s="8"/>
      <c r="Q3165" s="8"/>
      <c r="R3165" s="8"/>
      <c r="S3165" s="8"/>
      <c r="U3165" s="6"/>
      <c r="V3165" s="6"/>
      <c r="W3165" s="6"/>
      <c r="X3165" s="6"/>
      <c r="Y3165" s="6"/>
      <c r="Z3165" s="6"/>
    </row>
    <row r="3166" spans="14:26" ht="31.4" customHeight="1" x14ac:dyDescent="0.35">
      <c r="N3166" s="20"/>
      <c r="P3166" s="8"/>
      <c r="Q3166" s="8"/>
      <c r="R3166" s="8"/>
      <c r="S3166" s="8"/>
      <c r="U3166" s="6"/>
      <c r="V3166" s="6"/>
      <c r="W3166" s="6"/>
      <c r="X3166" s="6"/>
      <c r="Y3166" s="6"/>
      <c r="Z3166" s="6"/>
    </row>
    <row r="3167" spans="14:26" ht="31.4" customHeight="1" x14ac:dyDescent="0.35">
      <c r="N3167" s="20"/>
      <c r="P3167" s="8"/>
      <c r="Q3167" s="8"/>
      <c r="R3167" s="8"/>
      <c r="S3167" s="8"/>
      <c r="U3167" s="6"/>
      <c r="V3167" s="6"/>
      <c r="W3167" s="6"/>
      <c r="X3167" s="6"/>
      <c r="Y3167" s="6"/>
      <c r="Z3167" s="6"/>
    </row>
    <row r="3168" spans="14:26" ht="31.4" customHeight="1" x14ac:dyDescent="0.35">
      <c r="N3168" s="20"/>
      <c r="P3168" s="8"/>
      <c r="Q3168" s="8"/>
      <c r="R3168" s="8"/>
      <c r="S3168" s="8"/>
      <c r="U3168" s="6"/>
      <c r="V3168" s="6"/>
      <c r="W3168" s="6"/>
      <c r="X3168" s="6"/>
      <c r="Y3168" s="6"/>
      <c r="Z3168" s="6"/>
    </row>
    <row r="3169" spans="14:26" ht="31.4" customHeight="1" x14ac:dyDescent="0.35">
      <c r="N3169" s="20"/>
      <c r="P3169" s="8"/>
      <c r="Q3169" s="8"/>
      <c r="R3169" s="8"/>
      <c r="S3169" s="8"/>
      <c r="U3169" s="6"/>
      <c r="V3169" s="6"/>
      <c r="W3169" s="6"/>
      <c r="X3169" s="6"/>
      <c r="Y3169" s="6"/>
      <c r="Z3169" s="6"/>
    </row>
    <row r="3170" spans="14:26" ht="31.4" customHeight="1" x14ac:dyDescent="0.35">
      <c r="N3170" s="20"/>
      <c r="P3170" s="8"/>
      <c r="Q3170" s="8"/>
      <c r="R3170" s="8"/>
      <c r="S3170" s="8"/>
      <c r="U3170" s="6"/>
      <c r="V3170" s="6"/>
      <c r="W3170" s="6"/>
      <c r="X3170" s="6"/>
      <c r="Y3170" s="6"/>
      <c r="Z3170" s="6"/>
    </row>
    <row r="3171" spans="14:26" ht="31.4" customHeight="1" x14ac:dyDescent="0.35">
      <c r="N3171" s="20"/>
      <c r="P3171" s="8"/>
      <c r="Q3171" s="8"/>
      <c r="R3171" s="8"/>
      <c r="S3171" s="8"/>
      <c r="U3171" s="6"/>
      <c r="V3171" s="6"/>
      <c r="W3171" s="6"/>
      <c r="X3171" s="6"/>
      <c r="Y3171" s="6"/>
      <c r="Z3171" s="6"/>
    </row>
    <row r="3172" spans="14:26" ht="31.4" customHeight="1" x14ac:dyDescent="0.35">
      <c r="N3172" s="20"/>
      <c r="P3172" s="8"/>
      <c r="Q3172" s="8"/>
      <c r="R3172" s="8"/>
      <c r="S3172" s="8"/>
      <c r="U3172" s="6"/>
      <c r="V3172" s="6"/>
      <c r="W3172" s="6"/>
      <c r="X3172" s="6"/>
      <c r="Y3172" s="6"/>
      <c r="Z3172" s="6"/>
    </row>
    <row r="3173" spans="14:26" ht="31.4" customHeight="1" x14ac:dyDescent="0.35">
      <c r="N3173" s="20"/>
      <c r="P3173" s="8"/>
      <c r="Q3173" s="8"/>
      <c r="R3173" s="8"/>
      <c r="S3173" s="8"/>
      <c r="U3173" s="6"/>
      <c r="V3173" s="6"/>
      <c r="W3173" s="6"/>
      <c r="X3173" s="6"/>
      <c r="Y3173" s="6"/>
      <c r="Z3173" s="6"/>
    </row>
    <row r="3174" spans="14:26" ht="31.4" customHeight="1" x14ac:dyDescent="0.35">
      <c r="N3174" s="20"/>
      <c r="P3174" s="8"/>
      <c r="Q3174" s="8"/>
      <c r="R3174" s="8"/>
      <c r="S3174" s="8"/>
      <c r="U3174" s="6"/>
      <c r="V3174" s="6"/>
      <c r="W3174" s="6"/>
      <c r="X3174" s="6"/>
      <c r="Y3174" s="6"/>
      <c r="Z3174" s="6"/>
    </row>
    <row r="3175" spans="14:26" ht="31.4" customHeight="1" x14ac:dyDescent="0.35">
      <c r="N3175" s="20"/>
      <c r="P3175" s="8"/>
      <c r="Q3175" s="8"/>
      <c r="R3175" s="8"/>
      <c r="S3175" s="8"/>
      <c r="U3175" s="6"/>
      <c r="V3175" s="6"/>
      <c r="W3175" s="6"/>
      <c r="X3175" s="6"/>
      <c r="Y3175" s="6"/>
      <c r="Z3175" s="6"/>
    </row>
    <row r="3176" spans="14:26" ht="31.4" customHeight="1" x14ac:dyDescent="0.35">
      <c r="N3176" s="20"/>
      <c r="P3176" s="8"/>
      <c r="Q3176" s="8"/>
      <c r="R3176" s="8"/>
      <c r="S3176" s="8"/>
      <c r="U3176" s="6"/>
      <c r="V3176" s="6"/>
      <c r="W3176" s="6"/>
      <c r="X3176" s="6"/>
      <c r="Y3176" s="6"/>
      <c r="Z3176" s="6"/>
    </row>
    <row r="3177" spans="14:26" ht="31.4" customHeight="1" x14ac:dyDescent="0.35">
      <c r="N3177" s="20"/>
      <c r="P3177" s="8"/>
      <c r="Q3177" s="8"/>
      <c r="R3177" s="8"/>
      <c r="S3177" s="8"/>
      <c r="U3177" s="6"/>
      <c r="V3177" s="6"/>
      <c r="W3177" s="6"/>
      <c r="X3177" s="6"/>
      <c r="Y3177" s="6"/>
      <c r="Z3177" s="6"/>
    </row>
    <row r="3178" spans="14:26" ht="31.4" customHeight="1" x14ac:dyDescent="0.35">
      <c r="N3178" s="20"/>
      <c r="P3178" s="8"/>
      <c r="Q3178" s="8"/>
      <c r="R3178" s="8"/>
      <c r="S3178" s="8"/>
      <c r="U3178" s="6"/>
      <c r="V3178" s="6"/>
      <c r="W3178" s="6"/>
      <c r="X3178" s="6"/>
      <c r="Y3178" s="6"/>
      <c r="Z3178" s="6"/>
    </row>
    <row r="3179" spans="14:26" ht="31.4" customHeight="1" x14ac:dyDescent="0.35">
      <c r="N3179" s="20"/>
      <c r="P3179" s="8"/>
      <c r="Q3179" s="8"/>
      <c r="R3179" s="8"/>
      <c r="S3179" s="8"/>
      <c r="U3179" s="6"/>
      <c r="V3179" s="6"/>
      <c r="W3179" s="6"/>
      <c r="X3179" s="6"/>
      <c r="Y3179" s="6"/>
      <c r="Z3179" s="6"/>
    </row>
    <row r="3180" spans="14:26" ht="31.4" customHeight="1" x14ac:dyDescent="0.35">
      <c r="N3180" s="20"/>
      <c r="P3180" s="8"/>
      <c r="Q3180" s="8"/>
      <c r="R3180" s="8"/>
      <c r="S3180" s="8"/>
      <c r="U3180" s="6"/>
      <c r="V3180" s="6"/>
      <c r="W3180" s="6"/>
      <c r="X3180" s="6"/>
      <c r="Y3180" s="6"/>
      <c r="Z3180" s="6"/>
    </row>
    <row r="3181" spans="14:26" ht="31.4" customHeight="1" x14ac:dyDescent="0.35">
      <c r="N3181" s="20"/>
      <c r="P3181" s="8"/>
      <c r="Q3181" s="8"/>
      <c r="R3181" s="8"/>
      <c r="S3181" s="8"/>
      <c r="U3181" s="6"/>
      <c r="V3181" s="6"/>
      <c r="W3181" s="6"/>
      <c r="X3181" s="6"/>
      <c r="Y3181" s="6"/>
      <c r="Z3181" s="6"/>
    </row>
    <row r="3182" spans="14:26" ht="31.4" customHeight="1" x14ac:dyDescent="0.35">
      <c r="N3182" s="20"/>
      <c r="P3182" s="8"/>
      <c r="Q3182" s="8"/>
      <c r="R3182" s="8"/>
      <c r="S3182" s="8"/>
      <c r="U3182" s="6"/>
      <c r="V3182" s="6"/>
      <c r="W3182" s="6"/>
      <c r="X3182" s="6"/>
      <c r="Y3182" s="6"/>
      <c r="Z3182" s="6"/>
    </row>
    <row r="3183" spans="14:26" ht="31.4" customHeight="1" x14ac:dyDescent="0.35">
      <c r="N3183" s="20"/>
      <c r="P3183" s="8"/>
      <c r="Q3183" s="8"/>
      <c r="R3183" s="8"/>
      <c r="S3183" s="8"/>
      <c r="U3183" s="6"/>
      <c r="V3183" s="6"/>
      <c r="W3183" s="6"/>
      <c r="X3183" s="6"/>
      <c r="Y3183" s="6"/>
      <c r="Z3183" s="6"/>
    </row>
    <row r="3184" spans="14:26" ht="31.4" customHeight="1" x14ac:dyDescent="0.35">
      <c r="N3184" s="20"/>
      <c r="P3184" s="8"/>
      <c r="Q3184" s="8"/>
      <c r="R3184" s="8"/>
      <c r="S3184" s="8"/>
      <c r="U3184" s="6"/>
      <c r="V3184" s="6"/>
      <c r="W3184" s="6"/>
      <c r="X3184" s="6"/>
      <c r="Y3184" s="6"/>
      <c r="Z3184" s="6"/>
    </row>
    <row r="3185" spans="14:26" ht="31.4" customHeight="1" x14ac:dyDescent="0.35">
      <c r="N3185" s="20"/>
      <c r="P3185" s="8"/>
      <c r="Q3185" s="8"/>
      <c r="R3185" s="8"/>
      <c r="S3185" s="8"/>
      <c r="U3185" s="6"/>
      <c r="V3185" s="6"/>
      <c r="W3185" s="6"/>
      <c r="X3185" s="6"/>
      <c r="Y3185" s="6"/>
      <c r="Z3185" s="6"/>
    </row>
    <row r="3186" spans="14:26" ht="31.4" customHeight="1" x14ac:dyDescent="0.35">
      <c r="N3186" s="20"/>
      <c r="P3186" s="8"/>
      <c r="Q3186" s="8"/>
      <c r="R3186" s="8"/>
      <c r="S3186" s="8"/>
      <c r="U3186" s="6"/>
      <c r="V3186" s="6"/>
      <c r="W3186" s="6"/>
      <c r="X3186" s="6"/>
      <c r="Y3186" s="6"/>
      <c r="Z3186" s="6"/>
    </row>
    <row r="3187" spans="14:26" ht="31.4" customHeight="1" x14ac:dyDescent="0.35">
      <c r="N3187" s="20"/>
      <c r="P3187" s="8"/>
      <c r="Q3187" s="8"/>
      <c r="R3187" s="8"/>
      <c r="S3187" s="8"/>
      <c r="U3187" s="6"/>
      <c r="V3187" s="6"/>
      <c r="W3187" s="6"/>
      <c r="X3187" s="6"/>
      <c r="Y3187" s="6"/>
      <c r="Z3187" s="6"/>
    </row>
    <row r="3188" spans="14:26" ht="31.4" customHeight="1" x14ac:dyDescent="0.35">
      <c r="N3188" s="20"/>
      <c r="P3188" s="8"/>
      <c r="Q3188" s="8"/>
      <c r="R3188" s="8"/>
      <c r="S3188" s="8"/>
      <c r="U3188" s="6"/>
      <c r="V3188" s="6"/>
      <c r="W3188" s="6"/>
      <c r="X3188" s="6"/>
      <c r="Y3188" s="6"/>
      <c r="Z3188" s="6"/>
    </row>
    <row r="3189" spans="14:26" ht="31.4" customHeight="1" x14ac:dyDescent="0.35">
      <c r="N3189" s="20"/>
      <c r="P3189" s="8"/>
      <c r="Q3189" s="8"/>
      <c r="R3189" s="8"/>
      <c r="S3189" s="8"/>
      <c r="U3189" s="6"/>
      <c r="V3189" s="6"/>
      <c r="W3189" s="6"/>
      <c r="X3189" s="6"/>
      <c r="Y3189" s="6"/>
      <c r="Z3189" s="6"/>
    </row>
    <row r="3190" spans="14:26" ht="31.4" customHeight="1" x14ac:dyDescent="0.35">
      <c r="N3190" s="20"/>
      <c r="P3190" s="8"/>
      <c r="Q3190" s="8"/>
      <c r="R3190" s="8"/>
      <c r="S3190" s="8"/>
      <c r="U3190" s="6"/>
      <c r="V3190" s="6"/>
      <c r="W3190" s="6"/>
      <c r="X3190" s="6"/>
      <c r="Y3190" s="6"/>
      <c r="Z3190" s="6"/>
    </row>
    <row r="3191" spans="14:26" ht="31.4" customHeight="1" x14ac:dyDescent="0.35">
      <c r="N3191" s="20"/>
      <c r="P3191" s="8"/>
      <c r="Q3191" s="8"/>
      <c r="R3191" s="8"/>
      <c r="S3191" s="8"/>
      <c r="U3191" s="6"/>
      <c r="V3191" s="6"/>
      <c r="W3191" s="6"/>
      <c r="X3191" s="6"/>
      <c r="Y3191" s="6"/>
      <c r="Z3191" s="6"/>
    </row>
    <row r="3192" spans="14:26" ht="31.4" customHeight="1" x14ac:dyDescent="0.35">
      <c r="N3192" s="20"/>
      <c r="P3192" s="8"/>
      <c r="Q3192" s="8"/>
      <c r="R3192" s="8"/>
      <c r="S3192" s="8"/>
      <c r="U3192" s="6"/>
      <c r="V3192" s="6"/>
      <c r="W3192" s="6"/>
      <c r="X3192" s="6"/>
      <c r="Y3192" s="6"/>
      <c r="Z3192" s="6"/>
    </row>
    <row r="3193" spans="14:26" ht="31.4" customHeight="1" x14ac:dyDescent="0.35">
      <c r="N3193" s="20"/>
      <c r="P3193" s="8"/>
      <c r="Q3193" s="8"/>
      <c r="R3193" s="8"/>
      <c r="S3193" s="8"/>
      <c r="U3193" s="6"/>
      <c r="V3193" s="6"/>
      <c r="W3193" s="6"/>
      <c r="X3193" s="6"/>
      <c r="Y3193" s="6"/>
      <c r="Z3193" s="6"/>
    </row>
    <row r="3194" spans="14:26" ht="31.4" customHeight="1" x14ac:dyDescent="0.35">
      <c r="N3194" s="20"/>
      <c r="P3194" s="8"/>
      <c r="Q3194" s="8"/>
      <c r="R3194" s="8"/>
      <c r="S3194" s="8"/>
      <c r="U3194" s="6"/>
      <c r="V3194" s="6"/>
      <c r="W3194" s="6"/>
      <c r="X3194" s="6"/>
      <c r="Y3194" s="6"/>
      <c r="Z3194" s="6"/>
    </row>
    <row r="3195" spans="14:26" ht="31.4" customHeight="1" x14ac:dyDescent="0.35">
      <c r="N3195" s="20"/>
      <c r="P3195" s="8"/>
      <c r="Q3195" s="8"/>
      <c r="R3195" s="8"/>
      <c r="S3195" s="8"/>
      <c r="U3195" s="6"/>
      <c r="V3195" s="6"/>
      <c r="W3195" s="6"/>
      <c r="X3195" s="6"/>
      <c r="Y3195" s="6"/>
      <c r="Z3195" s="6"/>
    </row>
    <row r="3196" spans="14:26" ht="31.4" customHeight="1" x14ac:dyDescent="0.35">
      <c r="N3196" s="20"/>
      <c r="P3196" s="8"/>
      <c r="Q3196" s="8"/>
      <c r="R3196" s="8"/>
      <c r="S3196" s="8"/>
      <c r="U3196" s="6"/>
      <c r="V3196" s="6"/>
      <c r="W3196" s="6"/>
      <c r="X3196" s="6"/>
      <c r="Y3196" s="6"/>
      <c r="Z3196" s="6"/>
    </row>
    <row r="3197" spans="14:26" ht="31.4" customHeight="1" x14ac:dyDescent="0.35">
      <c r="N3197" s="20"/>
      <c r="P3197" s="8"/>
      <c r="Q3197" s="8"/>
      <c r="R3197" s="8"/>
      <c r="S3197" s="8"/>
      <c r="U3197" s="6"/>
      <c r="V3197" s="6"/>
      <c r="W3197" s="6"/>
      <c r="X3197" s="6"/>
      <c r="Y3197" s="6"/>
      <c r="Z3197" s="6"/>
    </row>
    <row r="3198" spans="14:26" ht="31.4" customHeight="1" x14ac:dyDescent="0.35">
      <c r="N3198" s="20"/>
      <c r="P3198" s="8"/>
      <c r="Q3198" s="8"/>
      <c r="R3198" s="8"/>
      <c r="S3198" s="8"/>
      <c r="U3198" s="6"/>
      <c r="V3198" s="6"/>
      <c r="W3198" s="6"/>
      <c r="X3198" s="6"/>
      <c r="Y3198" s="6"/>
      <c r="Z3198" s="6"/>
    </row>
    <row r="3199" spans="14:26" ht="31.4" customHeight="1" x14ac:dyDescent="0.35">
      <c r="N3199" s="20"/>
      <c r="P3199" s="8"/>
      <c r="Q3199" s="8"/>
      <c r="R3199" s="8"/>
      <c r="S3199" s="8"/>
      <c r="U3199" s="6"/>
      <c r="V3199" s="6"/>
      <c r="W3199" s="6"/>
      <c r="X3199" s="6"/>
      <c r="Y3199" s="6"/>
      <c r="Z3199" s="6"/>
    </row>
    <row r="3200" spans="14:26" ht="31.4" customHeight="1" x14ac:dyDescent="0.35">
      <c r="N3200" s="20"/>
      <c r="P3200" s="8"/>
      <c r="Q3200" s="8"/>
      <c r="R3200" s="8"/>
      <c r="S3200" s="8"/>
      <c r="U3200" s="6"/>
      <c r="V3200" s="6"/>
      <c r="W3200" s="6"/>
      <c r="X3200" s="6"/>
      <c r="Y3200" s="6"/>
      <c r="Z3200" s="6"/>
    </row>
    <row r="3201" spans="14:26" ht="31.4" customHeight="1" x14ac:dyDescent="0.35">
      <c r="N3201" s="20"/>
      <c r="P3201" s="8"/>
      <c r="Q3201" s="8"/>
      <c r="R3201" s="8"/>
      <c r="S3201" s="8"/>
      <c r="U3201" s="6"/>
      <c r="V3201" s="6"/>
      <c r="W3201" s="6"/>
      <c r="X3201" s="6"/>
      <c r="Y3201" s="6"/>
      <c r="Z3201" s="6"/>
    </row>
    <row r="3202" spans="14:26" ht="31.4" customHeight="1" x14ac:dyDescent="0.35">
      <c r="N3202" s="20"/>
      <c r="P3202" s="8"/>
      <c r="Q3202" s="8"/>
      <c r="R3202" s="8"/>
      <c r="S3202" s="8"/>
      <c r="U3202" s="6"/>
      <c r="V3202" s="6"/>
      <c r="W3202" s="6"/>
      <c r="X3202" s="6"/>
      <c r="Y3202" s="6"/>
      <c r="Z3202" s="6"/>
    </row>
    <row r="3203" spans="14:26" ht="31.4" customHeight="1" x14ac:dyDescent="0.35">
      <c r="N3203" s="20"/>
      <c r="P3203" s="8"/>
      <c r="Q3203" s="8"/>
      <c r="R3203" s="8"/>
      <c r="S3203" s="8"/>
      <c r="U3203" s="6"/>
      <c r="V3203" s="6"/>
      <c r="W3203" s="6"/>
      <c r="X3203" s="6"/>
      <c r="Y3203" s="6"/>
      <c r="Z3203" s="6"/>
    </row>
    <row r="3204" spans="14:26" ht="31.4" customHeight="1" x14ac:dyDescent="0.35">
      <c r="N3204" s="20"/>
      <c r="P3204" s="8"/>
      <c r="Q3204" s="8"/>
      <c r="R3204" s="8"/>
      <c r="S3204" s="8"/>
      <c r="U3204" s="6"/>
      <c r="V3204" s="6"/>
      <c r="W3204" s="6"/>
      <c r="X3204" s="6"/>
      <c r="Y3204" s="6"/>
      <c r="Z3204" s="6"/>
    </row>
    <row r="3205" spans="14:26" ht="31.4" customHeight="1" x14ac:dyDescent="0.35">
      <c r="N3205" s="20"/>
      <c r="P3205" s="8"/>
      <c r="Q3205" s="8"/>
      <c r="R3205" s="8"/>
      <c r="S3205" s="8"/>
      <c r="U3205" s="6"/>
      <c r="V3205" s="6"/>
      <c r="W3205" s="6"/>
      <c r="X3205" s="6"/>
      <c r="Y3205" s="6"/>
      <c r="Z3205" s="6"/>
    </row>
    <row r="3206" spans="14:26" ht="31.4" customHeight="1" x14ac:dyDescent="0.35">
      <c r="N3206" s="20"/>
      <c r="P3206" s="8"/>
      <c r="Q3206" s="8"/>
      <c r="R3206" s="8"/>
      <c r="S3206" s="8"/>
      <c r="U3206" s="6"/>
      <c r="V3206" s="6"/>
      <c r="W3206" s="6"/>
      <c r="X3206" s="6"/>
      <c r="Y3206" s="6"/>
      <c r="Z3206" s="6"/>
    </row>
    <row r="3207" spans="14:26" ht="31.4" customHeight="1" x14ac:dyDescent="0.35">
      <c r="N3207" s="20"/>
      <c r="P3207" s="8"/>
      <c r="Q3207" s="8"/>
      <c r="R3207" s="8"/>
      <c r="S3207" s="8"/>
      <c r="U3207" s="6"/>
      <c r="V3207" s="6"/>
      <c r="W3207" s="6"/>
      <c r="X3207" s="6"/>
      <c r="Y3207" s="6"/>
      <c r="Z3207" s="6"/>
    </row>
    <row r="3208" spans="14:26" ht="31.4" customHeight="1" x14ac:dyDescent="0.35">
      <c r="N3208" s="20"/>
      <c r="P3208" s="8"/>
      <c r="Q3208" s="8"/>
      <c r="R3208" s="8"/>
      <c r="S3208" s="8"/>
      <c r="U3208" s="6"/>
      <c r="V3208" s="6"/>
      <c r="W3208" s="6"/>
      <c r="X3208" s="6"/>
      <c r="Y3208" s="6"/>
      <c r="Z3208" s="6"/>
    </row>
    <row r="3209" spans="14:26" ht="31.4" customHeight="1" x14ac:dyDescent="0.35">
      <c r="N3209" s="20"/>
      <c r="P3209" s="8"/>
      <c r="Q3209" s="8"/>
      <c r="R3209" s="8"/>
      <c r="S3209" s="8"/>
      <c r="U3209" s="6"/>
      <c r="V3209" s="6"/>
      <c r="W3209" s="6"/>
      <c r="X3209" s="6"/>
      <c r="Y3209" s="6"/>
      <c r="Z3209" s="6"/>
    </row>
    <row r="3210" spans="14:26" ht="31.4" customHeight="1" x14ac:dyDescent="0.35">
      <c r="N3210" s="20"/>
      <c r="P3210" s="8"/>
      <c r="Q3210" s="8"/>
      <c r="R3210" s="8"/>
      <c r="S3210" s="8"/>
      <c r="U3210" s="6"/>
      <c r="V3210" s="6"/>
      <c r="W3210" s="6"/>
      <c r="X3210" s="6"/>
      <c r="Y3210" s="6"/>
      <c r="Z3210" s="6"/>
    </row>
    <row r="3211" spans="14:26" ht="31.4" customHeight="1" x14ac:dyDescent="0.35">
      <c r="N3211" s="20"/>
      <c r="P3211" s="8"/>
      <c r="Q3211" s="8"/>
      <c r="R3211" s="8"/>
      <c r="S3211" s="8"/>
      <c r="U3211" s="6"/>
      <c r="V3211" s="6"/>
      <c r="W3211" s="6"/>
      <c r="X3211" s="6"/>
      <c r="Y3211" s="6"/>
      <c r="Z3211" s="6"/>
    </row>
    <row r="3212" spans="14:26" ht="31.4" customHeight="1" x14ac:dyDescent="0.35">
      <c r="N3212" s="20"/>
      <c r="P3212" s="8"/>
      <c r="Q3212" s="8"/>
      <c r="R3212" s="8"/>
      <c r="S3212" s="8"/>
      <c r="U3212" s="6"/>
      <c r="V3212" s="6"/>
      <c r="W3212" s="6"/>
      <c r="X3212" s="6"/>
      <c r="Y3212" s="6"/>
      <c r="Z3212" s="6"/>
    </row>
    <row r="3213" spans="14:26" ht="31.4" customHeight="1" x14ac:dyDescent="0.35">
      <c r="N3213" s="20"/>
      <c r="P3213" s="8"/>
      <c r="Q3213" s="8"/>
      <c r="R3213" s="8"/>
      <c r="S3213" s="8"/>
      <c r="U3213" s="6"/>
      <c r="V3213" s="6"/>
      <c r="W3213" s="6"/>
      <c r="X3213" s="6"/>
      <c r="Y3213" s="6"/>
      <c r="Z3213" s="6"/>
    </row>
    <row r="3214" spans="14:26" ht="31.4" customHeight="1" x14ac:dyDescent="0.35">
      <c r="N3214" s="20"/>
      <c r="P3214" s="8"/>
      <c r="Q3214" s="8"/>
      <c r="R3214" s="8"/>
      <c r="S3214" s="8"/>
      <c r="U3214" s="6"/>
      <c r="V3214" s="6"/>
      <c r="W3214" s="6"/>
      <c r="X3214" s="6"/>
      <c r="Y3214" s="6"/>
      <c r="Z3214" s="6"/>
    </row>
    <row r="3215" spans="14:26" ht="31.4" customHeight="1" x14ac:dyDescent="0.35">
      <c r="N3215" s="20"/>
      <c r="P3215" s="8"/>
      <c r="Q3215" s="8"/>
      <c r="R3215" s="8"/>
      <c r="S3215" s="8"/>
      <c r="U3215" s="6"/>
      <c r="V3215" s="6"/>
      <c r="W3215" s="6"/>
      <c r="X3215" s="6"/>
      <c r="Y3215" s="6"/>
      <c r="Z3215" s="6"/>
    </row>
    <row r="3216" spans="14:26" ht="31.4" customHeight="1" x14ac:dyDescent="0.35">
      <c r="N3216" s="20"/>
      <c r="P3216" s="8"/>
      <c r="Q3216" s="8"/>
      <c r="R3216" s="8"/>
      <c r="S3216" s="8"/>
      <c r="U3216" s="6"/>
      <c r="V3216" s="6"/>
      <c r="W3216" s="6"/>
      <c r="X3216" s="6"/>
      <c r="Y3216" s="6"/>
      <c r="Z3216" s="6"/>
    </row>
    <row r="3217" spans="14:26" ht="31.4" customHeight="1" x14ac:dyDescent="0.35">
      <c r="N3217" s="20"/>
      <c r="P3217" s="8"/>
      <c r="Q3217" s="8"/>
      <c r="R3217" s="8"/>
      <c r="S3217" s="8"/>
      <c r="U3217" s="6"/>
      <c r="V3217" s="6"/>
      <c r="W3217" s="6"/>
      <c r="X3217" s="6"/>
      <c r="Y3217" s="6"/>
      <c r="Z3217" s="6"/>
    </row>
    <row r="3218" spans="14:26" ht="31.4" customHeight="1" x14ac:dyDescent="0.35">
      <c r="N3218" s="20"/>
      <c r="P3218" s="8"/>
      <c r="Q3218" s="8"/>
      <c r="R3218" s="8"/>
      <c r="S3218" s="8"/>
      <c r="U3218" s="6"/>
      <c r="V3218" s="6"/>
      <c r="W3218" s="6"/>
      <c r="X3218" s="6"/>
      <c r="Y3218" s="6"/>
      <c r="Z3218" s="6"/>
    </row>
    <row r="3219" spans="14:26" ht="31.4" customHeight="1" x14ac:dyDescent="0.35">
      <c r="N3219" s="20"/>
      <c r="P3219" s="8"/>
      <c r="Q3219" s="8"/>
      <c r="R3219" s="8"/>
      <c r="S3219" s="8"/>
      <c r="U3219" s="6"/>
      <c r="V3219" s="6"/>
      <c r="W3219" s="6"/>
      <c r="X3219" s="6"/>
      <c r="Y3219" s="6"/>
      <c r="Z3219" s="6"/>
    </row>
    <row r="3220" spans="14:26" ht="31.4" customHeight="1" x14ac:dyDescent="0.35">
      <c r="N3220" s="20"/>
      <c r="P3220" s="8"/>
      <c r="Q3220" s="8"/>
      <c r="R3220" s="8"/>
      <c r="S3220" s="8"/>
      <c r="U3220" s="6"/>
      <c r="V3220" s="6"/>
      <c r="W3220" s="6"/>
      <c r="X3220" s="6"/>
      <c r="Y3220" s="6"/>
      <c r="Z3220" s="6"/>
    </row>
    <row r="3221" spans="14:26" ht="31.4" customHeight="1" x14ac:dyDescent="0.35">
      <c r="N3221" s="20"/>
      <c r="P3221" s="8"/>
      <c r="Q3221" s="8"/>
      <c r="R3221" s="8"/>
      <c r="S3221" s="8"/>
      <c r="U3221" s="6"/>
      <c r="V3221" s="6"/>
      <c r="W3221" s="6"/>
      <c r="X3221" s="6"/>
      <c r="Y3221" s="6"/>
      <c r="Z3221" s="6"/>
    </row>
    <row r="3222" spans="14:26" ht="31.4" customHeight="1" x14ac:dyDescent="0.35">
      <c r="N3222" s="20"/>
      <c r="P3222" s="8"/>
      <c r="Q3222" s="8"/>
      <c r="R3222" s="8"/>
      <c r="S3222" s="8"/>
      <c r="U3222" s="6"/>
      <c r="V3222" s="6"/>
      <c r="W3222" s="6"/>
      <c r="X3222" s="6"/>
      <c r="Y3222" s="6"/>
      <c r="Z3222" s="6"/>
    </row>
    <row r="3223" spans="14:26" ht="31.4" customHeight="1" x14ac:dyDescent="0.35">
      <c r="N3223" s="20"/>
      <c r="P3223" s="8"/>
      <c r="Q3223" s="8"/>
      <c r="R3223" s="8"/>
      <c r="S3223" s="8"/>
      <c r="U3223" s="6"/>
      <c r="V3223" s="6"/>
      <c r="W3223" s="6"/>
      <c r="X3223" s="6"/>
      <c r="Y3223" s="6"/>
      <c r="Z3223" s="6"/>
    </row>
    <row r="3224" spans="14:26" ht="31.4" customHeight="1" x14ac:dyDescent="0.35">
      <c r="N3224" s="20"/>
      <c r="P3224" s="8"/>
      <c r="Q3224" s="8"/>
      <c r="R3224" s="8"/>
      <c r="S3224" s="8"/>
      <c r="U3224" s="6"/>
      <c r="V3224" s="6"/>
      <c r="W3224" s="6"/>
      <c r="X3224" s="6"/>
      <c r="Y3224" s="6"/>
      <c r="Z3224" s="6"/>
    </row>
    <row r="3225" spans="14:26" ht="31.4" customHeight="1" x14ac:dyDescent="0.35">
      <c r="N3225" s="20"/>
      <c r="P3225" s="8"/>
      <c r="Q3225" s="8"/>
      <c r="R3225" s="8"/>
      <c r="S3225" s="8"/>
      <c r="U3225" s="6"/>
      <c r="V3225" s="6"/>
      <c r="W3225" s="6"/>
      <c r="X3225" s="6"/>
      <c r="Y3225" s="6"/>
      <c r="Z3225" s="6"/>
    </row>
    <row r="3226" spans="14:26" ht="31.4" customHeight="1" x14ac:dyDescent="0.35">
      <c r="N3226" s="20"/>
      <c r="P3226" s="8"/>
      <c r="Q3226" s="8"/>
      <c r="R3226" s="8"/>
      <c r="S3226" s="8"/>
      <c r="U3226" s="6"/>
      <c r="V3226" s="6"/>
      <c r="W3226" s="6"/>
      <c r="X3226" s="6"/>
      <c r="Y3226" s="6"/>
      <c r="Z3226" s="6"/>
    </row>
    <row r="3227" spans="14:26" ht="31.4" customHeight="1" x14ac:dyDescent="0.35">
      <c r="N3227" s="20"/>
      <c r="P3227" s="8"/>
      <c r="Q3227" s="8"/>
      <c r="R3227" s="8"/>
      <c r="S3227" s="8"/>
      <c r="U3227" s="6"/>
      <c r="V3227" s="6"/>
      <c r="W3227" s="6"/>
      <c r="X3227" s="6"/>
      <c r="Y3227" s="6"/>
      <c r="Z3227" s="6"/>
    </row>
    <row r="3228" spans="14:26" ht="31.4" customHeight="1" x14ac:dyDescent="0.35">
      <c r="N3228" s="20"/>
      <c r="P3228" s="8"/>
      <c r="Q3228" s="8"/>
      <c r="R3228" s="8"/>
      <c r="S3228" s="8"/>
      <c r="U3228" s="6"/>
      <c r="V3228" s="6"/>
      <c r="W3228" s="6"/>
      <c r="X3228" s="6"/>
      <c r="Y3228" s="6"/>
      <c r="Z3228" s="6"/>
    </row>
    <row r="3229" spans="14:26" ht="31.4" customHeight="1" x14ac:dyDescent="0.35">
      <c r="N3229" s="20"/>
      <c r="P3229" s="8"/>
      <c r="Q3229" s="8"/>
      <c r="R3229" s="8"/>
      <c r="S3229" s="8"/>
      <c r="U3229" s="6"/>
      <c r="V3229" s="6"/>
      <c r="W3229" s="6"/>
      <c r="X3229" s="6"/>
      <c r="Y3229" s="6"/>
      <c r="Z3229" s="6"/>
    </row>
    <row r="3230" spans="14:26" ht="31.4" customHeight="1" x14ac:dyDescent="0.35">
      <c r="N3230" s="20"/>
      <c r="P3230" s="8"/>
      <c r="Q3230" s="8"/>
      <c r="R3230" s="8"/>
      <c r="S3230" s="8"/>
      <c r="U3230" s="6"/>
      <c r="V3230" s="6"/>
      <c r="W3230" s="6"/>
      <c r="X3230" s="6"/>
      <c r="Y3230" s="6"/>
      <c r="Z3230" s="6"/>
    </row>
    <row r="3231" spans="14:26" ht="31.4" customHeight="1" x14ac:dyDescent="0.35">
      <c r="N3231" s="20"/>
      <c r="P3231" s="8"/>
      <c r="Q3231" s="8"/>
      <c r="R3231" s="8"/>
      <c r="S3231" s="8"/>
      <c r="U3231" s="6"/>
      <c r="V3231" s="6"/>
      <c r="W3231" s="6"/>
      <c r="X3231" s="6"/>
      <c r="Y3231" s="6"/>
      <c r="Z3231" s="6"/>
    </row>
    <row r="3232" spans="14:26" ht="31.4" customHeight="1" x14ac:dyDescent="0.35">
      <c r="N3232" s="20"/>
      <c r="P3232" s="8"/>
      <c r="Q3232" s="8"/>
      <c r="R3232" s="8"/>
      <c r="S3232" s="8"/>
      <c r="U3232" s="6"/>
      <c r="V3232" s="6"/>
      <c r="W3232" s="6"/>
      <c r="X3232" s="6"/>
      <c r="Y3232" s="6"/>
      <c r="Z3232" s="6"/>
    </row>
    <row r="3233" spans="14:26" ht="31.4" customHeight="1" x14ac:dyDescent="0.35">
      <c r="N3233" s="20"/>
      <c r="P3233" s="8"/>
      <c r="Q3233" s="8"/>
      <c r="R3233" s="8"/>
      <c r="S3233" s="8"/>
      <c r="U3233" s="6"/>
      <c r="V3233" s="6"/>
      <c r="W3233" s="6"/>
      <c r="X3233" s="6"/>
      <c r="Y3233" s="6"/>
      <c r="Z3233" s="6"/>
    </row>
    <row r="3234" spans="14:26" ht="31.4" customHeight="1" x14ac:dyDescent="0.35">
      <c r="N3234" s="20"/>
      <c r="P3234" s="8"/>
      <c r="Q3234" s="8"/>
      <c r="R3234" s="8"/>
      <c r="S3234" s="8"/>
      <c r="U3234" s="6"/>
      <c r="V3234" s="6"/>
      <c r="W3234" s="6"/>
      <c r="X3234" s="6"/>
      <c r="Y3234" s="6"/>
      <c r="Z3234" s="6"/>
    </row>
    <row r="3235" spans="14:26" ht="31.4" customHeight="1" x14ac:dyDescent="0.35">
      <c r="N3235" s="20"/>
      <c r="P3235" s="8"/>
      <c r="Q3235" s="8"/>
      <c r="R3235" s="8"/>
      <c r="S3235" s="8"/>
      <c r="U3235" s="6"/>
      <c r="V3235" s="6"/>
      <c r="W3235" s="6"/>
      <c r="X3235" s="6"/>
      <c r="Y3235" s="6"/>
      <c r="Z3235" s="6"/>
    </row>
    <row r="3236" spans="14:26" ht="31.4" customHeight="1" x14ac:dyDescent="0.35">
      <c r="N3236" s="20"/>
      <c r="P3236" s="8"/>
      <c r="Q3236" s="8"/>
      <c r="R3236" s="8"/>
      <c r="S3236" s="8"/>
      <c r="U3236" s="6"/>
      <c r="V3236" s="6"/>
      <c r="W3236" s="6"/>
      <c r="X3236" s="6"/>
      <c r="Y3236" s="6"/>
      <c r="Z3236" s="6"/>
    </row>
    <row r="3237" spans="14:26" ht="31.4" customHeight="1" x14ac:dyDescent="0.35">
      <c r="N3237" s="20"/>
      <c r="P3237" s="8"/>
      <c r="Q3237" s="8"/>
      <c r="R3237" s="8"/>
      <c r="S3237" s="8"/>
      <c r="U3237" s="6"/>
      <c r="V3237" s="6"/>
      <c r="W3237" s="6"/>
      <c r="X3237" s="6"/>
      <c r="Y3237" s="6"/>
      <c r="Z3237" s="6"/>
    </row>
    <row r="3238" spans="14:26" ht="31.4" customHeight="1" x14ac:dyDescent="0.35">
      <c r="N3238" s="20"/>
      <c r="P3238" s="8"/>
      <c r="Q3238" s="8"/>
      <c r="R3238" s="8"/>
      <c r="S3238" s="8"/>
      <c r="U3238" s="6"/>
      <c r="V3238" s="6"/>
      <c r="W3238" s="6"/>
      <c r="X3238" s="6"/>
      <c r="Y3238" s="6"/>
      <c r="Z3238" s="6"/>
    </row>
    <row r="3239" spans="14:26" ht="31.4" customHeight="1" x14ac:dyDescent="0.35">
      <c r="N3239" s="20"/>
      <c r="P3239" s="8"/>
      <c r="Q3239" s="8"/>
      <c r="R3239" s="8"/>
      <c r="S3239" s="8"/>
      <c r="U3239" s="6"/>
      <c r="V3239" s="6"/>
      <c r="W3239" s="6"/>
      <c r="X3239" s="6"/>
      <c r="Y3239" s="6"/>
      <c r="Z3239" s="6"/>
    </row>
    <row r="3240" spans="14:26" ht="31.4" customHeight="1" x14ac:dyDescent="0.35">
      <c r="N3240" s="20"/>
      <c r="P3240" s="8"/>
      <c r="Q3240" s="8"/>
      <c r="R3240" s="8"/>
      <c r="S3240" s="8"/>
      <c r="U3240" s="6"/>
      <c r="V3240" s="6"/>
      <c r="W3240" s="6"/>
      <c r="X3240" s="6"/>
      <c r="Y3240" s="6"/>
      <c r="Z3240" s="6"/>
    </row>
    <row r="3241" spans="14:26" ht="31.4" customHeight="1" x14ac:dyDescent="0.35">
      <c r="N3241" s="20"/>
      <c r="P3241" s="8"/>
      <c r="Q3241" s="8"/>
      <c r="R3241" s="8"/>
      <c r="S3241" s="8"/>
      <c r="U3241" s="6"/>
      <c r="V3241" s="6"/>
      <c r="W3241" s="6"/>
      <c r="X3241" s="6"/>
      <c r="Y3241" s="6"/>
      <c r="Z3241" s="6"/>
    </row>
    <row r="3242" spans="14:26" ht="31.4" customHeight="1" x14ac:dyDescent="0.35">
      <c r="N3242" s="20"/>
      <c r="P3242" s="8"/>
      <c r="Q3242" s="8"/>
      <c r="R3242" s="8"/>
      <c r="S3242" s="8"/>
      <c r="U3242" s="6"/>
      <c r="V3242" s="6"/>
      <c r="W3242" s="6"/>
      <c r="X3242" s="6"/>
      <c r="Y3242" s="6"/>
      <c r="Z3242" s="6"/>
    </row>
    <row r="3243" spans="14:26" ht="31.4" customHeight="1" x14ac:dyDescent="0.35">
      <c r="N3243" s="20"/>
      <c r="P3243" s="8"/>
      <c r="Q3243" s="8"/>
      <c r="R3243" s="8"/>
      <c r="S3243" s="8"/>
      <c r="U3243" s="6"/>
      <c r="V3243" s="6"/>
      <c r="W3243" s="6"/>
      <c r="X3243" s="6"/>
      <c r="Y3243" s="6"/>
      <c r="Z3243" s="6"/>
    </row>
    <row r="3244" spans="14:26" ht="31.4" customHeight="1" x14ac:dyDescent="0.35">
      <c r="N3244" s="20"/>
      <c r="P3244" s="8"/>
      <c r="Q3244" s="8"/>
      <c r="R3244" s="8"/>
      <c r="S3244" s="8"/>
      <c r="U3244" s="6"/>
      <c r="V3244" s="6"/>
      <c r="W3244" s="6"/>
      <c r="X3244" s="6"/>
      <c r="Y3244" s="6"/>
      <c r="Z3244" s="6"/>
    </row>
    <row r="3245" spans="14:26" ht="31.4" customHeight="1" x14ac:dyDescent="0.35">
      <c r="N3245" s="20"/>
      <c r="P3245" s="8"/>
      <c r="Q3245" s="8"/>
      <c r="R3245" s="8"/>
      <c r="S3245" s="8"/>
      <c r="U3245" s="6"/>
      <c r="V3245" s="6"/>
      <c r="W3245" s="6"/>
      <c r="X3245" s="6"/>
      <c r="Y3245" s="6"/>
      <c r="Z3245" s="6"/>
    </row>
    <row r="3246" spans="14:26" ht="31.4" customHeight="1" x14ac:dyDescent="0.35">
      <c r="N3246" s="20"/>
      <c r="P3246" s="8"/>
      <c r="Q3246" s="8"/>
      <c r="R3246" s="8"/>
      <c r="S3246" s="8"/>
      <c r="U3246" s="6"/>
      <c r="V3246" s="6"/>
      <c r="W3246" s="6"/>
      <c r="X3246" s="6"/>
      <c r="Y3246" s="6"/>
      <c r="Z3246" s="6"/>
    </row>
    <row r="3247" spans="14:26" ht="31.4" customHeight="1" x14ac:dyDescent="0.35">
      <c r="N3247" s="20"/>
      <c r="P3247" s="8"/>
      <c r="Q3247" s="8"/>
      <c r="R3247" s="8"/>
      <c r="S3247" s="8"/>
      <c r="U3247" s="6"/>
      <c r="V3247" s="6"/>
      <c r="W3247" s="6"/>
      <c r="X3247" s="6"/>
      <c r="Y3247" s="6"/>
      <c r="Z3247" s="6"/>
    </row>
    <row r="3248" spans="14:26" ht="31.4" customHeight="1" x14ac:dyDescent="0.35">
      <c r="N3248" s="20"/>
      <c r="P3248" s="8"/>
      <c r="Q3248" s="8"/>
      <c r="R3248" s="8"/>
      <c r="S3248" s="8"/>
      <c r="U3248" s="6"/>
      <c r="V3248" s="6"/>
      <c r="W3248" s="6"/>
      <c r="X3248" s="6"/>
      <c r="Y3248" s="6"/>
      <c r="Z3248" s="6"/>
    </row>
    <row r="3249" spans="14:26" ht="31.4" customHeight="1" x14ac:dyDescent="0.35">
      <c r="N3249" s="20"/>
      <c r="P3249" s="8"/>
      <c r="Q3249" s="8"/>
      <c r="R3249" s="8"/>
      <c r="S3249" s="8"/>
      <c r="U3249" s="6"/>
      <c r="V3249" s="6"/>
      <c r="W3249" s="6"/>
      <c r="X3249" s="6"/>
      <c r="Y3249" s="6"/>
      <c r="Z3249" s="6"/>
    </row>
    <row r="3250" spans="14:26" ht="31.4" customHeight="1" x14ac:dyDescent="0.35">
      <c r="N3250" s="20"/>
      <c r="P3250" s="8"/>
      <c r="Q3250" s="8"/>
      <c r="R3250" s="8"/>
      <c r="S3250" s="8"/>
      <c r="U3250" s="6"/>
      <c r="V3250" s="6"/>
      <c r="W3250" s="6"/>
      <c r="X3250" s="6"/>
      <c r="Y3250" s="6"/>
      <c r="Z3250" s="6"/>
    </row>
    <row r="3251" spans="14:26" ht="31.4" customHeight="1" x14ac:dyDescent="0.35">
      <c r="N3251" s="20"/>
      <c r="P3251" s="8"/>
      <c r="Q3251" s="8"/>
      <c r="R3251" s="8"/>
      <c r="S3251" s="8"/>
      <c r="U3251" s="6"/>
      <c r="V3251" s="6"/>
      <c r="W3251" s="6"/>
      <c r="X3251" s="6"/>
      <c r="Y3251" s="6"/>
      <c r="Z3251" s="6"/>
    </row>
    <row r="3252" spans="14:26" ht="31.4" customHeight="1" x14ac:dyDescent="0.35">
      <c r="N3252" s="20"/>
      <c r="P3252" s="8"/>
      <c r="Q3252" s="8"/>
      <c r="R3252" s="8"/>
      <c r="S3252" s="8"/>
      <c r="U3252" s="6"/>
      <c r="V3252" s="6"/>
      <c r="W3252" s="6"/>
      <c r="X3252" s="6"/>
      <c r="Y3252" s="6"/>
      <c r="Z3252" s="6"/>
    </row>
    <row r="3253" spans="14:26" ht="31.4" customHeight="1" x14ac:dyDescent="0.35">
      <c r="N3253" s="20"/>
      <c r="P3253" s="8"/>
      <c r="Q3253" s="8"/>
      <c r="R3253" s="8"/>
      <c r="S3253" s="8"/>
      <c r="U3253" s="6"/>
      <c r="V3253" s="6"/>
      <c r="W3253" s="6"/>
      <c r="X3253" s="6"/>
      <c r="Y3253" s="6"/>
      <c r="Z3253" s="6"/>
    </row>
    <row r="3254" spans="14:26" ht="31.4" customHeight="1" x14ac:dyDescent="0.35">
      <c r="N3254" s="20"/>
      <c r="P3254" s="8"/>
      <c r="Q3254" s="8"/>
      <c r="R3254" s="8"/>
      <c r="S3254" s="8"/>
      <c r="U3254" s="6"/>
      <c r="V3254" s="6"/>
      <c r="W3254" s="6"/>
      <c r="X3254" s="6"/>
      <c r="Y3254" s="6"/>
      <c r="Z3254" s="6"/>
    </row>
    <row r="3255" spans="14:26" ht="31.4" customHeight="1" x14ac:dyDescent="0.35">
      <c r="N3255" s="20"/>
      <c r="P3255" s="8"/>
      <c r="Q3255" s="8"/>
      <c r="R3255" s="8"/>
      <c r="S3255" s="8"/>
      <c r="U3255" s="6"/>
      <c r="V3255" s="6"/>
      <c r="W3255" s="6"/>
      <c r="X3255" s="6"/>
      <c r="Y3255" s="6"/>
      <c r="Z3255" s="6"/>
    </row>
    <row r="3256" spans="14:26" ht="31.4" customHeight="1" x14ac:dyDescent="0.35">
      <c r="N3256" s="20"/>
      <c r="P3256" s="8"/>
      <c r="Q3256" s="8"/>
      <c r="R3256" s="8"/>
      <c r="S3256" s="8"/>
      <c r="U3256" s="6"/>
      <c r="V3256" s="6"/>
      <c r="W3256" s="6"/>
      <c r="X3256" s="6"/>
      <c r="Y3256" s="6"/>
      <c r="Z3256" s="6"/>
    </row>
    <row r="3257" spans="14:26" ht="31.4" customHeight="1" x14ac:dyDescent="0.35">
      <c r="N3257" s="20"/>
      <c r="P3257" s="8"/>
      <c r="Q3257" s="8"/>
      <c r="R3257" s="8"/>
      <c r="S3257" s="8"/>
      <c r="U3257" s="6"/>
      <c r="V3257" s="6"/>
      <c r="W3257" s="6"/>
      <c r="X3257" s="6"/>
      <c r="Y3257" s="6"/>
      <c r="Z3257" s="6"/>
    </row>
    <row r="3258" spans="14:26" ht="31.4" customHeight="1" x14ac:dyDescent="0.35">
      <c r="N3258" s="20"/>
      <c r="P3258" s="8"/>
      <c r="Q3258" s="8"/>
      <c r="R3258" s="8"/>
      <c r="S3258" s="8"/>
      <c r="U3258" s="6"/>
      <c r="V3258" s="6"/>
      <c r="W3258" s="6"/>
      <c r="X3258" s="6"/>
      <c r="Y3258" s="6"/>
      <c r="Z3258" s="6"/>
    </row>
    <row r="3259" spans="14:26" ht="31.4" customHeight="1" x14ac:dyDescent="0.35">
      <c r="N3259" s="20"/>
      <c r="P3259" s="8"/>
      <c r="Q3259" s="8"/>
      <c r="R3259" s="8"/>
      <c r="S3259" s="8"/>
      <c r="U3259" s="6"/>
      <c r="V3259" s="6"/>
      <c r="W3259" s="6"/>
      <c r="X3259" s="6"/>
      <c r="Y3259" s="6"/>
      <c r="Z3259" s="6"/>
    </row>
    <row r="3260" spans="14:26" ht="31.4" customHeight="1" x14ac:dyDescent="0.35">
      <c r="N3260" s="20"/>
      <c r="P3260" s="8"/>
      <c r="Q3260" s="8"/>
      <c r="R3260" s="8"/>
      <c r="S3260" s="8"/>
      <c r="U3260" s="6"/>
      <c r="V3260" s="6"/>
      <c r="W3260" s="6"/>
      <c r="X3260" s="6"/>
      <c r="Y3260" s="6"/>
      <c r="Z3260" s="6"/>
    </row>
    <row r="3261" spans="14:26" ht="31.4" customHeight="1" x14ac:dyDescent="0.35">
      <c r="N3261" s="20"/>
      <c r="P3261" s="8"/>
      <c r="Q3261" s="8"/>
      <c r="R3261" s="8"/>
      <c r="S3261" s="8"/>
      <c r="U3261" s="6"/>
      <c r="V3261" s="6"/>
      <c r="W3261" s="6"/>
      <c r="X3261" s="6"/>
      <c r="Y3261" s="6"/>
      <c r="Z3261" s="6"/>
    </row>
    <row r="3262" spans="14:26" ht="31.4" customHeight="1" x14ac:dyDescent="0.35">
      <c r="N3262" s="20"/>
      <c r="P3262" s="8"/>
      <c r="Q3262" s="8"/>
      <c r="R3262" s="8"/>
      <c r="S3262" s="8"/>
      <c r="U3262" s="6"/>
      <c r="V3262" s="6"/>
      <c r="W3262" s="6"/>
      <c r="X3262" s="6"/>
      <c r="Y3262" s="6"/>
      <c r="Z3262" s="6"/>
    </row>
    <row r="3263" spans="14:26" ht="31.4" customHeight="1" x14ac:dyDescent="0.35">
      <c r="N3263" s="20"/>
      <c r="P3263" s="8"/>
      <c r="Q3263" s="8"/>
      <c r="R3263" s="8"/>
      <c r="S3263" s="8"/>
      <c r="U3263" s="6"/>
      <c r="V3263" s="6"/>
      <c r="W3263" s="6"/>
      <c r="X3263" s="6"/>
      <c r="Y3263" s="6"/>
      <c r="Z3263" s="6"/>
    </row>
    <row r="3264" spans="14:26" ht="31.4" customHeight="1" x14ac:dyDescent="0.35">
      <c r="N3264" s="20"/>
      <c r="P3264" s="8"/>
      <c r="Q3264" s="8"/>
      <c r="R3264" s="8"/>
      <c r="S3264" s="8"/>
      <c r="U3264" s="6"/>
      <c r="V3264" s="6"/>
      <c r="W3264" s="6"/>
      <c r="X3264" s="6"/>
      <c r="Y3264" s="6"/>
      <c r="Z3264" s="6"/>
    </row>
    <row r="3265" spans="14:26" ht="31.4" customHeight="1" x14ac:dyDescent="0.35">
      <c r="N3265" s="20"/>
      <c r="P3265" s="8"/>
      <c r="Q3265" s="8"/>
      <c r="R3265" s="8"/>
      <c r="S3265" s="8"/>
      <c r="U3265" s="6"/>
      <c r="V3265" s="6"/>
      <c r="W3265" s="6"/>
      <c r="X3265" s="6"/>
      <c r="Y3265" s="6"/>
      <c r="Z3265" s="6"/>
    </row>
    <row r="3266" spans="14:26" ht="31.4" customHeight="1" x14ac:dyDescent="0.35">
      <c r="N3266" s="20"/>
      <c r="P3266" s="8"/>
      <c r="Q3266" s="8"/>
      <c r="R3266" s="8"/>
      <c r="S3266" s="8"/>
      <c r="U3266" s="6"/>
      <c r="V3266" s="6"/>
      <c r="W3266" s="6"/>
      <c r="X3266" s="6"/>
      <c r="Y3266" s="6"/>
      <c r="Z3266" s="6"/>
    </row>
    <row r="3267" spans="14:26" ht="31.4" customHeight="1" x14ac:dyDescent="0.35">
      <c r="N3267" s="20"/>
      <c r="P3267" s="8"/>
      <c r="Q3267" s="8"/>
      <c r="R3267" s="8"/>
      <c r="S3267" s="8"/>
      <c r="U3267" s="6"/>
      <c r="V3267" s="6"/>
      <c r="W3267" s="6"/>
      <c r="X3267" s="6"/>
      <c r="Y3267" s="6"/>
      <c r="Z3267" s="6"/>
    </row>
    <row r="3268" spans="14:26" ht="31.4" customHeight="1" x14ac:dyDescent="0.35">
      <c r="N3268" s="20"/>
      <c r="P3268" s="8"/>
      <c r="Q3268" s="8"/>
      <c r="R3268" s="8"/>
      <c r="S3268" s="8"/>
      <c r="U3268" s="6"/>
      <c r="V3268" s="6"/>
      <c r="W3268" s="6"/>
      <c r="X3268" s="6"/>
      <c r="Y3268" s="6"/>
      <c r="Z3268" s="6"/>
    </row>
    <row r="3269" spans="14:26" ht="31.4" customHeight="1" x14ac:dyDescent="0.35">
      <c r="N3269" s="20"/>
      <c r="P3269" s="8"/>
      <c r="Q3269" s="8"/>
      <c r="R3269" s="8"/>
      <c r="S3269" s="8"/>
      <c r="U3269" s="6"/>
      <c r="V3269" s="6"/>
      <c r="W3269" s="6"/>
      <c r="X3269" s="6"/>
      <c r="Y3269" s="6"/>
      <c r="Z3269" s="6"/>
    </row>
    <row r="3270" spans="14:26" ht="31.4" customHeight="1" x14ac:dyDescent="0.35">
      <c r="N3270" s="20"/>
      <c r="P3270" s="8"/>
      <c r="Q3270" s="8"/>
      <c r="R3270" s="8"/>
      <c r="S3270" s="8"/>
      <c r="U3270" s="6"/>
      <c r="V3270" s="6"/>
      <c r="W3270" s="6"/>
      <c r="X3270" s="6"/>
      <c r="Y3270" s="6"/>
      <c r="Z3270" s="6"/>
    </row>
    <row r="3271" spans="14:26" ht="31.4" customHeight="1" x14ac:dyDescent="0.35">
      <c r="N3271" s="20"/>
      <c r="P3271" s="8"/>
      <c r="Q3271" s="8"/>
      <c r="R3271" s="8"/>
      <c r="S3271" s="8"/>
      <c r="U3271" s="6"/>
      <c r="V3271" s="6"/>
      <c r="W3271" s="6"/>
      <c r="X3271" s="6"/>
      <c r="Y3271" s="6"/>
      <c r="Z3271" s="6"/>
    </row>
    <row r="3272" spans="14:26" ht="31.4" customHeight="1" x14ac:dyDescent="0.35">
      <c r="N3272" s="20"/>
      <c r="P3272" s="8"/>
      <c r="Q3272" s="8"/>
      <c r="R3272" s="8"/>
      <c r="S3272" s="8"/>
      <c r="U3272" s="6"/>
      <c r="V3272" s="6"/>
      <c r="W3272" s="6"/>
      <c r="X3272" s="6"/>
      <c r="Y3272" s="6"/>
      <c r="Z3272" s="6"/>
    </row>
    <row r="3273" spans="14:26" ht="31.4" customHeight="1" x14ac:dyDescent="0.35">
      <c r="N3273" s="20"/>
      <c r="P3273" s="8"/>
      <c r="Q3273" s="8"/>
      <c r="R3273" s="8"/>
      <c r="S3273" s="8"/>
      <c r="U3273" s="6"/>
      <c r="V3273" s="6"/>
      <c r="W3273" s="6"/>
      <c r="X3273" s="6"/>
      <c r="Y3273" s="6"/>
      <c r="Z3273" s="6"/>
    </row>
    <row r="3274" spans="14:26" ht="31.4" customHeight="1" x14ac:dyDescent="0.35">
      <c r="N3274" s="20"/>
      <c r="P3274" s="8"/>
      <c r="Q3274" s="8"/>
      <c r="R3274" s="8"/>
      <c r="S3274" s="8"/>
      <c r="U3274" s="6"/>
      <c r="V3274" s="6"/>
      <c r="W3274" s="6"/>
      <c r="X3274" s="6"/>
      <c r="Y3274" s="6"/>
      <c r="Z3274" s="6"/>
    </row>
    <row r="3275" spans="14:26" ht="31.4" customHeight="1" x14ac:dyDescent="0.35">
      <c r="N3275" s="20"/>
      <c r="P3275" s="8"/>
      <c r="Q3275" s="8"/>
      <c r="R3275" s="8"/>
      <c r="S3275" s="8"/>
      <c r="U3275" s="6"/>
      <c r="V3275" s="6"/>
      <c r="W3275" s="6"/>
      <c r="X3275" s="6"/>
      <c r="Y3275" s="6"/>
      <c r="Z3275" s="6"/>
    </row>
    <row r="3276" spans="14:26" ht="31.4" customHeight="1" x14ac:dyDescent="0.35">
      <c r="N3276" s="20"/>
      <c r="P3276" s="8"/>
      <c r="Q3276" s="8"/>
      <c r="R3276" s="8"/>
      <c r="S3276" s="8"/>
      <c r="U3276" s="6"/>
      <c r="V3276" s="6"/>
      <c r="W3276" s="6"/>
      <c r="X3276" s="6"/>
      <c r="Y3276" s="6"/>
      <c r="Z3276" s="6"/>
    </row>
    <row r="3277" spans="14:26" ht="31.4" customHeight="1" x14ac:dyDescent="0.35">
      <c r="N3277" s="20"/>
      <c r="P3277" s="8"/>
      <c r="Q3277" s="8"/>
      <c r="R3277" s="8"/>
      <c r="S3277" s="8"/>
      <c r="U3277" s="6"/>
      <c r="V3277" s="6"/>
      <c r="W3277" s="6"/>
      <c r="X3277" s="6"/>
      <c r="Y3277" s="6"/>
      <c r="Z3277" s="6"/>
    </row>
    <row r="3278" spans="14:26" ht="31.4" customHeight="1" x14ac:dyDescent="0.35">
      <c r="N3278" s="20"/>
      <c r="P3278" s="8"/>
      <c r="Q3278" s="8"/>
      <c r="R3278" s="8"/>
      <c r="S3278" s="8"/>
      <c r="U3278" s="6"/>
      <c r="V3278" s="6"/>
      <c r="W3278" s="6"/>
      <c r="X3278" s="6"/>
      <c r="Y3278" s="6"/>
      <c r="Z3278" s="6"/>
    </row>
    <row r="3279" spans="14:26" ht="31.4" customHeight="1" x14ac:dyDescent="0.35">
      <c r="N3279" s="20"/>
      <c r="P3279" s="8"/>
      <c r="Q3279" s="8"/>
      <c r="R3279" s="8"/>
      <c r="S3279" s="8"/>
      <c r="U3279" s="6"/>
      <c r="V3279" s="6"/>
      <c r="W3279" s="6"/>
      <c r="X3279" s="6"/>
      <c r="Y3279" s="6"/>
      <c r="Z3279" s="6"/>
    </row>
    <row r="3280" spans="14:26" ht="31.4" customHeight="1" x14ac:dyDescent="0.35">
      <c r="N3280" s="20"/>
      <c r="P3280" s="8"/>
      <c r="Q3280" s="8"/>
      <c r="R3280" s="8"/>
      <c r="S3280" s="8"/>
      <c r="U3280" s="6"/>
      <c r="V3280" s="6"/>
      <c r="W3280" s="6"/>
      <c r="X3280" s="6"/>
      <c r="Y3280" s="6"/>
      <c r="Z3280" s="6"/>
    </row>
    <row r="3281" spans="14:26" ht="31.4" customHeight="1" x14ac:dyDescent="0.35">
      <c r="N3281" s="20"/>
      <c r="P3281" s="8"/>
      <c r="Q3281" s="8"/>
      <c r="R3281" s="8"/>
      <c r="S3281" s="8"/>
      <c r="U3281" s="6"/>
      <c r="V3281" s="6"/>
      <c r="W3281" s="6"/>
      <c r="X3281" s="6"/>
      <c r="Y3281" s="6"/>
      <c r="Z3281" s="6"/>
    </row>
    <row r="3282" spans="14:26" ht="31.4" customHeight="1" x14ac:dyDescent="0.35">
      <c r="N3282" s="20"/>
      <c r="P3282" s="8"/>
      <c r="Q3282" s="8"/>
      <c r="R3282" s="8"/>
      <c r="S3282" s="8"/>
      <c r="U3282" s="6"/>
      <c r="V3282" s="6"/>
      <c r="W3282" s="6"/>
      <c r="X3282" s="6"/>
      <c r="Y3282" s="6"/>
      <c r="Z3282" s="6"/>
    </row>
    <row r="3283" spans="14:26" ht="31.4" customHeight="1" x14ac:dyDescent="0.35">
      <c r="N3283" s="20"/>
      <c r="P3283" s="8"/>
      <c r="Q3283" s="8"/>
      <c r="R3283" s="8"/>
      <c r="S3283" s="8"/>
      <c r="U3283" s="6"/>
      <c r="V3283" s="6"/>
      <c r="W3283" s="6"/>
      <c r="X3283" s="6"/>
      <c r="Y3283" s="6"/>
      <c r="Z3283" s="6"/>
    </row>
    <row r="3284" spans="14:26" ht="31.4" customHeight="1" x14ac:dyDescent="0.35">
      <c r="N3284" s="20"/>
      <c r="P3284" s="8"/>
      <c r="Q3284" s="8"/>
      <c r="R3284" s="8"/>
      <c r="S3284" s="8"/>
      <c r="U3284" s="6"/>
      <c r="V3284" s="6"/>
      <c r="W3284" s="6"/>
      <c r="X3284" s="6"/>
      <c r="Y3284" s="6"/>
      <c r="Z3284" s="6"/>
    </row>
    <row r="3285" spans="14:26" ht="31.4" customHeight="1" x14ac:dyDescent="0.35">
      <c r="N3285" s="20"/>
      <c r="P3285" s="8"/>
      <c r="Q3285" s="8"/>
      <c r="R3285" s="8"/>
      <c r="S3285" s="8"/>
      <c r="U3285" s="6"/>
      <c r="V3285" s="6"/>
      <c r="W3285" s="6"/>
      <c r="X3285" s="6"/>
      <c r="Y3285" s="6"/>
      <c r="Z3285" s="6"/>
    </row>
    <row r="3286" spans="14:26" ht="31.4" customHeight="1" x14ac:dyDescent="0.35">
      <c r="N3286" s="20"/>
      <c r="P3286" s="8"/>
      <c r="Q3286" s="8"/>
      <c r="R3286" s="8"/>
      <c r="S3286" s="8"/>
      <c r="U3286" s="6"/>
      <c r="V3286" s="6"/>
      <c r="W3286" s="6"/>
      <c r="X3286" s="6"/>
      <c r="Y3286" s="6"/>
      <c r="Z3286" s="6"/>
    </row>
    <row r="3287" spans="14:26" ht="31.4" customHeight="1" x14ac:dyDescent="0.35">
      <c r="N3287" s="20"/>
      <c r="P3287" s="8"/>
      <c r="Q3287" s="8"/>
      <c r="R3287" s="8"/>
      <c r="S3287" s="8"/>
      <c r="U3287" s="6"/>
      <c r="V3287" s="6"/>
      <c r="W3287" s="6"/>
      <c r="X3287" s="6"/>
      <c r="Y3287" s="6"/>
      <c r="Z3287" s="6"/>
    </row>
    <row r="3288" spans="14:26" ht="31.4" customHeight="1" x14ac:dyDescent="0.35">
      <c r="N3288" s="20"/>
      <c r="P3288" s="8"/>
      <c r="Q3288" s="8"/>
      <c r="R3288" s="8"/>
      <c r="S3288" s="8"/>
      <c r="U3288" s="6"/>
      <c r="V3288" s="6"/>
      <c r="W3288" s="6"/>
      <c r="X3288" s="6"/>
      <c r="Y3288" s="6"/>
      <c r="Z3288" s="6"/>
    </row>
    <row r="3289" spans="14:26" ht="31.4" customHeight="1" x14ac:dyDescent="0.35">
      <c r="N3289" s="20"/>
      <c r="P3289" s="8"/>
      <c r="Q3289" s="8"/>
      <c r="R3289" s="8"/>
      <c r="S3289" s="8"/>
      <c r="U3289" s="6"/>
      <c r="V3289" s="6"/>
      <c r="W3289" s="6"/>
      <c r="X3289" s="6"/>
      <c r="Y3289" s="6"/>
      <c r="Z3289" s="6"/>
    </row>
    <row r="3290" spans="14:26" ht="31.4" customHeight="1" x14ac:dyDescent="0.35">
      <c r="N3290" s="20"/>
      <c r="P3290" s="8"/>
      <c r="Q3290" s="8"/>
      <c r="R3290" s="8"/>
      <c r="S3290" s="8"/>
      <c r="U3290" s="6"/>
      <c r="V3290" s="6"/>
      <c r="W3290" s="6"/>
      <c r="X3290" s="6"/>
      <c r="Y3290" s="6"/>
      <c r="Z3290" s="6"/>
    </row>
    <row r="3291" spans="14:26" ht="31.4" customHeight="1" x14ac:dyDescent="0.35">
      <c r="N3291" s="20"/>
      <c r="P3291" s="8"/>
      <c r="Q3291" s="8"/>
      <c r="R3291" s="8"/>
      <c r="S3291" s="8"/>
      <c r="U3291" s="6"/>
      <c r="V3291" s="6"/>
      <c r="W3291" s="6"/>
      <c r="X3291" s="6"/>
      <c r="Y3291" s="6"/>
      <c r="Z3291" s="6"/>
    </row>
    <row r="3292" spans="14:26" ht="31.4" customHeight="1" x14ac:dyDescent="0.35">
      <c r="N3292" s="20"/>
      <c r="P3292" s="8"/>
      <c r="Q3292" s="8"/>
      <c r="R3292" s="8"/>
      <c r="S3292" s="8"/>
      <c r="U3292" s="6"/>
      <c r="V3292" s="6"/>
      <c r="W3292" s="6"/>
      <c r="X3292" s="6"/>
      <c r="Y3292" s="6"/>
      <c r="Z3292" s="6"/>
    </row>
    <row r="3293" spans="14:26" ht="31.4" customHeight="1" x14ac:dyDescent="0.35">
      <c r="N3293" s="20"/>
      <c r="P3293" s="8"/>
      <c r="Q3293" s="8"/>
      <c r="R3293" s="8"/>
      <c r="S3293" s="8"/>
      <c r="U3293" s="6"/>
      <c r="V3293" s="6"/>
      <c r="W3293" s="6"/>
      <c r="X3293" s="6"/>
      <c r="Y3293" s="6"/>
      <c r="Z3293" s="6"/>
    </row>
    <row r="3294" spans="14:26" ht="31.4" customHeight="1" x14ac:dyDescent="0.35">
      <c r="N3294" s="20"/>
      <c r="P3294" s="8"/>
      <c r="Q3294" s="8"/>
      <c r="R3294" s="8"/>
      <c r="S3294" s="8"/>
      <c r="U3294" s="6"/>
      <c r="V3294" s="6"/>
      <c r="W3294" s="6"/>
      <c r="X3294" s="6"/>
      <c r="Y3294" s="6"/>
      <c r="Z3294" s="6"/>
    </row>
    <row r="3295" spans="14:26" ht="31.4" customHeight="1" x14ac:dyDescent="0.35">
      <c r="N3295" s="20"/>
      <c r="P3295" s="8"/>
      <c r="Q3295" s="8"/>
      <c r="R3295" s="8"/>
      <c r="S3295" s="8"/>
      <c r="U3295" s="6"/>
      <c r="V3295" s="6"/>
      <c r="W3295" s="6"/>
      <c r="X3295" s="6"/>
      <c r="Y3295" s="6"/>
      <c r="Z3295" s="6"/>
    </row>
    <row r="3296" spans="14:26" ht="31.4" customHeight="1" x14ac:dyDescent="0.35">
      <c r="N3296" s="20"/>
      <c r="P3296" s="8"/>
      <c r="Q3296" s="8"/>
      <c r="R3296" s="8"/>
      <c r="S3296" s="8"/>
      <c r="U3296" s="6"/>
      <c r="V3296" s="6"/>
      <c r="W3296" s="6"/>
      <c r="X3296" s="6"/>
      <c r="Y3296" s="6"/>
      <c r="Z3296" s="6"/>
    </row>
    <row r="3297" spans="14:26" ht="31.4" customHeight="1" x14ac:dyDescent="0.35">
      <c r="N3297" s="20"/>
      <c r="P3297" s="8"/>
      <c r="Q3297" s="8"/>
      <c r="R3297" s="8"/>
      <c r="S3297" s="8"/>
      <c r="U3297" s="6"/>
      <c r="V3297" s="6"/>
      <c r="W3297" s="6"/>
      <c r="X3297" s="6"/>
      <c r="Y3297" s="6"/>
      <c r="Z3297" s="6"/>
    </row>
    <row r="3298" spans="14:26" ht="31.4" customHeight="1" x14ac:dyDescent="0.35">
      <c r="N3298" s="20"/>
      <c r="P3298" s="8"/>
      <c r="Q3298" s="8"/>
      <c r="R3298" s="8"/>
      <c r="S3298" s="8"/>
      <c r="U3298" s="6"/>
      <c r="V3298" s="6"/>
      <c r="W3298" s="6"/>
      <c r="X3298" s="6"/>
      <c r="Y3298" s="6"/>
      <c r="Z3298" s="6"/>
    </row>
    <row r="3299" spans="14:26" ht="31.4" customHeight="1" x14ac:dyDescent="0.35">
      <c r="N3299" s="20"/>
      <c r="P3299" s="8"/>
      <c r="Q3299" s="8"/>
      <c r="R3299" s="8"/>
      <c r="S3299" s="8"/>
      <c r="U3299" s="6"/>
      <c r="V3299" s="6"/>
      <c r="W3299" s="6"/>
      <c r="X3299" s="6"/>
      <c r="Y3299" s="6"/>
      <c r="Z3299" s="6"/>
    </row>
    <row r="3300" spans="14:26" ht="31.4" customHeight="1" x14ac:dyDescent="0.35">
      <c r="N3300" s="20"/>
      <c r="P3300" s="8"/>
      <c r="Q3300" s="8"/>
      <c r="R3300" s="8"/>
      <c r="S3300" s="8"/>
      <c r="U3300" s="6"/>
      <c r="V3300" s="6"/>
      <c r="W3300" s="6"/>
      <c r="X3300" s="6"/>
      <c r="Y3300" s="6"/>
      <c r="Z3300" s="6"/>
    </row>
    <row r="3301" spans="14:26" ht="31.4" customHeight="1" x14ac:dyDescent="0.35">
      <c r="N3301" s="20"/>
      <c r="P3301" s="8"/>
      <c r="Q3301" s="8"/>
      <c r="R3301" s="8"/>
      <c r="S3301" s="8"/>
      <c r="U3301" s="6"/>
      <c r="V3301" s="6"/>
      <c r="W3301" s="6"/>
      <c r="X3301" s="6"/>
      <c r="Y3301" s="6"/>
      <c r="Z3301" s="6"/>
    </row>
    <row r="3302" spans="14:26" ht="31.4" customHeight="1" x14ac:dyDescent="0.35">
      <c r="N3302" s="20"/>
      <c r="P3302" s="8"/>
      <c r="Q3302" s="8"/>
      <c r="R3302" s="8"/>
      <c r="S3302" s="8"/>
      <c r="U3302" s="6"/>
      <c r="V3302" s="6"/>
      <c r="W3302" s="6"/>
      <c r="X3302" s="6"/>
      <c r="Y3302" s="6"/>
      <c r="Z3302" s="6"/>
    </row>
    <row r="3303" spans="14:26" ht="31.4" customHeight="1" x14ac:dyDescent="0.35">
      <c r="N3303" s="20"/>
      <c r="P3303" s="8"/>
      <c r="Q3303" s="8"/>
      <c r="R3303" s="8"/>
      <c r="S3303" s="8"/>
      <c r="U3303" s="6"/>
      <c r="V3303" s="6"/>
      <c r="W3303" s="6"/>
      <c r="X3303" s="6"/>
      <c r="Y3303" s="6"/>
      <c r="Z3303" s="6"/>
    </row>
    <row r="3304" spans="14:26" ht="31.4" customHeight="1" x14ac:dyDescent="0.35">
      <c r="N3304" s="20"/>
      <c r="P3304" s="8"/>
      <c r="Q3304" s="8"/>
      <c r="R3304" s="8"/>
      <c r="S3304" s="8"/>
      <c r="U3304" s="6"/>
      <c r="V3304" s="6"/>
      <c r="W3304" s="6"/>
      <c r="X3304" s="6"/>
      <c r="Y3304" s="6"/>
      <c r="Z3304" s="6"/>
    </row>
    <row r="3305" spans="14:26" ht="31.4" customHeight="1" x14ac:dyDescent="0.35">
      <c r="N3305" s="20"/>
      <c r="P3305" s="8"/>
      <c r="Q3305" s="8"/>
      <c r="R3305" s="8"/>
      <c r="S3305" s="8"/>
      <c r="U3305" s="6"/>
      <c r="V3305" s="6"/>
      <c r="W3305" s="6"/>
      <c r="X3305" s="6"/>
      <c r="Y3305" s="6"/>
      <c r="Z3305" s="6"/>
    </row>
    <row r="3306" spans="14:26" ht="31.4" customHeight="1" x14ac:dyDescent="0.35">
      <c r="N3306" s="20"/>
      <c r="P3306" s="8"/>
      <c r="Q3306" s="8"/>
      <c r="R3306" s="8"/>
      <c r="S3306" s="8"/>
      <c r="U3306" s="6"/>
      <c r="V3306" s="6"/>
      <c r="W3306" s="6"/>
      <c r="X3306" s="6"/>
      <c r="Y3306" s="6"/>
      <c r="Z3306" s="6"/>
    </row>
    <row r="3307" spans="14:26" ht="31.4" customHeight="1" x14ac:dyDescent="0.35">
      <c r="N3307" s="20"/>
      <c r="P3307" s="8"/>
      <c r="Q3307" s="8"/>
      <c r="R3307" s="8"/>
      <c r="S3307" s="8"/>
      <c r="U3307" s="6"/>
      <c r="V3307" s="6"/>
      <c r="W3307" s="6"/>
      <c r="X3307" s="6"/>
      <c r="Y3307" s="6"/>
      <c r="Z3307" s="6"/>
    </row>
    <row r="3308" spans="14:26" ht="31.4" customHeight="1" x14ac:dyDescent="0.35">
      <c r="N3308" s="20"/>
      <c r="P3308" s="8"/>
      <c r="Q3308" s="8"/>
      <c r="R3308" s="8"/>
      <c r="S3308" s="8"/>
      <c r="U3308" s="6"/>
      <c r="V3308" s="6"/>
      <c r="W3308" s="6"/>
      <c r="X3308" s="6"/>
      <c r="Y3308" s="6"/>
      <c r="Z3308" s="6"/>
    </row>
    <row r="3309" spans="14:26" ht="31.4" customHeight="1" x14ac:dyDescent="0.35">
      <c r="N3309" s="20"/>
      <c r="P3309" s="8"/>
      <c r="Q3309" s="8"/>
      <c r="R3309" s="8"/>
      <c r="S3309" s="8"/>
      <c r="U3309" s="6"/>
      <c r="V3309" s="6"/>
      <c r="W3309" s="6"/>
      <c r="X3309" s="6"/>
      <c r="Y3309" s="6"/>
      <c r="Z3309" s="6"/>
    </row>
    <row r="3310" spans="14:26" ht="31.4" customHeight="1" x14ac:dyDescent="0.35">
      <c r="N3310" s="20"/>
      <c r="P3310" s="8"/>
      <c r="Q3310" s="8"/>
      <c r="R3310" s="8"/>
      <c r="S3310" s="8"/>
      <c r="U3310" s="6"/>
      <c r="V3310" s="6"/>
      <c r="W3310" s="6"/>
      <c r="X3310" s="6"/>
      <c r="Y3310" s="6"/>
      <c r="Z3310" s="6"/>
    </row>
    <row r="3311" spans="14:26" ht="31.4" customHeight="1" x14ac:dyDescent="0.35">
      <c r="N3311" s="20"/>
      <c r="P3311" s="8"/>
      <c r="Q3311" s="8"/>
      <c r="R3311" s="8"/>
      <c r="S3311" s="8"/>
      <c r="U3311" s="6"/>
      <c r="V3311" s="6"/>
      <c r="W3311" s="6"/>
      <c r="X3311" s="6"/>
      <c r="Y3311" s="6"/>
      <c r="Z3311" s="6"/>
    </row>
    <row r="3312" spans="14:26" ht="31.4" customHeight="1" x14ac:dyDescent="0.35">
      <c r="N3312" s="20"/>
      <c r="P3312" s="8"/>
      <c r="Q3312" s="8"/>
      <c r="R3312" s="8"/>
      <c r="S3312" s="8"/>
      <c r="U3312" s="6"/>
      <c r="V3312" s="6"/>
      <c r="W3312" s="6"/>
      <c r="X3312" s="6"/>
      <c r="Y3312" s="6"/>
      <c r="Z3312" s="6"/>
    </row>
    <row r="3313" spans="14:26" ht="31.4" customHeight="1" x14ac:dyDescent="0.35">
      <c r="N3313" s="20"/>
      <c r="P3313" s="8"/>
      <c r="Q3313" s="8"/>
      <c r="R3313" s="8"/>
      <c r="S3313" s="8"/>
      <c r="U3313" s="6"/>
      <c r="V3313" s="6"/>
      <c r="W3313" s="6"/>
      <c r="X3313" s="6"/>
      <c r="Y3313" s="6"/>
      <c r="Z3313" s="6"/>
    </row>
    <row r="3314" spans="14:26" ht="31.4" customHeight="1" x14ac:dyDescent="0.35">
      <c r="N3314" s="20"/>
      <c r="P3314" s="8"/>
      <c r="Q3314" s="8"/>
      <c r="R3314" s="8"/>
      <c r="S3314" s="8"/>
      <c r="U3314" s="6"/>
      <c r="V3314" s="6"/>
      <c r="W3314" s="6"/>
      <c r="X3314" s="6"/>
      <c r="Y3314" s="6"/>
      <c r="Z3314" s="6"/>
    </row>
    <row r="3315" spans="14:26" ht="31.4" customHeight="1" x14ac:dyDescent="0.35">
      <c r="N3315" s="20"/>
      <c r="P3315" s="8"/>
      <c r="Q3315" s="8"/>
      <c r="R3315" s="8"/>
      <c r="S3315" s="8"/>
      <c r="U3315" s="6"/>
      <c r="V3315" s="6"/>
      <c r="W3315" s="6"/>
      <c r="X3315" s="6"/>
      <c r="Y3315" s="6"/>
      <c r="Z3315" s="6"/>
    </row>
    <row r="3316" spans="14:26" ht="31.4" customHeight="1" x14ac:dyDescent="0.35">
      <c r="N3316" s="20"/>
      <c r="P3316" s="8"/>
      <c r="Q3316" s="8"/>
      <c r="R3316" s="8"/>
      <c r="S3316" s="8"/>
      <c r="U3316" s="6"/>
      <c r="V3316" s="6"/>
      <c r="W3316" s="6"/>
      <c r="X3316" s="6"/>
      <c r="Y3316" s="6"/>
      <c r="Z3316" s="6"/>
    </row>
    <row r="3317" spans="14:26" ht="31.4" customHeight="1" x14ac:dyDescent="0.35">
      <c r="N3317" s="20"/>
      <c r="P3317" s="8"/>
      <c r="Q3317" s="8"/>
      <c r="R3317" s="8"/>
      <c r="S3317" s="8"/>
      <c r="U3317" s="6"/>
      <c r="V3317" s="6"/>
      <c r="W3317" s="6"/>
      <c r="X3317" s="6"/>
      <c r="Y3317" s="6"/>
      <c r="Z3317" s="6"/>
    </row>
    <row r="3318" spans="14:26" ht="31.4" customHeight="1" x14ac:dyDescent="0.35">
      <c r="N3318" s="20"/>
      <c r="P3318" s="8"/>
      <c r="Q3318" s="8"/>
      <c r="R3318" s="8"/>
      <c r="S3318" s="8"/>
      <c r="U3318" s="6"/>
      <c r="V3318" s="6"/>
      <c r="W3318" s="6"/>
      <c r="X3318" s="6"/>
      <c r="Y3318" s="6"/>
      <c r="Z3318" s="6"/>
    </row>
    <row r="3319" spans="14:26" ht="31.4" customHeight="1" x14ac:dyDescent="0.35">
      <c r="N3319" s="20"/>
      <c r="P3319" s="8"/>
      <c r="Q3319" s="8"/>
      <c r="R3319" s="8"/>
      <c r="S3319" s="8"/>
      <c r="U3319" s="6"/>
      <c r="V3319" s="6"/>
      <c r="W3319" s="6"/>
      <c r="X3319" s="6"/>
      <c r="Y3319" s="6"/>
      <c r="Z3319" s="6"/>
    </row>
    <row r="3320" spans="14:26" ht="31.4" customHeight="1" x14ac:dyDescent="0.35">
      <c r="N3320" s="20"/>
      <c r="P3320" s="8"/>
      <c r="Q3320" s="8"/>
      <c r="R3320" s="8"/>
      <c r="S3320" s="8"/>
      <c r="U3320" s="6"/>
      <c r="V3320" s="6"/>
      <c r="W3320" s="6"/>
      <c r="X3320" s="6"/>
      <c r="Y3320" s="6"/>
      <c r="Z3320" s="6"/>
    </row>
    <row r="3321" spans="14:26" ht="31.4" customHeight="1" x14ac:dyDescent="0.35">
      <c r="N3321" s="20"/>
      <c r="P3321" s="8"/>
      <c r="Q3321" s="8"/>
      <c r="R3321" s="8"/>
      <c r="S3321" s="8"/>
      <c r="U3321" s="6"/>
      <c r="V3321" s="6"/>
      <c r="W3321" s="6"/>
      <c r="X3321" s="6"/>
      <c r="Y3321" s="6"/>
      <c r="Z3321" s="6"/>
    </row>
    <row r="3322" spans="14:26" ht="31.4" customHeight="1" x14ac:dyDescent="0.35">
      <c r="N3322" s="20"/>
      <c r="P3322" s="8"/>
      <c r="Q3322" s="8"/>
      <c r="R3322" s="8"/>
      <c r="S3322" s="8"/>
      <c r="U3322" s="6"/>
      <c r="V3322" s="6"/>
      <c r="W3322" s="6"/>
      <c r="X3322" s="6"/>
      <c r="Y3322" s="6"/>
      <c r="Z3322" s="6"/>
    </row>
    <row r="3323" spans="14:26" ht="31.4" customHeight="1" x14ac:dyDescent="0.35">
      <c r="N3323" s="20"/>
      <c r="P3323" s="8"/>
      <c r="Q3323" s="8"/>
      <c r="R3323" s="8"/>
      <c r="S3323" s="8"/>
      <c r="U3323" s="6"/>
      <c r="V3323" s="6"/>
      <c r="W3323" s="6"/>
      <c r="X3323" s="6"/>
      <c r="Y3323" s="6"/>
      <c r="Z3323" s="6"/>
    </row>
    <row r="3324" spans="14:26" ht="31.4" customHeight="1" x14ac:dyDescent="0.35">
      <c r="N3324" s="20"/>
      <c r="P3324" s="8"/>
      <c r="Q3324" s="8"/>
      <c r="R3324" s="8"/>
      <c r="S3324" s="8"/>
      <c r="U3324" s="6"/>
      <c r="V3324" s="6"/>
      <c r="W3324" s="6"/>
      <c r="X3324" s="6"/>
      <c r="Y3324" s="6"/>
      <c r="Z3324" s="6"/>
    </row>
    <row r="3325" spans="14:26" ht="31.4" customHeight="1" x14ac:dyDescent="0.35">
      <c r="N3325" s="20"/>
      <c r="P3325" s="8"/>
      <c r="Q3325" s="8"/>
      <c r="R3325" s="8"/>
      <c r="S3325" s="8"/>
      <c r="U3325" s="6"/>
      <c r="V3325" s="6"/>
      <c r="W3325" s="6"/>
      <c r="X3325" s="6"/>
      <c r="Y3325" s="6"/>
      <c r="Z3325" s="6"/>
    </row>
    <row r="3326" spans="14:26" ht="31.4" customHeight="1" x14ac:dyDescent="0.35">
      <c r="N3326" s="20"/>
      <c r="P3326" s="8"/>
      <c r="Q3326" s="8"/>
      <c r="R3326" s="8"/>
      <c r="S3326" s="8"/>
      <c r="U3326" s="6"/>
      <c r="V3326" s="6"/>
      <c r="W3326" s="6"/>
      <c r="X3326" s="6"/>
      <c r="Y3326" s="6"/>
      <c r="Z3326" s="6"/>
    </row>
    <row r="3327" spans="14:26" ht="31.4" customHeight="1" x14ac:dyDescent="0.35">
      <c r="N3327" s="20"/>
      <c r="P3327" s="8"/>
      <c r="Q3327" s="8"/>
      <c r="R3327" s="8"/>
      <c r="S3327" s="8"/>
      <c r="U3327" s="6"/>
      <c r="V3327" s="6"/>
      <c r="W3327" s="6"/>
      <c r="X3327" s="6"/>
      <c r="Y3327" s="6"/>
      <c r="Z3327" s="6"/>
    </row>
    <row r="3328" spans="14:26" ht="31.4" customHeight="1" x14ac:dyDescent="0.35">
      <c r="N3328" s="20"/>
      <c r="P3328" s="8"/>
      <c r="Q3328" s="8"/>
      <c r="R3328" s="8"/>
      <c r="S3328" s="8"/>
      <c r="U3328" s="6"/>
      <c r="V3328" s="6"/>
      <c r="W3328" s="6"/>
      <c r="X3328" s="6"/>
      <c r="Y3328" s="6"/>
      <c r="Z3328" s="6"/>
    </row>
    <row r="3329" spans="14:26" ht="31.4" customHeight="1" x14ac:dyDescent="0.35">
      <c r="N3329" s="20"/>
      <c r="P3329" s="8"/>
      <c r="Q3329" s="8"/>
      <c r="R3329" s="8"/>
      <c r="S3329" s="8"/>
      <c r="U3329" s="6"/>
      <c r="V3329" s="6"/>
      <c r="W3329" s="6"/>
      <c r="X3329" s="6"/>
      <c r="Y3329" s="6"/>
      <c r="Z3329" s="6"/>
    </row>
    <row r="3330" spans="14:26" ht="31.4" customHeight="1" x14ac:dyDescent="0.35">
      <c r="N3330" s="20"/>
      <c r="P3330" s="8"/>
      <c r="Q3330" s="8"/>
      <c r="R3330" s="8"/>
      <c r="S3330" s="8"/>
      <c r="U3330" s="6"/>
      <c r="V3330" s="6"/>
      <c r="W3330" s="6"/>
      <c r="X3330" s="6"/>
      <c r="Y3330" s="6"/>
      <c r="Z3330" s="6"/>
    </row>
    <row r="3331" spans="14:26" ht="31.4" customHeight="1" x14ac:dyDescent="0.35">
      <c r="N3331" s="20"/>
      <c r="P3331" s="8"/>
      <c r="Q3331" s="8"/>
      <c r="R3331" s="8"/>
      <c r="S3331" s="8"/>
      <c r="U3331" s="6"/>
      <c r="V3331" s="6"/>
      <c r="W3331" s="6"/>
      <c r="X3331" s="6"/>
      <c r="Y3331" s="6"/>
      <c r="Z3331" s="6"/>
    </row>
    <row r="3332" spans="14:26" ht="31.4" customHeight="1" x14ac:dyDescent="0.35">
      <c r="N3332" s="20"/>
      <c r="P3332" s="8"/>
      <c r="Q3332" s="8"/>
      <c r="R3332" s="8"/>
      <c r="S3332" s="8"/>
      <c r="U3332" s="6"/>
      <c r="V3332" s="6"/>
      <c r="W3332" s="6"/>
      <c r="X3332" s="6"/>
      <c r="Y3332" s="6"/>
      <c r="Z3332" s="6"/>
    </row>
    <row r="3333" spans="14:26" ht="31.4" customHeight="1" x14ac:dyDescent="0.35">
      <c r="N3333" s="20"/>
      <c r="P3333" s="8"/>
      <c r="Q3333" s="8"/>
      <c r="R3333" s="8"/>
      <c r="S3333" s="8"/>
      <c r="U3333" s="6"/>
      <c r="V3333" s="6"/>
      <c r="W3333" s="6"/>
      <c r="X3333" s="6"/>
      <c r="Y3333" s="6"/>
      <c r="Z3333" s="6"/>
    </row>
    <row r="3334" spans="14:26" ht="31.4" customHeight="1" x14ac:dyDescent="0.35">
      <c r="N3334" s="20"/>
      <c r="P3334" s="8"/>
      <c r="Q3334" s="8"/>
      <c r="R3334" s="8"/>
      <c r="S3334" s="8"/>
      <c r="U3334" s="6"/>
      <c r="V3334" s="6"/>
      <c r="W3334" s="6"/>
      <c r="X3334" s="6"/>
      <c r="Y3334" s="6"/>
      <c r="Z3334" s="6"/>
    </row>
    <row r="3335" spans="14:26" ht="31.4" customHeight="1" x14ac:dyDescent="0.35">
      <c r="N3335" s="20"/>
      <c r="P3335" s="8"/>
      <c r="Q3335" s="8"/>
      <c r="R3335" s="8"/>
      <c r="S3335" s="8"/>
      <c r="U3335" s="6"/>
      <c r="V3335" s="6"/>
      <c r="W3335" s="6"/>
      <c r="X3335" s="6"/>
      <c r="Y3335" s="6"/>
      <c r="Z3335" s="6"/>
    </row>
    <row r="3336" spans="14:26" ht="31.4" customHeight="1" x14ac:dyDescent="0.35">
      <c r="N3336" s="20"/>
      <c r="P3336" s="8"/>
      <c r="Q3336" s="8"/>
      <c r="R3336" s="8"/>
      <c r="S3336" s="8"/>
      <c r="U3336" s="6"/>
      <c r="V3336" s="6"/>
      <c r="W3336" s="6"/>
      <c r="X3336" s="6"/>
      <c r="Y3336" s="6"/>
      <c r="Z3336" s="6"/>
    </row>
    <row r="3337" spans="14:26" ht="31.4" customHeight="1" x14ac:dyDescent="0.35">
      <c r="N3337" s="20"/>
      <c r="P3337" s="8"/>
      <c r="Q3337" s="8"/>
      <c r="R3337" s="8"/>
      <c r="S3337" s="8"/>
      <c r="U3337" s="6"/>
      <c r="V3337" s="6"/>
      <c r="W3337" s="6"/>
      <c r="X3337" s="6"/>
      <c r="Y3337" s="6"/>
      <c r="Z3337" s="6"/>
    </row>
    <row r="3338" spans="14:26" ht="31.4" customHeight="1" x14ac:dyDescent="0.35">
      <c r="N3338" s="20"/>
      <c r="P3338" s="8"/>
      <c r="Q3338" s="8"/>
      <c r="R3338" s="8"/>
      <c r="S3338" s="8"/>
      <c r="U3338" s="6"/>
      <c r="V3338" s="6"/>
      <c r="W3338" s="6"/>
      <c r="X3338" s="6"/>
      <c r="Y3338" s="6"/>
      <c r="Z3338" s="6"/>
    </row>
    <row r="3339" spans="14:26" ht="31.4" customHeight="1" x14ac:dyDescent="0.35">
      <c r="N3339" s="20"/>
      <c r="P3339" s="8"/>
      <c r="Q3339" s="8"/>
      <c r="R3339" s="8"/>
      <c r="S3339" s="8"/>
      <c r="U3339" s="6"/>
      <c r="V3339" s="6"/>
      <c r="W3339" s="6"/>
      <c r="X3339" s="6"/>
      <c r="Y3339" s="6"/>
      <c r="Z3339" s="6"/>
    </row>
    <row r="3340" spans="14:26" ht="31.4" customHeight="1" x14ac:dyDescent="0.35">
      <c r="N3340" s="20"/>
      <c r="P3340" s="8"/>
      <c r="Q3340" s="8"/>
      <c r="R3340" s="8"/>
      <c r="S3340" s="8"/>
      <c r="U3340" s="6"/>
      <c r="V3340" s="6"/>
      <c r="W3340" s="6"/>
      <c r="X3340" s="6"/>
      <c r="Y3340" s="6"/>
      <c r="Z3340" s="6"/>
    </row>
    <row r="3341" spans="14:26" ht="31.4" customHeight="1" x14ac:dyDescent="0.35">
      <c r="N3341" s="20"/>
      <c r="P3341" s="8"/>
      <c r="Q3341" s="8"/>
      <c r="R3341" s="8"/>
      <c r="S3341" s="8"/>
      <c r="U3341" s="6"/>
      <c r="V3341" s="6"/>
      <c r="W3341" s="6"/>
      <c r="X3341" s="6"/>
      <c r="Y3341" s="6"/>
      <c r="Z3341" s="6"/>
    </row>
    <row r="3342" spans="14:26" ht="31.4" customHeight="1" x14ac:dyDescent="0.35">
      <c r="N3342" s="20"/>
      <c r="P3342" s="8"/>
      <c r="Q3342" s="8"/>
      <c r="R3342" s="8"/>
      <c r="S3342" s="8"/>
      <c r="U3342" s="6"/>
      <c r="V3342" s="6"/>
      <c r="W3342" s="6"/>
      <c r="X3342" s="6"/>
      <c r="Y3342" s="6"/>
      <c r="Z3342" s="6"/>
    </row>
    <row r="3343" spans="14:26" ht="31.4" customHeight="1" x14ac:dyDescent="0.35">
      <c r="N3343" s="20"/>
      <c r="P3343" s="8"/>
      <c r="Q3343" s="8"/>
      <c r="R3343" s="8"/>
      <c r="S3343" s="8"/>
      <c r="U3343" s="6"/>
      <c r="V3343" s="6"/>
      <c r="W3343" s="6"/>
      <c r="X3343" s="6"/>
      <c r="Y3343" s="6"/>
      <c r="Z3343" s="6"/>
    </row>
    <row r="3344" spans="14:26" ht="31.4" customHeight="1" x14ac:dyDescent="0.35">
      <c r="N3344" s="20"/>
      <c r="P3344" s="8"/>
      <c r="Q3344" s="8"/>
      <c r="R3344" s="8"/>
      <c r="S3344" s="8"/>
      <c r="U3344" s="6"/>
      <c r="V3344" s="6"/>
      <c r="W3344" s="6"/>
      <c r="X3344" s="6"/>
      <c r="Y3344" s="6"/>
      <c r="Z3344" s="6"/>
    </row>
    <row r="3345" spans="14:26" ht="31.4" customHeight="1" x14ac:dyDescent="0.35">
      <c r="N3345" s="20"/>
      <c r="P3345" s="8"/>
      <c r="Q3345" s="8"/>
      <c r="R3345" s="8"/>
      <c r="S3345" s="8"/>
      <c r="U3345" s="6"/>
      <c r="V3345" s="6"/>
      <c r="W3345" s="6"/>
      <c r="X3345" s="6"/>
      <c r="Y3345" s="6"/>
      <c r="Z3345" s="6"/>
    </row>
    <row r="3346" spans="14:26" ht="31.4" customHeight="1" x14ac:dyDescent="0.35">
      <c r="N3346" s="20"/>
      <c r="P3346" s="8"/>
      <c r="Q3346" s="8"/>
      <c r="R3346" s="8"/>
      <c r="S3346" s="8"/>
      <c r="U3346" s="6"/>
      <c r="V3346" s="6"/>
      <c r="W3346" s="6"/>
      <c r="X3346" s="6"/>
      <c r="Y3346" s="6"/>
      <c r="Z3346" s="6"/>
    </row>
    <row r="3347" spans="14:26" ht="31.4" customHeight="1" x14ac:dyDescent="0.35">
      <c r="N3347" s="20"/>
      <c r="P3347" s="8"/>
      <c r="Q3347" s="8"/>
      <c r="R3347" s="8"/>
      <c r="S3347" s="8"/>
      <c r="U3347" s="6"/>
      <c r="V3347" s="6"/>
      <c r="W3347" s="6"/>
      <c r="X3347" s="6"/>
      <c r="Y3347" s="6"/>
      <c r="Z3347" s="6"/>
    </row>
    <row r="3348" spans="14:26" ht="31.4" customHeight="1" x14ac:dyDescent="0.35">
      <c r="N3348" s="20"/>
      <c r="P3348" s="8"/>
      <c r="Q3348" s="8"/>
      <c r="R3348" s="8"/>
      <c r="S3348" s="8"/>
      <c r="U3348" s="6"/>
      <c r="V3348" s="6"/>
      <c r="W3348" s="6"/>
      <c r="X3348" s="6"/>
      <c r="Y3348" s="6"/>
      <c r="Z3348" s="6"/>
    </row>
    <row r="3349" spans="14:26" ht="31.4" customHeight="1" x14ac:dyDescent="0.35">
      <c r="N3349" s="20"/>
      <c r="P3349" s="8"/>
      <c r="Q3349" s="8"/>
      <c r="R3349" s="8"/>
      <c r="S3349" s="8"/>
      <c r="U3349" s="6"/>
      <c r="V3349" s="6"/>
      <c r="W3349" s="6"/>
      <c r="X3349" s="6"/>
      <c r="Y3349" s="6"/>
      <c r="Z3349" s="6"/>
    </row>
    <row r="3350" spans="14:26" ht="31.4" customHeight="1" x14ac:dyDescent="0.35">
      <c r="N3350" s="20"/>
      <c r="P3350" s="8"/>
      <c r="Q3350" s="8"/>
      <c r="R3350" s="8"/>
      <c r="S3350" s="8"/>
      <c r="U3350" s="6"/>
      <c r="V3350" s="6"/>
      <c r="W3350" s="6"/>
      <c r="X3350" s="6"/>
      <c r="Y3350" s="6"/>
      <c r="Z3350" s="6"/>
    </row>
    <row r="3351" spans="14:26" ht="31.4" customHeight="1" x14ac:dyDescent="0.35">
      <c r="N3351" s="20"/>
      <c r="P3351" s="8"/>
      <c r="Q3351" s="8"/>
      <c r="R3351" s="8"/>
      <c r="S3351" s="8"/>
      <c r="U3351" s="6"/>
      <c r="V3351" s="6"/>
      <c r="W3351" s="6"/>
      <c r="X3351" s="6"/>
      <c r="Y3351" s="6"/>
      <c r="Z3351" s="6"/>
    </row>
    <row r="3352" spans="14:26" ht="31.4" customHeight="1" x14ac:dyDescent="0.35">
      <c r="N3352" s="20"/>
      <c r="P3352" s="8"/>
      <c r="Q3352" s="8"/>
      <c r="R3352" s="8"/>
      <c r="S3352" s="8"/>
      <c r="U3352" s="6"/>
      <c r="V3352" s="6"/>
      <c r="W3352" s="6"/>
      <c r="X3352" s="6"/>
      <c r="Y3352" s="6"/>
      <c r="Z3352" s="6"/>
    </row>
    <row r="3353" spans="14:26" ht="31.4" customHeight="1" x14ac:dyDescent="0.35">
      <c r="N3353" s="20"/>
      <c r="P3353" s="8"/>
      <c r="Q3353" s="8"/>
      <c r="R3353" s="8"/>
      <c r="S3353" s="8"/>
      <c r="U3353" s="6"/>
      <c r="V3353" s="6"/>
      <c r="W3353" s="6"/>
      <c r="X3353" s="6"/>
      <c r="Y3353" s="6"/>
      <c r="Z3353" s="6"/>
    </row>
    <row r="3354" spans="14:26" ht="31.4" customHeight="1" x14ac:dyDescent="0.35">
      <c r="N3354" s="20"/>
      <c r="P3354" s="8"/>
      <c r="Q3354" s="8"/>
      <c r="R3354" s="8"/>
      <c r="S3354" s="8"/>
      <c r="U3354" s="6"/>
      <c r="V3354" s="6"/>
      <c r="W3354" s="6"/>
      <c r="X3354" s="6"/>
      <c r="Y3354" s="6"/>
      <c r="Z3354" s="6"/>
    </row>
    <row r="3355" spans="14:26" ht="31.4" customHeight="1" x14ac:dyDescent="0.35">
      <c r="N3355" s="20"/>
      <c r="P3355" s="8"/>
      <c r="Q3355" s="8"/>
      <c r="R3355" s="8"/>
      <c r="S3355" s="8"/>
      <c r="U3355" s="6"/>
      <c r="V3355" s="6"/>
      <c r="W3355" s="6"/>
      <c r="X3355" s="6"/>
      <c r="Y3355" s="6"/>
      <c r="Z3355" s="6"/>
    </row>
    <row r="3356" spans="14:26" ht="31.4" customHeight="1" x14ac:dyDescent="0.35">
      <c r="N3356" s="20"/>
      <c r="P3356" s="8"/>
      <c r="Q3356" s="8"/>
      <c r="R3356" s="8"/>
      <c r="S3356" s="8"/>
      <c r="U3356" s="6"/>
      <c r="V3356" s="6"/>
      <c r="W3356" s="6"/>
      <c r="X3356" s="6"/>
      <c r="Y3356" s="6"/>
      <c r="Z3356" s="6"/>
    </row>
    <row r="3357" spans="14:26" ht="31.4" customHeight="1" x14ac:dyDescent="0.35">
      <c r="N3357" s="20"/>
      <c r="P3357" s="8"/>
      <c r="Q3357" s="8"/>
      <c r="R3357" s="8"/>
      <c r="S3357" s="8"/>
      <c r="U3357" s="6"/>
      <c r="V3357" s="6"/>
      <c r="W3357" s="6"/>
      <c r="X3357" s="6"/>
      <c r="Y3357" s="6"/>
      <c r="Z3357" s="6"/>
    </row>
    <row r="3358" spans="14:26" ht="31.4" customHeight="1" x14ac:dyDescent="0.35">
      <c r="N3358" s="20"/>
      <c r="P3358" s="8"/>
      <c r="Q3358" s="8"/>
      <c r="R3358" s="8"/>
      <c r="S3358" s="8"/>
      <c r="U3358" s="6"/>
      <c r="V3358" s="6"/>
      <c r="W3358" s="6"/>
      <c r="X3358" s="6"/>
      <c r="Y3358" s="6"/>
      <c r="Z3358" s="6"/>
    </row>
    <row r="3359" spans="14:26" ht="31.4" customHeight="1" x14ac:dyDescent="0.35">
      <c r="N3359" s="20"/>
      <c r="P3359" s="8"/>
      <c r="Q3359" s="8"/>
      <c r="R3359" s="8"/>
      <c r="S3359" s="8"/>
      <c r="U3359" s="6"/>
      <c r="V3359" s="6"/>
      <c r="W3359" s="6"/>
      <c r="X3359" s="6"/>
      <c r="Y3359" s="6"/>
      <c r="Z3359" s="6"/>
    </row>
    <row r="3360" spans="14:26" ht="31.4" customHeight="1" x14ac:dyDescent="0.35">
      <c r="N3360" s="20"/>
      <c r="P3360" s="8"/>
      <c r="Q3360" s="8"/>
      <c r="R3360" s="8"/>
      <c r="S3360" s="8"/>
      <c r="U3360" s="6"/>
      <c r="V3360" s="6"/>
      <c r="W3360" s="6"/>
      <c r="X3360" s="6"/>
      <c r="Y3360" s="6"/>
      <c r="Z3360" s="6"/>
    </row>
    <row r="3361" spans="14:26" ht="31.4" customHeight="1" x14ac:dyDescent="0.35">
      <c r="N3361" s="20"/>
      <c r="P3361" s="8"/>
      <c r="Q3361" s="8"/>
      <c r="R3361" s="8"/>
      <c r="S3361" s="8"/>
      <c r="U3361" s="6"/>
      <c r="V3361" s="6"/>
      <c r="W3361" s="6"/>
      <c r="X3361" s="6"/>
      <c r="Y3361" s="6"/>
      <c r="Z3361" s="6"/>
    </row>
    <row r="3362" spans="14:26" ht="31.4" customHeight="1" x14ac:dyDescent="0.35">
      <c r="N3362" s="20"/>
      <c r="P3362" s="8"/>
      <c r="Q3362" s="8"/>
      <c r="R3362" s="8"/>
      <c r="S3362" s="8"/>
      <c r="U3362" s="6"/>
      <c r="V3362" s="6"/>
      <c r="W3362" s="6"/>
      <c r="X3362" s="6"/>
      <c r="Y3362" s="6"/>
      <c r="Z3362" s="6"/>
    </row>
    <row r="3363" spans="14:26" ht="31.4" customHeight="1" x14ac:dyDescent="0.35">
      <c r="N3363" s="20"/>
      <c r="P3363" s="8"/>
      <c r="Q3363" s="8"/>
      <c r="R3363" s="8"/>
      <c r="S3363" s="8"/>
      <c r="U3363" s="6"/>
      <c r="V3363" s="6"/>
      <c r="W3363" s="6"/>
      <c r="X3363" s="6"/>
      <c r="Y3363" s="6"/>
      <c r="Z3363" s="6"/>
    </row>
    <row r="3364" spans="14:26" ht="31.4" customHeight="1" x14ac:dyDescent="0.35">
      <c r="N3364" s="20"/>
      <c r="P3364" s="8"/>
      <c r="Q3364" s="8"/>
      <c r="R3364" s="8"/>
      <c r="S3364" s="8"/>
      <c r="U3364" s="6"/>
      <c r="V3364" s="6"/>
      <c r="W3364" s="6"/>
      <c r="X3364" s="6"/>
      <c r="Y3364" s="6"/>
      <c r="Z3364" s="6"/>
    </row>
    <row r="3365" spans="14:26" ht="31.4" customHeight="1" x14ac:dyDescent="0.35">
      <c r="N3365" s="20"/>
      <c r="P3365" s="8"/>
      <c r="Q3365" s="8"/>
      <c r="R3365" s="8"/>
      <c r="S3365" s="8"/>
      <c r="U3365" s="6"/>
      <c r="V3365" s="6"/>
      <c r="W3365" s="6"/>
      <c r="X3365" s="6"/>
      <c r="Y3365" s="6"/>
      <c r="Z3365" s="6"/>
    </row>
    <row r="3366" spans="14:26" ht="31.4" customHeight="1" x14ac:dyDescent="0.35">
      <c r="N3366" s="20"/>
      <c r="P3366" s="8"/>
      <c r="Q3366" s="8"/>
      <c r="R3366" s="8"/>
      <c r="S3366" s="8"/>
      <c r="U3366" s="6"/>
      <c r="V3366" s="6"/>
      <c r="W3366" s="6"/>
      <c r="X3366" s="6"/>
      <c r="Y3366" s="6"/>
      <c r="Z3366" s="6"/>
    </row>
    <row r="3367" spans="14:26" ht="31.4" customHeight="1" x14ac:dyDescent="0.35">
      <c r="N3367" s="20"/>
      <c r="P3367" s="8"/>
      <c r="Q3367" s="8"/>
      <c r="R3367" s="8"/>
      <c r="S3367" s="8"/>
      <c r="U3367" s="6"/>
      <c r="V3367" s="6"/>
      <c r="W3367" s="6"/>
      <c r="X3367" s="6"/>
      <c r="Y3367" s="6"/>
      <c r="Z3367" s="6"/>
    </row>
    <row r="3368" spans="14:26" ht="31.4" customHeight="1" x14ac:dyDescent="0.35">
      <c r="N3368" s="20"/>
      <c r="P3368" s="8"/>
      <c r="Q3368" s="8"/>
      <c r="R3368" s="8"/>
      <c r="S3368" s="8"/>
      <c r="U3368" s="6"/>
      <c r="V3368" s="6"/>
      <c r="W3368" s="6"/>
      <c r="X3368" s="6"/>
      <c r="Y3368" s="6"/>
      <c r="Z3368" s="6"/>
    </row>
    <row r="3369" spans="14:26" ht="31.4" customHeight="1" x14ac:dyDescent="0.35">
      <c r="N3369" s="20"/>
      <c r="P3369" s="8"/>
      <c r="Q3369" s="8"/>
      <c r="R3369" s="8"/>
      <c r="S3369" s="8"/>
      <c r="U3369" s="6"/>
      <c r="V3369" s="6"/>
      <c r="W3369" s="6"/>
      <c r="X3369" s="6"/>
      <c r="Y3369" s="6"/>
      <c r="Z3369" s="6"/>
    </row>
    <row r="3370" spans="14:26" ht="31.4" customHeight="1" x14ac:dyDescent="0.35">
      <c r="N3370" s="20"/>
      <c r="P3370" s="8"/>
      <c r="Q3370" s="8"/>
      <c r="R3370" s="8"/>
      <c r="S3370" s="8"/>
      <c r="U3370" s="6"/>
      <c r="V3370" s="6"/>
      <c r="W3370" s="6"/>
      <c r="X3370" s="6"/>
      <c r="Y3370" s="6"/>
      <c r="Z3370" s="6"/>
    </row>
    <row r="3371" spans="14:26" ht="31.4" customHeight="1" x14ac:dyDescent="0.35">
      <c r="N3371" s="20"/>
      <c r="P3371" s="8"/>
      <c r="Q3371" s="8"/>
      <c r="R3371" s="8"/>
      <c r="S3371" s="8"/>
      <c r="U3371" s="6"/>
      <c r="V3371" s="6"/>
      <c r="W3371" s="6"/>
      <c r="X3371" s="6"/>
      <c r="Y3371" s="6"/>
      <c r="Z3371" s="6"/>
    </row>
    <row r="3372" spans="14:26" ht="31.4" customHeight="1" x14ac:dyDescent="0.35">
      <c r="N3372" s="20"/>
      <c r="P3372" s="8"/>
      <c r="Q3372" s="8"/>
      <c r="R3372" s="8"/>
      <c r="S3372" s="8"/>
      <c r="U3372" s="6"/>
      <c r="V3372" s="6"/>
      <c r="W3372" s="6"/>
      <c r="X3372" s="6"/>
      <c r="Y3372" s="6"/>
      <c r="Z3372" s="6"/>
    </row>
    <row r="3373" spans="14:26" ht="31.4" customHeight="1" x14ac:dyDescent="0.35">
      <c r="N3373" s="20"/>
      <c r="P3373" s="8"/>
      <c r="Q3373" s="8"/>
      <c r="R3373" s="8"/>
      <c r="S3373" s="8"/>
      <c r="U3373" s="6"/>
      <c r="V3373" s="6"/>
      <c r="W3373" s="6"/>
      <c r="X3373" s="6"/>
      <c r="Y3373" s="6"/>
      <c r="Z3373" s="6"/>
    </row>
    <row r="3374" spans="14:26" ht="31.4" customHeight="1" x14ac:dyDescent="0.35">
      <c r="N3374" s="20"/>
      <c r="P3374" s="8"/>
      <c r="Q3374" s="8"/>
      <c r="R3374" s="8"/>
      <c r="S3374" s="8"/>
      <c r="U3374" s="6"/>
      <c r="V3374" s="6"/>
      <c r="W3374" s="6"/>
      <c r="X3374" s="6"/>
      <c r="Y3374" s="6"/>
      <c r="Z3374" s="6"/>
    </row>
    <row r="3375" spans="14:26" ht="31.4" customHeight="1" x14ac:dyDescent="0.35">
      <c r="N3375" s="20"/>
      <c r="P3375" s="8"/>
      <c r="Q3375" s="8"/>
      <c r="R3375" s="8"/>
      <c r="S3375" s="8"/>
      <c r="U3375" s="6"/>
      <c r="V3375" s="6"/>
      <c r="W3375" s="6"/>
      <c r="X3375" s="6"/>
      <c r="Y3375" s="6"/>
      <c r="Z3375" s="6"/>
    </row>
    <row r="3376" spans="14:26" ht="31.4" customHeight="1" x14ac:dyDescent="0.35">
      <c r="N3376" s="20"/>
      <c r="P3376" s="8"/>
      <c r="Q3376" s="8"/>
      <c r="R3376" s="8"/>
      <c r="S3376" s="8"/>
      <c r="U3376" s="6"/>
      <c r="V3376" s="6"/>
      <c r="W3376" s="6"/>
      <c r="X3376" s="6"/>
      <c r="Y3376" s="6"/>
      <c r="Z3376" s="6"/>
    </row>
    <row r="3377" spans="14:26" ht="31.4" customHeight="1" x14ac:dyDescent="0.35">
      <c r="N3377" s="20"/>
      <c r="P3377" s="8"/>
      <c r="Q3377" s="8"/>
      <c r="R3377" s="8"/>
      <c r="S3377" s="8"/>
      <c r="U3377" s="6"/>
      <c r="V3377" s="6"/>
      <c r="W3377" s="6"/>
      <c r="X3377" s="6"/>
      <c r="Y3377" s="6"/>
      <c r="Z3377" s="6"/>
    </row>
    <row r="3378" spans="14:26" ht="31.4" customHeight="1" x14ac:dyDescent="0.35">
      <c r="N3378" s="20"/>
      <c r="P3378" s="8"/>
      <c r="Q3378" s="8"/>
      <c r="R3378" s="8"/>
      <c r="S3378" s="8"/>
      <c r="U3378" s="6"/>
      <c r="V3378" s="6"/>
      <c r="W3378" s="6"/>
      <c r="X3378" s="6"/>
      <c r="Y3378" s="6"/>
      <c r="Z3378" s="6"/>
    </row>
    <row r="3379" spans="14:26" ht="31.4" customHeight="1" x14ac:dyDescent="0.35">
      <c r="N3379" s="20"/>
      <c r="P3379" s="8"/>
      <c r="Q3379" s="8"/>
      <c r="R3379" s="8"/>
      <c r="S3379" s="8"/>
      <c r="U3379" s="6"/>
      <c r="V3379" s="6"/>
      <c r="W3379" s="6"/>
      <c r="X3379" s="6"/>
      <c r="Y3379" s="6"/>
      <c r="Z3379" s="6"/>
    </row>
    <row r="3380" spans="14:26" ht="31.4" customHeight="1" x14ac:dyDescent="0.35">
      <c r="N3380" s="20"/>
      <c r="P3380" s="8"/>
      <c r="Q3380" s="8"/>
      <c r="R3380" s="8"/>
      <c r="S3380" s="8"/>
      <c r="U3380" s="6"/>
      <c r="V3380" s="6"/>
      <c r="W3380" s="6"/>
      <c r="X3380" s="6"/>
      <c r="Y3380" s="6"/>
      <c r="Z3380" s="6"/>
    </row>
    <row r="3381" spans="14:26" ht="31.4" customHeight="1" x14ac:dyDescent="0.35">
      <c r="N3381" s="20"/>
      <c r="P3381" s="8"/>
      <c r="Q3381" s="8"/>
      <c r="R3381" s="8"/>
      <c r="S3381" s="8"/>
      <c r="U3381" s="6"/>
      <c r="V3381" s="6"/>
      <c r="W3381" s="6"/>
      <c r="X3381" s="6"/>
      <c r="Y3381" s="6"/>
      <c r="Z3381" s="6"/>
    </row>
    <row r="3382" spans="14:26" ht="31.4" customHeight="1" x14ac:dyDescent="0.35">
      <c r="N3382" s="20"/>
      <c r="P3382" s="8"/>
      <c r="Q3382" s="8"/>
      <c r="R3382" s="8"/>
      <c r="S3382" s="8"/>
      <c r="U3382" s="6"/>
      <c r="V3382" s="6"/>
      <c r="W3382" s="6"/>
      <c r="X3382" s="6"/>
      <c r="Y3382" s="6"/>
      <c r="Z3382" s="6"/>
    </row>
    <row r="3383" spans="14:26" ht="31.4" customHeight="1" x14ac:dyDescent="0.35">
      <c r="N3383" s="20"/>
      <c r="P3383" s="8"/>
      <c r="Q3383" s="8"/>
      <c r="R3383" s="8"/>
      <c r="S3383" s="8"/>
      <c r="U3383" s="6"/>
      <c r="V3383" s="6"/>
      <c r="W3383" s="6"/>
      <c r="X3383" s="6"/>
      <c r="Y3383" s="6"/>
      <c r="Z3383" s="6"/>
    </row>
    <row r="3384" spans="14:26" ht="31.4" customHeight="1" x14ac:dyDescent="0.35">
      <c r="N3384" s="20"/>
      <c r="P3384" s="8"/>
      <c r="Q3384" s="8"/>
      <c r="R3384" s="8"/>
      <c r="S3384" s="8"/>
      <c r="U3384" s="6"/>
      <c r="V3384" s="6"/>
      <c r="W3384" s="6"/>
      <c r="X3384" s="6"/>
      <c r="Y3384" s="6"/>
      <c r="Z3384" s="6"/>
    </row>
    <row r="3385" spans="14:26" ht="31.4" customHeight="1" x14ac:dyDescent="0.35">
      <c r="N3385" s="20"/>
      <c r="P3385" s="8"/>
      <c r="Q3385" s="8"/>
      <c r="R3385" s="8"/>
      <c r="S3385" s="8"/>
      <c r="U3385" s="6"/>
      <c r="V3385" s="6"/>
      <c r="W3385" s="6"/>
      <c r="X3385" s="6"/>
      <c r="Y3385" s="6"/>
      <c r="Z3385" s="6"/>
    </row>
    <row r="3386" spans="14:26" ht="31.4" customHeight="1" x14ac:dyDescent="0.35">
      <c r="N3386" s="20"/>
      <c r="P3386" s="8"/>
      <c r="Q3386" s="8"/>
      <c r="R3386" s="8"/>
      <c r="S3386" s="8"/>
      <c r="U3386" s="6"/>
      <c r="V3386" s="6"/>
      <c r="W3386" s="6"/>
      <c r="X3386" s="6"/>
      <c r="Y3386" s="6"/>
      <c r="Z3386" s="6"/>
    </row>
    <row r="3387" spans="14:26" ht="31.4" customHeight="1" x14ac:dyDescent="0.35">
      <c r="N3387" s="20"/>
      <c r="P3387" s="8"/>
      <c r="Q3387" s="8"/>
      <c r="R3387" s="8"/>
      <c r="S3387" s="8"/>
      <c r="U3387" s="6"/>
      <c r="V3387" s="6"/>
      <c r="W3387" s="6"/>
      <c r="X3387" s="6"/>
      <c r="Y3387" s="6"/>
      <c r="Z3387" s="6"/>
    </row>
    <row r="3388" spans="14:26" ht="31.4" customHeight="1" x14ac:dyDescent="0.35">
      <c r="N3388" s="20"/>
      <c r="P3388" s="8"/>
      <c r="Q3388" s="8"/>
      <c r="R3388" s="8"/>
      <c r="S3388" s="8"/>
      <c r="U3388" s="6"/>
      <c r="V3388" s="6"/>
      <c r="W3388" s="6"/>
      <c r="X3388" s="6"/>
      <c r="Y3388" s="6"/>
      <c r="Z3388" s="6"/>
    </row>
    <row r="3389" spans="14:26" ht="31.4" customHeight="1" x14ac:dyDescent="0.35">
      <c r="N3389" s="20"/>
      <c r="P3389" s="8"/>
      <c r="Q3389" s="8"/>
      <c r="R3389" s="8"/>
      <c r="S3389" s="8"/>
      <c r="U3389" s="6"/>
      <c r="V3389" s="6"/>
      <c r="W3389" s="6"/>
      <c r="X3389" s="6"/>
      <c r="Y3389" s="6"/>
      <c r="Z3389" s="6"/>
    </row>
    <row r="3390" spans="14:26" ht="31.4" customHeight="1" x14ac:dyDescent="0.35">
      <c r="N3390" s="20"/>
      <c r="P3390" s="8"/>
      <c r="Q3390" s="8"/>
      <c r="R3390" s="8"/>
      <c r="S3390" s="8"/>
      <c r="U3390" s="6"/>
      <c r="V3390" s="6"/>
      <c r="W3390" s="6"/>
      <c r="X3390" s="6"/>
      <c r="Y3390" s="6"/>
      <c r="Z3390" s="6"/>
    </row>
    <row r="3391" spans="14:26" ht="31.4" customHeight="1" x14ac:dyDescent="0.35">
      <c r="N3391" s="20"/>
      <c r="P3391" s="8"/>
      <c r="Q3391" s="8"/>
      <c r="R3391" s="8"/>
      <c r="S3391" s="8"/>
      <c r="U3391" s="6"/>
      <c r="V3391" s="6"/>
      <c r="W3391" s="6"/>
      <c r="X3391" s="6"/>
      <c r="Y3391" s="6"/>
      <c r="Z3391" s="6"/>
    </row>
    <row r="3392" spans="14:26" ht="31.4" customHeight="1" x14ac:dyDescent="0.35">
      <c r="N3392" s="20"/>
      <c r="P3392" s="8"/>
      <c r="Q3392" s="8"/>
      <c r="R3392" s="8"/>
      <c r="S3392" s="8"/>
      <c r="U3392" s="6"/>
      <c r="V3392" s="6"/>
      <c r="W3392" s="6"/>
      <c r="X3392" s="6"/>
      <c r="Y3392" s="6"/>
      <c r="Z3392" s="6"/>
    </row>
    <row r="3393" spans="14:26" ht="31.4" customHeight="1" x14ac:dyDescent="0.35">
      <c r="N3393" s="20"/>
      <c r="P3393" s="8"/>
      <c r="Q3393" s="8"/>
      <c r="R3393" s="8"/>
      <c r="S3393" s="8"/>
      <c r="U3393" s="6"/>
      <c r="V3393" s="6"/>
      <c r="W3393" s="6"/>
      <c r="X3393" s="6"/>
      <c r="Y3393" s="6"/>
      <c r="Z3393" s="6"/>
    </row>
    <row r="3394" spans="14:26" ht="31.4" customHeight="1" x14ac:dyDescent="0.35">
      <c r="N3394" s="20"/>
      <c r="P3394" s="8"/>
      <c r="Q3394" s="8"/>
      <c r="R3394" s="8"/>
      <c r="S3394" s="8"/>
      <c r="U3394" s="6"/>
      <c r="V3394" s="6"/>
      <c r="W3394" s="6"/>
      <c r="X3394" s="6"/>
      <c r="Y3394" s="6"/>
      <c r="Z3394" s="6"/>
    </row>
    <row r="3395" spans="14:26" ht="31.4" customHeight="1" x14ac:dyDescent="0.35">
      <c r="N3395" s="20"/>
      <c r="P3395" s="8"/>
      <c r="Q3395" s="8"/>
      <c r="R3395" s="8"/>
      <c r="S3395" s="8"/>
      <c r="U3395" s="6"/>
      <c r="V3395" s="6"/>
      <c r="W3395" s="6"/>
      <c r="X3395" s="6"/>
      <c r="Y3395" s="6"/>
      <c r="Z3395" s="6"/>
    </row>
    <row r="3396" spans="14:26" ht="31.4" customHeight="1" x14ac:dyDescent="0.35">
      <c r="N3396" s="20"/>
      <c r="P3396" s="8"/>
      <c r="Q3396" s="8"/>
      <c r="R3396" s="8"/>
      <c r="S3396" s="8"/>
      <c r="U3396" s="6"/>
      <c r="V3396" s="6"/>
      <c r="W3396" s="6"/>
      <c r="X3396" s="6"/>
      <c r="Y3396" s="6"/>
      <c r="Z3396" s="6"/>
    </row>
    <row r="3397" spans="14:26" ht="31.4" customHeight="1" x14ac:dyDescent="0.35">
      <c r="N3397" s="20"/>
      <c r="P3397" s="8"/>
      <c r="Q3397" s="8"/>
      <c r="R3397" s="8"/>
      <c r="S3397" s="8"/>
      <c r="U3397" s="6"/>
      <c r="V3397" s="6"/>
      <c r="W3397" s="6"/>
      <c r="X3397" s="6"/>
      <c r="Y3397" s="6"/>
      <c r="Z3397" s="6"/>
    </row>
    <row r="3398" spans="14:26" ht="31.4" customHeight="1" x14ac:dyDescent="0.35">
      <c r="N3398" s="20"/>
      <c r="P3398" s="8"/>
      <c r="Q3398" s="8"/>
      <c r="R3398" s="8"/>
      <c r="S3398" s="8"/>
      <c r="U3398" s="6"/>
      <c r="V3398" s="6"/>
      <c r="W3398" s="6"/>
      <c r="X3398" s="6"/>
      <c r="Y3398" s="6"/>
      <c r="Z3398" s="6"/>
    </row>
    <row r="3399" spans="14:26" ht="31.4" customHeight="1" x14ac:dyDescent="0.35">
      <c r="N3399" s="20"/>
      <c r="P3399" s="8"/>
      <c r="Q3399" s="8"/>
      <c r="R3399" s="8"/>
      <c r="S3399" s="8"/>
      <c r="U3399" s="6"/>
      <c r="V3399" s="6"/>
      <c r="W3399" s="6"/>
      <c r="X3399" s="6"/>
      <c r="Y3399" s="6"/>
      <c r="Z3399" s="6"/>
    </row>
    <row r="3400" spans="14:26" ht="31.4" customHeight="1" x14ac:dyDescent="0.35">
      <c r="N3400" s="20"/>
      <c r="P3400" s="8"/>
      <c r="Q3400" s="8"/>
      <c r="R3400" s="8"/>
      <c r="S3400" s="8"/>
      <c r="U3400" s="6"/>
      <c r="V3400" s="6"/>
      <c r="W3400" s="6"/>
      <c r="X3400" s="6"/>
      <c r="Y3400" s="6"/>
      <c r="Z3400" s="6"/>
    </row>
    <row r="3401" spans="14:26" ht="31.4" customHeight="1" x14ac:dyDescent="0.35">
      <c r="N3401" s="20"/>
      <c r="P3401" s="8"/>
      <c r="Q3401" s="8"/>
      <c r="R3401" s="8"/>
      <c r="S3401" s="8"/>
      <c r="U3401" s="6"/>
      <c r="V3401" s="6"/>
      <c r="W3401" s="6"/>
      <c r="X3401" s="6"/>
      <c r="Y3401" s="6"/>
      <c r="Z3401" s="6"/>
    </row>
    <row r="3402" spans="14:26" ht="31.4" customHeight="1" x14ac:dyDescent="0.35">
      <c r="N3402" s="20"/>
      <c r="P3402" s="8"/>
      <c r="Q3402" s="8"/>
      <c r="R3402" s="8"/>
      <c r="S3402" s="8"/>
      <c r="U3402" s="6"/>
      <c r="V3402" s="6"/>
      <c r="W3402" s="6"/>
      <c r="X3402" s="6"/>
      <c r="Y3402" s="6"/>
      <c r="Z3402" s="6"/>
    </row>
    <row r="3403" spans="14:26" ht="31.4" customHeight="1" x14ac:dyDescent="0.35">
      <c r="N3403" s="20"/>
      <c r="P3403" s="8"/>
      <c r="Q3403" s="8"/>
      <c r="R3403" s="8"/>
      <c r="S3403" s="8"/>
      <c r="U3403" s="6"/>
      <c r="V3403" s="6"/>
      <c r="W3403" s="6"/>
      <c r="X3403" s="6"/>
      <c r="Y3403" s="6"/>
      <c r="Z3403" s="6"/>
    </row>
    <row r="3404" spans="14:26" ht="31.4" customHeight="1" x14ac:dyDescent="0.35">
      <c r="N3404" s="20"/>
      <c r="P3404" s="8"/>
      <c r="Q3404" s="8"/>
      <c r="R3404" s="8"/>
      <c r="S3404" s="8"/>
      <c r="U3404" s="6"/>
      <c r="V3404" s="6"/>
      <c r="W3404" s="6"/>
      <c r="X3404" s="6"/>
      <c r="Y3404" s="6"/>
      <c r="Z3404" s="6"/>
    </row>
    <row r="3405" spans="14:26" ht="31.4" customHeight="1" x14ac:dyDescent="0.35">
      <c r="N3405" s="20"/>
      <c r="P3405" s="8"/>
      <c r="Q3405" s="8"/>
      <c r="R3405" s="8"/>
      <c r="S3405" s="8"/>
      <c r="U3405" s="6"/>
      <c r="V3405" s="6"/>
      <c r="W3405" s="6"/>
      <c r="X3405" s="6"/>
      <c r="Y3405" s="6"/>
      <c r="Z3405" s="6"/>
    </row>
    <row r="3406" spans="14:26" ht="31.4" customHeight="1" x14ac:dyDescent="0.35">
      <c r="N3406" s="20"/>
      <c r="P3406" s="8"/>
      <c r="Q3406" s="8"/>
      <c r="R3406" s="8"/>
      <c r="S3406" s="8"/>
      <c r="U3406" s="6"/>
      <c r="V3406" s="6"/>
      <c r="W3406" s="6"/>
      <c r="X3406" s="6"/>
      <c r="Y3406" s="6"/>
      <c r="Z3406" s="6"/>
    </row>
    <row r="3407" spans="14:26" ht="31.4" customHeight="1" x14ac:dyDescent="0.35">
      <c r="N3407" s="20"/>
      <c r="P3407" s="8"/>
      <c r="Q3407" s="8"/>
      <c r="R3407" s="8"/>
      <c r="S3407" s="8"/>
      <c r="U3407" s="6"/>
      <c r="V3407" s="6"/>
      <c r="W3407" s="6"/>
      <c r="X3407" s="6"/>
      <c r="Y3407" s="6"/>
      <c r="Z3407" s="6"/>
    </row>
    <row r="3408" spans="14:26" ht="31.4" customHeight="1" x14ac:dyDescent="0.35">
      <c r="N3408" s="20"/>
      <c r="P3408" s="8"/>
      <c r="Q3408" s="8"/>
      <c r="R3408" s="8"/>
      <c r="S3408" s="8"/>
      <c r="U3408" s="6"/>
      <c r="V3408" s="6"/>
      <c r="W3408" s="6"/>
      <c r="X3408" s="6"/>
      <c r="Y3408" s="6"/>
      <c r="Z3408" s="6"/>
    </row>
    <row r="3409" spans="14:26" ht="31.4" customHeight="1" x14ac:dyDescent="0.35">
      <c r="N3409" s="20"/>
      <c r="P3409" s="8"/>
      <c r="Q3409" s="8"/>
      <c r="R3409" s="8"/>
      <c r="S3409" s="8"/>
      <c r="U3409" s="6"/>
      <c r="V3409" s="6"/>
      <c r="W3409" s="6"/>
      <c r="X3409" s="6"/>
      <c r="Y3409" s="6"/>
      <c r="Z3409" s="6"/>
    </row>
    <row r="3410" spans="14:26" ht="31.4" customHeight="1" x14ac:dyDescent="0.35">
      <c r="N3410" s="20"/>
      <c r="P3410" s="8"/>
      <c r="Q3410" s="8"/>
      <c r="R3410" s="8"/>
      <c r="S3410" s="8"/>
      <c r="U3410" s="6"/>
      <c r="V3410" s="6"/>
      <c r="W3410" s="6"/>
      <c r="X3410" s="6"/>
      <c r="Y3410" s="6"/>
      <c r="Z3410" s="6"/>
    </row>
    <row r="3411" spans="14:26" ht="31.4" customHeight="1" x14ac:dyDescent="0.35">
      <c r="N3411" s="20"/>
      <c r="P3411" s="8"/>
      <c r="Q3411" s="8"/>
      <c r="R3411" s="8"/>
      <c r="S3411" s="8"/>
      <c r="U3411" s="6"/>
      <c r="V3411" s="6"/>
      <c r="W3411" s="6"/>
      <c r="X3411" s="6"/>
      <c r="Y3411" s="6"/>
      <c r="Z3411" s="6"/>
    </row>
    <row r="3412" spans="14:26" ht="31.4" customHeight="1" x14ac:dyDescent="0.35">
      <c r="N3412" s="20"/>
      <c r="P3412" s="8"/>
      <c r="Q3412" s="8"/>
      <c r="R3412" s="8"/>
      <c r="S3412" s="8"/>
      <c r="U3412" s="6"/>
      <c r="V3412" s="6"/>
      <c r="W3412" s="6"/>
      <c r="X3412" s="6"/>
      <c r="Y3412" s="6"/>
      <c r="Z3412" s="6"/>
    </row>
    <row r="3413" spans="14:26" ht="31.4" customHeight="1" x14ac:dyDescent="0.35">
      <c r="N3413" s="20"/>
      <c r="P3413" s="8"/>
      <c r="Q3413" s="8"/>
      <c r="R3413" s="8"/>
      <c r="S3413" s="8"/>
      <c r="U3413" s="6"/>
      <c r="V3413" s="6"/>
      <c r="W3413" s="6"/>
      <c r="X3413" s="6"/>
      <c r="Y3413" s="6"/>
      <c r="Z3413" s="6"/>
    </row>
    <row r="3414" spans="14:26" ht="31.4" customHeight="1" x14ac:dyDescent="0.35">
      <c r="N3414" s="20"/>
      <c r="P3414" s="8"/>
      <c r="Q3414" s="8"/>
      <c r="R3414" s="8"/>
      <c r="S3414" s="8"/>
      <c r="U3414" s="6"/>
      <c r="V3414" s="6"/>
      <c r="W3414" s="6"/>
      <c r="X3414" s="6"/>
      <c r="Y3414" s="6"/>
      <c r="Z3414" s="6"/>
    </row>
    <row r="3415" spans="14:26" ht="31.4" customHeight="1" x14ac:dyDescent="0.35">
      <c r="N3415" s="20"/>
      <c r="P3415" s="8"/>
      <c r="Q3415" s="8"/>
      <c r="R3415" s="8"/>
      <c r="S3415" s="8"/>
      <c r="U3415" s="6"/>
      <c r="V3415" s="6"/>
      <c r="W3415" s="6"/>
      <c r="X3415" s="6"/>
      <c r="Y3415" s="6"/>
      <c r="Z3415" s="6"/>
    </row>
    <row r="3416" spans="14:26" ht="31.4" customHeight="1" x14ac:dyDescent="0.35">
      <c r="N3416" s="20"/>
      <c r="P3416" s="8"/>
      <c r="Q3416" s="8"/>
      <c r="R3416" s="8"/>
      <c r="S3416" s="8"/>
      <c r="U3416" s="6"/>
      <c r="V3416" s="6"/>
      <c r="W3416" s="6"/>
      <c r="X3416" s="6"/>
      <c r="Y3416" s="6"/>
      <c r="Z3416" s="6"/>
    </row>
    <row r="3417" spans="14:26" ht="31.4" customHeight="1" x14ac:dyDescent="0.35">
      <c r="N3417" s="20"/>
      <c r="P3417" s="8"/>
      <c r="Q3417" s="8"/>
      <c r="R3417" s="8"/>
      <c r="S3417" s="8"/>
      <c r="U3417" s="6"/>
      <c r="V3417" s="6"/>
      <c r="W3417" s="6"/>
      <c r="X3417" s="6"/>
      <c r="Y3417" s="6"/>
      <c r="Z3417" s="6"/>
    </row>
    <row r="3418" spans="14:26" ht="31.4" customHeight="1" x14ac:dyDescent="0.35">
      <c r="N3418" s="20"/>
      <c r="P3418" s="8"/>
      <c r="Q3418" s="8"/>
      <c r="R3418" s="8"/>
      <c r="S3418" s="8"/>
      <c r="U3418" s="6"/>
      <c r="V3418" s="6"/>
      <c r="W3418" s="6"/>
      <c r="X3418" s="6"/>
      <c r="Y3418" s="6"/>
      <c r="Z3418" s="6"/>
    </row>
    <row r="3419" spans="14:26" ht="31.4" customHeight="1" x14ac:dyDescent="0.35">
      <c r="N3419" s="20"/>
      <c r="P3419" s="8"/>
      <c r="Q3419" s="8"/>
      <c r="R3419" s="8"/>
      <c r="S3419" s="8"/>
      <c r="U3419" s="6"/>
      <c r="V3419" s="6"/>
      <c r="W3419" s="6"/>
      <c r="X3419" s="6"/>
      <c r="Y3419" s="6"/>
      <c r="Z3419" s="6"/>
    </row>
    <row r="3420" spans="14:26" ht="31.4" customHeight="1" x14ac:dyDescent="0.35">
      <c r="N3420" s="20"/>
      <c r="P3420" s="8"/>
      <c r="Q3420" s="8"/>
      <c r="R3420" s="8"/>
      <c r="S3420" s="8"/>
      <c r="U3420" s="6"/>
      <c r="V3420" s="6"/>
      <c r="W3420" s="6"/>
      <c r="X3420" s="6"/>
      <c r="Y3420" s="6"/>
      <c r="Z3420" s="6"/>
    </row>
    <row r="3421" spans="14:26" ht="31.4" customHeight="1" x14ac:dyDescent="0.35">
      <c r="N3421" s="20"/>
      <c r="P3421" s="8"/>
      <c r="Q3421" s="8"/>
      <c r="R3421" s="8"/>
      <c r="S3421" s="8"/>
      <c r="U3421" s="6"/>
      <c r="V3421" s="6"/>
      <c r="W3421" s="6"/>
      <c r="X3421" s="6"/>
      <c r="Y3421" s="6"/>
      <c r="Z3421" s="6"/>
    </row>
    <row r="3422" spans="14:26" ht="31.4" customHeight="1" x14ac:dyDescent="0.35">
      <c r="N3422" s="20"/>
      <c r="P3422" s="8"/>
      <c r="Q3422" s="8"/>
      <c r="R3422" s="8"/>
      <c r="S3422" s="8"/>
      <c r="U3422" s="6"/>
      <c r="V3422" s="6"/>
      <c r="W3422" s="6"/>
      <c r="X3422" s="6"/>
      <c r="Y3422" s="6"/>
      <c r="Z3422" s="6"/>
    </row>
    <row r="3423" spans="14:26" ht="31.4" customHeight="1" x14ac:dyDescent="0.35">
      <c r="N3423" s="20"/>
      <c r="P3423" s="8"/>
      <c r="Q3423" s="8"/>
      <c r="R3423" s="8"/>
      <c r="S3423" s="8"/>
      <c r="U3423" s="6"/>
      <c r="V3423" s="6"/>
      <c r="W3423" s="6"/>
      <c r="X3423" s="6"/>
      <c r="Y3423" s="6"/>
      <c r="Z3423" s="6"/>
    </row>
    <row r="3424" spans="14:26" ht="31.4" customHeight="1" x14ac:dyDescent="0.35">
      <c r="N3424" s="20"/>
      <c r="P3424" s="8"/>
      <c r="Q3424" s="8"/>
      <c r="R3424" s="8"/>
      <c r="S3424" s="8"/>
      <c r="U3424" s="6"/>
      <c r="V3424" s="6"/>
      <c r="W3424" s="6"/>
      <c r="X3424" s="6"/>
      <c r="Y3424" s="6"/>
      <c r="Z3424" s="6"/>
    </row>
    <row r="3425" spans="14:26" ht="31.4" customHeight="1" x14ac:dyDescent="0.35">
      <c r="N3425" s="20"/>
      <c r="P3425" s="8"/>
      <c r="Q3425" s="8"/>
      <c r="R3425" s="8"/>
      <c r="S3425" s="8"/>
      <c r="U3425" s="6"/>
      <c r="V3425" s="6"/>
      <c r="W3425" s="6"/>
      <c r="X3425" s="6"/>
      <c r="Y3425" s="6"/>
      <c r="Z3425" s="6"/>
    </row>
    <row r="3426" spans="14:26" ht="31.4" customHeight="1" x14ac:dyDescent="0.35">
      <c r="N3426" s="20"/>
      <c r="P3426" s="8"/>
      <c r="Q3426" s="8"/>
      <c r="R3426" s="8"/>
      <c r="S3426" s="8"/>
      <c r="U3426" s="6"/>
      <c r="V3426" s="6"/>
      <c r="W3426" s="6"/>
      <c r="X3426" s="6"/>
      <c r="Y3426" s="6"/>
      <c r="Z3426" s="6"/>
    </row>
    <row r="3427" spans="14:26" ht="31.4" customHeight="1" x14ac:dyDescent="0.35">
      <c r="N3427" s="20"/>
      <c r="P3427" s="8"/>
      <c r="Q3427" s="8"/>
      <c r="R3427" s="8"/>
      <c r="S3427" s="8"/>
      <c r="U3427" s="6"/>
      <c r="V3427" s="6"/>
      <c r="W3427" s="6"/>
      <c r="X3427" s="6"/>
      <c r="Y3427" s="6"/>
      <c r="Z3427" s="6"/>
    </row>
    <row r="3428" spans="14:26" ht="31.4" customHeight="1" x14ac:dyDescent="0.35">
      <c r="N3428" s="20"/>
      <c r="P3428" s="8"/>
      <c r="Q3428" s="8"/>
      <c r="R3428" s="8"/>
      <c r="S3428" s="8"/>
      <c r="U3428" s="6"/>
      <c r="V3428" s="6"/>
      <c r="W3428" s="6"/>
      <c r="X3428" s="6"/>
      <c r="Y3428" s="6"/>
      <c r="Z3428" s="6"/>
    </row>
    <row r="3429" spans="14:26" ht="31.4" customHeight="1" x14ac:dyDescent="0.35">
      <c r="N3429" s="20"/>
      <c r="P3429" s="8"/>
      <c r="Q3429" s="8"/>
      <c r="R3429" s="8"/>
      <c r="S3429" s="8"/>
      <c r="U3429" s="6"/>
      <c r="V3429" s="6"/>
      <c r="W3429" s="6"/>
      <c r="X3429" s="6"/>
      <c r="Y3429" s="6"/>
      <c r="Z3429" s="6"/>
    </row>
    <row r="3430" spans="14:26" ht="31.4" customHeight="1" x14ac:dyDescent="0.35">
      <c r="N3430" s="20"/>
      <c r="P3430" s="8"/>
      <c r="Q3430" s="8"/>
      <c r="R3430" s="8"/>
      <c r="S3430" s="8"/>
      <c r="U3430" s="6"/>
      <c r="V3430" s="6"/>
      <c r="W3430" s="6"/>
      <c r="X3430" s="6"/>
      <c r="Y3430" s="6"/>
      <c r="Z3430" s="6"/>
    </row>
    <row r="3431" spans="14:26" ht="31.4" customHeight="1" x14ac:dyDescent="0.35">
      <c r="N3431" s="20"/>
      <c r="P3431" s="8"/>
      <c r="Q3431" s="8"/>
      <c r="R3431" s="8"/>
      <c r="S3431" s="8"/>
      <c r="U3431" s="6"/>
      <c r="V3431" s="6"/>
      <c r="W3431" s="6"/>
      <c r="X3431" s="6"/>
      <c r="Y3431" s="6"/>
      <c r="Z3431" s="6"/>
    </row>
    <row r="3432" spans="14:26" ht="31.4" customHeight="1" x14ac:dyDescent="0.35">
      <c r="N3432" s="20"/>
      <c r="P3432" s="8"/>
      <c r="Q3432" s="8"/>
      <c r="R3432" s="8"/>
      <c r="S3432" s="8"/>
      <c r="U3432" s="6"/>
      <c r="V3432" s="6"/>
      <c r="W3432" s="6"/>
      <c r="X3432" s="6"/>
      <c r="Y3432" s="6"/>
      <c r="Z3432" s="6"/>
    </row>
    <row r="3433" spans="14:26" ht="31.4" customHeight="1" x14ac:dyDescent="0.35">
      <c r="N3433" s="20"/>
      <c r="P3433" s="8"/>
      <c r="Q3433" s="8"/>
      <c r="R3433" s="8"/>
      <c r="S3433" s="8"/>
      <c r="U3433" s="6"/>
      <c r="V3433" s="6"/>
      <c r="W3433" s="6"/>
      <c r="X3433" s="6"/>
      <c r="Y3433" s="6"/>
      <c r="Z3433" s="6"/>
    </row>
    <row r="3434" spans="14:26" ht="31.4" customHeight="1" x14ac:dyDescent="0.35">
      <c r="N3434" s="20"/>
      <c r="P3434" s="8"/>
      <c r="Q3434" s="8"/>
      <c r="R3434" s="8"/>
      <c r="S3434" s="8"/>
      <c r="U3434" s="6"/>
      <c r="V3434" s="6"/>
      <c r="W3434" s="6"/>
      <c r="X3434" s="6"/>
      <c r="Y3434" s="6"/>
      <c r="Z3434" s="6"/>
    </row>
    <row r="3435" spans="14:26" ht="31.4" customHeight="1" x14ac:dyDescent="0.35">
      <c r="N3435" s="20"/>
      <c r="P3435" s="8"/>
      <c r="Q3435" s="8"/>
      <c r="R3435" s="8"/>
      <c r="S3435" s="8"/>
      <c r="U3435" s="6"/>
      <c r="V3435" s="6"/>
      <c r="W3435" s="6"/>
      <c r="X3435" s="6"/>
      <c r="Y3435" s="6"/>
      <c r="Z3435" s="6"/>
    </row>
    <row r="3436" spans="14:26" ht="31.4" customHeight="1" x14ac:dyDescent="0.35">
      <c r="N3436" s="20"/>
      <c r="P3436" s="8"/>
      <c r="Q3436" s="8"/>
      <c r="R3436" s="8"/>
      <c r="S3436" s="8"/>
      <c r="U3436" s="6"/>
      <c r="V3436" s="6"/>
      <c r="W3436" s="6"/>
      <c r="X3436" s="6"/>
      <c r="Y3436" s="6"/>
      <c r="Z3436" s="6"/>
    </row>
    <row r="3437" spans="14:26" ht="31.4" customHeight="1" x14ac:dyDescent="0.35">
      <c r="N3437" s="20"/>
      <c r="P3437" s="8"/>
      <c r="Q3437" s="8"/>
      <c r="R3437" s="8"/>
      <c r="S3437" s="8"/>
      <c r="U3437" s="6"/>
      <c r="V3437" s="6"/>
      <c r="W3437" s="6"/>
      <c r="X3437" s="6"/>
      <c r="Y3437" s="6"/>
      <c r="Z3437" s="6"/>
    </row>
    <row r="3438" spans="14:26" ht="31.4" customHeight="1" x14ac:dyDescent="0.35">
      <c r="N3438" s="20"/>
      <c r="P3438" s="8"/>
      <c r="Q3438" s="8"/>
      <c r="R3438" s="8"/>
      <c r="S3438" s="8"/>
      <c r="U3438" s="6"/>
      <c r="V3438" s="6"/>
      <c r="W3438" s="6"/>
      <c r="X3438" s="6"/>
      <c r="Y3438" s="6"/>
      <c r="Z3438" s="6"/>
    </row>
    <row r="3439" spans="14:26" ht="31.4" customHeight="1" x14ac:dyDescent="0.35">
      <c r="N3439" s="20"/>
      <c r="P3439" s="8"/>
      <c r="Q3439" s="8"/>
      <c r="R3439" s="8"/>
      <c r="S3439" s="8"/>
      <c r="U3439" s="6"/>
      <c r="V3439" s="6"/>
      <c r="W3439" s="6"/>
      <c r="X3439" s="6"/>
      <c r="Y3439" s="6"/>
      <c r="Z3439" s="6"/>
    </row>
    <row r="3440" spans="14:26" ht="31.4" customHeight="1" x14ac:dyDescent="0.35">
      <c r="N3440" s="20"/>
      <c r="P3440" s="8"/>
      <c r="Q3440" s="8"/>
      <c r="R3440" s="8"/>
      <c r="S3440" s="8"/>
      <c r="U3440" s="6"/>
      <c r="V3440" s="6"/>
      <c r="W3440" s="6"/>
      <c r="X3440" s="6"/>
      <c r="Y3440" s="6"/>
      <c r="Z3440" s="6"/>
    </row>
    <row r="3441" spans="14:26" ht="31.4" customHeight="1" x14ac:dyDescent="0.35">
      <c r="N3441" s="20"/>
      <c r="P3441" s="8"/>
      <c r="Q3441" s="8"/>
      <c r="R3441" s="8"/>
      <c r="S3441" s="8"/>
      <c r="U3441" s="6"/>
      <c r="V3441" s="6"/>
      <c r="W3441" s="6"/>
      <c r="X3441" s="6"/>
      <c r="Y3441" s="6"/>
      <c r="Z3441" s="6"/>
    </row>
    <row r="3442" spans="14:26" ht="31.4" customHeight="1" x14ac:dyDescent="0.35">
      <c r="N3442" s="20"/>
      <c r="P3442" s="8"/>
      <c r="Q3442" s="8"/>
      <c r="R3442" s="8"/>
      <c r="S3442" s="8"/>
      <c r="U3442" s="6"/>
      <c r="V3442" s="6"/>
      <c r="W3442" s="6"/>
      <c r="X3442" s="6"/>
      <c r="Y3442" s="6"/>
      <c r="Z3442" s="6"/>
    </row>
    <row r="3443" spans="14:26" ht="31.4" customHeight="1" x14ac:dyDescent="0.35">
      <c r="N3443" s="20"/>
      <c r="P3443" s="8"/>
      <c r="Q3443" s="8"/>
      <c r="R3443" s="8"/>
      <c r="S3443" s="8"/>
      <c r="U3443" s="6"/>
      <c r="V3443" s="6"/>
      <c r="W3443" s="6"/>
      <c r="X3443" s="6"/>
      <c r="Y3443" s="6"/>
      <c r="Z3443" s="6"/>
    </row>
    <row r="3444" spans="14:26" ht="31.4" customHeight="1" x14ac:dyDescent="0.35">
      <c r="N3444" s="20"/>
      <c r="P3444" s="8"/>
      <c r="Q3444" s="8"/>
      <c r="R3444" s="8"/>
      <c r="S3444" s="8"/>
      <c r="U3444" s="6"/>
      <c r="V3444" s="6"/>
      <c r="W3444" s="6"/>
      <c r="X3444" s="6"/>
      <c r="Y3444" s="6"/>
      <c r="Z3444" s="6"/>
    </row>
    <row r="3445" spans="14:26" ht="31.4" customHeight="1" x14ac:dyDescent="0.35">
      <c r="N3445" s="20"/>
      <c r="P3445" s="8"/>
      <c r="Q3445" s="8"/>
      <c r="R3445" s="8"/>
      <c r="S3445" s="8"/>
      <c r="U3445" s="6"/>
      <c r="V3445" s="6"/>
      <c r="W3445" s="6"/>
      <c r="X3445" s="6"/>
      <c r="Y3445" s="6"/>
      <c r="Z3445" s="6"/>
    </row>
    <row r="3446" spans="14:26" ht="31.4" customHeight="1" x14ac:dyDescent="0.35">
      <c r="N3446" s="20"/>
      <c r="P3446" s="8"/>
      <c r="Q3446" s="8"/>
      <c r="R3446" s="8"/>
      <c r="S3446" s="8"/>
      <c r="U3446" s="6"/>
      <c r="V3446" s="6"/>
      <c r="W3446" s="6"/>
      <c r="X3446" s="6"/>
      <c r="Y3446" s="6"/>
      <c r="Z3446" s="6"/>
    </row>
    <row r="3447" spans="14:26" ht="31.4" customHeight="1" x14ac:dyDescent="0.35">
      <c r="N3447" s="20"/>
      <c r="P3447" s="8"/>
      <c r="Q3447" s="8"/>
      <c r="R3447" s="8"/>
      <c r="S3447" s="8"/>
      <c r="U3447" s="6"/>
      <c r="V3447" s="6"/>
      <c r="W3447" s="6"/>
      <c r="X3447" s="6"/>
      <c r="Y3447" s="6"/>
      <c r="Z3447" s="6"/>
    </row>
    <row r="3448" spans="14:26" ht="31.4" customHeight="1" x14ac:dyDescent="0.35">
      <c r="N3448" s="20"/>
      <c r="P3448" s="8"/>
      <c r="Q3448" s="8"/>
      <c r="R3448" s="8"/>
      <c r="S3448" s="8"/>
      <c r="U3448" s="6"/>
      <c r="V3448" s="6"/>
      <c r="W3448" s="6"/>
      <c r="X3448" s="6"/>
      <c r="Y3448" s="6"/>
      <c r="Z3448" s="6"/>
    </row>
    <row r="3449" spans="14:26" ht="31.4" customHeight="1" x14ac:dyDescent="0.35">
      <c r="N3449" s="20"/>
      <c r="P3449" s="8"/>
      <c r="Q3449" s="8"/>
      <c r="R3449" s="8"/>
      <c r="S3449" s="8"/>
      <c r="U3449" s="6"/>
      <c r="V3449" s="6"/>
      <c r="W3449" s="6"/>
      <c r="X3449" s="6"/>
      <c r="Y3449" s="6"/>
      <c r="Z3449" s="6"/>
    </row>
    <row r="3450" spans="14:26" ht="31.4" customHeight="1" x14ac:dyDescent="0.35">
      <c r="N3450" s="20"/>
      <c r="P3450" s="8"/>
      <c r="Q3450" s="8"/>
      <c r="R3450" s="8"/>
      <c r="S3450" s="8"/>
      <c r="U3450" s="6"/>
      <c r="V3450" s="6"/>
      <c r="W3450" s="6"/>
      <c r="X3450" s="6"/>
      <c r="Y3450" s="6"/>
      <c r="Z3450" s="6"/>
    </row>
    <row r="3451" spans="14:26" ht="31.4" customHeight="1" x14ac:dyDescent="0.35">
      <c r="N3451" s="20"/>
      <c r="P3451" s="8"/>
      <c r="Q3451" s="8"/>
      <c r="R3451" s="8"/>
      <c r="S3451" s="8"/>
      <c r="U3451" s="6"/>
      <c r="V3451" s="6"/>
      <c r="W3451" s="6"/>
      <c r="X3451" s="6"/>
      <c r="Y3451" s="6"/>
      <c r="Z3451" s="6"/>
    </row>
    <row r="3452" spans="14:26" ht="31.4" customHeight="1" x14ac:dyDescent="0.35">
      <c r="N3452" s="20"/>
      <c r="P3452" s="8"/>
      <c r="Q3452" s="8"/>
      <c r="R3452" s="8"/>
      <c r="S3452" s="8"/>
      <c r="U3452" s="6"/>
      <c r="V3452" s="6"/>
      <c r="W3452" s="6"/>
      <c r="X3452" s="6"/>
      <c r="Y3452" s="6"/>
      <c r="Z3452" s="6"/>
    </row>
    <row r="3453" spans="14:26" ht="31.4" customHeight="1" x14ac:dyDescent="0.35">
      <c r="N3453" s="20"/>
      <c r="P3453" s="8"/>
      <c r="Q3453" s="8"/>
      <c r="R3453" s="8"/>
      <c r="S3453" s="8"/>
      <c r="U3453" s="6"/>
      <c r="V3453" s="6"/>
      <c r="W3453" s="6"/>
      <c r="X3453" s="6"/>
      <c r="Y3453" s="6"/>
      <c r="Z3453" s="6"/>
    </row>
    <row r="3454" spans="14:26" ht="31.4" customHeight="1" x14ac:dyDescent="0.35">
      <c r="N3454" s="20"/>
      <c r="P3454" s="8"/>
      <c r="Q3454" s="8"/>
      <c r="R3454" s="8"/>
      <c r="S3454" s="8"/>
      <c r="U3454" s="6"/>
      <c r="V3454" s="6"/>
      <c r="W3454" s="6"/>
      <c r="X3454" s="6"/>
      <c r="Y3454" s="6"/>
      <c r="Z3454" s="6"/>
    </row>
    <row r="3455" spans="14:26" ht="31.4" customHeight="1" x14ac:dyDescent="0.35">
      <c r="N3455" s="20"/>
      <c r="P3455" s="8"/>
      <c r="Q3455" s="8"/>
      <c r="R3455" s="8"/>
      <c r="S3455" s="8"/>
      <c r="U3455" s="6"/>
      <c r="V3455" s="6"/>
      <c r="W3455" s="6"/>
      <c r="X3455" s="6"/>
      <c r="Y3455" s="6"/>
      <c r="Z3455" s="6"/>
    </row>
    <row r="3456" spans="14:26" ht="31.4" customHeight="1" x14ac:dyDescent="0.35">
      <c r="N3456" s="20"/>
      <c r="P3456" s="8"/>
      <c r="Q3456" s="8"/>
      <c r="R3456" s="8"/>
      <c r="S3456" s="8"/>
      <c r="U3456" s="6"/>
      <c r="V3456" s="6"/>
      <c r="W3456" s="6"/>
      <c r="X3456" s="6"/>
      <c r="Y3456" s="6"/>
      <c r="Z3456" s="6"/>
    </row>
    <row r="3457" spans="14:26" ht="31.4" customHeight="1" x14ac:dyDescent="0.35">
      <c r="N3457" s="20"/>
      <c r="P3457" s="8"/>
      <c r="Q3457" s="8"/>
      <c r="R3457" s="8"/>
      <c r="S3457" s="8"/>
      <c r="U3457" s="6"/>
      <c r="V3457" s="6"/>
      <c r="W3457" s="6"/>
      <c r="X3457" s="6"/>
      <c r="Y3457" s="6"/>
      <c r="Z3457" s="6"/>
    </row>
    <row r="3458" spans="14:26" ht="31.4" customHeight="1" x14ac:dyDescent="0.35">
      <c r="N3458" s="20"/>
      <c r="P3458" s="8"/>
      <c r="Q3458" s="8"/>
      <c r="R3458" s="8"/>
      <c r="S3458" s="8"/>
      <c r="U3458" s="6"/>
      <c r="V3458" s="6"/>
      <c r="W3458" s="6"/>
      <c r="X3458" s="6"/>
      <c r="Y3458" s="6"/>
      <c r="Z3458" s="6"/>
    </row>
    <row r="3459" spans="14:26" ht="31.4" customHeight="1" x14ac:dyDescent="0.35">
      <c r="N3459" s="20"/>
      <c r="P3459" s="8"/>
      <c r="Q3459" s="8"/>
      <c r="R3459" s="8"/>
      <c r="S3459" s="8"/>
      <c r="U3459" s="6"/>
      <c r="V3459" s="6"/>
      <c r="W3459" s="6"/>
      <c r="X3459" s="6"/>
      <c r="Y3459" s="6"/>
      <c r="Z3459" s="6"/>
    </row>
    <row r="3460" spans="14:26" ht="31.4" customHeight="1" x14ac:dyDescent="0.35">
      <c r="N3460" s="20"/>
      <c r="P3460" s="8"/>
      <c r="Q3460" s="8"/>
      <c r="R3460" s="8"/>
      <c r="S3460" s="8"/>
      <c r="U3460" s="6"/>
      <c r="V3460" s="6"/>
      <c r="W3460" s="6"/>
      <c r="X3460" s="6"/>
      <c r="Y3460" s="6"/>
      <c r="Z3460" s="6"/>
    </row>
    <row r="3461" spans="14:26" ht="31.4" customHeight="1" x14ac:dyDescent="0.35">
      <c r="N3461" s="20"/>
      <c r="P3461" s="8"/>
      <c r="Q3461" s="8"/>
      <c r="R3461" s="8"/>
      <c r="S3461" s="8"/>
      <c r="U3461" s="6"/>
      <c r="V3461" s="6"/>
      <c r="W3461" s="6"/>
      <c r="X3461" s="6"/>
      <c r="Y3461" s="6"/>
      <c r="Z3461" s="6"/>
    </row>
    <row r="3462" spans="14:26" ht="31.4" customHeight="1" x14ac:dyDescent="0.35">
      <c r="N3462" s="20"/>
      <c r="P3462" s="8"/>
      <c r="Q3462" s="8"/>
      <c r="R3462" s="8"/>
      <c r="S3462" s="8"/>
      <c r="U3462" s="6"/>
      <c r="V3462" s="6"/>
      <c r="W3462" s="6"/>
      <c r="X3462" s="6"/>
      <c r="Y3462" s="6"/>
      <c r="Z3462" s="6"/>
    </row>
    <row r="3463" spans="14:26" ht="31.4" customHeight="1" x14ac:dyDescent="0.35">
      <c r="N3463" s="20"/>
      <c r="P3463" s="8"/>
      <c r="Q3463" s="8"/>
      <c r="R3463" s="8"/>
      <c r="S3463" s="8"/>
      <c r="U3463" s="6"/>
      <c r="V3463" s="6"/>
      <c r="W3463" s="6"/>
      <c r="X3463" s="6"/>
      <c r="Y3463" s="6"/>
      <c r="Z3463" s="6"/>
    </row>
    <row r="3464" spans="14:26" ht="31.4" customHeight="1" x14ac:dyDescent="0.35">
      <c r="N3464" s="20"/>
      <c r="P3464" s="8"/>
      <c r="Q3464" s="8"/>
      <c r="R3464" s="8"/>
      <c r="S3464" s="8"/>
      <c r="U3464" s="6"/>
      <c r="V3464" s="6"/>
      <c r="W3464" s="6"/>
      <c r="X3464" s="6"/>
      <c r="Y3464" s="6"/>
      <c r="Z3464" s="6"/>
    </row>
    <row r="3465" spans="14:26" ht="31.4" customHeight="1" x14ac:dyDescent="0.35">
      <c r="N3465" s="20"/>
      <c r="P3465" s="8"/>
      <c r="Q3465" s="8"/>
      <c r="R3465" s="8"/>
      <c r="S3465" s="8"/>
      <c r="U3465" s="6"/>
      <c r="V3465" s="6"/>
      <c r="W3465" s="6"/>
      <c r="X3465" s="6"/>
      <c r="Y3465" s="6"/>
      <c r="Z3465" s="6"/>
    </row>
    <row r="3466" spans="14:26" ht="31.4" customHeight="1" x14ac:dyDescent="0.35">
      <c r="N3466" s="20"/>
      <c r="P3466" s="8"/>
      <c r="Q3466" s="8"/>
      <c r="R3466" s="8"/>
      <c r="S3466" s="8"/>
      <c r="U3466" s="6"/>
      <c r="V3466" s="6"/>
      <c r="W3466" s="6"/>
      <c r="X3466" s="6"/>
      <c r="Y3466" s="6"/>
      <c r="Z3466" s="6"/>
    </row>
    <row r="3467" spans="14:26" ht="31.4" customHeight="1" x14ac:dyDescent="0.35">
      <c r="N3467" s="20"/>
      <c r="P3467" s="8"/>
      <c r="Q3467" s="8"/>
      <c r="R3467" s="8"/>
      <c r="S3467" s="8"/>
      <c r="U3467" s="6"/>
      <c r="V3467" s="6"/>
      <c r="W3467" s="6"/>
      <c r="X3467" s="6"/>
      <c r="Y3467" s="6"/>
      <c r="Z3467" s="6"/>
    </row>
    <row r="3468" spans="14:26" ht="31.4" customHeight="1" x14ac:dyDescent="0.35">
      <c r="N3468" s="20"/>
      <c r="P3468" s="8"/>
      <c r="Q3468" s="8"/>
      <c r="R3468" s="8"/>
      <c r="S3468" s="8"/>
      <c r="U3468" s="6"/>
      <c r="V3468" s="6"/>
      <c r="W3468" s="6"/>
      <c r="X3468" s="6"/>
      <c r="Y3468" s="6"/>
      <c r="Z3468" s="6"/>
    </row>
    <row r="3469" spans="14:26" ht="31.4" customHeight="1" x14ac:dyDescent="0.35">
      <c r="N3469" s="20"/>
      <c r="P3469" s="8"/>
      <c r="Q3469" s="8"/>
      <c r="R3469" s="8"/>
      <c r="S3469" s="8"/>
      <c r="U3469" s="6"/>
      <c r="V3469" s="6"/>
      <c r="W3469" s="6"/>
      <c r="X3469" s="6"/>
      <c r="Y3469" s="6"/>
      <c r="Z3469" s="6"/>
    </row>
    <row r="3470" spans="14:26" ht="31.4" customHeight="1" x14ac:dyDescent="0.35">
      <c r="N3470" s="20"/>
      <c r="P3470" s="8"/>
      <c r="Q3470" s="8"/>
      <c r="R3470" s="8"/>
      <c r="S3470" s="8"/>
      <c r="U3470" s="6"/>
      <c r="V3470" s="6"/>
      <c r="W3470" s="6"/>
      <c r="X3470" s="6"/>
      <c r="Y3470" s="6"/>
      <c r="Z3470" s="6"/>
    </row>
    <row r="3471" spans="14:26" ht="31.4" customHeight="1" x14ac:dyDescent="0.35">
      <c r="N3471" s="20"/>
      <c r="P3471" s="8"/>
      <c r="Q3471" s="8"/>
      <c r="R3471" s="8"/>
      <c r="S3471" s="8"/>
      <c r="U3471" s="6"/>
      <c r="V3471" s="6"/>
      <c r="W3471" s="6"/>
      <c r="X3471" s="6"/>
      <c r="Y3471" s="6"/>
      <c r="Z3471" s="6"/>
    </row>
    <row r="3472" spans="14:26" ht="31.4" customHeight="1" x14ac:dyDescent="0.35">
      <c r="N3472" s="20"/>
      <c r="P3472" s="8"/>
      <c r="Q3472" s="8"/>
      <c r="R3472" s="8"/>
      <c r="S3472" s="8"/>
      <c r="U3472" s="6"/>
      <c r="V3472" s="6"/>
      <c r="W3472" s="6"/>
      <c r="X3472" s="6"/>
      <c r="Y3472" s="6"/>
      <c r="Z3472" s="6"/>
    </row>
    <row r="3473" spans="14:26" ht="31.4" customHeight="1" x14ac:dyDescent="0.35">
      <c r="N3473" s="20"/>
      <c r="P3473" s="8"/>
      <c r="Q3473" s="8"/>
      <c r="R3473" s="8"/>
      <c r="S3473" s="8"/>
      <c r="U3473" s="6"/>
      <c r="V3473" s="6"/>
      <c r="W3473" s="6"/>
      <c r="X3473" s="6"/>
      <c r="Y3473" s="6"/>
      <c r="Z3473" s="6"/>
    </row>
    <row r="3474" spans="14:26" ht="31.4" customHeight="1" x14ac:dyDescent="0.35">
      <c r="N3474" s="20"/>
      <c r="P3474" s="8"/>
      <c r="Q3474" s="8"/>
      <c r="R3474" s="8"/>
      <c r="S3474" s="8"/>
      <c r="U3474" s="6"/>
      <c r="V3474" s="6"/>
      <c r="W3474" s="6"/>
      <c r="X3474" s="6"/>
      <c r="Y3474" s="6"/>
      <c r="Z3474" s="6"/>
    </row>
    <row r="3475" spans="14:26" ht="31.4" customHeight="1" x14ac:dyDescent="0.35">
      <c r="N3475" s="20"/>
      <c r="P3475" s="8"/>
      <c r="Q3475" s="8"/>
      <c r="R3475" s="8"/>
      <c r="S3475" s="8"/>
      <c r="U3475" s="6"/>
      <c r="V3475" s="6"/>
      <c r="W3475" s="6"/>
      <c r="X3475" s="6"/>
      <c r="Y3475" s="6"/>
      <c r="Z3475" s="6"/>
    </row>
    <row r="3476" spans="14:26" ht="31.4" customHeight="1" x14ac:dyDescent="0.35">
      <c r="N3476" s="20"/>
      <c r="P3476" s="8"/>
      <c r="Q3476" s="8"/>
      <c r="R3476" s="8"/>
      <c r="S3476" s="8"/>
      <c r="U3476" s="6"/>
      <c r="V3476" s="6"/>
      <c r="W3476" s="6"/>
      <c r="X3476" s="6"/>
      <c r="Y3476" s="6"/>
      <c r="Z3476" s="6"/>
    </row>
    <row r="3477" spans="14:26" ht="31.4" customHeight="1" x14ac:dyDescent="0.35">
      <c r="N3477" s="20"/>
      <c r="P3477" s="8"/>
      <c r="Q3477" s="8"/>
      <c r="R3477" s="8"/>
      <c r="S3477" s="8"/>
      <c r="U3477" s="6"/>
      <c r="V3477" s="6"/>
      <c r="W3477" s="6"/>
      <c r="X3477" s="6"/>
      <c r="Y3477" s="6"/>
      <c r="Z3477" s="6"/>
    </row>
    <row r="3478" spans="14:26" ht="31.4" customHeight="1" x14ac:dyDescent="0.35">
      <c r="N3478" s="20"/>
      <c r="P3478" s="8"/>
      <c r="Q3478" s="8"/>
      <c r="R3478" s="8"/>
      <c r="S3478" s="8"/>
      <c r="U3478" s="6"/>
      <c r="V3478" s="6"/>
      <c r="W3478" s="6"/>
      <c r="X3478" s="6"/>
      <c r="Y3478" s="6"/>
      <c r="Z3478" s="6"/>
    </row>
    <row r="3479" spans="14:26" ht="31.4" customHeight="1" x14ac:dyDescent="0.35">
      <c r="N3479" s="20"/>
      <c r="P3479" s="8"/>
      <c r="Q3479" s="8"/>
      <c r="R3479" s="8"/>
      <c r="S3479" s="8"/>
      <c r="U3479" s="6"/>
      <c r="V3479" s="6"/>
      <c r="W3479" s="6"/>
      <c r="X3479" s="6"/>
      <c r="Y3479" s="6"/>
      <c r="Z3479" s="6"/>
    </row>
    <row r="3480" spans="14:26" ht="31.4" customHeight="1" x14ac:dyDescent="0.35">
      <c r="N3480" s="20"/>
      <c r="P3480" s="8"/>
      <c r="Q3480" s="8"/>
      <c r="R3480" s="8"/>
      <c r="S3480" s="8"/>
      <c r="U3480" s="6"/>
      <c r="V3480" s="6"/>
      <c r="W3480" s="6"/>
      <c r="X3480" s="6"/>
      <c r="Y3480" s="6"/>
      <c r="Z3480" s="6"/>
    </row>
    <row r="3481" spans="14:26" ht="31.4" customHeight="1" x14ac:dyDescent="0.35">
      <c r="N3481" s="20"/>
      <c r="P3481" s="8"/>
      <c r="Q3481" s="8"/>
      <c r="R3481" s="8"/>
      <c r="S3481" s="8"/>
      <c r="U3481" s="6"/>
      <c r="V3481" s="6"/>
      <c r="W3481" s="6"/>
      <c r="X3481" s="6"/>
      <c r="Y3481" s="6"/>
      <c r="Z3481" s="6"/>
    </row>
    <row r="3482" spans="14:26" ht="31.4" customHeight="1" x14ac:dyDescent="0.35">
      <c r="N3482" s="20"/>
      <c r="P3482" s="8"/>
      <c r="Q3482" s="8"/>
      <c r="R3482" s="8"/>
      <c r="S3482" s="8"/>
      <c r="U3482" s="6"/>
      <c r="V3482" s="6"/>
      <c r="W3482" s="6"/>
      <c r="X3482" s="6"/>
      <c r="Y3482" s="6"/>
      <c r="Z3482" s="6"/>
    </row>
    <row r="3483" spans="14:26" ht="31.4" customHeight="1" x14ac:dyDescent="0.35">
      <c r="N3483" s="20"/>
      <c r="P3483" s="8"/>
      <c r="Q3483" s="8"/>
      <c r="R3483" s="8"/>
      <c r="S3483" s="8"/>
      <c r="U3483" s="6"/>
      <c r="V3483" s="6"/>
      <c r="W3483" s="6"/>
      <c r="X3483" s="6"/>
      <c r="Y3483" s="6"/>
      <c r="Z3483" s="6"/>
    </row>
    <row r="3484" spans="14:26" ht="31.4" customHeight="1" x14ac:dyDescent="0.35">
      <c r="N3484" s="20"/>
      <c r="P3484" s="8"/>
      <c r="Q3484" s="8"/>
      <c r="R3484" s="8"/>
      <c r="S3484" s="8"/>
      <c r="U3484" s="6"/>
      <c r="V3484" s="6"/>
      <c r="W3484" s="6"/>
      <c r="X3484" s="6"/>
      <c r="Y3484" s="6"/>
      <c r="Z3484" s="6"/>
    </row>
    <row r="3485" spans="14:26" ht="31.4" customHeight="1" x14ac:dyDescent="0.35">
      <c r="N3485" s="20"/>
      <c r="P3485" s="8"/>
      <c r="Q3485" s="8"/>
      <c r="R3485" s="8"/>
      <c r="S3485" s="8"/>
      <c r="U3485" s="6"/>
      <c r="V3485" s="6"/>
      <c r="W3485" s="6"/>
      <c r="X3485" s="6"/>
      <c r="Y3485" s="6"/>
      <c r="Z3485" s="6"/>
    </row>
    <row r="3486" spans="14:26" ht="31.4" customHeight="1" x14ac:dyDescent="0.35">
      <c r="N3486" s="20"/>
      <c r="P3486" s="8"/>
      <c r="Q3486" s="8"/>
      <c r="R3486" s="8"/>
      <c r="S3486" s="8"/>
      <c r="U3486" s="6"/>
      <c r="V3486" s="6"/>
      <c r="W3486" s="6"/>
      <c r="X3486" s="6"/>
      <c r="Y3486" s="6"/>
      <c r="Z3486" s="6"/>
    </row>
    <row r="3487" spans="14:26" ht="31.4" customHeight="1" x14ac:dyDescent="0.35">
      <c r="N3487" s="20"/>
      <c r="P3487" s="8"/>
      <c r="Q3487" s="8"/>
      <c r="R3487" s="8"/>
      <c r="S3487" s="8"/>
      <c r="U3487" s="6"/>
      <c r="V3487" s="6"/>
      <c r="W3487" s="6"/>
      <c r="X3487" s="6"/>
      <c r="Y3487" s="6"/>
      <c r="Z3487" s="6"/>
    </row>
    <row r="3488" spans="14:26" ht="31.4" customHeight="1" x14ac:dyDescent="0.35">
      <c r="N3488" s="20"/>
      <c r="P3488" s="8"/>
      <c r="Q3488" s="8"/>
      <c r="R3488" s="8"/>
      <c r="S3488" s="8"/>
      <c r="U3488" s="6"/>
      <c r="V3488" s="6"/>
      <c r="W3488" s="6"/>
      <c r="X3488" s="6"/>
      <c r="Y3488" s="6"/>
      <c r="Z3488" s="6"/>
    </row>
    <row r="3489" spans="14:26" ht="31.4" customHeight="1" x14ac:dyDescent="0.35">
      <c r="N3489" s="20"/>
      <c r="P3489" s="8"/>
      <c r="Q3489" s="8"/>
      <c r="R3489" s="8"/>
      <c r="S3489" s="8"/>
      <c r="U3489" s="6"/>
      <c r="V3489" s="6"/>
      <c r="W3489" s="6"/>
      <c r="X3489" s="6"/>
      <c r="Y3489" s="6"/>
      <c r="Z3489" s="6"/>
    </row>
    <row r="3490" spans="14:26" ht="31.4" customHeight="1" x14ac:dyDescent="0.35">
      <c r="N3490" s="20"/>
      <c r="P3490" s="8"/>
      <c r="Q3490" s="8"/>
      <c r="R3490" s="8"/>
      <c r="S3490" s="8"/>
      <c r="U3490" s="6"/>
      <c r="V3490" s="6"/>
      <c r="W3490" s="6"/>
      <c r="X3490" s="6"/>
      <c r="Y3490" s="6"/>
      <c r="Z3490" s="6"/>
    </row>
    <row r="3491" spans="14:26" ht="31.4" customHeight="1" x14ac:dyDescent="0.35">
      <c r="N3491" s="20"/>
      <c r="P3491" s="8"/>
      <c r="Q3491" s="8"/>
      <c r="R3491" s="8"/>
      <c r="S3491" s="8"/>
      <c r="U3491" s="6"/>
      <c r="V3491" s="6"/>
      <c r="W3491" s="6"/>
      <c r="X3491" s="6"/>
      <c r="Y3491" s="6"/>
      <c r="Z3491" s="6"/>
    </row>
    <row r="3492" spans="14:26" ht="31.4" customHeight="1" x14ac:dyDescent="0.35">
      <c r="N3492" s="20"/>
      <c r="P3492" s="8"/>
      <c r="Q3492" s="8"/>
      <c r="R3492" s="8"/>
      <c r="S3492" s="8"/>
      <c r="U3492" s="6"/>
      <c r="V3492" s="6"/>
      <c r="W3492" s="6"/>
      <c r="X3492" s="6"/>
      <c r="Y3492" s="6"/>
      <c r="Z3492" s="6"/>
    </row>
    <row r="3493" spans="14:26" ht="31.4" customHeight="1" x14ac:dyDescent="0.35">
      <c r="N3493" s="20"/>
      <c r="P3493" s="8"/>
      <c r="Q3493" s="8"/>
      <c r="R3493" s="8"/>
      <c r="S3493" s="8"/>
      <c r="U3493" s="6"/>
      <c r="V3493" s="6"/>
      <c r="W3493" s="6"/>
      <c r="X3493" s="6"/>
      <c r="Y3493" s="6"/>
      <c r="Z3493" s="6"/>
    </row>
    <row r="3494" spans="14:26" ht="31.4" customHeight="1" x14ac:dyDescent="0.35">
      <c r="N3494" s="20"/>
      <c r="P3494" s="8"/>
      <c r="Q3494" s="8"/>
      <c r="R3494" s="8"/>
      <c r="S3494" s="8"/>
      <c r="U3494" s="6"/>
      <c r="V3494" s="6"/>
      <c r="W3494" s="6"/>
      <c r="X3494" s="6"/>
      <c r="Y3494" s="6"/>
      <c r="Z3494" s="6"/>
    </row>
    <row r="3495" spans="14:26" ht="31.4" customHeight="1" x14ac:dyDescent="0.35">
      <c r="N3495" s="20"/>
      <c r="P3495" s="8"/>
      <c r="Q3495" s="8"/>
      <c r="R3495" s="8"/>
      <c r="S3495" s="8"/>
      <c r="U3495" s="6"/>
      <c r="V3495" s="6"/>
      <c r="W3495" s="6"/>
      <c r="X3495" s="6"/>
      <c r="Y3495" s="6"/>
      <c r="Z3495" s="6"/>
    </row>
    <row r="3496" spans="14:26" ht="31.4" customHeight="1" x14ac:dyDescent="0.35">
      <c r="N3496" s="20"/>
      <c r="P3496" s="8"/>
      <c r="Q3496" s="8"/>
      <c r="R3496" s="8"/>
      <c r="S3496" s="8"/>
      <c r="U3496" s="6"/>
      <c r="V3496" s="6"/>
      <c r="W3496" s="6"/>
      <c r="X3496" s="6"/>
      <c r="Y3496" s="6"/>
      <c r="Z3496" s="6"/>
    </row>
    <row r="3497" spans="14:26" ht="31.4" customHeight="1" x14ac:dyDescent="0.35">
      <c r="N3497" s="20"/>
      <c r="P3497" s="8"/>
      <c r="Q3497" s="8"/>
      <c r="R3497" s="8"/>
      <c r="S3497" s="8"/>
      <c r="U3497" s="6"/>
      <c r="V3497" s="6"/>
      <c r="W3497" s="6"/>
      <c r="X3497" s="6"/>
      <c r="Y3497" s="6"/>
      <c r="Z3497" s="6"/>
    </row>
    <row r="3498" spans="14:26" ht="31.4" customHeight="1" x14ac:dyDescent="0.35">
      <c r="N3498" s="20"/>
      <c r="P3498" s="8"/>
      <c r="Q3498" s="8"/>
      <c r="R3498" s="8"/>
      <c r="S3498" s="8"/>
      <c r="U3498" s="6"/>
      <c r="V3498" s="6"/>
      <c r="W3498" s="6"/>
      <c r="X3498" s="6"/>
      <c r="Y3498" s="6"/>
      <c r="Z3498" s="6"/>
    </row>
    <row r="3499" spans="14:26" ht="31.4" customHeight="1" x14ac:dyDescent="0.35">
      <c r="N3499" s="20"/>
      <c r="P3499" s="8"/>
      <c r="Q3499" s="8"/>
      <c r="R3499" s="8"/>
      <c r="S3499" s="8"/>
      <c r="U3499" s="6"/>
      <c r="V3499" s="6"/>
      <c r="W3499" s="6"/>
      <c r="X3499" s="6"/>
      <c r="Y3499" s="6"/>
      <c r="Z3499" s="6"/>
    </row>
    <row r="3500" spans="14:26" ht="31.4" customHeight="1" x14ac:dyDescent="0.35">
      <c r="N3500" s="20"/>
      <c r="P3500" s="8"/>
      <c r="Q3500" s="8"/>
      <c r="R3500" s="8"/>
      <c r="S3500" s="8"/>
      <c r="U3500" s="6"/>
      <c r="V3500" s="6"/>
      <c r="W3500" s="6"/>
      <c r="X3500" s="6"/>
      <c r="Y3500" s="6"/>
      <c r="Z3500" s="6"/>
    </row>
    <row r="3501" spans="14:26" ht="31.4" customHeight="1" x14ac:dyDescent="0.35">
      <c r="N3501" s="20"/>
      <c r="P3501" s="8"/>
      <c r="Q3501" s="8"/>
      <c r="R3501" s="8"/>
      <c r="S3501" s="8"/>
      <c r="U3501" s="6"/>
      <c r="V3501" s="6"/>
      <c r="W3501" s="6"/>
      <c r="X3501" s="6"/>
      <c r="Y3501" s="6"/>
      <c r="Z3501" s="6"/>
    </row>
    <row r="3502" spans="14:26" ht="31.4" customHeight="1" x14ac:dyDescent="0.35">
      <c r="N3502" s="20"/>
      <c r="P3502" s="8"/>
      <c r="Q3502" s="8"/>
      <c r="R3502" s="8"/>
      <c r="S3502" s="8"/>
      <c r="U3502" s="6"/>
      <c r="V3502" s="6"/>
      <c r="W3502" s="6"/>
      <c r="X3502" s="6"/>
      <c r="Y3502" s="6"/>
      <c r="Z3502" s="6"/>
    </row>
    <row r="3503" spans="14:26" ht="31.4" customHeight="1" x14ac:dyDescent="0.35">
      <c r="N3503" s="20"/>
      <c r="P3503" s="8"/>
      <c r="Q3503" s="8"/>
      <c r="R3503" s="8"/>
      <c r="S3503" s="8"/>
      <c r="U3503" s="6"/>
      <c r="V3503" s="6"/>
      <c r="W3503" s="6"/>
      <c r="X3503" s="6"/>
      <c r="Y3503" s="6"/>
      <c r="Z3503" s="6"/>
    </row>
    <row r="3504" spans="14:26" ht="31.4" customHeight="1" x14ac:dyDescent="0.35">
      <c r="N3504" s="20"/>
      <c r="P3504" s="8"/>
      <c r="Q3504" s="8"/>
      <c r="R3504" s="8"/>
      <c r="S3504" s="8"/>
      <c r="U3504" s="6"/>
      <c r="V3504" s="6"/>
      <c r="W3504" s="6"/>
      <c r="X3504" s="6"/>
      <c r="Y3504" s="6"/>
      <c r="Z3504" s="6"/>
    </row>
    <row r="3505" spans="14:26" ht="31.4" customHeight="1" x14ac:dyDescent="0.35">
      <c r="N3505" s="20"/>
      <c r="P3505" s="8"/>
      <c r="Q3505" s="8"/>
      <c r="R3505" s="8"/>
      <c r="S3505" s="8"/>
      <c r="U3505" s="6"/>
      <c r="V3505" s="6"/>
      <c r="W3505" s="6"/>
      <c r="X3505" s="6"/>
      <c r="Y3505" s="6"/>
      <c r="Z3505" s="6"/>
    </row>
    <row r="3506" spans="14:26" ht="31.4" customHeight="1" x14ac:dyDescent="0.35">
      <c r="N3506" s="20"/>
      <c r="P3506" s="8"/>
      <c r="Q3506" s="8"/>
      <c r="R3506" s="8"/>
      <c r="S3506" s="8"/>
      <c r="U3506" s="6"/>
      <c r="V3506" s="6"/>
      <c r="W3506" s="6"/>
      <c r="X3506" s="6"/>
      <c r="Y3506" s="6"/>
      <c r="Z3506" s="6"/>
    </row>
    <row r="3507" spans="14:26" ht="31.4" customHeight="1" x14ac:dyDescent="0.35">
      <c r="N3507" s="20"/>
      <c r="P3507" s="8"/>
      <c r="Q3507" s="8"/>
      <c r="R3507" s="8"/>
      <c r="S3507" s="8"/>
      <c r="U3507" s="6"/>
      <c r="V3507" s="6"/>
      <c r="W3507" s="6"/>
      <c r="X3507" s="6"/>
      <c r="Y3507" s="6"/>
      <c r="Z3507" s="6"/>
    </row>
    <row r="3508" spans="14:26" ht="31.4" customHeight="1" x14ac:dyDescent="0.35">
      <c r="N3508" s="20"/>
      <c r="P3508" s="8"/>
      <c r="Q3508" s="8"/>
      <c r="R3508" s="8"/>
      <c r="S3508" s="8"/>
      <c r="U3508" s="6"/>
      <c r="V3508" s="6"/>
      <c r="W3508" s="6"/>
      <c r="X3508" s="6"/>
      <c r="Y3508" s="6"/>
      <c r="Z3508" s="6"/>
    </row>
    <row r="3509" spans="14:26" ht="31.4" customHeight="1" x14ac:dyDescent="0.35">
      <c r="N3509" s="20"/>
      <c r="P3509" s="8"/>
      <c r="Q3509" s="8"/>
      <c r="R3509" s="8"/>
      <c r="S3509" s="8"/>
      <c r="U3509" s="6"/>
      <c r="V3509" s="6"/>
      <c r="W3509" s="6"/>
      <c r="X3509" s="6"/>
      <c r="Y3509" s="6"/>
      <c r="Z3509" s="6"/>
    </row>
    <row r="3510" spans="14:26" ht="31.4" customHeight="1" x14ac:dyDescent="0.35">
      <c r="N3510" s="20"/>
      <c r="P3510" s="8"/>
      <c r="Q3510" s="8"/>
      <c r="R3510" s="8"/>
      <c r="S3510" s="8"/>
      <c r="U3510" s="6"/>
      <c r="V3510" s="6"/>
      <c r="W3510" s="6"/>
      <c r="X3510" s="6"/>
      <c r="Y3510" s="6"/>
      <c r="Z3510" s="6"/>
    </row>
    <row r="3511" spans="14:26" ht="31.4" customHeight="1" x14ac:dyDescent="0.35">
      <c r="N3511" s="20"/>
      <c r="P3511" s="8"/>
      <c r="Q3511" s="8"/>
      <c r="R3511" s="8"/>
      <c r="S3511" s="8"/>
      <c r="U3511" s="6"/>
      <c r="V3511" s="6"/>
      <c r="W3511" s="6"/>
      <c r="X3511" s="6"/>
      <c r="Y3511" s="6"/>
      <c r="Z3511" s="6"/>
    </row>
    <row r="3512" spans="14:26" ht="31.4" customHeight="1" x14ac:dyDescent="0.35">
      <c r="N3512" s="20"/>
      <c r="P3512" s="8"/>
      <c r="Q3512" s="8"/>
      <c r="R3512" s="8"/>
      <c r="S3512" s="8"/>
      <c r="U3512" s="6"/>
      <c r="V3512" s="6"/>
      <c r="W3512" s="6"/>
      <c r="X3512" s="6"/>
      <c r="Y3512" s="6"/>
      <c r="Z3512" s="6"/>
    </row>
    <row r="3513" spans="14:26" ht="31.4" customHeight="1" x14ac:dyDescent="0.35">
      <c r="N3513" s="20"/>
      <c r="P3513" s="8"/>
      <c r="Q3513" s="8"/>
      <c r="R3513" s="8"/>
      <c r="S3513" s="8"/>
      <c r="U3513" s="6"/>
      <c r="V3513" s="6"/>
      <c r="W3513" s="6"/>
      <c r="X3513" s="6"/>
      <c r="Y3513" s="6"/>
      <c r="Z3513" s="6"/>
    </row>
    <row r="3514" spans="14:26" ht="31.4" customHeight="1" x14ac:dyDescent="0.35">
      <c r="N3514" s="20"/>
      <c r="P3514" s="8"/>
      <c r="Q3514" s="8"/>
      <c r="R3514" s="8"/>
      <c r="S3514" s="8"/>
      <c r="U3514" s="6"/>
      <c r="V3514" s="6"/>
      <c r="W3514" s="6"/>
      <c r="X3514" s="6"/>
      <c r="Y3514" s="6"/>
      <c r="Z3514" s="6"/>
    </row>
    <row r="3515" spans="14:26" ht="31.4" customHeight="1" x14ac:dyDescent="0.35">
      <c r="N3515" s="20"/>
      <c r="P3515" s="8"/>
      <c r="Q3515" s="8"/>
      <c r="R3515" s="8"/>
      <c r="S3515" s="8"/>
      <c r="U3515" s="6"/>
      <c r="V3515" s="6"/>
      <c r="W3515" s="6"/>
      <c r="X3515" s="6"/>
      <c r="Y3515" s="6"/>
      <c r="Z3515" s="6"/>
    </row>
    <row r="3516" spans="14:26" ht="31.4" customHeight="1" x14ac:dyDescent="0.35">
      <c r="N3516" s="20"/>
      <c r="P3516" s="8"/>
      <c r="Q3516" s="8"/>
      <c r="R3516" s="8"/>
      <c r="S3516" s="8"/>
      <c r="U3516" s="6"/>
      <c r="V3516" s="6"/>
      <c r="W3516" s="6"/>
      <c r="X3516" s="6"/>
      <c r="Y3516" s="6"/>
      <c r="Z3516" s="6"/>
    </row>
    <row r="3517" spans="14:26" ht="31.4" customHeight="1" x14ac:dyDescent="0.35">
      <c r="N3517" s="20"/>
      <c r="P3517" s="8"/>
      <c r="Q3517" s="8"/>
      <c r="R3517" s="8"/>
      <c r="S3517" s="8"/>
      <c r="U3517" s="6"/>
      <c r="V3517" s="6"/>
      <c r="W3517" s="6"/>
      <c r="X3517" s="6"/>
      <c r="Y3517" s="6"/>
      <c r="Z3517" s="6"/>
    </row>
    <row r="3518" spans="14:26" ht="31.4" customHeight="1" x14ac:dyDescent="0.35">
      <c r="N3518" s="20"/>
      <c r="P3518" s="8"/>
      <c r="Q3518" s="8"/>
      <c r="R3518" s="8"/>
      <c r="S3518" s="8"/>
      <c r="U3518" s="6"/>
      <c r="V3518" s="6"/>
      <c r="W3518" s="6"/>
      <c r="X3518" s="6"/>
      <c r="Y3518" s="6"/>
      <c r="Z3518" s="6"/>
    </row>
    <row r="3519" spans="14:26" ht="31.4" customHeight="1" x14ac:dyDescent="0.35">
      <c r="N3519" s="20"/>
      <c r="P3519" s="8"/>
      <c r="Q3519" s="8"/>
      <c r="R3519" s="8"/>
      <c r="S3519" s="8"/>
      <c r="U3519" s="6"/>
      <c r="V3519" s="6"/>
      <c r="W3519" s="6"/>
      <c r="X3519" s="6"/>
      <c r="Y3519" s="6"/>
      <c r="Z3519" s="6"/>
    </row>
    <row r="3520" spans="14:26" ht="31.4" customHeight="1" x14ac:dyDescent="0.35">
      <c r="N3520" s="20"/>
      <c r="P3520" s="8"/>
      <c r="Q3520" s="8"/>
      <c r="R3520" s="8"/>
      <c r="S3520" s="8"/>
      <c r="U3520" s="6"/>
      <c r="V3520" s="6"/>
      <c r="W3520" s="6"/>
      <c r="X3520" s="6"/>
      <c r="Y3520" s="6"/>
      <c r="Z3520" s="6"/>
    </row>
    <row r="3521" spans="14:26" ht="31.4" customHeight="1" x14ac:dyDescent="0.35">
      <c r="N3521" s="20"/>
      <c r="P3521" s="8"/>
      <c r="Q3521" s="8"/>
      <c r="R3521" s="8"/>
      <c r="S3521" s="8"/>
      <c r="U3521" s="6"/>
      <c r="V3521" s="6"/>
      <c r="W3521" s="6"/>
      <c r="X3521" s="6"/>
      <c r="Y3521" s="6"/>
      <c r="Z3521" s="6"/>
    </row>
    <row r="3522" spans="14:26" ht="31.4" customHeight="1" x14ac:dyDescent="0.35">
      <c r="N3522" s="20"/>
      <c r="P3522" s="8"/>
      <c r="Q3522" s="8"/>
      <c r="R3522" s="8"/>
      <c r="S3522" s="8"/>
      <c r="U3522" s="6"/>
      <c r="V3522" s="6"/>
      <c r="W3522" s="6"/>
      <c r="X3522" s="6"/>
      <c r="Y3522" s="6"/>
      <c r="Z3522" s="6"/>
    </row>
    <row r="3523" spans="14:26" ht="31.4" customHeight="1" x14ac:dyDescent="0.35">
      <c r="N3523" s="20"/>
      <c r="P3523" s="8"/>
      <c r="Q3523" s="8"/>
      <c r="R3523" s="8"/>
      <c r="S3523" s="8"/>
      <c r="U3523" s="6"/>
      <c r="V3523" s="6"/>
      <c r="W3523" s="6"/>
      <c r="X3523" s="6"/>
      <c r="Y3523" s="6"/>
      <c r="Z3523" s="6"/>
    </row>
    <row r="3524" spans="14:26" ht="31.4" customHeight="1" x14ac:dyDescent="0.35">
      <c r="N3524" s="20"/>
      <c r="P3524" s="8"/>
      <c r="Q3524" s="8"/>
      <c r="R3524" s="8"/>
      <c r="S3524" s="8"/>
      <c r="U3524" s="6"/>
      <c r="V3524" s="6"/>
      <c r="W3524" s="6"/>
      <c r="X3524" s="6"/>
      <c r="Y3524" s="6"/>
      <c r="Z3524" s="6"/>
    </row>
    <row r="3525" spans="14:26" ht="31.4" customHeight="1" x14ac:dyDescent="0.35">
      <c r="N3525" s="20"/>
      <c r="P3525" s="8"/>
      <c r="Q3525" s="8"/>
      <c r="R3525" s="8"/>
      <c r="S3525" s="8"/>
      <c r="U3525" s="6"/>
      <c r="V3525" s="6"/>
      <c r="W3525" s="6"/>
      <c r="X3525" s="6"/>
      <c r="Y3525" s="6"/>
      <c r="Z3525" s="6"/>
    </row>
    <row r="3526" spans="14:26" ht="31.4" customHeight="1" x14ac:dyDescent="0.35">
      <c r="N3526" s="20"/>
      <c r="P3526" s="8"/>
      <c r="Q3526" s="8"/>
      <c r="R3526" s="8"/>
      <c r="S3526" s="8"/>
      <c r="U3526" s="6"/>
      <c r="V3526" s="6"/>
      <c r="W3526" s="6"/>
      <c r="X3526" s="6"/>
      <c r="Y3526" s="6"/>
      <c r="Z3526" s="6"/>
    </row>
    <row r="3527" spans="14:26" ht="31.4" customHeight="1" x14ac:dyDescent="0.35">
      <c r="N3527" s="20"/>
      <c r="P3527" s="8"/>
      <c r="Q3527" s="8"/>
      <c r="R3527" s="8"/>
      <c r="S3527" s="8"/>
      <c r="U3527" s="6"/>
      <c r="V3527" s="6"/>
      <c r="W3527" s="6"/>
      <c r="X3527" s="6"/>
      <c r="Y3527" s="6"/>
      <c r="Z3527" s="6"/>
    </row>
    <row r="3528" spans="14:26" ht="31.4" customHeight="1" x14ac:dyDescent="0.35">
      <c r="N3528" s="20"/>
      <c r="P3528" s="8"/>
      <c r="Q3528" s="8"/>
      <c r="R3528" s="8"/>
      <c r="S3528" s="8"/>
      <c r="U3528" s="6"/>
      <c r="V3528" s="6"/>
      <c r="W3528" s="6"/>
      <c r="X3528" s="6"/>
      <c r="Y3528" s="6"/>
      <c r="Z3528" s="6"/>
    </row>
    <row r="3529" spans="14:26" ht="31.4" customHeight="1" x14ac:dyDescent="0.35">
      <c r="N3529" s="20"/>
      <c r="P3529" s="8"/>
      <c r="Q3529" s="8"/>
      <c r="R3529" s="8"/>
      <c r="S3529" s="8"/>
      <c r="U3529" s="6"/>
      <c r="V3529" s="6"/>
      <c r="W3529" s="6"/>
      <c r="X3529" s="6"/>
      <c r="Y3529" s="6"/>
      <c r="Z3529" s="6"/>
    </row>
    <row r="3530" spans="14:26" ht="31.4" customHeight="1" x14ac:dyDescent="0.35">
      <c r="N3530" s="20"/>
      <c r="P3530" s="8"/>
      <c r="Q3530" s="8"/>
      <c r="R3530" s="8"/>
      <c r="S3530" s="8"/>
      <c r="U3530" s="6"/>
      <c r="V3530" s="6"/>
      <c r="W3530" s="6"/>
      <c r="X3530" s="6"/>
      <c r="Y3530" s="6"/>
      <c r="Z3530" s="6"/>
    </row>
    <row r="3531" spans="14:26" ht="31.4" customHeight="1" x14ac:dyDescent="0.35">
      <c r="N3531" s="20"/>
      <c r="P3531" s="8"/>
      <c r="Q3531" s="8"/>
      <c r="R3531" s="8"/>
      <c r="S3531" s="8"/>
      <c r="U3531" s="6"/>
      <c r="V3531" s="6"/>
      <c r="W3531" s="6"/>
      <c r="X3531" s="6"/>
      <c r="Y3531" s="6"/>
      <c r="Z3531" s="6"/>
    </row>
    <row r="3532" spans="14:26" ht="31.4" customHeight="1" x14ac:dyDescent="0.35">
      <c r="N3532" s="20"/>
      <c r="P3532" s="8"/>
      <c r="Q3532" s="8"/>
      <c r="R3532" s="8"/>
      <c r="S3532" s="8"/>
      <c r="U3532" s="6"/>
      <c r="V3532" s="6"/>
      <c r="W3532" s="6"/>
      <c r="X3532" s="6"/>
      <c r="Y3532" s="6"/>
      <c r="Z3532" s="6"/>
    </row>
    <row r="3533" spans="14:26" ht="31.4" customHeight="1" x14ac:dyDescent="0.35">
      <c r="N3533" s="20"/>
      <c r="P3533" s="8"/>
      <c r="Q3533" s="8"/>
      <c r="R3533" s="8"/>
      <c r="S3533" s="8"/>
      <c r="U3533" s="6"/>
      <c r="V3533" s="6"/>
      <c r="W3533" s="6"/>
      <c r="X3533" s="6"/>
      <c r="Y3533" s="6"/>
      <c r="Z3533" s="6"/>
    </row>
    <row r="3534" spans="14:26" ht="31.4" customHeight="1" x14ac:dyDescent="0.35">
      <c r="N3534" s="20"/>
      <c r="P3534" s="8"/>
      <c r="Q3534" s="8"/>
      <c r="R3534" s="8"/>
      <c r="S3534" s="8"/>
      <c r="U3534" s="6"/>
      <c r="V3534" s="6"/>
      <c r="W3534" s="6"/>
      <c r="X3534" s="6"/>
      <c r="Y3534" s="6"/>
      <c r="Z3534" s="6"/>
    </row>
    <row r="3535" spans="14:26" ht="31.4" customHeight="1" x14ac:dyDescent="0.35">
      <c r="N3535" s="20"/>
      <c r="P3535" s="8"/>
      <c r="Q3535" s="8"/>
      <c r="R3535" s="8"/>
      <c r="S3535" s="8"/>
      <c r="U3535" s="6"/>
      <c r="V3535" s="6"/>
      <c r="W3535" s="6"/>
      <c r="X3535" s="6"/>
      <c r="Y3535" s="6"/>
      <c r="Z3535" s="6"/>
    </row>
    <row r="3536" spans="14:26" ht="31.4" customHeight="1" x14ac:dyDescent="0.35">
      <c r="N3536" s="20"/>
      <c r="P3536" s="8"/>
      <c r="Q3536" s="8"/>
      <c r="R3536" s="8"/>
      <c r="S3536" s="8"/>
      <c r="U3536" s="6"/>
      <c r="V3536" s="6"/>
      <c r="W3536" s="6"/>
      <c r="X3536" s="6"/>
      <c r="Y3536" s="6"/>
      <c r="Z3536" s="6"/>
    </row>
    <row r="3537" spans="14:26" ht="31.4" customHeight="1" x14ac:dyDescent="0.35">
      <c r="N3537" s="20"/>
      <c r="P3537" s="8"/>
      <c r="Q3537" s="8"/>
      <c r="R3537" s="8"/>
      <c r="S3537" s="8"/>
      <c r="U3537" s="6"/>
      <c r="V3537" s="6"/>
      <c r="W3537" s="6"/>
      <c r="X3537" s="6"/>
      <c r="Y3537" s="6"/>
      <c r="Z3537" s="6"/>
    </row>
    <row r="3538" spans="14:26" ht="31.4" customHeight="1" x14ac:dyDescent="0.35">
      <c r="N3538" s="20"/>
      <c r="P3538" s="8"/>
      <c r="Q3538" s="8"/>
      <c r="R3538" s="8"/>
      <c r="S3538" s="8"/>
      <c r="U3538" s="6"/>
      <c r="V3538" s="6"/>
      <c r="W3538" s="6"/>
      <c r="X3538" s="6"/>
      <c r="Y3538" s="6"/>
      <c r="Z3538" s="6"/>
    </row>
    <row r="3539" spans="14:26" ht="31.4" customHeight="1" x14ac:dyDescent="0.35">
      <c r="N3539" s="20"/>
      <c r="P3539" s="8"/>
      <c r="Q3539" s="8"/>
      <c r="R3539" s="8"/>
      <c r="S3539" s="8"/>
      <c r="U3539" s="6"/>
      <c r="V3539" s="6"/>
      <c r="W3539" s="6"/>
      <c r="X3539" s="6"/>
      <c r="Y3539" s="6"/>
      <c r="Z3539" s="6"/>
    </row>
    <row r="3540" spans="14:26" ht="31.4" customHeight="1" x14ac:dyDescent="0.35">
      <c r="N3540" s="20"/>
      <c r="P3540" s="8"/>
      <c r="Q3540" s="8"/>
      <c r="R3540" s="8"/>
      <c r="S3540" s="8"/>
      <c r="U3540" s="6"/>
      <c r="V3540" s="6"/>
      <c r="W3540" s="6"/>
      <c r="X3540" s="6"/>
      <c r="Y3540" s="6"/>
      <c r="Z3540" s="6"/>
    </row>
    <row r="3541" spans="14:26" ht="31.4" customHeight="1" x14ac:dyDescent="0.35">
      <c r="N3541" s="20"/>
      <c r="P3541" s="8"/>
      <c r="Q3541" s="8"/>
      <c r="R3541" s="8"/>
      <c r="S3541" s="8"/>
      <c r="U3541" s="6"/>
      <c r="V3541" s="6"/>
      <c r="W3541" s="6"/>
      <c r="X3541" s="6"/>
      <c r="Y3541" s="6"/>
      <c r="Z3541" s="6"/>
    </row>
    <row r="3542" spans="14:26" ht="31.4" customHeight="1" x14ac:dyDescent="0.35">
      <c r="N3542" s="20"/>
      <c r="P3542" s="8"/>
      <c r="Q3542" s="8"/>
      <c r="R3542" s="8"/>
      <c r="S3542" s="8"/>
      <c r="U3542" s="6"/>
      <c r="V3542" s="6"/>
      <c r="W3542" s="6"/>
      <c r="X3542" s="6"/>
      <c r="Y3542" s="6"/>
      <c r="Z3542" s="6"/>
    </row>
    <row r="3543" spans="14:26" ht="31.4" customHeight="1" x14ac:dyDescent="0.35">
      <c r="N3543" s="20"/>
      <c r="P3543" s="8"/>
      <c r="Q3543" s="8"/>
      <c r="R3543" s="8"/>
      <c r="S3543" s="8"/>
      <c r="U3543" s="6"/>
      <c r="V3543" s="6"/>
      <c r="W3543" s="6"/>
      <c r="X3543" s="6"/>
      <c r="Y3543" s="6"/>
      <c r="Z3543" s="6"/>
    </row>
    <row r="3544" spans="14:26" ht="31.4" customHeight="1" x14ac:dyDescent="0.35">
      <c r="N3544" s="20"/>
      <c r="P3544" s="8"/>
      <c r="Q3544" s="8"/>
      <c r="R3544" s="8"/>
      <c r="S3544" s="8"/>
      <c r="U3544" s="6"/>
      <c r="V3544" s="6"/>
      <c r="W3544" s="6"/>
      <c r="X3544" s="6"/>
      <c r="Y3544" s="6"/>
      <c r="Z3544" s="6"/>
    </row>
    <row r="3545" spans="14:26" ht="31.4" customHeight="1" x14ac:dyDescent="0.35">
      <c r="N3545" s="20"/>
      <c r="P3545" s="8"/>
      <c r="Q3545" s="8"/>
      <c r="R3545" s="8"/>
      <c r="S3545" s="8"/>
      <c r="U3545" s="6"/>
      <c r="V3545" s="6"/>
      <c r="W3545" s="6"/>
      <c r="X3545" s="6"/>
      <c r="Y3545" s="6"/>
      <c r="Z3545" s="6"/>
    </row>
    <row r="3546" spans="14:26" ht="31.4" customHeight="1" x14ac:dyDescent="0.35">
      <c r="N3546" s="20"/>
      <c r="P3546" s="8"/>
      <c r="Q3546" s="8"/>
      <c r="R3546" s="8"/>
      <c r="S3546" s="8"/>
      <c r="U3546" s="6"/>
      <c r="V3546" s="6"/>
      <c r="W3546" s="6"/>
      <c r="X3546" s="6"/>
      <c r="Y3546" s="6"/>
      <c r="Z3546" s="6"/>
    </row>
    <row r="3547" spans="14:26" ht="31.4" customHeight="1" x14ac:dyDescent="0.35">
      <c r="N3547" s="20"/>
      <c r="P3547" s="8"/>
      <c r="Q3547" s="8"/>
      <c r="R3547" s="8"/>
      <c r="S3547" s="8"/>
      <c r="U3547" s="6"/>
      <c r="V3547" s="6"/>
      <c r="W3547" s="6"/>
      <c r="X3547" s="6"/>
      <c r="Y3547" s="6"/>
      <c r="Z3547" s="6"/>
    </row>
    <row r="3548" spans="14:26" ht="31.4" customHeight="1" x14ac:dyDescent="0.35">
      <c r="N3548" s="20"/>
      <c r="P3548" s="8"/>
      <c r="Q3548" s="8"/>
      <c r="R3548" s="8"/>
      <c r="S3548" s="8"/>
      <c r="U3548" s="6"/>
      <c r="V3548" s="6"/>
      <c r="W3548" s="6"/>
      <c r="X3548" s="6"/>
      <c r="Y3548" s="6"/>
      <c r="Z3548" s="6"/>
    </row>
    <row r="3549" spans="14:26" ht="31.4" customHeight="1" x14ac:dyDescent="0.35">
      <c r="N3549" s="20"/>
      <c r="P3549" s="8"/>
      <c r="Q3549" s="8"/>
      <c r="R3549" s="8"/>
      <c r="S3549" s="8"/>
      <c r="U3549" s="6"/>
      <c r="V3549" s="6"/>
      <c r="W3549" s="6"/>
      <c r="X3549" s="6"/>
      <c r="Y3549" s="6"/>
      <c r="Z3549" s="6"/>
    </row>
    <row r="3550" spans="14:26" ht="31.4" customHeight="1" x14ac:dyDescent="0.35">
      <c r="N3550" s="20"/>
      <c r="P3550" s="8"/>
      <c r="Q3550" s="8"/>
      <c r="R3550" s="8"/>
      <c r="S3550" s="8"/>
      <c r="U3550" s="6"/>
      <c r="V3550" s="6"/>
      <c r="W3550" s="6"/>
      <c r="X3550" s="6"/>
      <c r="Y3550" s="6"/>
      <c r="Z3550" s="6"/>
    </row>
    <row r="3551" spans="14:26" ht="31.4" customHeight="1" x14ac:dyDescent="0.35">
      <c r="N3551" s="20"/>
      <c r="P3551" s="8"/>
      <c r="Q3551" s="8"/>
      <c r="R3551" s="8"/>
      <c r="S3551" s="8"/>
      <c r="U3551" s="6"/>
      <c r="V3551" s="6"/>
      <c r="W3551" s="6"/>
      <c r="X3551" s="6"/>
      <c r="Y3551" s="6"/>
      <c r="Z3551" s="6"/>
    </row>
    <row r="3552" spans="14:26" ht="31.4" customHeight="1" x14ac:dyDescent="0.35">
      <c r="N3552" s="20"/>
      <c r="P3552" s="8"/>
      <c r="Q3552" s="8"/>
      <c r="R3552" s="8"/>
      <c r="S3552" s="8"/>
      <c r="U3552" s="6"/>
      <c r="V3552" s="6"/>
      <c r="W3552" s="6"/>
      <c r="X3552" s="6"/>
      <c r="Y3552" s="6"/>
      <c r="Z3552" s="6"/>
    </row>
    <row r="3553" spans="14:26" ht="31.4" customHeight="1" x14ac:dyDescent="0.35">
      <c r="N3553" s="20"/>
      <c r="P3553" s="8"/>
      <c r="Q3553" s="8"/>
      <c r="R3553" s="8"/>
      <c r="S3553" s="8"/>
      <c r="U3553" s="6"/>
      <c r="V3553" s="6"/>
      <c r="W3553" s="6"/>
      <c r="X3553" s="6"/>
      <c r="Y3553" s="6"/>
      <c r="Z3553" s="6"/>
    </row>
    <row r="3554" spans="14:26" ht="31.4" customHeight="1" x14ac:dyDescent="0.35">
      <c r="N3554" s="20"/>
      <c r="P3554" s="8"/>
      <c r="Q3554" s="8"/>
      <c r="R3554" s="8"/>
      <c r="S3554" s="8"/>
      <c r="U3554" s="6"/>
      <c r="V3554" s="6"/>
      <c r="W3554" s="6"/>
      <c r="X3554" s="6"/>
      <c r="Y3554" s="6"/>
      <c r="Z3554" s="6"/>
    </row>
    <row r="3555" spans="14:26" ht="31.4" customHeight="1" x14ac:dyDescent="0.35">
      <c r="N3555" s="20"/>
      <c r="P3555" s="8"/>
      <c r="Q3555" s="8"/>
      <c r="R3555" s="8"/>
      <c r="S3555" s="8"/>
      <c r="U3555" s="6"/>
      <c r="V3555" s="6"/>
      <c r="W3555" s="6"/>
      <c r="X3555" s="6"/>
      <c r="Y3555" s="6"/>
      <c r="Z3555" s="6"/>
    </row>
    <row r="3556" spans="14:26" ht="31.4" customHeight="1" x14ac:dyDescent="0.35">
      <c r="N3556" s="20"/>
      <c r="P3556" s="8"/>
      <c r="Q3556" s="8"/>
      <c r="R3556" s="8"/>
      <c r="S3556" s="8"/>
      <c r="U3556" s="6"/>
      <c r="V3556" s="6"/>
      <c r="W3556" s="6"/>
      <c r="X3556" s="6"/>
      <c r="Y3556" s="6"/>
      <c r="Z3556" s="6"/>
    </row>
    <row r="3557" spans="14:26" ht="31.4" customHeight="1" x14ac:dyDescent="0.35">
      <c r="N3557" s="20"/>
      <c r="P3557" s="8"/>
      <c r="Q3557" s="8"/>
      <c r="R3557" s="8"/>
      <c r="S3557" s="8"/>
      <c r="U3557" s="6"/>
      <c r="V3557" s="6"/>
      <c r="W3557" s="6"/>
      <c r="X3557" s="6"/>
      <c r="Y3557" s="6"/>
      <c r="Z3557" s="6"/>
    </row>
    <row r="3558" spans="14:26" ht="31.4" customHeight="1" x14ac:dyDescent="0.35">
      <c r="N3558" s="20"/>
      <c r="P3558" s="8"/>
      <c r="Q3558" s="8"/>
      <c r="R3558" s="8"/>
      <c r="S3558" s="8"/>
      <c r="U3558" s="6"/>
      <c r="V3558" s="6"/>
      <c r="W3558" s="6"/>
      <c r="X3558" s="6"/>
      <c r="Y3558" s="6"/>
      <c r="Z3558" s="6"/>
    </row>
    <row r="3559" spans="14:26" ht="31.4" customHeight="1" x14ac:dyDescent="0.35">
      <c r="N3559" s="20"/>
      <c r="P3559" s="8"/>
      <c r="Q3559" s="8"/>
      <c r="R3559" s="8"/>
      <c r="S3559" s="8"/>
      <c r="U3559" s="6"/>
      <c r="V3559" s="6"/>
      <c r="W3559" s="6"/>
      <c r="X3559" s="6"/>
      <c r="Y3559" s="6"/>
      <c r="Z3559" s="6"/>
    </row>
    <row r="3560" spans="14:26" ht="31.4" customHeight="1" x14ac:dyDescent="0.35">
      <c r="N3560" s="20"/>
      <c r="P3560" s="8"/>
      <c r="Q3560" s="8"/>
      <c r="R3560" s="8"/>
      <c r="S3560" s="8"/>
      <c r="U3560" s="6"/>
      <c r="V3560" s="6"/>
      <c r="W3560" s="6"/>
      <c r="X3560" s="6"/>
      <c r="Y3560" s="6"/>
      <c r="Z3560" s="6"/>
    </row>
    <row r="3561" spans="14:26" ht="31.4" customHeight="1" x14ac:dyDescent="0.35">
      <c r="N3561" s="20"/>
      <c r="P3561" s="8"/>
      <c r="Q3561" s="8"/>
      <c r="R3561" s="8"/>
      <c r="S3561" s="8"/>
      <c r="U3561" s="6"/>
      <c r="V3561" s="6"/>
      <c r="W3561" s="6"/>
      <c r="X3561" s="6"/>
      <c r="Y3561" s="6"/>
      <c r="Z3561" s="6"/>
    </row>
    <row r="3562" spans="14:26" ht="31.4" customHeight="1" x14ac:dyDescent="0.35">
      <c r="N3562" s="20"/>
      <c r="P3562" s="8"/>
      <c r="Q3562" s="8"/>
      <c r="R3562" s="8"/>
      <c r="S3562" s="8"/>
      <c r="U3562" s="6"/>
      <c r="V3562" s="6"/>
      <c r="W3562" s="6"/>
      <c r="X3562" s="6"/>
      <c r="Y3562" s="6"/>
      <c r="Z3562" s="6"/>
    </row>
    <row r="3563" spans="14:26" ht="31.4" customHeight="1" x14ac:dyDescent="0.35">
      <c r="N3563" s="20"/>
      <c r="P3563" s="8"/>
      <c r="Q3563" s="8"/>
      <c r="R3563" s="8"/>
      <c r="S3563" s="8"/>
      <c r="U3563" s="6"/>
      <c r="V3563" s="6"/>
      <c r="W3563" s="6"/>
      <c r="X3563" s="6"/>
      <c r="Y3563" s="6"/>
      <c r="Z3563" s="6"/>
    </row>
    <row r="3564" spans="14:26" ht="31.4" customHeight="1" x14ac:dyDescent="0.35">
      <c r="N3564" s="20"/>
      <c r="P3564" s="8"/>
      <c r="Q3564" s="8"/>
      <c r="R3564" s="8"/>
      <c r="S3564" s="8"/>
      <c r="U3564" s="6"/>
      <c r="V3564" s="6"/>
      <c r="W3564" s="6"/>
      <c r="X3564" s="6"/>
      <c r="Y3564" s="6"/>
      <c r="Z3564" s="6"/>
    </row>
    <row r="3565" spans="14:26" ht="31.4" customHeight="1" x14ac:dyDescent="0.35">
      <c r="N3565" s="20"/>
      <c r="P3565" s="8"/>
      <c r="Q3565" s="8"/>
      <c r="R3565" s="8"/>
      <c r="S3565" s="8"/>
      <c r="U3565" s="6"/>
      <c r="V3565" s="6"/>
      <c r="W3565" s="6"/>
      <c r="X3565" s="6"/>
      <c r="Y3565" s="6"/>
      <c r="Z3565" s="6"/>
    </row>
    <row r="3566" spans="14:26" ht="31.4" customHeight="1" x14ac:dyDescent="0.35">
      <c r="N3566" s="20"/>
      <c r="P3566" s="8"/>
      <c r="Q3566" s="8"/>
      <c r="R3566" s="8"/>
      <c r="S3566" s="8"/>
      <c r="U3566" s="6"/>
      <c r="V3566" s="6"/>
      <c r="W3566" s="6"/>
      <c r="X3566" s="6"/>
      <c r="Y3566" s="6"/>
      <c r="Z3566" s="6"/>
    </row>
    <row r="3567" spans="14:26" ht="31.4" customHeight="1" x14ac:dyDescent="0.35">
      <c r="N3567" s="20"/>
      <c r="P3567" s="8"/>
      <c r="Q3567" s="8"/>
      <c r="R3567" s="8"/>
      <c r="S3567" s="8"/>
      <c r="U3567" s="6"/>
      <c r="V3567" s="6"/>
      <c r="W3567" s="6"/>
      <c r="X3567" s="6"/>
      <c r="Y3567" s="6"/>
      <c r="Z3567" s="6"/>
    </row>
    <row r="3568" spans="14:26" ht="31.4" customHeight="1" x14ac:dyDescent="0.35">
      <c r="N3568" s="20"/>
      <c r="P3568" s="8"/>
      <c r="Q3568" s="8"/>
      <c r="R3568" s="8"/>
      <c r="S3568" s="8"/>
      <c r="U3568" s="6"/>
      <c r="V3568" s="6"/>
      <c r="W3568" s="6"/>
      <c r="X3568" s="6"/>
      <c r="Y3568" s="6"/>
      <c r="Z3568" s="6"/>
    </row>
    <row r="3569" spans="14:26" ht="31.4" customHeight="1" x14ac:dyDescent="0.35">
      <c r="N3569" s="20"/>
      <c r="P3569" s="8"/>
      <c r="Q3569" s="8"/>
      <c r="R3569" s="8"/>
      <c r="S3569" s="8"/>
      <c r="U3569" s="6"/>
      <c r="V3569" s="6"/>
      <c r="W3569" s="6"/>
      <c r="X3569" s="6"/>
      <c r="Y3569" s="6"/>
      <c r="Z3569" s="6"/>
    </row>
    <row r="3570" spans="14:26" ht="31.4" customHeight="1" x14ac:dyDescent="0.35">
      <c r="N3570" s="20"/>
      <c r="P3570" s="8"/>
      <c r="Q3570" s="8"/>
      <c r="R3570" s="8"/>
      <c r="S3570" s="8"/>
      <c r="U3570" s="6"/>
      <c r="V3570" s="6"/>
      <c r="W3570" s="6"/>
      <c r="X3570" s="6"/>
      <c r="Y3570" s="6"/>
      <c r="Z3570" s="6"/>
    </row>
    <row r="3571" spans="14:26" ht="31.4" customHeight="1" x14ac:dyDescent="0.35">
      <c r="N3571" s="20"/>
      <c r="P3571" s="8"/>
      <c r="Q3571" s="8"/>
      <c r="R3571" s="8"/>
      <c r="S3571" s="8"/>
      <c r="U3571" s="6"/>
      <c r="V3571" s="6"/>
      <c r="W3571" s="6"/>
      <c r="X3571" s="6"/>
      <c r="Y3571" s="6"/>
      <c r="Z3571" s="6"/>
    </row>
    <row r="3572" spans="14:26" ht="31.4" customHeight="1" x14ac:dyDescent="0.35">
      <c r="N3572" s="20"/>
      <c r="P3572" s="8"/>
      <c r="Q3572" s="8"/>
      <c r="R3572" s="8"/>
      <c r="S3572" s="8"/>
      <c r="U3572" s="6"/>
      <c r="V3572" s="6"/>
      <c r="W3572" s="6"/>
      <c r="X3572" s="6"/>
      <c r="Y3572" s="6"/>
      <c r="Z3572" s="6"/>
    </row>
    <row r="3573" spans="14:26" ht="31.4" customHeight="1" x14ac:dyDescent="0.35">
      <c r="N3573" s="20"/>
      <c r="P3573" s="8"/>
      <c r="Q3573" s="8"/>
      <c r="R3573" s="8"/>
      <c r="S3573" s="8"/>
      <c r="U3573" s="6"/>
      <c r="V3573" s="6"/>
      <c r="W3573" s="6"/>
      <c r="X3573" s="6"/>
      <c r="Y3573" s="6"/>
      <c r="Z3573" s="6"/>
    </row>
    <row r="3574" spans="14:26" ht="31.4" customHeight="1" x14ac:dyDescent="0.35">
      <c r="N3574" s="20"/>
      <c r="P3574" s="8"/>
      <c r="Q3574" s="8"/>
      <c r="R3574" s="8"/>
      <c r="S3574" s="8"/>
      <c r="U3574" s="6"/>
      <c r="V3574" s="6"/>
      <c r="W3574" s="6"/>
      <c r="X3574" s="6"/>
      <c r="Y3574" s="6"/>
      <c r="Z3574" s="6"/>
    </row>
    <row r="3575" spans="14:26" ht="31.4" customHeight="1" x14ac:dyDescent="0.35">
      <c r="N3575" s="20"/>
      <c r="P3575" s="8"/>
      <c r="Q3575" s="8"/>
      <c r="R3575" s="8"/>
      <c r="S3575" s="8"/>
      <c r="U3575" s="6"/>
      <c r="V3575" s="6"/>
      <c r="W3575" s="6"/>
      <c r="X3575" s="6"/>
      <c r="Y3575" s="6"/>
      <c r="Z3575" s="6"/>
    </row>
    <row r="3576" spans="14:26" ht="31.4" customHeight="1" x14ac:dyDescent="0.35">
      <c r="N3576" s="20"/>
      <c r="P3576" s="8"/>
      <c r="Q3576" s="8"/>
      <c r="R3576" s="8"/>
      <c r="S3576" s="8"/>
      <c r="U3576" s="6"/>
      <c r="V3576" s="6"/>
      <c r="W3576" s="6"/>
      <c r="X3576" s="6"/>
      <c r="Y3576" s="6"/>
      <c r="Z3576" s="6"/>
    </row>
    <row r="3577" spans="14:26" ht="31.4" customHeight="1" x14ac:dyDescent="0.35">
      <c r="N3577" s="20"/>
      <c r="P3577" s="8"/>
      <c r="Q3577" s="8"/>
      <c r="R3577" s="8"/>
      <c r="S3577" s="8"/>
      <c r="U3577" s="6"/>
      <c r="V3577" s="6"/>
      <c r="W3577" s="6"/>
      <c r="X3577" s="6"/>
      <c r="Y3577" s="6"/>
      <c r="Z3577" s="6"/>
    </row>
    <row r="3578" spans="14:26" ht="31.4" customHeight="1" x14ac:dyDescent="0.35">
      <c r="N3578" s="20"/>
      <c r="P3578" s="8"/>
      <c r="Q3578" s="8"/>
      <c r="R3578" s="8"/>
      <c r="S3578" s="8"/>
      <c r="U3578" s="6"/>
      <c r="V3578" s="6"/>
      <c r="W3578" s="6"/>
      <c r="X3578" s="6"/>
      <c r="Y3578" s="6"/>
      <c r="Z3578" s="6"/>
    </row>
    <row r="3579" spans="14:26" ht="31.4" customHeight="1" x14ac:dyDescent="0.35">
      <c r="N3579" s="20"/>
      <c r="P3579" s="8"/>
      <c r="Q3579" s="8"/>
      <c r="R3579" s="8"/>
      <c r="S3579" s="8"/>
      <c r="U3579" s="6"/>
      <c r="V3579" s="6"/>
      <c r="W3579" s="6"/>
      <c r="X3579" s="6"/>
      <c r="Y3579" s="6"/>
      <c r="Z3579" s="6"/>
    </row>
    <row r="3580" spans="14:26" ht="31.4" customHeight="1" x14ac:dyDescent="0.35">
      <c r="N3580" s="20"/>
      <c r="P3580" s="8"/>
      <c r="Q3580" s="8"/>
      <c r="R3580" s="8"/>
      <c r="S3580" s="8"/>
      <c r="U3580" s="6"/>
      <c r="V3580" s="6"/>
      <c r="W3580" s="6"/>
      <c r="X3580" s="6"/>
      <c r="Y3580" s="6"/>
      <c r="Z3580" s="6"/>
    </row>
    <row r="3581" spans="14:26" ht="31.4" customHeight="1" x14ac:dyDescent="0.35">
      <c r="N3581" s="20"/>
      <c r="P3581" s="8"/>
      <c r="Q3581" s="8"/>
      <c r="R3581" s="8"/>
      <c r="S3581" s="8"/>
      <c r="U3581" s="6"/>
      <c r="V3581" s="6"/>
      <c r="W3581" s="6"/>
      <c r="X3581" s="6"/>
      <c r="Y3581" s="6"/>
      <c r="Z3581" s="6"/>
    </row>
    <row r="3582" spans="14:26" ht="31.4" customHeight="1" x14ac:dyDescent="0.35">
      <c r="N3582" s="20"/>
      <c r="P3582" s="8"/>
      <c r="Q3582" s="8"/>
      <c r="R3582" s="8"/>
      <c r="S3582" s="8"/>
      <c r="U3582" s="6"/>
      <c r="V3582" s="6"/>
      <c r="W3582" s="6"/>
      <c r="X3582" s="6"/>
      <c r="Y3582" s="6"/>
      <c r="Z3582" s="6"/>
    </row>
    <row r="3583" spans="14:26" ht="31.4" customHeight="1" x14ac:dyDescent="0.35">
      <c r="N3583" s="20"/>
      <c r="P3583" s="8"/>
      <c r="Q3583" s="8"/>
      <c r="R3583" s="8"/>
      <c r="S3583" s="8"/>
      <c r="U3583" s="6"/>
      <c r="V3583" s="6"/>
      <c r="W3583" s="6"/>
      <c r="X3583" s="6"/>
      <c r="Y3583" s="6"/>
      <c r="Z3583" s="6"/>
    </row>
    <row r="3584" spans="14:26" ht="31.4" customHeight="1" x14ac:dyDescent="0.35">
      <c r="N3584" s="20"/>
      <c r="P3584" s="8"/>
      <c r="Q3584" s="8"/>
      <c r="R3584" s="8"/>
      <c r="S3584" s="8"/>
      <c r="U3584" s="6"/>
      <c r="V3584" s="6"/>
      <c r="W3584" s="6"/>
      <c r="X3584" s="6"/>
      <c r="Y3584" s="6"/>
      <c r="Z3584" s="6"/>
    </row>
    <row r="3585" spans="14:26" ht="31.4" customHeight="1" x14ac:dyDescent="0.35">
      <c r="N3585" s="20"/>
      <c r="P3585" s="8"/>
      <c r="Q3585" s="8"/>
      <c r="R3585" s="8"/>
      <c r="S3585" s="8"/>
      <c r="U3585" s="6"/>
      <c r="V3585" s="6"/>
      <c r="W3585" s="6"/>
      <c r="X3585" s="6"/>
      <c r="Y3585" s="6"/>
      <c r="Z3585" s="6"/>
    </row>
    <row r="3586" spans="14:26" ht="31.4" customHeight="1" x14ac:dyDescent="0.35">
      <c r="N3586" s="20"/>
      <c r="P3586" s="8"/>
      <c r="Q3586" s="8"/>
      <c r="R3586" s="8"/>
      <c r="S3586" s="8"/>
      <c r="U3586" s="6"/>
      <c r="V3586" s="6"/>
      <c r="W3586" s="6"/>
      <c r="X3586" s="6"/>
      <c r="Y3586" s="6"/>
      <c r="Z3586" s="6"/>
    </row>
    <row r="3587" spans="14:26" ht="31.4" customHeight="1" x14ac:dyDescent="0.35">
      <c r="N3587" s="20"/>
      <c r="P3587" s="8"/>
      <c r="Q3587" s="8"/>
      <c r="R3587" s="8"/>
      <c r="S3587" s="8"/>
      <c r="U3587" s="6"/>
      <c r="V3587" s="6"/>
      <c r="W3587" s="6"/>
      <c r="X3587" s="6"/>
      <c r="Y3587" s="6"/>
      <c r="Z3587" s="6"/>
    </row>
    <row r="3588" spans="14:26" ht="31.4" customHeight="1" x14ac:dyDescent="0.35">
      <c r="N3588" s="20"/>
      <c r="P3588" s="8"/>
      <c r="Q3588" s="8"/>
      <c r="R3588" s="8"/>
      <c r="S3588" s="8"/>
      <c r="U3588" s="6"/>
      <c r="V3588" s="6"/>
      <c r="W3588" s="6"/>
      <c r="X3588" s="6"/>
      <c r="Y3588" s="6"/>
      <c r="Z3588" s="6"/>
    </row>
    <row r="3589" spans="14:26" ht="31.4" customHeight="1" x14ac:dyDescent="0.35">
      <c r="N3589" s="20"/>
      <c r="P3589" s="8"/>
      <c r="Q3589" s="8"/>
      <c r="R3589" s="8"/>
      <c r="S3589" s="8"/>
      <c r="U3589" s="6"/>
      <c r="V3589" s="6"/>
      <c r="W3589" s="6"/>
      <c r="X3589" s="6"/>
      <c r="Y3589" s="6"/>
      <c r="Z3589" s="6"/>
    </row>
    <row r="3590" spans="14:26" ht="31.4" customHeight="1" x14ac:dyDescent="0.35">
      <c r="N3590" s="20"/>
      <c r="P3590" s="8"/>
      <c r="Q3590" s="8"/>
      <c r="R3590" s="8"/>
      <c r="S3590" s="8"/>
      <c r="U3590" s="6"/>
      <c r="V3590" s="6"/>
      <c r="W3590" s="6"/>
      <c r="X3590" s="6"/>
      <c r="Y3590" s="6"/>
      <c r="Z3590" s="6"/>
    </row>
    <row r="3591" spans="14:26" ht="31.4" customHeight="1" x14ac:dyDescent="0.35">
      <c r="N3591" s="20"/>
      <c r="P3591" s="8"/>
      <c r="Q3591" s="8"/>
      <c r="R3591" s="8"/>
      <c r="S3591" s="8"/>
      <c r="U3591" s="6"/>
      <c r="V3591" s="6"/>
      <c r="W3591" s="6"/>
      <c r="X3591" s="6"/>
      <c r="Y3591" s="6"/>
      <c r="Z3591" s="6"/>
    </row>
    <row r="3592" spans="14:26" ht="31.4" customHeight="1" x14ac:dyDescent="0.35">
      <c r="N3592" s="20"/>
      <c r="P3592" s="8"/>
      <c r="Q3592" s="8"/>
      <c r="R3592" s="8"/>
      <c r="S3592" s="8"/>
      <c r="U3592" s="6"/>
      <c r="V3592" s="6"/>
      <c r="W3592" s="6"/>
      <c r="X3592" s="6"/>
      <c r="Y3592" s="6"/>
      <c r="Z3592" s="6"/>
    </row>
    <row r="3593" spans="14:26" ht="31.4" customHeight="1" x14ac:dyDescent="0.35">
      <c r="N3593" s="20"/>
      <c r="P3593" s="8"/>
      <c r="Q3593" s="8"/>
      <c r="R3593" s="8"/>
      <c r="S3593" s="8"/>
      <c r="U3593" s="6"/>
      <c r="V3593" s="6"/>
      <c r="W3593" s="6"/>
      <c r="X3593" s="6"/>
      <c r="Y3593" s="6"/>
      <c r="Z3593" s="6"/>
    </row>
    <row r="3594" spans="14:26" ht="31.4" customHeight="1" x14ac:dyDescent="0.35">
      <c r="N3594" s="20"/>
      <c r="P3594" s="8"/>
      <c r="Q3594" s="8"/>
      <c r="R3594" s="8"/>
      <c r="S3594" s="8"/>
      <c r="U3594" s="6"/>
      <c r="V3594" s="6"/>
      <c r="W3594" s="6"/>
      <c r="X3594" s="6"/>
      <c r="Y3594" s="6"/>
      <c r="Z3594" s="6"/>
    </row>
    <row r="3595" spans="14:26" ht="31.4" customHeight="1" x14ac:dyDescent="0.35">
      <c r="N3595" s="20"/>
      <c r="P3595" s="8"/>
      <c r="Q3595" s="8"/>
      <c r="R3595" s="8"/>
      <c r="S3595" s="8"/>
      <c r="U3595" s="6"/>
      <c r="V3595" s="6"/>
      <c r="W3595" s="6"/>
      <c r="X3595" s="6"/>
      <c r="Y3595" s="6"/>
      <c r="Z3595" s="6"/>
    </row>
    <row r="3596" spans="14:26" ht="31.4" customHeight="1" x14ac:dyDescent="0.35">
      <c r="N3596" s="20"/>
      <c r="P3596" s="8"/>
      <c r="Q3596" s="8"/>
      <c r="R3596" s="8"/>
      <c r="S3596" s="8"/>
      <c r="U3596" s="6"/>
      <c r="V3596" s="6"/>
      <c r="W3596" s="6"/>
      <c r="X3596" s="6"/>
      <c r="Y3596" s="6"/>
      <c r="Z3596" s="6"/>
    </row>
    <row r="3597" spans="14:26" ht="31.4" customHeight="1" x14ac:dyDescent="0.35">
      <c r="N3597" s="20"/>
      <c r="P3597" s="8"/>
      <c r="Q3597" s="8"/>
      <c r="R3597" s="8"/>
      <c r="S3597" s="8"/>
      <c r="U3597" s="6"/>
      <c r="V3597" s="6"/>
      <c r="W3597" s="6"/>
      <c r="X3597" s="6"/>
      <c r="Y3597" s="6"/>
      <c r="Z3597" s="6"/>
    </row>
    <row r="3598" spans="14:26" ht="31.4" customHeight="1" x14ac:dyDescent="0.35">
      <c r="N3598" s="20"/>
      <c r="P3598" s="8"/>
      <c r="Q3598" s="8"/>
      <c r="R3598" s="8"/>
      <c r="S3598" s="8"/>
      <c r="U3598" s="6"/>
      <c r="V3598" s="6"/>
      <c r="W3598" s="6"/>
      <c r="X3598" s="6"/>
      <c r="Y3598" s="6"/>
      <c r="Z3598" s="6"/>
    </row>
    <row r="3599" spans="14:26" ht="31.4" customHeight="1" x14ac:dyDescent="0.35">
      <c r="N3599" s="20"/>
      <c r="P3599" s="8"/>
      <c r="Q3599" s="8"/>
      <c r="R3599" s="8"/>
      <c r="S3599" s="8"/>
      <c r="U3599" s="6"/>
      <c r="V3599" s="6"/>
      <c r="W3599" s="6"/>
      <c r="X3599" s="6"/>
      <c r="Y3599" s="6"/>
      <c r="Z3599" s="6"/>
    </row>
    <row r="3600" spans="14:26" ht="31.4" customHeight="1" x14ac:dyDescent="0.35">
      <c r="N3600" s="20"/>
      <c r="P3600" s="8"/>
      <c r="Q3600" s="8"/>
      <c r="R3600" s="8"/>
      <c r="S3600" s="8"/>
      <c r="U3600" s="6"/>
      <c r="V3600" s="6"/>
      <c r="W3600" s="6"/>
      <c r="X3600" s="6"/>
      <c r="Y3600" s="6"/>
      <c r="Z3600" s="6"/>
    </row>
    <row r="3601" spans="14:26" ht="31.4" customHeight="1" x14ac:dyDescent="0.35">
      <c r="N3601" s="20"/>
      <c r="P3601" s="8"/>
      <c r="Q3601" s="8"/>
      <c r="R3601" s="8"/>
      <c r="S3601" s="8"/>
      <c r="U3601" s="6"/>
      <c r="V3601" s="6"/>
      <c r="W3601" s="6"/>
      <c r="X3601" s="6"/>
      <c r="Y3601" s="6"/>
      <c r="Z3601" s="6"/>
    </row>
    <row r="3602" spans="14:26" ht="31.4" customHeight="1" x14ac:dyDescent="0.35">
      <c r="N3602" s="20"/>
      <c r="P3602" s="8"/>
      <c r="Q3602" s="8"/>
      <c r="R3602" s="8"/>
      <c r="S3602" s="8"/>
      <c r="U3602" s="6"/>
      <c r="V3602" s="6"/>
      <c r="W3602" s="6"/>
      <c r="X3602" s="6"/>
      <c r="Y3602" s="6"/>
      <c r="Z3602" s="6"/>
    </row>
    <row r="3603" spans="14:26" ht="31.4" customHeight="1" x14ac:dyDescent="0.35">
      <c r="N3603" s="20"/>
      <c r="P3603" s="8"/>
      <c r="Q3603" s="8"/>
      <c r="R3603" s="8"/>
      <c r="S3603" s="8"/>
      <c r="U3603" s="6"/>
      <c r="V3603" s="6"/>
      <c r="W3603" s="6"/>
      <c r="X3603" s="6"/>
      <c r="Y3603" s="6"/>
      <c r="Z3603" s="6"/>
    </row>
    <row r="3604" spans="14:26" ht="31.4" customHeight="1" x14ac:dyDescent="0.35">
      <c r="N3604" s="20"/>
      <c r="P3604" s="8"/>
      <c r="Q3604" s="8"/>
      <c r="R3604" s="8"/>
      <c r="S3604" s="8"/>
      <c r="U3604" s="6"/>
      <c r="V3604" s="6"/>
      <c r="W3604" s="6"/>
      <c r="X3604" s="6"/>
      <c r="Y3604" s="6"/>
      <c r="Z3604" s="6"/>
    </row>
    <row r="3605" spans="14:26" ht="31.4" customHeight="1" x14ac:dyDescent="0.35">
      <c r="N3605" s="20"/>
      <c r="P3605" s="8"/>
      <c r="Q3605" s="8"/>
      <c r="R3605" s="8"/>
      <c r="S3605" s="8"/>
      <c r="U3605" s="6"/>
      <c r="V3605" s="6"/>
      <c r="W3605" s="6"/>
      <c r="X3605" s="6"/>
      <c r="Y3605" s="6"/>
      <c r="Z3605" s="6"/>
    </row>
    <row r="3606" spans="14:26" ht="31.4" customHeight="1" x14ac:dyDescent="0.35">
      <c r="N3606" s="20"/>
      <c r="P3606" s="8"/>
      <c r="Q3606" s="8"/>
      <c r="R3606" s="8"/>
      <c r="S3606" s="8"/>
      <c r="U3606" s="6"/>
      <c r="V3606" s="6"/>
      <c r="W3606" s="6"/>
      <c r="X3606" s="6"/>
      <c r="Y3606" s="6"/>
      <c r="Z3606" s="6"/>
    </row>
    <row r="3607" spans="14:26" ht="31.4" customHeight="1" x14ac:dyDescent="0.35">
      <c r="N3607" s="20"/>
      <c r="P3607" s="8"/>
      <c r="Q3607" s="8"/>
      <c r="R3607" s="8"/>
      <c r="S3607" s="8"/>
      <c r="U3607" s="6"/>
      <c r="V3607" s="6"/>
      <c r="W3607" s="6"/>
      <c r="X3607" s="6"/>
      <c r="Y3607" s="6"/>
      <c r="Z3607" s="6"/>
    </row>
    <row r="3608" spans="14:26" ht="31.4" customHeight="1" x14ac:dyDescent="0.35">
      <c r="N3608" s="20"/>
      <c r="P3608" s="8"/>
      <c r="Q3608" s="8"/>
      <c r="R3608" s="8"/>
      <c r="S3608" s="8"/>
      <c r="U3608" s="6"/>
      <c r="V3608" s="6"/>
      <c r="W3608" s="6"/>
      <c r="X3608" s="6"/>
      <c r="Y3608" s="6"/>
      <c r="Z3608" s="6"/>
    </row>
    <row r="3609" spans="14:26" ht="31.4" customHeight="1" x14ac:dyDescent="0.35">
      <c r="N3609" s="20"/>
      <c r="P3609" s="8"/>
      <c r="Q3609" s="8"/>
      <c r="R3609" s="8"/>
      <c r="S3609" s="8"/>
      <c r="U3609" s="6"/>
      <c r="V3609" s="6"/>
      <c r="W3609" s="6"/>
      <c r="X3609" s="6"/>
      <c r="Y3609" s="6"/>
      <c r="Z3609" s="6"/>
    </row>
    <row r="3610" spans="14:26" ht="31.4" customHeight="1" x14ac:dyDescent="0.35">
      <c r="N3610" s="20"/>
      <c r="P3610" s="8"/>
      <c r="Q3610" s="8"/>
      <c r="R3610" s="8"/>
      <c r="S3610" s="8"/>
      <c r="U3610" s="6"/>
      <c r="V3610" s="6"/>
      <c r="W3610" s="6"/>
      <c r="X3610" s="6"/>
      <c r="Y3610" s="6"/>
      <c r="Z3610" s="6"/>
    </row>
    <row r="3611" spans="14:26" ht="31.4" customHeight="1" x14ac:dyDescent="0.35">
      <c r="N3611" s="20"/>
      <c r="P3611" s="8"/>
      <c r="Q3611" s="8"/>
      <c r="R3611" s="8"/>
      <c r="S3611" s="8"/>
      <c r="U3611" s="6"/>
      <c r="V3611" s="6"/>
      <c r="W3611" s="6"/>
      <c r="X3611" s="6"/>
      <c r="Y3611" s="6"/>
      <c r="Z3611" s="6"/>
    </row>
    <row r="3612" spans="14:26" ht="31.4" customHeight="1" x14ac:dyDescent="0.35">
      <c r="N3612" s="20"/>
      <c r="P3612" s="8"/>
      <c r="Q3612" s="8"/>
      <c r="R3612" s="8"/>
      <c r="S3612" s="8"/>
      <c r="U3612" s="6"/>
      <c r="V3612" s="6"/>
      <c r="W3612" s="6"/>
      <c r="X3612" s="6"/>
      <c r="Y3612" s="6"/>
      <c r="Z3612" s="6"/>
    </row>
    <row r="3613" spans="14:26" ht="31.4" customHeight="1" x14ac:dyDescent="0.35">
      <c r="N3613" s="20"/>
      <c r="P3613" s="8"/>
      <c r="Q3613" s="8"/>
      <c r="R3613" s="8"/>
      <c r="S3613" s="8"/>
      <c r="U3613" s="6"/>
      <c r="V3613" s="6"/>
      <c r="W3613" s="6"/>
      <c r="X3613" s="6"/>
      <c r="Y3613" s="6"/>
      <c r="Z3613" s="6"/>
    </row>
    <row r="3614" spans="14:26" ht="31.4" customHeight="1" x14ac:dyDescent="0.35">
      <c r="N3614" s="20"/>
      <c r="P3614" s="8"/>
      <c r="Q3614" s="8"/>
      <c r="R3614" s="8"/>
      <c r="S3614" s="8"/>
      <c r="U3614" s="6"/>
      <c r="V3614" s="6"/>
      <c r="W3614" s="6"/>
      <c r="X3614" s="6"/>
      <c r="Y3614" s="6"/>
      <c r="Z3614" s="6"/>
    </row>
    <row r="3615" spans="14:26" ht="31.4" customHeight="1" x14ac:dyDescent="0.35">
      <c r="N3615" s="20"/>
      <c r="P3615" s="8"/>
      <c r="Q3615" s="8"/>
      <c r="R3615" s="8"/>
      <c r="S3615" s="8"/>
      <c r="U3615" s="6"/>
      <c r="V3615" s="6"/>
      <c r="W3615" s="6"/>
      <c r="X3615" s="6"/>
      <c r="Y3615" s="6"/>
      <c r="Z3615" s="6"/>
    </row>
    <row r="3616" spans="14:26" ht="31.4" customHeight="1" x14ac:dyDescent="0.35">
      <c r="N3616" s="20"/>
      <c r="P3616" s="8"/>
      <c r="Q3616" s="8"/>
      <c r="R3616" s="8"/>
      <c r="S3616" s="8"/>
      <c r="U3616" s="6"/>
      <c r="V3616" s="6"/>
      <c r="W3616" s="6"/>
      <c r="X3616" s="6"/>
      <c r="Y3616" s="6"/>
      <c r="Z3616" s="6"/>
    </row>
    <row r="3617" spans="14:26" ht="31.4" customHeight="1" x14ac:dyDescent="0.35">
      <c r="N3617" s="20"/>
      <c r="P3617" s="8"/>
      <c r="Q3617" s="8"/>
      <c r="R3617" s="8"/>
      <c r="S3617" s="8"/>
      <c r="U3617" s="6"/>
      <c r="V3617" s="6"/>
      <c r="W3617" s="6"/>
      <c r="X3617" s="6"/>
      <c r="Y3617" s="6"/>
      <c r="Z3617" s="6"/>
    </row>
    <row r="3618" spans="14:26" ht="31.4" customHeight="1" x14ac:dyDescent="0.35">
      <c r="N3618" s="20"/>
      <c r="P3618" s="8"/>
      <c r="Q3618" s="8"/>
      <c r="R3618" s="8"/>
      <c r="S3618" s="8"/>
      <c r="U3618" s="6"/>
      <c r="V3618" s="6"/>
      <c r="W3618" s="6"/>
      <c r="X3618" s="6"/>
      <c r="Y3618" s="6"/>
      <c r="Z3618" s="6"/>
    </row>
    <row r="3619" spans="14:26" ht="31.4" customHeight="1" x14ac:dyDescent="0.35">
      <c r="N3619" s="20"/>
      <c r="P3619" s="8"/>
      <c r="Q3619" s="8"/>
      <c r="R3619" s="8"/>
      <c r="S3619" s="8"/>
      <c r="U3619" s="6"/>
      <c r="V3619" s="6"/>
      <c r="W3619" s="6"/>
      <c r="X3619" s="6"/>
      <c r="Y3619" s="6"/>
      <c r="Z3619" s="6"/>
    </row>
    <row r="3620" spans="14:26" ht="31.4" customHeight="1" x14ac:dyDescent="0.35">
      <c r="N3620" s="20"/>
      <c r="P3620" s="8"/>
      <c r="Q3620" s="8"/>
      <c r="R3620" s="8"/>
      <c r="S3620" s="8"/>
      <c r="U3620" s="6"/>
      <c r="V3620" s="6"/>
      <c r="W3620" s="6"/>
      <c r="X3620" s="6"/>
      <c r="Y3620" s="6"/>
      <c r="Z3620" s="6"/>
    </row>
    <row r="3621" spans="14:26" ht="31.4" customHeight="1" x14ac:dyDescent="0.35">
      <c r="N3621" s="20"/>
      <c r="P3621" s="8"/>
      <c r="Q3621" s="8"/>
      <c r="R3621" s="8"/>
      <c r="S3621" s="8"/>
      <c r="U3621" s="6"/>
      <c r="V3621" s="6"/>
      <c r="W3621" s="6"/>
      <c r="X3621" s="6"/>
      <c r="Y3621" s="6"/>
      <c r="Z3621" s="6"/>
    </row>
    <row r="3622" spans="14:26" ht="31.4" customHeight="1" x14ac:dyDescent="0.35">
      <c r="N3622" s="20"/>
      <c r="P3622" s="8"/>
      <c r="Q3622" s="8"/>
      <c r="R3622" s="8"/>
      <c r="S3622" s="8"/>
      <c r="U3622" s="6"/>
      <c r="V3622" s="6"/>
      <c r="W3622" s="6"/>
      <c r="X3622" s="6"/>
      <c r="Y3622" s="6"/>
      <c r="Z3622" s="6"/>
    </row>
    <row r="3623" spans="14:26" ht="31.4" customHeight="1" x14ac:dyDescent="0.35">
      <c r="N3623" s="20"/>
      <c r="P3623" s="8"/>
      <c r="Q3623" s="8"/>
      <c r="R3623" s="8"/>
      <c r="S3623" s="8"/>
      <c r="U3623" s="6"/>
      <c r="V3623" s="6"/>
      <c r="W3623" s="6"/>
      <c r="X3623" s="6"/>
      <c r="Y3623" s="6"/>
      <c r="Z3623" s="6"/>
    </row>
    <row r="3624" spans="14:26" ht="31.4" customHeight="1" x14ac:dyDescent="0.35">
      <c r="N3624" s="20"/>
      <c r="P3624" s="8"/>
      <c r="Q3624" s="8"/>
      <c r="R3624" s="8"/>
      <c r="S3624" s="8"/>
      <c r="U3624" s="6"/>
      <c r="V3624" s="6"/>
      <c r="W3624" s="6"/>
      <c r="X3624" s="6"/>
      <c r="Y3624" s="6"/>
      <c r="Z3624" s="6"/>
    </row>
    <row r="3625" spans="14:26" ht="31.4" customHeight="1" x14ac:dyDescent="0.35">
      <c r="N3625" s="20"/>
      <c r="P3625" s="8"/>
      <c r="Q3625" s="8"/>
      <c r="R3625" s="8"/>
      <c r="S3625" s="8"/>
      <c r="U3625" s="6"/>
      <c r="V3625" s="6"/>
      <c r="W3625" s="6"/>
      <c r="X3625" s="6"/>
      <c r="Y3625" s="6"/>
      <c r="Z3625" s="6"/>
    </row>
    <row r="3626" spans="14:26" ht="31.4" customHeight="1" x14ac:dyDescent="0.35">
      <c r="N3626" s="20"/>
      <c r="P3626" s="8"/>
      <c r="Q3626" s="8"/>
      <c r="R3626" s="8"/>
      <c r="S3626" s="8"/>
      <c r="U3626" s="6"/>
      <c r="V3626" s="6"/>
      <c r="W3626" s="6"/>
      <c r="X3626" s="6"/>
      <c r="Y3626" s="6"/>
      <c r="Z3626" s="6"/>
    </row>
    <row r="3627" spans="14:26" ht="31.4" customHeight="1" x14ac:dyDescent="0.35">
      <c r="N3627" s="20"/>
      <c r="P3627" s="8"/>
      <c r="Q3627" s="8"/>
      <c r="R3627" s="8"/>
      <c r="S3627" s="8"/>
      <c r="U3627" s="6"/>
      <c r="V3627" s="6"/>
      <c r="W3627" s="6"/>
      <c r="X3627" s="6"/>
      <c r="Y3627" s="6"/>
      <c r="Z3627" s="6"/>
    </row>
    <row r="3628" spans="14:26" ht="31.4" customHeight="1" x14ac:dyDescent="0.35">
      <c r="N3628" s="20"/>
      <c r="P3628" s="8"/>
      <c r="Q3628" s="8"/>
      <c r="R3628" s="8"/>
      <c r="S3628" s="8"/>
      <c r="U3628" s="6"/>
      <c r="V3628" s="6"/>
      <c r="W3628" s="6"/>
      <c r="X3628" s="6"/>
      <c r="Y3628" s="6"/>
      <c r="Z3628" s="6"/>
    </row>
    <row r="3629" spans="14:26" ht="31.4" customHeight="1" x14ac:dyDescent="0.35">
      <c r="N3629" s="20"/>
      <c r="P3629" s="8"/>
      <c r="Q3629" s="8"/>
      <c r="R3629" s="8"/>
      <c r="S3629" s="8"/>
      <c r="U3629" s="6"/>
      <c r="V3629" s="6"/>
      <c r="W3629" s="6"/>
      <c r="X3629" s="6"/>
      <c r="Y3629" s="6"/>
      <c r="Z3629" s="6"/>
    </row>
    <row r="3630" spans="14:26" ht="31.4" customHeight="1" x14ac:dyDescent="0.35">
      <c r="N3630" s="20"/>
      <c r="P3630" s="8"/>
      <c r="Q3630" s="8"/>
      <c r="R3630" s="8"/>
      <c r="S3630" s="8"/>
      <c r="U3630" s="6"/>
      <c r="V3630" s="6"/>
      <c r="W3630" s="6"/>
      <c r="X3630" s="6"/>
      <c r="Y3630" s="6"/>
      <c r="Z3630" s="6"/>
    </row>
    <row r="3631" spans="14:26" ht="31.4" customHeight="1" x14ac:dyDescent="0.35">
      <c r="N3631" s="20"/>
      <c r="P3631" s="8"/>
      <c r="Q3631" s="8"/>
      <c r="R3631" s="8"/>
      <c r="S3631" s="8"/>
      <c r="U3631" s="6"/>
      <c r="V3631" s="6"/>
      <c r="W3631" s="6"/>
      <c r="X3631" s="6"/>
      <c r="Y3631" s="6"/>
      <c r="Z3631" s="6"/>
    </row>
    <row r="3632" spans="14:26" ht="31.4" customHeight="1" x14ac:dyDescent="0.35">
      <c r="N3632" s="20"/>
      <c r="P3632" s="8"/>
      <c r="Q3632" s="8"/>
      <c r="R3632" s="8"/>
      <c r="S3632" s="8"/>
      <c r="U3632" s="6"/>
      <c r="V3632" s="6"/>
      <c r="W3632" s="6"/>
      <c r="X3632" s="6"/>
      <c r="Y3632" s="6"/>
      <c r="Z3632" s="6"/>
    </row>
    <row r="3633" spans="14:26" ht="31.4" customHeight="1" x14ac:dyDescent="0.35">
      <c r="N3633" s="20"/>
      <c r="P3633" s="8"/>
      <c r="Q3633" s="8"/>
      <c r="R3633" s="8"/>
      <c r="S3633" s="8"/>
      <c r="U3633" s="6"/>
      <c r="V3633" s="6"/>
      <c r="W3633" s="6"/>
      <c r="X3633" s="6"/>
      <c r="Y3633" s="6"/>
      <c r="Z3633" s="6"/>
    </row>
    <row r="3634" spans="14:26" ht="31.4" customHeight="1" x14ac:dyDescent="0.35">
      <c r="N3634" s="20"/>
      <c r="P3634" s="8"/>
      <c r="Q3634" s="8"/>
      <c r="R3634" s="8"/>
      <c r="S3634" s="8"/>
      <c r="U3634" s="6"/>
      <c r="V3634" s="6"/>
      <c r="W3634" s="6"/>
      <c r="X3634" s="6"/>
      <c r="Y3634" s="6"/>
      <c r="Z3634" s="6"/>
    </row>
    <row r="3635" spans="14:26" ht="31.4" customHeight="1" x14ac:dyDescent="0.35">
      <c r="N3635" s="20"/>
      <c r="P3635" s="8"/>
      <c r="Q3635" s="8"/>
      <c r="R3635" s="8"/>
      <c r="S3635" s="8"/>
      <c r="U3635" s="6"/>
      <c r="V3635" s="6"/>
      <c r="W3635" s="6"/>
      <c r="X3635" s="6"/>
      <c r="Y3635" s="6"/>
      <c r="Z3635" s="6"/>
    </row>
    <row r="3636" spans="14:26" ht="31.4" customHeight="1" x14ac:dyDescent="0.35">
      <c r="N3636" s="20"/>
      <c r="P3636" s="8"/>
      <c r="Q3636" s="8"/>
      <c r="R3636" s="8"/>
      <c r="S3636" s="8"/>
      <c r="U3636" s="6"/>
      <c r="V3636" s="6"/>
      <c r="W3636" s="6"/>
      <c r="X3636" s="6"/>
      <c r="Y3636" s="6"/>
      <c r="Z3636" s="6"/>
    </row>
    <row r="3637" spans="14:26" ht="31.4" customHeight="1" x14ac:dyDescent="0.35">
      <c r="N3637" s="20"/>
      <c r="P3637" s="8"/>
      <c r="Q3637" s="8"/>
      <c r="R3637" s="8"/>
      <c r="S3637" s="8"/>
      <c r="U3637" s="6"/>
      <c r="V3637" s="6"/>
      <c r="W3637" s="6"/>
      <c r="X3637" s="6"/>
      <c r="Y3637" s="6"/>
      <c r="Z3637" s="6"/>
    </row>
    <row r="3638" spans="14:26" ht="31.4" customHeight="1" x14ac:dyDescent="0.35">
      <c r="N3638" s="20"/>
      <c r="P3638" s="8"/>
      <c r="Q3638" s="8"/>
      <c r="R3638" s="8"/>
      <c r="S3638" s="8"/>
      <c r="U3638" s="6"/>
      <c r="V3638" s="6"/>
      <c r="W3638" s="6"/>
      <c r="X3638" s="6"/>
      <c r="Y3638" s="6"/>
      <c r="Z3638" s="6"/>
    </row>
    <row r="3639" spans="14:26" ht="31.4" customHeight="1" x14ac:dyDescent="0.35">
      <c r="N3639" s="20"/>
      <c r="P3639" s="8"/>
      <c r="Q3639" s="8"/>
      <c r="R3639" s="8"/>
      <c r="S3639" s="8"/>
      <c r="U3639" s="6"/>
      <c r="V3639" s="6"/>
      <c r="W3639" s="6"/>
      <c r="X3639" s="6"/>
      <c r="Y3639" s="6"/>
      <c r="Z3639" s="6"/>
    </row>
    <row r="3640" spans="14:26" ht="31.4" customHeight="1" x14ac:dyDescent="0.35">
      <c r="N3640" s="20"/>
      <c r="P3640" s="8"/>
      <c r="Q3640" s="8"/>
      <c r="R3640" s="8"/>
      <c r="S3640" s="8"/>
      <c r="U3640" s="6"/>
      <c r="V3640" s="6"/>
      <c r="W3640" s="6"/>
      <c r="X3640" s="6"/>
      <c r="Y3640" s="6"/>
      <c r="Z3640" s="6"/>
    </row>
    <row r="3641" spans="14:26" ht="31.4" customHeight="1" x14ac:dyDescent="0.35">
      <c r="N3641" s="20"/>
      <c r="P3641" s="8"/>
      <c r="Q3641" s="8"/>
      <c r="R3641" s="8"/>
      <c r="S3641" s="8"/>
      <c r="U3641" s="6"/>
      <c r="V3641" s="6"/>
      <c r="W3641" s="6"/>
      <c r="X3641" s="6"/>
      <c r="Y3641" s="6"/>
      <c r="Z3641" s="6"/>
    </row>
    <row r="3642" spans="14:26" ht="31.4" customHeight="1" x14ac:dyDescent="0.35">
      <c r="N3642" s="20"/>
      <c r="P3642" s="8"/>
      <c r="Q3642" s="8"/>
      <c r="R3642" s="8"/>
      <c r="S3642" s="8"/>
      <c r="U3642" s="6"/>
      <c r="V3642" s="6"/>
      <c r="W3642" s="6"/>
      <c r="X3642" s="6"/>
      <c r="Y3642" s="6"/>
      <c r="Z3642" s="6"/>
    </row>
    <row r="3643" spans="14:26" ht="31.4" customHeight="1" x14ac:dyDescent="0.35">
      <c r="N3643" s="20"/>
      <c r="P3643" s="8"/>
      <c r="Q3643" s="8"/>
      <c r="R3643" s="8"/>
      <c r="S3643" s="8"/>
      <c r="U3643" s="6"/>
      <c r="V3643" s="6"/>
      <c r="W3643" s="6"/>
      <c r="X3643" s="6"/>
      <c r="Y3643" s="6"/>
      <c r="Z3643" s="6"/>
    </row>
    <row r="3644" spans="14:26" ht="31.4" customHeight="1" x14ac:dyDescent="0.35">
      <c r="N3644" s="20"/>
      <c r="P3644" s="8"/>
      <c r="Q3644" s="8"/>
      <c r="R3644" s="8"/>
      <c r="S3644" s="8"/>
      <c r="U3644" s="6"/>
      <c r="V3644" s="6"/>
      <c r="W3644" s="6"/>
      <c r="X3644" s="6"/>
      <c r="Y3644" s="6"/>
      <c r="Z3644" s="6"/>
    </row>
    <row r="3645" spans="14:26" ht="31.4" customHeight="1" x14ac:dyDescent="0.35">
      <c r="N3645" s="20"/>
      <c r="P3645" s="8"/>
      <c r="Q3645" s="8"/>
      <c r="R3645" s="8"/>
      <c r="S3645" s="8"/>
      <c r="U3645" s="6"/>
      <c r="V3645" s="6"/>
      <c r="W3645" s="6"/>
      <c r="X3645" s="6"/>
      <c r="Y3645" s="6"/>
      <c r="Z3645" s="6"/>
    </row>
    <row r="3646" spans="14:26" ht="31.4" customHeight="1" x14ac:dyDescent="0.35">
      <c r="N3646" s="20"/>
      <c r="P3646" s="8"/>
      <c r="Q3646" s="8"/>
      <c r="R3646" s="8"/>
      <c r="S3646" s="8"/>
      <c r="U3646" s="6"/>
      <c r="V3646" s="6"/>
      <c r="W3646" s="6"/>
      <c r="X3646" s="6"/>
      <c r="Y3646" s="6"/>
      <c r="Z3646" s="6"/>
    </row>
    <row r="3647" spans="14:26" ht="31.4" customHeight="1" x14ac:dyDescent="0.35">
      <c r="N3647" s="20"/>
      <c r="P3647" s="8"/>
      <c r="Q3647" s="8"/>
      <c r="R3647" s="8"/>
      <c r="S3647" s="8"/>
      <c r="U3647" s="6"/>
      <c r="V3647" s="6"/>
      <c r="W3647" s="6"/>
      <c r="X3647" s="6"/>
      <c r="Y3647" s="6"/>
      <c r="Z3647" s="6"/>
    </row>
    <row r="3648" spans="14:26" ht="31.4" customHeight="1" x14ac:dyDescent="0.35">
      <c r="N3648" s="20"/>
      <c r="P3648" s="8"/>
      <c r="Q3648" s="8"/>
      <c r="R3648" s="8"/>
      <c r="S3648" s="8"/>
      <c r="U3648" s="6"/>
      <c r="V3648" s="6"/>
      <c r="W3648" s="6"/>
      <c r="X3648" s="6"/>
      <c r="Y3648" s="6"/>
      <c r="Z3648" s="6"/>
    </row>
    <row r="3649" spans="14:26" ht="31.4" customHeight="1" x14ac:dyDescent="0.35">
      <c r="N3649" s="20"/>
      <c r="P3649" s="8"/>
      <c r="Q3649" s="8"/>
      <c r="R3649" s="8"/>
      <c r="S3649" s="8"/>
      <c r="U3649" s="6"/>
      <c r="V3649" s="6"/>
      <c r="W3649" s="6"/>
      <c r="X3649" s="6"/>
      <c r="Y3649" s="6"/>
      <c r="Z3649" s="6"/>
    </row>
    <row r="3650" spans="14:26" ht="31.4" customHeight="1" x14ac:dyDescent="0.35">
      <c r="N3650" s="20"/>
      <c r="P3650" s="8"/>
      <c r="Q3650" s="8"/>
      <c r="R3650" s="8"/>
      <c r="S3650" s="8"/>
      <c r="U3650" s="6"/>
      <c r="V3650" s="6"/>
      <c r="W3650" s="6"/>
      <c r="X3650" s="6"/>
      <c r="Y3650" s="6"/>
      <c r="Z3650" s="6"/>
    </row>
    <row r="3651" spans="14:26" ht="31.4" customHeight="1" x14ac:dyDescent="0.35">
      <c r="N3651" s="20"/>
      <c r="P3651" s="8"/>
      <c r="Q3651" s="8"/>
      <c r="R3651" s="8"/>
      <c r="S3651" s="8"/>
      <c r="U3651" s="6"/>
      <c r="V3651" s="6"/>
      <c r="W3651" s="6"/>
      <c r="X3651" s="6"/>
      <c r="Y3651" s="6"/>
      <c r="Z3651" s="6"/>
    </row>
    <row r="3652" spans="14:26" ht="31.4" customHeight="1" x14ac:dyDescent="0.35">
      <c r="N3652" s="20"/>
      <c r="P3652" s="8"/>
      <c r="Q3652" s="8"/>
      <c r="R3652" s="8"/>
      <c r="S3652" s="8"/>
      <c r="U3652" s="6"/>
      <c r="V3652" s="6"/>
      <c r="W3652" s="6"/>
      <c r="X3652" s="6"/>
      <c r="Y3652" s="6"/>
      <c r="Z3652" s="6"/>
    </row>
    <row r="3653" spans="14:26" ht="31.4" customHeight="1" x14ac:dyDescent="0.35">
      <c r="N3653" s="20"/>
      <c r="P3653" s="8"/>
      <c r="Q3653" s="8"/>
      <c r="R3653" s="8"/>
      <c r="S3653" s="8"/>
      <c r="U3653" s="6"/>
      <c r="V3653" s="6"/>
      <c r="W3653" s="6"/>
      <c r="X3653" s="6"/>
      <c r="Y3653" s="6"/>
      <c r="Z3653" s="6"/>
    </row>
    <row r="3654" spans="14:26" ht="31.4" customHeight="1" x14ac:dyDescent="0.35">
      <c r="N3654" s="20"/>
      <c r="P3654" s="8"/>
      <c r="Q3654" s="8"/>
      <c r="R3654" s="8"/>
      <c r="S3654" s="8"/>
      <c r="U3654" s="6"/>
      <c r="V3654" s="6"/>
      <c r="W3654" s="6"/>
      <c r="X3654" s="6"/>
      <c r="Y3654" s="6"/>
      <c r="Z3654" s="6"/>
    </row>
    <row r="3655" spans="14:26" ht="31.4" customHeight="1" x14ac:dyDescent="0.35">
      <c r="N3655" s="20"/>
      <c r="P3655" s="8"/>
      <c r="Q3655" s="8"/>
      <c r="R3655" s="8"/>
      <c r="S3655" s="8"/>
      <c r="U3655" s="6"/>
      <c r="V3655" s="6"/>
      <c r="W3655" s="6"/>
      <c r="X3655" s="6"/>
      <c r="Y3655" s="6"/>
      <c r="Z3655" s="6"/>
    </row>
    <row r="3656" spans="14:26" ht="31.4" customHeight="1" x14ac:dyDescent="0.35">
      <c r="N3656" s="20"/>
      <c r="P3656" s="8"/>
      <c r="Q3656" s="8"/>
      <c r="R3656" s="8"/>
      <c r="S3656" s="8"/>
      <c r="U3656" s="6"/>
      <c r="V3656" s="6"/>
      <c r="W3656" s="6"/>
      <c r="X3656" s="6"/>
      <c r="Y3656" s="6"/>
      <c r="Z3656" s="6"/>
    </row>
    <row r="3657" spans="14:26" ht="31.4" customHeight="1" x14ac:dyDescent="0.35">
      <c r="N3657" s="20"/>
      <c r="P3657" s="8"/>
      <c r="Q3657" s="8"/>
      <c r="R3657" s="8"/>
      <c r="S3657" s="8"/>
      <c r="U3657" s="6"/>
      <c r="V3657" s="6"/>
      <c r="W3657" s="6"/>
      <c r="X3657" s="6"/>
      <c r="Y3657" s="6"/>
      <c r="Z3657" s="6"/>
    </row>
    <row r="3658" spans="14:26" ht="31.4" customHeight="1" x14ac:dyDescent="0.35">
      <c r="N3658" s="20"/>
      <c r="P3658" s="8"/>
      <c r="Q3658" s="8"/>
      <c r="R3658" s="8"/>
      <c r="S3658" s="8"/>
      <c r="U3658" s="6"/>
      <c r="V3658" s="6"/>
      <c r="W3658" s="6"/>
      <c r="X3658" s="6"/>
      <c r="Y3658" s="6"/>
      <c r="Z3658" s="6"/>
    </row>
    <row r="3659" spans="14:26" ht="31.4" customHeight="1" x14ac:dyDescent="0.35">
      <c r="N3659" s="20"/>
      <c r="P3659" s="8"/>
      <c r="Q3659" s="8"/>
      <c r="R3659" s="8"/>
      <c r="S3659" s="8"/>
      <c r="U3659" s="6"/>
      <c r="V3659" s="6"/>
      <c r="W3659" s="6"/>
      <c r="X3659" s="6"/>
      <c r="Y3659" s="6"/>
      <c r="Z3659" s="6"/>
    </row>
    <row r="3660" spans="14:26" ht="31.4" customHeight="1" x14ac:dyDescent="0.35">
      <c r="N3660" s="20"/>
      <c r="P3660" s="8"/>
      <c r="Q3660" s="8"/>
      <c r="R3660" s="8"/>
      <c r="S3660" s="8"/>
      <c r="U3660" s="6"/>
      <c r="V3660" s="6"/>
      <c r="W3660" s="6"/>
      <c r="X3660" s="6"/>
      <c r="Y3660" s="6"/>
      <c r="Z3660" s="6"/>
    </row>
    <row r="3661" spans="14:26" ht="31.4" customHeight="1" x14ac:dyDescent="0.35">
      <c r="N3661" s="20"/>
      <c r="P3661" s="8"/>
      <c r="Q3661" s="8"/>
      <c r="R3661" s="8"/>
      <c r="S3661" s="8"/>
      <c r="U3661" s="6"/>
      <c r="V3661" s="6"/>
      <c r="W3661" s="6"/>
      <c r="X3661" s="6"/>
      <c r="Y3661" s="6"/>
      <c r="Z3661" s="6"/>
    </row>
    <row r="3662" spans="14:26" ht="31.4" customHeight="1" x14ac:dyDescent="0.35">
      <c r="N3662" s="20"/>
      <c r="P3662" s="8"/>
      <c r="Q3662" s="8"/>
      <c r="R3662" s="8"/>
      <c r="S3662" s="8"/>
      <c r="U3662" s="6"/>
      <c r="V3662" s="6"/>
      <c r="W3662" s="6"/>
      <c r="X3662" s="6"/>
      <c r="Y3662" s="6"/>
      <c r="Z3662" s="6"/>
    </row>
    <row r="3663" spans="14:26" ht="31.4" customHeight="1" x14ac:dyDescent="0.35">
      <c r="N3663" s="20"/>
      <c r="P3663" s="8"/>
      <c r="Q3663" s="8"/>
      <c r="R3663" s="8"/>
      <c r="S3663" s="8"/>
      <c r="U3663" s="6"/>
      <c r="V3663" s="6"/>
      <c r="W3663" s="6"/>
      <c r="X3663" s="6"/>
      <c r="Y3663" s="6"/>
      <c r="Z3663" s="6"/>
    </row>
    <row r="3664" spans="14:26" ht="31.4" customHeight="1" x14ac:dyDescent="0.35">
      <c r="N3664" s="20"/>
      <c r="P3664" s="8"/>
      <c r="Q3664" s="8"/>
      <c r="R3664" s="8"/>
      <c r="S3664" s="8"/>
      <c r="U3664" s="6"/>
      <c r="V3664" s="6"/>
      <c r="W3664" s="6"/>
      <c r="X3664" s="6"/>
      <c r="Y3664" s="6"/>
      <c r="Z3664" s="6"/>
    </row>
    <row r="3665" spans="14:26" ht="31.4" customHeight="1" x14ac:dyDescent="0.35">
      <c r="N3665" s="20"/>
      <c r="P3665" s="8"/>
      <c r="Q3665" s="8"/>
      <c r="R3665" s="8"/>
      <c r="S3665" s="8"/>
      <c r="U3665" s="6"/>
      <c r="V3665" s="6"/>
      <c r="W3665" s="6"/>
      <c r="X3665" s="6"/>
      <c r="Y3665" s="6"/>
      <c r="Z3665" s="6"/>
    </row>
    <row r="3666" spans="14:26" ht="31.4" customHeight="1" x14ac:dyDescent="0.35">
      <c r="N3666" s="20"/>
      <c r="P3666" s="8"/>
      <c r="Q3666" s="8"/>
      <c r="R3666" s="8"/>
      <c r="S3666" s="8"/>
      <c r="U3666" s="6"/>
      <c r="V3666" s="6"/>
      <c r="W3666" s="6"/>
      <c r="X3666" s="6"/>
      <c r="Y3666" s="6"/>
      <c r="Z3666" s="6"/>
    </row>
    <row r="3667" spans="14:26" ht="31.4" customHeight="1" x14ac:dyDescent="0.35">
      <c r="N3667" s="20"/>
      <c r="P3667" s="8"/>
      <c r="Q3667" s="8"/>
      <c r="R3667" s="8"/>
      <c r="S3667" s="8"/>
      <c r="U3667" s="6"/>
      <c r="V3667" s="6"/>
      <c r="W3667" s="6"/>
      <c r="X3667" s="6"/>
      <c r="Y3667" s="6"/>
      <c r="Z3667" s="6"/>
    </row>
    <row r="3668" spans="14:26" ht="31.4" customHeight="1" x14ac:dyDescent="0.35">
      <c r="N3668" s="20"/>
      <c r="P3668" s="8"/>
      <c r="Q3668" s="8"/>
      <c r="R3668" s="8"/>
      <c r="S3668" s="8"/>
      <c r="U3668" s="6"/>
      <c r="V3668" s="6"/>
      <c r="W3668" s="6"/>
      <c r="X3668" s="6"/>
      <c r="Y3668" s="6"/>
      <c r="Z3668" s="6"/>
    </row>
    <row r="3669" spans="14:26" ht="31.4" customHeight="1" x14ac:dyDescent="0.35">
      <c r="N3669" s="20"/>
      <c r="P3669" s="8"/>
      <c r="Q3669" s="8"/>
      <c r="R3669" s="8"/>
      <c r="S3669" s="8"/>
      <c r="U3669" s="6"/>
      <c r="V3669" s="6"/>
      <c r="W3669" s="6"/>
      <c r="X3669" s="6"/>
      <c r="Y3669" s="6"/>
      <c r="Z3669" s="6"/>
    </row>
    <row r="3670" spans="14:26" ht="31.4" customHeight="1" x14ac:dyDescent="0.35">
      <c r="N3670" s="20"/>
      <c r="P3670" s="8"/>
      <c r="Q3670" s="8"/>
      <c r="R3670" s="8"/>
      <c r="S3670" s="8"/>
      <c r="U3670" s="6"/>
      <c r="V3670" s="6"/>
      <c r="W3670" s="6"/>
      <c r="X3670" s="6"/>
      <c r="Y3670" s="6"/>
      <c r="Z3670" s="6"/>
    </row>
    <row r="3671" spans="14:26" ht="31.4" customHeight="1" x14ac:dyDescent="0.35">
      <c r="N3671" s="20"/>
      <c r="P3671" s="8"/>
      <c r="Q3671" s="8"/>
      <c r="R3671" s="8"/>
      <c r="S3671" s="8"/>
      <c r="U3671" s="6"/>
      <c r="V3671" s="6"/>
      <c r="W3671" s="6"/>
      <c r="X3671" s="6"/>
      <c r="Y3671" s="6"/>
      <c r="Z3671" s="6"/>
    </row>
    <row r="3672" spans="14:26" ht="31.4" customHeight="1" x14ac:dyDescent="0.35">
      <c r="N3672" s="20"/>
      <c r="P3672" s="8"/>
      <c r="Q3672" s="8"/>
      <c r="R3672" s="8"/>
      <c r="S3672" s="8"/>
      <c r="U3672" s="6"/>
      <c r="V3672" s="6"/>
      <c r="W3672" s="6"/>
      <c r="X3672" s="6"/>
      <c r="Y3672" s="6"/>
      <c r="Z3672" s="6"/>
    </row>
    <row r="3673" spans="14:26" ht="31.4" customHeight="1" x14ac:dyDescent="0.35">
      <c r="N3673" s="20"/>
      <c r="P3673" s="8"/>
      <c r="Q3673" s="8"/>
      <c r="R3673" s="8"/>
      <c r="S3673" s="8"/>
      <c r="U3673" s="6"/>
      <c r="V3673" s="6"/>
      <c r="W3673" s="6"/>
      <c r="X3673" s="6"/>
      <c r="Y3673" s="6"/>
      <c r="Z3673" s="6"/>
    </row>
    <row r="3674" spans="14:26" ht="31.4" customHeight="1" x14ac:dyDescent="0.35">
      <c r="N3674" s="20"/>
      <c r="P3674" s="8"/>
      <c r="Q3674" s="8"/>
      <c r="R3674" s="8"/>
      <c r="S3674" s="8"/>
      <c r="U3674" s="6"/>
      <c r="V3674" s="6"/>
      <c r="W3674" s="6"/>
      <c r="X3674" s="6"/>
      <c r="Y3674" s="6"/>
      <c r="Z3674" s="6"/>
    </row>
    <row r="3675" spans="14:26" ht="31.4" customHeight="1" x14ac:dyDescent="0.35">
      <c r="N3675" s="20"/>
      <c r="P3675" s="8"/>
      <c r="Q3675" s="8"/>
      <c r="R3675" s="8"/>
      <c r="S3675" s="8"/>
      <c r="U3675" s="6"/>
      <c r="V3675" s="6"/>
      <c r="W3675" s="6"/>
      <c r="X3675" s="6"/>
      <c r="Y3675" s="6"/>
      <c r="Z3675" s="6"/>
    </row>
    <row r="3676" spans="14:26" ht="31.4" customHeight="1" x14ac:dyDescent="0.35">
      <c r="N3676" s="20"/>
      <c r="P3676" s="8"/>
      <c r="Q3676" s="8"/>
      <c r="R3676" s="8"/>
      <c r="S3676" s="8"/>
      <c r="U3676" s="6"/>
      <c r="V3676" s="6"/>
      <c r="W3676" s="6"/>
      <c r="X3676" s="6"/>
      <c r="Y3676" s="6"/>
      <c r="Z3676" s="6"/>
    </row>
    <row r="3677" spans="14:26" ht="31.4" customHeight="1" x14ac:dyDescent="0.35">
      <c r="N3677" s="20"/>
      <c r="P3677" s="8"/>
      <c r="Q3677" s="8"/>
      <c r="R3677" s="8"/>
      <c r="S3677" s="8"/>
      <c r="U3677" s="6"/>
      <c r="V3677" s="6"/>
      <c r="W3677" s="6"/>
      <c r="X3677" s="6"/>
      <c r="Y3677" s="6"/>
      <c r="Z3677" s="6"/>
    </row>
    <row r="3678" spans="14:26" ht="31.4" customHeight="1" x14ac:dyDescent="0.35">
      <c r="N3678" s="20"/>
      <c r="P3678" s="8"/>
      <c r="Q3678" s="8"/>
      <c r="R3678" s="8"/>
      <c r="S3678" s="8"/>
      <c r="U3678" s="6"/>
      <c r="V3678" s="6"/>
      <c r="W3678" s="6"/>
      <c r="X3678" s="6"/>
      <c r="Y3678" s="6"/>
      <c r="Z3678" s="6"/>
    </row>
    <row r="3679" spans="14:26" ht="31.4" customHeight="1" x14ac:dyDescent="0.35">
      <c r="N3679" s="20"/>
      <c r="P3679" s="8"/>
      <c r="Q3679" s="8"/>
      <c r="R3679" s="8"/>
      <c r="S3679" s="8"/>
      <c r="U3679" s="6"/>
      <c r="V3679" s="6"/>
      <c r="W3679" s="6"/>
      <c r="X3679" s="6"/>
      <c r="Y3679" s="6"/>
      <c r="Z3679" s="6"/>
    </row>
    <row r="3680" spans="14:26" ht="31.4" customHeight="1" x14ac:dyDescent="0.35">
      <c r="N3680" s="20"/>
      <c r="P3680" s="8"/>
      <c r="Q3680" s="8"/>
      <c r="R3680" s="8"/>
      <c r="S3680" s="8"/>
      <c r="U3680" s="6"/>
      <c r="V3680" s="6"/>
      <c r="W3680" s="6"/>
      <c r="X3680" s="6"/>
      <c r="Y3680" s="6"/>
      <c r="Z3680" s="6"/>
    </row>
    <row r="3681" spans="14:26" ht="31.4" customHeight="1" x14ac:dyDescent="0.35">
      <c r="N3681" s="20"/>
      <c r="P3681" s="8"/>
      <c r="Q3681" s="8"/>
      <c r="R3681" s="8"/>
      <c r="S3681" s="8"/>
      <c r="U3681" s="6"/>
      <c r="V3681" s="6"/>
      <c r="W3681" s="6"/>
      <c r="X3681" s="6"/>
      <c r="Y3681" s="6"/>
      <c r="Z3681" s="6"/>
    </row>
    <row r="3682" spans="14:26" ht="31.4" customHeight="1" x14ac:dyDescent="0.35">
      <c r="N3682" s="20"/>
      <c r="P3682" s="8"/>
      <c r="Q3682" s="8"/>
      <c r="R3682" s="8"/>
      <c r="S3682" s="8"/>
      <c r="U3682" s="6"/>
      <c r="V3682" s="6"/>
      <c r="W3682" s="6"/>
      <c r="X3682" s="6"/>
      <c r="Y3682" s="6"/>
      <c r="Z3682" s="6"/>
    </row>
    <row r="3683" spans="14:26" ht="31.4" customHeight="1" x14ac:dyDescent="0.35">
      <c r="N3683" s="20"/>
      <c r="P3683" s="8"/>
      <c r="Q3683" s="8"/>
      <c r="R3683" s="8"/>
      <c r="S3683" s="8"/>
      <c r="U3683" s="6"/>
      <c r="V3683" s="6"/>
      <c r="W3683" s="6"/>
      <c r="X3683" s="6"/>
      <c r="Y3683" s="6"/>
      <c r="Z3683" s="6"/>
    </row>
    <row r="3684" spans="14:26" ht="31.4" customHeight="1" x14ac:dyDescent="0.35">
      <c r="N3684" s="20"/>
      <c r="P3684" s="8"/>
      <c r="Q3684" s="8"/>
      <c r="R3684" s="8"/>
      <c r="S3684" s="8"/>
      <c r="U3684" s="6"/>
      <c r="V3684" s="6"/>
      <c r="W3684" s="6"/>
      <c r="X3684" s="6"/>
      <c r="Y3684" s="6"/>
      <c r="Z3684" s="6"/>
    </row>
    <row r="3685" spans="14:26" ht="31.4" customHeight="1" x14ac:dyDescent="0.35">
      <c r="N3685" s="20"/>
      <c r="P3685" s="8"/>
      <c r="Q3685" s="8"/>
      <c r="R3685" s="8"/>
      <c r="S3685" s="8"/>
      <c r="U3685" s="6"/>
      <c r="V3685" s="6"/>
      <c r="W3685" s="6"/>
      <c r="X3685" s="6"/>
      <c r="Y3685" s="6"/>
      <c r="Z3685" s="6"/>
    </row>
    <row r="3686" spans="14:26" ht="31.4" customHeight="1" x14ac:dyDescent="0.35">
      <c r="N3686" s="20"/>
      <c r="P3686" s="8"/>
      <c r="Q3686" s="8"/>
      <c r="R3686" s="8"/>
      <c r="S3686" s="8"/>
      <c r="U3686" s="6"/>
      <c r="V3686" s="6"/>
      <c r="W3686" s="6"/>
      <c r="X3686" s="6"/>
      <c r="Y3686" s="6"/>
      <c r="Z3686" s="6"/>
    </row>
    <row r="3687" spans="14:26" ht="31.4" customHeight="1" x14ac:dyDescent="0.35">
      <c r="N3687" s="20"/>
      <c r="P3687" s="8"/>
      <c r="Q3687" s="8"/>
      <c r="R3687" s="8"/>
      <c r="S3687" s="8"/>
      <c r="U3687" s="6"/>
      <c r="V3687" s="6"/>
      <c r="W3687" s="6"/>
      <c r="X3687" s="6"/>
      <c r="Y3687" s="6"/>
      <c r="Z3687" s="6"/>
    </row>
    <row r="3688" spans="14:26" ht="31.4" customHeight="1" x14ac:dyDescent="0.35">
      <c r="N3688" s="20"/>
      <c r="P3688" s="8"/>
      <c r="Q3688" s="8"/>
      <c r="R3688" s="8"/>
      <c r="S3688" s="8"/>
      <c r="U3688" s="6"/>
      <c r="V3688" s="6"/>
      <c r="W3688" s="6"/>
      <c r="X3688" s="6"/>
      <c r="Y3688" s="6"/>
      <c r="Z3688" s="6"/>
    </row>
    <row r="3689" spans="14:26" ht="31.4" customHeight="1" x14ac:dyDescent="0.35">
      <c r="N3689" s="20"/>
      <c r="P3689" s="8"/>
      <c r="Q3689" s="8"/>
      <c r="R3689" s="8"/>
      <c r="S3689" s="8"/>
      <c r="U3689" s="6"/>
      <c r="V3689" s="6"/>
      <c r="W3689" s="6"/>
      <c r="X3689" s="6"/>
      <c r="Y3689" s="6"/>
      <c r="Z3689" s="6"/>
    </row>
    <row r="3690" spans="14:26" ht="31.4" customHeight="1" x14ac:dyDescent="0.35">
      <c r="N3690" s="20"/>
      <c r="P3690" s="8"/>
      <c r="Q3690" s="8"/>
      <c r="R3690" s="8"/>
      <c r="S3690" s="8"/>
      <c r="U3690" s="6"/>
      <c r="V3690" s="6"/>
      <c r="W3690" s="6"/>
      <c r="X3690" s="6"/>
      <c r="Y3690" s="6"/>
      <c r="Z3690" s="6"/>
    </row>
    <row r="3691" spans="14:26" ht="31.4" customHeight="1" x14ac:dyDescent="0.35">
      <c r="N3691" s="20"/>
      <c r="P3691" s="8"/>
      <c r="Q3691" s="8"/>
      <c r="R3691" s="8"/>
      <c r="S3691" s="8"/>
      <c r="U3691" s="6"/>
      <c r="V3691" s="6"/>
      <c r="W3691" s="6"/>
      <c r="X3691" s="6"/>
      <c r="Y3691" s="6"/>
      <c r="Z3691" s="6"/>
    </row>
    <row r="3692" spans="14:26" ht="31.4" customHeight="1" x14ac:dyDescent="0.35">
      <c r="N3692" s="20"/>
      <c r="P3692" s="8"/>
      <c r="Q3692" s="8"/>
      <c r="R3692" s="8"/>
      <c r="S3692" s="8"/>
      <c r="U3692" s="6"/>
      <c r="V3692" s="6"/>
      <c r="W3692" s="6"/>
      <c r="X3692" s="6"/>
      <c r="Y3692" s="6"/>
      <c r="Z3692" s="6"/>
    </row>
    <row r="3693" spans="14:26" ht="31.4" customHeight="1" x14ac:dyDescent="0.35">
      <c r="N3693" s="20"/>
      <c r="P3693" s="8"/>
      <c r="Q3693" s="8"/>
      <c r="R3693" s="8"/>
      <c r="S3693" s="8"/>
      <c r="U3693" s="6"/>
      <c r="V3693" s="6"/>
      <c r="W3693" s="6"/>
      <c r="X3693" s="6"/>
      <c r="Y3693" s="6"/>
      <c r="Z3693" s="6"/>
    </row>
    <row r="3694" spans="14:26" ht="31.4" customHeight="1" x14ac:dyDescent="0.35">
      <c r="N3694" s="20"/>
      <c r="P3694" s="8"/>
      <c r="Q3694" s="8"/>
      <c r="R3694" s="8"/>
      <c r="S3694" s="8"/>
      <c r="U3694" s="6"/>
      <c r="V3694" s="6"/>
      <c r="W3694" s="6"/>
      <c r="X3694" s="6"/>
      <c r="Y3694" s="6"/>
      <c r="Z3694" s="6"/>
    </row>
    <row r="3695" spans="14:26" ht="31.4" customHeight="1" x14ac:dyDescent="0.35">
      <c r="N3695" s="20"/>
      <c r="P3695" s="8"/>
      <c r="Q3695" s="8"/>
      <c r="R3695" s="8"/>
      <c r="S3695" s="8"/>
      <c r="U3695" s="6"/>
      <c r="V3695" s="6"/>
      <c r="W3695" s="6"/>
      <c r="X3695" s="6"/>
      <c r="Y3695" s="6"/>
      <c r="Z3695" s="6"/>
    </row>
    <row r="3696" spans="14:26" ht="31.4" customHeight="1" x14ac:dyDescent="0.35">
      <c r="N3696" s="20"/>
      <c r="P3696" s="8"/>
      <c r="Q3696" s="8"/>
      <c r="R3696" s="8"/>
      <c r="S3696" s="8"/>
      <c r="U3696" s="6"/>
      <c r="V3696" s="6"/>
      <c r="W3696" s="6"/>
      <c r="X3696" s="6"/>
      <c r="Y3696" s="6"/>
      <c r="Z3696" s="6"/>
    </row>
    <row r="3697" spans="14:26" ht="31.4" customHeight="1" x14ac:dyDescent="0.35">
      <c r="N3697" s="20"/>
      <c r="P3697" s="8"/>
      <c r="Q3697" s="8"/>
      <c r="R3697" s="8"/>
      <c r="S3697" s="8"/>
      <c r="U3697" s="6"/>
      <c r="V3697" s="6"/>
      <c r="W3697" s="6"/>
      <c r="X3697" s="6"/>
      <c r="Y3697" s="6"/>
      <c r="Z3697" s="6"/>
    </row>
    <row r="3698" spans="14:26" ht="31.4" customHeight="1" x14ac:dyDescent="0.35">
      <c r="N3698" s="20"/>
      <c r="P3698" s="8"/>
      <c r="Q3698" s="8"/>
      <c r="R3698" s="8"/>
      <c r="S3698" s="8"/>
      <c r="U3698" s="6"/>
      <c r="V3698" s="6"/>
      <c r="W3698" s="6"/>
      <c r="X3698" s="6"/>
      <c r="Y3698" s="6"/>
      <c r="Z3698" s="6"/>
    </row>
    <row r="3699" spans="14:26" ht="31.4" customHeight="1" x14ac:dyDescent="0.35">
      <c r="N3699" s="20"/>
      <c r="P3699" s="8"/>
      <c r="Q3699" s="8"/>
      <c r="R3699" s="8"/>
      <c r="S3699" s="8"/>
      <c r="U3699" s="6"/>
      <c r="V3699" s="6"/>
      <c r="W3699" s="6"/>
      <c r="X3699" s="6"/>
      <c r="Y3699" s="6"/>
      <c r="Z3699" s="6"/>
    </row>
    <row r="3700" spans="14:26" ht="31.4" customHeight="1" x14ac:dyDescent="0.35">
      <c r="N3700" s="20"/>
      <c r="P3700" s="8"/>
      <c r="Q3700" s="8"/>
      <c r="R3700" s="8"/>
      <c r="S3700" s="8"/>
      <c r="U3700" s="6"/>
      <c r="V3700" s="6"/>
      <c r="W3700" s="6"/>
      <c r="X3700" s="6"/>
      <c r="Y3700" s="6"/>
      <c r="Z3700" s="6"/>
    </row>
    <row r="3701" spans="14:26" ht="31.4" customHeight="1" x14ac:dyDescent="0.35">
      <c r="N3701" s="20"/>
      <c r="P3701" s="8"/>
      <c r="Q3701" s="8"/>
      <c r="R3701" s="8"/>
      <c r="S3701" s="8"/>
      <c r="U3701" s="6"/>
      <c r="V3701" s="6"/>
      <c r="W3701" s="6"/>
      <c r="X3701" s="6"/>
      <c r="Y3701" s="6"/>
      <c r="Z3701" s="6"/>
    </row>
    <row r="3702" spans="14:26" ht="31.4" customHeight="1" x14ac:dyDescent="0.35">
      <c r="N3702" s="20"/>
      <c r="P3702" s="8"/>
      <c r="Q3702" s="8"/>
      <c r="R3702" s="8"/>
      <c r="S3702" s="8"/>
      <c r="U3702" s="6"/>
      <c r="V3702" s="6"/>
      <c r="W3702" s="6"/>
      <c r="X3702" s="6"/>
      <c r="Y3702" s="6"/>
      <c r="Z3702" s="6"/>
    </row>
    <row r="3703" spans="14:26" ht="31.4" customHeight="1" x14ac:dyDescent="0.35">
      <c r="N3703" s="20"/>
      <c r="P3703" s="8"/>
      <c r="Q3703" s="8"/>
      <c r="R3703" s="8"/>
      <c r="S3703" s="8"/>
      <c r="U3703" s="6"/>
      <c r="V3703" s="6"/>
      <c r="W3703" s="6"/>
      <c r="X3703" s="6"/>
      <c r="Y3703" s="6"/>
      <c r="Z3703" s="6"/>
    </row>
    <row r="3704" spans="14:26" ht="31.4" customHeight="1" x14ac:dyDescent="0.35">
      <c r="N3704" s="20"/>
      <c r="P3704" s="8"/>
      <c r="Q3704" s="8"/>
      <c r="R3704" s="8"/>
      <c r="S3704" s="8"/>
      <c r="U3704" s="6"/>
      <c r="V3704" s="6"/>
      <c r="W3704" s="6"/>
      <c r="X3704" s="6"/>
      <c r="Y3704" s="6"/>
      <c r="Z3704" s="6"/>
    </row>
    <row r="3705" spans="14:26" ht="31.4" customHeight="1" x14ac:dyDescent="0.35">
      <c r="N3705" s="20"/>
      <c r="P3705" s="8"/>
      <c r="Q3705" s="8"/>
      <c r="R3705" s="8"/>
      <c r="S3705" s="8"/>
      <c r="U3705" s="6"/>
      <c r="V3705" s="6"/>
      <c r="W3705" s="6"/>
      <c r="X3705" s="6"/>
      <c r="Y3705" s="6"/>
      <c r="Z3705" s="6"/>
    </row>
    <row r="3706" spans="14:26" ht="31.4" customHeight="1" x14ac:dyDescent="0.35">
      <c r="N3706" s="20"/>
      <c r="P3706" s="8"/>
      <c r="Q3706" s="8"/>
      <c r="R3706" s="8"/>
      <c r="S3706" s="8"/>
      <c r="U3706" s="6"/>
      <c r="V3706" s="6"/>
      <c r="W3706" s="6"/>
      <c r="X3706" s="6"/>
      <c r="Y3706" s="6"/>
      <c r="Z3706" s="6"/>
    </row>
    <row r="3707" spans="14:26" ht="31.4" customHeight="1" x14ac:dyDescent="0.35">
      <c r="N3707" s="20"/>
      <c r="P3707" s="8"/>
      <c r="Q3707" s="8"/>
      <c r="R3707" s="8"/>
      <c r="S3707" s="8"/>
      <c r="U3707" s="6"/>
      <c r="V3707" s="6"/>
      <c r="W3707" s="6"/>
      <c r="X3707" s="6"/>
      <c r="Y3707" s="6"/>
      <c r="Z3707" s="6"/>
    </row>
    <row r="3708" spans="14:26" ht="31.4" customHeight="1" x14ac:dyDescent="0.35">
      <c r="N3708" s="20"/>
      <c r="P3708" s="8"/>
      <c r="Q3708" s="8"/>
      <c r="R3708" s="8"/>
      <c r="S3708" s="8"/>
      <c r="U3708" s="6"/>
      <c r="V3708" s="6"/>
      <c r="W3708" s="6"/>
      <c r="X3708" s="6"/>
      <c r="Y3708" s="6"/>
      <c r="Z3708" s="6"/>
    </row>
    <row r="3709" spans="14:26" ht="31.4" customHeight="1" x14ac:dyDescent="0.35">
      <c r="N3709" s="20"/>
      <c r="P3709" s="8"/>
      <c r="Q3709" s="8"/>
      <c r="R3709" s="8"/>
      <c r="S3709" s="8"/>
      <c r="U3709" s="6"/>
      <c r="V3709" s="6"/>
      <c r="W3709" s="6"/>
      <c r="X3709" s="6"/>
      <c r="Y3709" s="6"/>
      <c r="Z3709" s="6"/>
    </row>
    <row r="3710" spans="14:26" ht="31.4" customHeight="1" x14ac:dyDescent="0.35">
      <c r="N3710" s="20"/>
      <c r="P3710" s="8"/>
      <c r="Q3710" s="8"/>
      <c r="R3710" s="8"/>
      <c r="S3710" s="8"/>
      <c r="U3710" s="6"/>
      <c r="V3710" s="6"/>
      <c r="W3710" s="6"/>
      <c r="X3710" s="6"/>
      <c r="Y3710" s="6"/>
      <c r="Z3710" s="6"/>
    </row>
    <row r="3711" spans="14:26" ht="31.4" customHeight="1" x14ac:dyDescent="0.35">
      <c r="N3711" s="20"/>
      <c r="P3711" s="8"/>
      <c r="Q3711" s="8"/>
      <c r="R3711" s="8"/>
      <c r="S3711" s="8"/>
      <c r="U3711" s="6"/>
      <c r="V3711" s="6"/>
      <c r="W3711" s="6"/>
      <c r="X3711" s="6"/>
      <c r="Y3711" s="6"/>
      <c r="Z3711" s="6"/>
    </row>
    <row r="3712" spans="14:26" ht="31.4" customHeight="1" x14ac:dyDescent="0.35">
      <c r="N3712" s="20"/>
      <c r="P3712" s="8"/>
      <c r="Q3712" s="8"/>
      <c r="R3712" s="8"/>
      <c r="S3712" s="8"/>
      <c r="U3712" s="6"/>
      <c r="V3712" s="6"/>
      <c r="W3712" s="6"/>
      <c r="X3712" s="6"/>
      <c r="Y3712" s="6"/>
      <c r="Z3712" s="6"/>
    </row>
    <row r="3713" spans="14:26" ht="31.4" customHeight="1" x14ac:dyDescent="0.35">
      <c r="N3713" s="20"/>
      <c r="P3713" s="8"/>
      <c r="Q3713" s="8"/>
      <c r="R3713" s="8"/>
      <c r="S3713" s="8"/>
      <c r="U3713" s="6"/>
      <c r="V3713" s="6"/>
      <c r="W3713" s="6"/>
      <c r="X3713" s="6"/>
      <c r="Y3713" s="6"/>
      <c r="Z3713" s="6"/>
    </row>
    <row r="3714" spans="14:26" ht="31.4" customHeight="1" x14ac:dyDescent="0.35">
      <c r="N3714" s="20"/>
      <c r="P3714" s="8"/>
      <c r="Q3714" s="8"/>
      <c r="R3714" s="8"/>
      <c r="S3714" s="8"/>
      <c r="U3714" s="6"/>
      <c r="V3714" s="6"/>
      <c r="W3714" s="6"/>
      <c r="X3714" s="6"/>
      <c r="Y3714" s="6"/>
      <c r="Z3714" s="6"/>
    </row>
    <row r="3715" spans="14:26" ht="31.4" customHeight="1" x14ac:dyDescent="0.35">
      <c r="N3715" s="20"/>
      <c r="P3715" s="8"/>
      <c r="Q3715" s="8"/>
      <c r="R3715" s="8"/>
      <c r="S3715" s="8"/>
      <c r="U3715" s="6"/>
      <c r="V3715" s="6"/>
      <c r="W3715" s="6"/>
      <c r="X3715" s="6"/>
      <c r="Y3715" s="6"/>
      <c r="Z3715" s="6"/>
    </row>
    <row r="3716" spans="14:26" ht="31.4" customHeight="1" x14ac:dyDescent="0.35">
      <c r="N3716" s="20"/>
      <c r="P3716" s="8"/>
      <c r="Q3716" s="8"/>
      <c r="R3716" s="8"/>
      <c r="S3716" s="8"/>
      <c r="U3716" s="6"/>
      <c r="V3716" s="6"/>
      <c r="W3716" s="6"/>
      <c r="X3716" s="6"/>
      <c r="Y3716" s="6"/>
      <c r="Z3716" s="6"/>
    </row>
    <row r="3717" spans="14:26" ht="31.4" customHeight="1" x14ac:dyDescent="0.35">
      <c r="N3717" s="20"/>
      <c r="P3717" s="8"/>
      <c r="Q3717" s="8"/>
      <c r="R3717" s="8"/>
      <c r="S3717" s="8"/>
      <c r="U3717" s="6"/>
      <c r="V3717" s="6"/>
      <c r="W3717" s="6"/>
      <c r="X3717" s="6"/>
      <c r="Y3717" s="6"/>
      <c r="Z3717" s="6"/>
    </row>
    <row r="3718" spans="14:26" ht="31.4" customHeight="1" x14ac:dyDescent="0.35">
      <c r="N3718" s="20"/>
      <c r="P3718" s="8"/>
      <c r="Q3718" s="8"/>
      <c r="R3718" s="8"/>
      <c r="S3718" s="8"/>
      <c r="U3718" s="6"/>
      <c r="V3718" s="6"/>
      <c r="W3718" s="6"/>
      <c r="X3718" s="6"/>
      <c r="Y3718" s="6"/>
      <c r="Z3718" s="6"/>
    </row>
    <row r="3719" spans="14:26" ht="31.4" customHeight="1" x14ac:dyDescent="0.35">
      <c r="N3719" s="20"/>
      <c r="P3719" s="8"/>
      <c r="Q3719" s="8"/>
      <c r="R3719" s="8"/>
      <c r="S3719" s="8"/>
      <c r="U3719" s="6"/>
      <c r="V3719" s="6"/>
      <c r="W3719" s="6"/>
      <c r="X3719" s="6"/>
      <c r="Y3719" s="6"/>
      <c r="Z3719" s="6"/>
    </row>
    <row r="3720" spans="14:26" ht="31.4" customHeight="1" x14ac:dyDescent="0.35">
      <c r="N3720" s="20"/>
      <c r="P3720" s="8"/>
      <c r="Q3720" s="8"/>
      <c r="R3720" s="8"/>
      <c r="S3720" s="8"/>
      <c r="U3720" s="6"/>
      <c r="V3720" s="6"/>
      <c r="W3720" s="6"/>
      <c r="X3720" s="6"/>
      <c r="Y3720" s="6"/>
      <c r="Z3720" s="6"/>
    </row>
    <row r="3721" spans="14:26" ht="31.4" customHeight="1" x14ac:dyDescent="0.35">
      <c r="N3721" s="20"/>
      <c r="P3721" s="8"/>
      <c r="Q3721" s="8"/>
      <c r="R3721" s="8"/>
      <c r="S3721" s="8"/>
      <c r="U3721" s="6"/>
      <c r="V3721" s="6"/>
      <c r="W3721" s="6"/>
      <c r="X3721" s="6"/>
      <c r="Y3721" s="6"/>
      <c r="Z3721" s="6"/>
    </row>
    <row r="3722" spans="14:26" ht="31.4" customHeight="1" x14ac:dyDescent="0.35">
      <c r="N3722" s="20"/>
      <c r="P3722" s="8"/>
      <c r="Q3722" s="8"/>
      <c r="R3722" s="8"/>
      <c r="S3722" s="8"/>
      <c r="U3722" s="6"/>
      <c r="V3722" s="6"/>
      <c r="W3722" s="6"/>
      <c r="X3722" s="6"/>
      <c r="Y3722" s="6"/>
      <c r="Z3722" s="6"/>
    </row>
    <row r="3723" spans="14:26" ht="31.4" customHeight="1" x14ac:dyDescent="0.35">
      <c r="N3723" s="20"/>
      <c r="P3723" s="8"/>
      <c r="Q3723" s="8"/>
      <c r="R3723" s="8"/>
      <c r="S3723" s="8"/>
      <c r="U3723" s="6"/>
      <c r="V3723" s="6"/>
      <c r="W3723" s="6"/>
      <c r="X3723" s="6"/>
      <c r="Y3723" s="6"/>
      <c r="Z3723" s="6"/>
    </row>
    <row r="3724" spans="14:26" ht="31.4" customHeight="1" x14ac:dyDescent="0.35">
      <c r="N3724" s="20"/>
      <c r="P3724" s="8"/>
      <c r="Q3724" s="8"/>
      <c r="R3724" s="8"/>
      <c r="S3724" s="8"/>
      <c r="U3724" s="6"/>
      <c r="V3724" s="6"/>
      <c r="W3724" s="6"/>
      <c r="X3724" s="6"/>
      <c r="Y3724" s="6"/>
      <c r="Z3724" s="6"/>
    </row>
    <row r="3725" spans="14:26" ht="31.4" customHeight="1" x14ac:dyDescent="0.35">
      <c r="N3725" s="20"/>
      <c r="P3725" s="8"/>
      <c r="Q3725" s="8"/>
      <c r="R3725" s="8"/>
      <c r="S3725" s="8"/>
      <c r="U3725" s="6"/>
      <c r="V3725" s="6"/>
      <c r="W3725" s="6"/>
      <c r="X3725" s="6"/>
      <c r="Y3725" s="6"/>
      <c r="Z3725" s="6"/>
    </row>
    <row r="3726" spans="14:26" ht="31.4" customHeight="1" x14ac:dyDescent="0.35">
      <c r="N3726" s="20"/>
      <c r="P3726" s="8"/>
      <c r="Q3726" s="8"/>
      <c r="R3726" s="8"/>
      <c r="S3726" s="8"/>
      <c r="U3726" s="6"/>
      <c r="V3726" s="6"/>
      <c r="W3726" s="6"/>
      <c r="X3726" s="6"/>
      <c r="Y3726" s="6"/>
      <c r="Z3726" s="6"/>
    </row>
    <row r="3727" spans="14:26" ht="31.4" customHeight="1" x14ac:dyDescent="0.35">
      <c r="N3727" s="20"/>
      <c r="P3727" s="8"/>
      <c r="Q3727" s="8"/>
      <c r="R3727" s="8"/>
      <c r="S3727" s="8"/>
      <c r="U3727" s="6"/>
      <c r="V3727" s="6"/>
      <c r="W3727" s="6"/>
      <c r="X3727" s="6"/>
      <c r="Y3727" s="6"/>
      <c r="Z3727" s="6"/>
    </row>
    <row r="3728" spans="14:26" ht="31.4" customHeight="1" x14ac:dyDescent="0.35">
      <c r="N3728" s="20"/>
      <c r="P3728" s="8"/>
      <c r="Q3728" s="8"/>
      <c r="R3728" s="8"/>
      <c r="S3728" s="8"/>
      <c r="U3728" s="6"/>
      <c r="V3728" s="6"/>
      <c r="W3728" s="6"/>
      <c r="X3728" s="6"/>
      <c r="Y3728" s="6"/>
      <c r="Z3728" s="6"/>
    </row>
    <row r="3729" spans="14:26" ht="31.4" customHeight="1" x14ac:dyDescent="0.35">
      <c r="N3729" s="20"/>
      <c r="P3729" s="8"/>
      <c r="Q3729" s="8"/>
      <c r="R3729" s="8"/>
      <c r="S3729" s="8"/>
      <c r="U3729" s="6"/>
      <c r="V3729" s="6"/>
      <c r="W3729" s="6"/>
      <c r="X3729" s="6"/>
      <c r="Y3729" s="6"/>
      <c r="Z3729" s="6"/>
    </row>
    <row r="3730" spans="14:26" ht="31.4" customHeight="1" x14ac:dyDescent="0.35">
      <c r="N3730" s="20"/>
      <c r="P3730" s="8"/>
      <c r="Q3730" s="8"/>
      <c r="R3730" s="8"/>
      <c r="S3730" s="8"/>
      <c r="U3730" s="6"/>
      <c r="V3730" s="6"/>
      <c r="W3730" s="6"/>
      <c r="X3730" s="6"/>
      <c r="Y3730" s="6"/>
      <c r="Z3730" s="6"/>
    </row>
    <row r="3731" spans="14:26" ht="31.4" customHeight="1" x14ac:dyDescent="0.35">
      <c r="N3731" s="20"/>
      <c r="P3731" s="8"/>
      <c r="Q3731" s="8"/>
      <c r="R3731" s="8"/>
      <c r="S3731" s="8"/>
      <c r="U3731" s="6"/>
      <c r="V3731" s="6"/>
      <c r="W3731" s="6"/>
      <c r="X3731" s="6"/>
      <c r="Y3731" s="6"/>
      <c r="Z3731" s="6"/>
    </row>
    <row r="3732" spans="14:26" ht="31.4" customHeight="1" x14ac:dyDescent="0.35">
      <c r="N3732" s="20"/>
      <c r="P3732" s="8"/>
      <c r="Q3732" s="8"/>
      <c r="R3732" s="8"/>
      <c r="S3732" s="8"/>
      <c r="U3732" s="6"/>
      <c r="V3732" s="6"/>
      <c r="W3732" s="6"/>
      <c r="X3732" s="6"/>
      <c r="Y3732" s="6"/>
      <c r="Z3732" s="6"/>
    </row>
    <row r="3733" spans="14:26" ht="31.4" customHeight="1" x14ac:dyDescent="0.35">
      <c r="N3733" s="20"/>
      <c r="P3733" s="8"/>
      <c r="Q3733" s="8"/>
      <c r="R3733" s="8"/>
      <c r="S3733" s="8"/>
      <c r="U3733" s="6"/>
      <c r="V3733" s="6"/>
      <c r="W3733" s="6"/>
      <c r="X3733" s="6"/>
      <c r="Y3733" s="6"/>
      <c r="Z3733" s="6"/>
    </row>
    <row r="3734" spans="14:26" ht="31.4" customHeight="1" x14ac:dyDescent="0.35">
      <c r="N3734" s="20"/>
      <c r="P3734" s="8"/>
      <c r="Q3734" s="8"/>
      <c r="R3734" s="8"/>
      <c r="S3734" s="8"/>
      <c r="U3734" s="6"/>
      <c r="V3734" s="6"/>
      <c r="W3734" s="6"/>
      <c r="X3734" s="6"/>
      <c r="Y3734" s="6"/>
      <c r="Z3734" s="6"/>
    </row>
    <row r="3735" spans="14:26" ht="31.4" customHeight="1" x14ac:dyDescent="0.35">
      <c r="N3735" s="20"/>
      <c r="P3735" s="8"/>
      <c r="Q3735" s="8"/>
      <c r="R3735" s="8"/>
      <c r="S3735" s="8"/>
      <c r="U3735" s="6"/>
      <c r="V3735" s="6"/>
      <c r="W3735" s="6"/>
      <c r="X3735" s="6"/>
      <c r="Y3735" s="6"/>
      <c r="Z3735" s="6"/>
    </row>
    <row r="3736" spans="14:26" ht="31.4" customHeight="1" x14ac:dyDescent="0.35">
      <c r="N3736" s="20"/>
      <c r="P3736" s="8"/>
      <c r="Q3736" s="8"/>
      <c r="R3736" s="8"/>
      <c r="S3736" s="8"/>
      <c r="U3736" s="6"/>
      <c r="V3736" s="6"/>
      <c r="W3736" s="6"/>
      <c r="X3736" s="6"/>
      <c r="Y3736" s="6"/>
      <c r="Z3736" s="6"/>
    </row>
    <row r="3737" spans="14:26" ht="31.4" customHeight="1" x14ac:dyDescent="0.35">
      <c r="N3737" s="20"/>
      <c r="P3737" s="8"/>
      <c r="Q3737" s="8"/>
      <c r="R3737" s="8"/>
      <c r="S3737" s="8"/>
      <c r="U3737" s="6"/>
      <c r="V3737" s="6"/>
      <c r="W3737" s="6"/>
      <c r="X3737" s="6"/>
      <c r="Y3737" s="6"/>
      <c r="Z3737" s="6"/>
    </row>
    <row r="3738" spans="14:26" ht="31.4" customHeight="1" x14ac:dyDescent="0.35">
      <c r="N3738" s="20"/>
      <c r="P3738" s="8"/>
      <c r="Q3738" s="8"/>
      <c r="R3738" s="8"/>
      <c r="S3738" s="8"/>
      <c r="U3738" s="6"/>
      <c r="V3738" s="6"/>
      <c r="W3738" s="6"/>
      <c r="X3738" s="6"/>
      <c r="Y3738" s="6"/>
      <c r="Z3738" s="6"/>
    </row>
    <row r="3739" spans="14:26" ht="31.4" customHeight="1" x14ac:dyDescent="0.35">
      <c r="N3739" s="20"/>
      <c r="P3739" s="8"/>
      <c r="Q3739" s="8"/>
      <c r="R3739" s="8"/>
      <c r="S3739" s="8"/>
      <c r="U3739" s="6"/>
      <c r="V3739" s="6"/>
      <c r="W3739" s="6"/>
      <c r="X3739" s="6"/>
      <c r="Y3739" s="6"/>
      <c r="Z3739" s="6"/>
    </row>
    <row r="3740" spans="14:26" ht="31.4" customHeight="1" x14ac:dyDescent="0.35">
      <c r="N3740" s="20"/>
      <c r="P3740" s="8"/>
      <c r="Q3740" s="8"/>
      <c r="R3740" s="8"/>
      <c r="S3740" s="8"/>
      <c r="U3740" s="6"/>
      <c r="V3740" s="6"/>
      <c r="W3740" s="6"/>
      <c r="X3740" s="6"/>
      <c r="Y3740" s="6"/>
      <c r="Z3740" s="6"/>
    </row>
    <row r="3741" spans="14:26" ht="31.4" customHeight="1" x14ac:dyDescent="0.35">
      <c r="N3741" s="20"/>
      <c r="P3741" s="8"/>
      <c r="Q3741" s="8"/>
      <c r="R3741" s="8"/>
      <c r="S3741" s="8"/>
      <c r="U3741" s="6"/>
      <c r="V3741" s="6"/>
      <c r="W3741" s="6"/>
      <c r="X3741" s="6"/>
      <c r="Y3741" s="6"/>
      <c r="Z3741" s="6"/>
    </row>
    <row r="3742" spans="14:26" ht="31.4" customHeight="1" x14ac:dyDescent="0.35">
      <c r="N3742" s="20"/>
      <c r="P3742" s="8"/>
      <c r="Q3742" s="8"/>
      <c r="R3742" s="8"/>
      <c r="S3742" s="8"/>
      <c r="U3742" s="6"/>
      <c r="V3742" s="6"/>
      <c r="W3742" s="6"/>
      <c r="X3742" s="6"/>
      <c r="Y3742" s="6"/>
      <c r="Z3742" s="6"/>
    </row>
    <row r="3743" spans="14:26" ht="31.4" customHeight="1" x14ac:dyDescent="0.35">
      <c r="N3743" s="20"/>
      <c r="P3743" s="8"/>
      <c r="Q3743" s="8"/>
      <c r="R3743" s="8"/>
      <c r="S3743" s="8"/>
      <c r="U3743" s="6"/>
      <c r="V3743" s="6"/>
      <c r="W3743" s="6"/>
      <c r="X3743" s="6"/>
      <c r="Y3743" s="6"/>
      <c r="Z3743" s="6"/>
    </row>
    <row r="3744" spans="14:26" ht="31.4" customHeight="1" x14ac:dyDescent="0.35">
      <c r="N3744" s="20"/>
      <c r="P3744" s="8"/>
      <c r="Q3744" s="8"/>
      <c r="R3744" s="8"/>
      <c r="S3744" s="8"/>
      <c r="U3744" s="6"/>
      <c r="V3744" s="6"/>
      <c r="W3744" s="6"/>
      <c r="X3744" s="6"/>
      <c r="Y3744" s="6"/>
      <c r="Z3744" s="6"/>
    </row>
    <row r="3745" spans="14:26" ht="31.4" customHeight="1" x14ac:dyDescent="0.35">
      <c r="N3745" s="20"/>
      <c r="P3745" s="8"/>
      <c r="Q3745" s="8"/>
      <c r="R3745" s="8"/>
      <c r="S3745" s="8"/>
      <c r="U3745" s="6"/>
      <c r="V3745" s="6"/>
      <c r="W3745" s="6"/>
      <c r="X3745" s="6"/>
      <c r="Y3745" s="6"/>
      <c r="Z3745" s="6"/>
    </row>
    <row r="3746" spans="14:26" ht="31.4" customHeight="1" x14ac:dyDescent="0.35">
      <c r="N3746" s="20"/>
      <c r="P3746" s="8"/>
      <c r="Q3746" s="8"/>
      <c r="R3746" s="8"/>
      <c r="S3746" s="8"/>
      <c r="U3746" s="6"/>
      <c r="V3746" s="6"/>
      <c r="W3746" s="6"/>
      <c r="X3746" s="6"/>
      <c r="Y3746" s="6"/>
      <c r="Z3746" s="6"/>
    </row>
    <row r="3747" spans="14:26" ht="31.4" customHeight="1" x14ac:dyDescent="0.35">
      <c r="N3747" s="20"/>
      <c r="P3747" s="8"/>
      <c r="Q3747" s="8"/>
      <c r="R3747" s="8"/>
      <c r="S3747" s="8"/>
      <c r="U3747" s="6"/>
      <c r="V3747" s="6"/>
      <c r="W3747" s="6"/>
      <c r="X3747" s="6"/>
      <c r="Y3747" s="6"/>
      <c r="Z3747" s="6"/>
    </row>
    <row r="3748" spans="14:26" ht="31.4" customHeight="1" x14ac:dyDescent="0.35">
      <c r="N3748" s="20"/>
      <c r="P3748" s="8"/>
      <c r="Q3748" s="8"/>
      <c r="R3748" s="8"/>
      <c r="S3748" s="8"/>
      <c r="U3748" s="6"/>
      <c r="V3748" s="6"/>
      <c r="W3748" s="6"/>
      <c r="X3748" s="6"/>
      <c r="Y3748" s="6"/>
      <c r="Z3748" s="6"/>
    </row>
    <row r="3749" spans="14:26" ht="31.4" customHeight="1" x14ac:dyDescent="0.35">
      <c r="N3749" s="20"/>
      <c r="P3749" s="8"/>
      <c r="Q3749" s="8"/>
      <c r="R3749" s="8"/>
      <c r="S3749" s="8"/>
      <c r="U3749" s="6"/>
      <c r="V3749" s="6"/>
      <c r="W3749" s="6"/>
      <c r="X3749" s="6"/>
      <c r="Y3749" s="6"/>
      <c r="Z3749" s="6"/>
    </row>
    <row r="3750" spans="14:26" ht="31.4" customHeight="1" x14ac:dyDescent="0.35">
      <c r="N3750" s="20"/>
      <c r="P3750" s="8"/>
      <c r="Q3750" s="8"/>
      <c r="R3750" s="8"/>
      <c r="S3750" s="8"/>
      <c r="U3750" s="6"/>
      <c r="V3750" s="6"/>
      <c r="W3750" s="6"/>
      <c r="X3750" s="6"/>
      <c r="Y3750" s="6"/>
      <c r="Z3750" s="6"/>
    </row>
    <row r="3751" spans="14:26" ht="31.4" customHeight="1" x14ac:dyDescent="0.35">
      <c r="N3751" s="20"/>
      <c r="P3751" s="8"/>
      <c r="Q3751" s="8"/>
      <c r="R3751" s="8"/>
      <c r="S3751" s="8"/>
      <c r="U3751" s="6"/>
      <c r="V3751" s="6"/>
      <c r="W3751" s="6"/>
      <c r="X3751" s="6"/>
      <c r="Y3751" s="6"/>
      <c r="Z3751" s="6"/>
    </row>
    <row r="3752" spans="14:26" ht="31.4" customHeight="1" x14ac:dyDescent="0.35">
      <c r="N3752" s="20"/>
      <c r="P3752" s="8"/>
      <c r="Q3752" s="8"/>
      <c r="R3752" s="8"/>
      <c r="S3752" s="8"/>
      <c r="U3752" s="6"/>
      <c r="V3752" s="6"/>
      <c r="W3752" s="6"/>
      <c r="X3752" s="6"/>
      <c r="Y3752" s="6"/>
      <c r="Z3752" s="6"/>
    </row>
    <row r="3753" spans="14:26" ht="31.4" customHeight="1" x14ac:dyDescent="0.35">
      <c r="N3753" s="20"/>
      <c r="P3753" s="8"/>
      <c r="Q3753" s="8"/>
      <c r="R3753" s="8"/>
      <c r="S3753" s="8"/>
      <c r="U3753" s="6"/>
      <c r="V3753" s="6"/>
      <c r="W3753" s="6"/>
      <c r="X3753" s="6"/>
      <c r="Y3753" s="6"/>
      <c r="Z3753" s="6"/>
    </row>
    <row r="3754" spans="14:26" ht="31.4" customHeight="1" x14ac:dyDescent="0.35">
      <c r="N3754" s="20"/>
      <c r="P3754" s="8"/>
      <c r="Q3754" s="8"/>
      <c r="R3754" s="8"/>
      <c r="S3754" s="8"/>
      <c r="U3754" s="6"/>
      <c r="V3754" s="6"/>
      <c r="W3754" s="6"/>
      <c r="X3754" s="6"/>
      <c r="Y3754" s="6"/>
      <c r="Z3754" s="6"/>
    </row>
    <row r="3755" spans="14:26" ht="31.4" customHeight="1" x14ac:dyDescent="0.35">
      <c r="N3755" s="20"/>
      <c r="P3755" s="8"/>
      <c r="Q3755" s="8"/>
      <c r="R3755" s="8"/>
      <c r="S3755" s="8"/>
      <c r="U3755" s="6"/>
      <c r="V3755" s="6"/>
      <c r="W3755" s="6"/>
      <c r="X3755" s="6"/>
      <c r="Y3755" s="6"/>
      <c r="Z3755" s="6"/>
    </row>
    <row r="3756" spans="14:26" ht="31.4" customHeight="1" x14ac:dyDescent="0.35">
      <c r="N3756" s="20"/>
      <c r="P3756" s="8"/>
      <c r="Q3756" s="8"/>
      <c r="R3756" s="8"/>
      <c r="S3756" s="8"/>
      <c r="U3756" s="6"/>
      <c r="V3756" s="6"/>
      <c r="W3756" s="6"/>
      <c r="X3756" s="6"/>
      <c r="Y3756" s="6"/>
      <c r="Z3756" s="6"/>
    </row>
    <row r="3757" spans="14:26" ht="31.4" customHeight="1" x14ac:dyDescent="0.35">
      <c r="N3757" s="20"/>
      <c r="P3757" s="8"/>
      <c r="Q3757" s="8"/>
      <c r="R3757" s="8"/>
      <c r="S3757" s="8"/>
      <c r="U3757" s="6"/>
      <c r="V3757" s="6"/>
      <c r="W3757" s="6"/>
      <c r="X3757" s="6"/>
      <c r="Y3757" s="6"/>
      <c r="Z3757" s="6"/>
    </row>
    <row r="3758" spans="14:26" ht="31.4" customHeight="1" x14ac:dyDescent="0.35">
      <c r="N3758" s="20"/>
      <c r="P3758" s="8"/>
      <c r="Q3758" s="8"/>
      <c r="R3758" s="8"/>
      <c r="S3758" s="8"/>
      <c r="U3758" s="6"/>
      <c r="V3758" s="6"/>
      <c r="W3758" s="6"/>
      <c r="X3758" s="6"/>
      <c r="Y3758" s="6"/>
      <c r="Z3758" s="6"/>
    </row>
    <row r="3759" spans="14:26" ht="31.4" customHeight="1" x14ac:dyDescent="0.35">
      <c r="N3759" s="20"/>
      <c r="P3759" s="8"/>
      <c r="Q3759" s="8"/>
      <c r="R3759" s="8"/>
      <c r="S3759" s="8"/>
      <c r="U3759" s="6"/>
      <c r="V3759" s="6"/>
      <c r="W3759" s="6"/>
      <c r="X3759" s="6"/>
      <c r="Y3759" s="6"/>
      <c r="Z3759" s="6"/>
    </row>
    <row r="3760" spans="14:26" ht="31.4" customHeight="1" x14ac:dyDescent="0.35">
      <c r="N3760" s="20"/>
      <c r="P3760" s="8"/>
      <c r="Q3760" s="8"/>
      <c r="R3760" s="8"/>
      <c r="S3760" s="8"/>
      <c r="U3760" s="6"/>
      <c r="V3760" s="6"/>
      <c r="W3760" s="6"/>
      <c r="X3760" s="6"/>
      <c r="Y3760" s="6"/>
      <c r="Z3760" s="6"/>
    </row>
    <row r="3761" spans="14:26" ht="31.4" customHeight="1" x14ac:dyDescent="0.35">
      <c r="N3761" s="20"/>
      <c r="P3761" s="8"/>
      <c r="Q3761" s="8"/>
      <c r="R3761" s="8"/>
      <c r="S3761" s="8"/>
      <c r="U3761" s="6"/>
      <c r="V3761" s="6"/>
      <c r="W3761" s="6"/>
      <c r="X3761" s="6"/>
      <c r="Y3761" s="6"/>
      <c r="Z3761" s="6"/>
    </row>
    <row r="3762" spans="14:26" ht="31.4" customHeight="1" x14ac:dyDescent="0.35">
      <c r="N3762" s="20"/>
      <c r="P3762" s="8"/>
      <c r="Q3762" s="8"/>
      <c r="R3762" s="8"/>
      <c r="S3762" s="8"/>
      <c r="U3762" s="6"/>
      <c r="V3762" s="6"/>
      <c r="W3762" s="6"/>
      <c r="X3762" s="6"/>
      <c r="Y3762" s="6"/>
      <c r="Z3762" s="6"/>
    </row>
    <row r="3763" spans="14:26" ht="31.4" customHeight="1" x14ac:dyDescent="0.35">
      <c r="N3763" s="20"/>
      <c r="P3763" s="8"/>
      <c r="Q3763" s="8"/>
      <c r="R3763" s="8"/>
      <c r="S3763" s="8"/>
      <c r="U3763" s="6"/>
      <c r="V3763" s="6"/>
      <c r="W3763" s="6"/>
      <c r="X3763" s="6"/>
      <c r="Y3763" s="6"/>
      <c r="Z3763" s="6"/>
    </row>
    <row r="3764" spans="14:26" ht="31.4" customHeight="1" x14ac:dyDescent="0.35">
      <c r="N3764" s="20"/>
      <c r="P3764" s="8"/>
      <c r="Q3764" s="8"/>
      <c r="R3764" s="8"/>
      <c r="S3764" s="8"/>
      <c r="U3764" s="6"/>
      <c r="V3764" s="6"/>
      <c r="W3764" s="6"/>
      <c r="X3764" s="6"/>
      <c r="Y3764" s="6"/>
      <c r="Z3764" s="6"/>
    </row>
    <row r="3765" spans="14:26" ht="31.4" customHeight="1" x14ac:dyDescent="0.35">
      <c r="N3765" s="20"/>
      <c r="P3765" s="8"/>
      <c r="Q3765" s="8"/>
      <c r="R3765" s="8"/>
      <c r="S3765" s="8"/>
      <c r="U3765" s="6"/>
      <c r="V3765" s="6"/>
      <c r="W3765" s="6"/>
      <c r="X3765" s="6"/>
      <c r="Y3765" s="6"/>
      <c r="Z3765" s="6"/>
    </row>
    <row r="3766" spans="14:26" ht="31.4" customHeight="1" x14ac:dyDescent="0.35">
      <c r="N3766" s="20"/>
      <c r="P3766" s="8"/>
      <c r="Q3766" s="8"/>
      <c r="R3766" s="8"/>
      <c r="S3766" s="8"/>
      <c r="U3766" s="6"/>
      <c r="V3766" s="6"/>
      <c r="W3766" s="6"/>
      <c r="X3766" s="6"/>
      <c r="Y3766" s="6"/>
      <c r="Z3766" s="6"/>
    </row>
    <row r="3767" spans="14:26" ht="31.4" customHeight="1" x14ac:dyDescent="0.35">
      <c r="N3767" s="20"/>
      <c r="P3767" s="8"/>
      <c r="Q3767" s="8"/>
      <c r="R3767" s="8"/>
      <c r="S3767" s="8"/>
      <c r="U3767" s="6"/>
      <c r="V3767" s="6"/>
      <c r="W3767" s="6"/>
      <c r="X3767" s="6"/>
      <c r="Y3767" s="6"/>
      <c r="Z3767" s="6"/>
    </row>
    <row r="3768" spans="14:26" ht="31.4" customHeight="1" x14ac:dyDescent="0.35">
      <c r="N3768" s="20"/>
      <c r="P3768" s="8"/>
      <c r="Q3768" s="8"/>
      <c r="R3768" s="8"/>
      <c r="S3768" s="8"/>
      <c r="U3768" s="6"/>
      <c r="V3768" s="6"/>
      <c r="W3768" s="6"/>
      <c r="X3768" s="6"/>
      <c r="Y3768" s="6"/>
      <c r="Z3768" s="6"/>
    </row>
    <row r="3769" spans="14:26" ht="31.4" customHeight="1" x14ac:dyDescent="0.35">
      <c r="N3769" s="20"/>
      <c r="P3769" s="8"/>
      <c r="Q3769" s="8"/>
      <c r="R3769" s="8"/>
      <c r="S3769" s="8"/>
      <c r="U3769" s="6"/>
      <c r="V3769" s="6"/>
      <c r="W3769" s="6"/>
      <c r="X3769" s="6"/>
      <c r="Y3769" s="6"/>
      <c r="Z3769" s="6"/>
    </row>
    <row r="3770" spans="14:26" ht="31.4" customHeight="1" x14ac:dyDescent="0.35">
      <c r="N3770" s="20"/>
      <c r="P3770" s="8"/>
      <c r="Q3770" s="8"/>
      <c r="R3770" s="8"/>
      <c r="S3770" s="8"/>
      <c r="U3770" s="6"/>
      <c r="V3770" s="6"/>
      <c r="W3770" s="6"/>
      <c r="X3770" s="6"/>
      <c r="Y3770" s="6"/>
      <c r="Z3770" s="6"/>
    </row>
    <row r="3771" spans="14:26" ht="31.4" customHeight="1" x14ac:dyDescent="0.35">
      <c r="N3771" s="20"/>
      <c r="P3771" s="8"/>
      <c r="Q3771" s="8"/>
      <c r="R3771" s="8"/>
      <c r="S3771" s="8"/>
      <c r="U3771" s="6"/>
      <c r="V3771" s="6"/>
      <c r="W3771" s="6"/>
      <c r="X3771" s="6"/>
      <c r="Y3771" s="6"/>
      <c r="Z3771" s="6"/>
    </row>
    <row r="3772" spans="14:26" ht="31.4" customHeight="1" x14ac:dyDescent="0.35">
      <c r="N3772" s="20"/>
      <c r="P3772" s="8"/>
      <c r="Q3772" s="8"/>
      <c r="R3772" s="8"/>
      <c r="S3772" s="8"/>
      <c r="U3772" s="6"/>
      <c r="V3772" s="6"/>
      <c r="W3772" s="6"/>
      <c r="X3772" s="6"/>
      <c r="Y3772" s="6"/>
      <c r="Z3772" s="6"/>
    </row>
    <row r="3773" spans="14:26" ht="31.4" customHeight="1" x14ac:dyDescent="0.35">
      <c r="N3773" s="20"/>
      <c r="P3773" s="8"/>
      <c r="Q3773" s="8"/>
      <c r="R3773" s="8"/>
      <c r="S3773" s="8"/>
      <c r="U3773" s="6"/>
      <c r="V3773" s="6"/>
      <c r="W3773" s="6"/>
      <c r="X3773" s="6"/>
      <c r="Y3773" s="6"/>
      <c r="Z3773" s="6"/>
    </row>
    <row r="3774" spans="14:26" ht="31.4" customHeight="1" x14ac:dyDescent="0.35">
      <c r="N3774" s="20"/>
      <c r="P3774" s="8"/>
      <c r="Q3774" s="8"/>
      <c r="R3774" s="8"/>
      <c r="S3774" s="8"/>
      <c r="U3774" s="6"/>
      <c r="V3774" s="6"/>
      <c r="W3774" s="6"/>
      <c r="X3774" s="6"/>
      <c r="Y3774" s="6"/>
      <c r="Z3774" s="6"/>
    </row>
    <row r="3775" spans="14:26" ht="31.4" customHeight="1" x14ac:dyDescent="0.35">
      <c r="N3775" s="20"/>
      <c r="P3775" s="8"/>
      <c r="Q3775" s="8"/>
      <c r="R3775" s="8"/>
      <c r="S3775" s="8"/>
      <c r="U3775" s="6"/>
      <c r="V3775" s="6"/>
      <c r="W3775" s="6"/>
      <c r="X3775" s="6"/>
      <c r="Y3775" s="6"/>
      <c r="Z3775" s="6"/>
    </row>
    <row r="3776" spans="14:26" ht="31.4" customHeight="1" x14ac:dyDescent="0.35">
      <c r="N3776" s="20"/>
      <c r="P3776" s="8"/>
      <c r="Q3776" s="8"/>
      <c r="R3776" s="8"/>
      <c r="S3776" s="8"/>
      <c r="U3776" s="6"/>
      <c r="V3776" s="6"/>
      <c r="W3776" s="6"/>
      <c r="X3776" s="6"/>
      <c r="Y3776" s="6"/>
      <c r="Z3776" s="6"/>
    </row>
    <row r="3777" spans="14:26" ht="31.4" customHeight="1" x14ac:dyDescent="0.35">
      <c r="N3777" s="20"/>
      <c r="P3777" s="8"/>
      <c r="Q3777" s="8"/>
      <c r="R3777" s="8"/>
      <c r="S3777" s="8"/>
      <c r="U3777" s="6"/>
      <c r="V3777" s="6"/>
      <c r="W3777" s="6"/>
      <c r="X3777" s="6"/>
      <c r="Y3777" s="6"/>
      <c r="Z3777" s="6"/>
    </row>
    <row r="3778" spans="14:26" ht="31.4" customHeight="1" x14ac:dyDescent="0.35">
      <c r="N3778" s="20"/>
      <c r="P3778" s="8"/>
      <c r="Q3778" s="8"/>
      <c r="R3778" s="8"/>
      <c r="S3778" s="8"/>
      <c r="U3778" s="6"/>
      <c r="V3778" s="6"/>
      <c r="W3778" s="6"/>
      <c r="X3778" s="6"/>
      <c r="Y3778" s="6"/>
      <c r="Z3778" s="6"/>
    </row>
    <row r="3779" spans="14:26" ht="31.4" customHeight="1" x14ac:dyDescent="0.35">
      <c r="N3779" s="20"/>
      <c r="P3779" s="8"/>
      <c r="Q3779" s="8"/>
      <c r="R3779" s="8"/>
      <c r="S3779" s="8"/>
      <c r="U3779" s="6"/>
      <c r="V3779" s="6"/>
      <c r="W3779" s="6"/>
      <c r="X3779" s="6"/>
      <c r="Y3779" s="6"/>
      <c r="Z3779" s="6"/>
    </row>
    <row r="3780" spans="14:26" ht="31.4" customHeight="1" x14ac:dyDescent="0.35">
      <c r="N3780" s="20"/>
      <c r="P3780" s="8"/>
      <c r="Q3780" s="8"/>
      <c r="R3780" s="8"/>
      <c r="S3780" s="8"/>
      <c r="U3780" s="6"/>
      <c r="V3780" s="6"/>
      <c r="W3780" s="6"/>
      <c r="X3780" s="6"/>
      <c r="Y3780" s="6"/>
      <c r="Z3780" s="6"/>
    </row>
    <row r="3781" spans="14:26" ht="31.4" customHeight="1" x14ac:dyDescent="0.35">
      <c r="N3781" s="20"/>
      <c r="P3781" s="8"/>
      <c r="Q3781" s="8"/>
      <c r="R3781" s="8"/>
      <c r="S3781" s="8"/>
      <c r="U3781" s="6"/>
      <c r="V3781" s="6"/>
      <c r="W3781" s="6"/>
      <c r="X3781" s="6"/>
      <c r="Y3781" s="6"/>
      <c r="Z3781" s="6"/>
    </row>
    <row r="3782" spans="14:26" ht="31.4" customHeight="1" x14ac:dyDescent="0.35">
      <c r="N3782" s="20"/>
      <c r="P3782" s="8"/>
      <c r="Q3782" s="8"/>
      <c r="R3782" s="8"/>
      <c r="S3782" s="8"/>
      <c r="U3782" s="6"/>
      <c r="V3782" s="6"/>
      <c r="W3782" s="6"/>
      <c r="X3782" s="6"/>
      <c r="Y3782" s="6"/>
      <c r="Z3782" s="6"/>
    </row>
    <row r="3783" spans="14:26" ht="31.4" customHeight="1" x14ac:dyDescent="0.35">
      <c r="N3783" s="20"/>
      <c r="P3783" s="8"/>
      <c r="Q3783" s="8"/>
      <c r="R3783" s="8"/>
      <c r="S3783" s="8"/>
      <c r="U3783" s="6"/>
      <c r="V3783" s="6"/>
      <c r="W3783" s="6"/>
      <c r="X3783" s="6"/>
      <c r="Y3783" s="6"/>
      <c r="Z3783" s="6"/>
    </row>
    <row r="3784" spans="14:26" ht="31.4" customHeight="1" x14ac:dyDescent="0.35">
      <c r="N3784" s="20"/>
      <c r="P3784" s="8"/>
      <c r="Q3784" s="8"/>
      <c r="R3784" s="8"/>
      <c r="S3784" s="8"/>
      <c r="U3784" s="6"/>
      <c r="V3784" s="6"/>
      <c r="W3784" s="6"/>
      <c r="X3784" s="6"/>
      <c r="Y3784" s="6"/>
      <c r="Z3784" s="6"/>
    </row>
    <row r="3785" spans="14:26" ht="31.4" customHeight="1" x14ac:dyDescent="0.35">
      <c r="N3785" s="20"/>
      <c r="P3785" s="8"/>
      <c r="Q3785" s="8"/>
      <c r="R3785" s="8"/>
      <c r="S3785" s="8"/>
      <c r="U3785" s="6"/>
      <c r="V3785" s="6"/>
      <c r="W3785" s="6"/>
      <c r="X3785" s="6"/>
      <c r="Y3785" s="6"/>
      <c r="Z3785" s="6"/>
    </row>
    <row r="3786" spans="14:26" ht="31.4" customHeight="1" x14ac:dyDescent="0.35">
      <c r="N3786" s="20"/>
      <c r="P3786" s="8"/>
      <c r="Q3786" s="8"/>
      <c r="R3786" s="8"/>
      <c r="S3786" s="8"/>
      <c r="U3786" s="6"/>
      <c r="V3786" s="6"/>
      <c r="W3786" s="6"/>
      <c r="X3786" s="6"/>
      <c r="Y3786" s="6"/>
      <c r="Z3786" s="6"/>
    </row>
    <row r="3787" spans="14:26" ht="31.4" customHeight="1" x14ac:dyDescent="0.35">
      <c r="N3787" s="20"/>
      <c r="P3787" s="8"/>
      <c r="Q3787" s="8"/>
      <c r="R3787" s="8"/>
      <c r="S3787" s="8"/>
      <c r="U3787" s="6"/>
      <c r="V3787" s="6"/>
      <c r="W3787" s="6"/>
      <c r="X3787" s="6"/>
      <c r="Y3787" s="6"/>
      <c r="Z3787" s="6"/>
    </row>
    <row r="3788" spans="14:26" ht="31.4" customHeight="1" x14ac:dyDescent="0.35">
      <c r="N3788" s="20"/>
      <c r="P3788" s="8"/>
      <c r="Q3788" s="8"/>
      <c r="R3788" s="8"/>
      <c r="S3788" s="8"/>
      <c r="U3788" s="6"/>
      <c r="V3788" s="6"/>
      <c r="W3788" s="6"/>
      <c r="X3788" s="6"/>
      <c r="Y3788" s="6"/>
      <c r="Z3788" s="6"/>
    </row>
    <row r="3789" spans="14:26" ht="31.4" customHeight="1" x14ac:dyDescent="0.35">
      <c r="N3789" s="20"/>
      <c r="P3789" s="8"/>
      <c r="Q3789" s="8"/>
      <c r="R3789" s="8"/>
      <c r="S3789" s="8"/>
      <c r="U3789" s="6"/>
      <c r="V3789" s="6"/>
      <c r="W3789" s="6"/>
      <c r="X3789" s="6"/>
      <c r="Y3789" s="6"/>
      <c r="Z3789" s="6"/>
    </row>
    <row r="3790" spans="14:26" ht="31.4" customHeight="1" x14ac:dyDescent="0.35">
      <c r="N3790" s="20"/>
      <c r="P3790" s="8"/>
      <c r="Q3790" s="8"/>
      <c r="R3790" s="8"/>
      <c r="S3790" s="8"/>
      <c r="U3790" s="6"/>
      <c r="V3790" s="6"/>
      <c r="W3790" s="6"/>
      <c r="X3790" s="6"/>
      <c r="Y3790" s="6"/>
      <c r="Z3790" s="6"/>
    </row>
    <row r="3791" spans="14:26" ht="31.4" customHeight="1" x14ac:dyDescent="0.35">
      <c r="N3791" s="20"/>
      <c r="P3791" s="8"/>
      <c r="Q3791" s="8"/>
      <c r="R3791" s="8"/>
      <c r="S3791" s="8"/>
      <c r="U3791" s="6"/>
      <c r="V3791" s="6"/>
      <c r="W3791" s="6"/>
      <c r="X3791" s="6"/>
      <c r="Y3791" s="6"/>
      <c r="Z3791" s="6"/>
    </row>
    <row r="3792" spans="14:26" ht="31.4" customHeight="1" x14ac:dyDescent="0.35">
      <c r="N3792" s="20"/>
      <c r="P3792" s="8"/>
      <c r="Q3792" s="8"/>
      <c r="R3792" s="8"/>
      <c r="S3792" s="8"/>
      <c r="U3792" s="6"/>
      <c r="V3792" s="6"/>
      <c r="W3792" s="6"/>
      <c r="X3792" s="6"/>
      <c r="Y3792" s="6"/>
      <c r="Z3792" s="6"/>
    </row>
    <row r="3793" spans="14:26" ht="31.4" customHeight="1" x14ac:dyDescent="0.35">
      <c r="N3793" s="20"/>
      <c r="P3793" s="8"/>
      <c r="Q3793" s="8"/>
      <c r="R3793" s="8"/>
      <c r="S3793" s="8"/>
      <c r="U3793" s="6"/>
      <c r="V3793" s="6"/>
      <c r="W3793" s="6"/>
      <c r="X3793" s="6"/>
      <c r="Y3793" s="6"/>
      <c r="Z3793" s="6"/>
    </row>
    <row r="3794" spans="14:26" ht="31.4" customHeight="1" x14ac:dyDescent="0.35">
      <c r="N3794" s="20"/>
      <c r="P3794" s="8"/>
      <c r="Q3794" s="8"/>
      <c r="R3794" s="8"/>
      <c r="S3794" s="8"/>
      <c r="U3794" s="6"/>
      <c r="V3794" s="6"/>
      <c r="W3794" s="6"/>
      <c r="X3794" s="6"/>
      <c r="Y3794" s="6"/>
      <c r="Z3794" s="6"/>
    </row>
    <row r="3795" spans="14:26" ht="31.4" customHeight="1" x14ac:dyDescent="0.35">
      <c r="N3795" s="20"/>
      <c r="P3795" s="8"/>
      <c r="Q3795" s="8"/>
      <c r="R3795" s="8"/>
      <c r="S3795" s="8"/>
      <c r="U3795" s="6"/>
      <c r="V3795" s="6"/>
      <c r="W3795" s="6"/>
      <c r="X3795" s="6"/>
      <c r="Y3795" s="6"/>
      <c r="Z3795" s="6"/>
    </row>
    <row r="3796" spans="14:26" ht="31.4" customHeight="1" x14ac:dyDescent="0.35">
      <c r="N3796" s="20"/>
      <c r="P3796" s="8"/>
      <c r="Q3796" s="8"/>
      <c r="R3796" s="8"/>
      <c r="S3796" s="8"/>
      <c r="U3796" s="6"/>
      <c r="V3796" s="6"/>
      <c r="W3796" s="6"/>
      <c r="X3796" s="6"/>
      <c r="Y3796" s="6"/>
      <c r="Z3796" s="6"/>
    </row>
    <row r="3797" spans="14:26" ht="31.4" customHeight="1" x14ac:dyDescent="0.35">
      <c r="N3797" s="20"/>
      <c r="P3797" s="8"/>
      <c r="Q3797" s="8"/>
      <c r="R3797" s="8"/>
      <c r="S3797" s="8"/>
      <c r="U3797" s="6"/>
      <c r="V3797" s="6"/>
      <c r="W3797" s="6"/>
      <c r="X3797" s="6"/>
      <c r="Y3797" s="6"/>
      <c r="Z3797" s="6"/>
    </row>
    <row r="3798" spans="14:26" ht="31.4" customHeight="1" x14ac:dyDescent="0.35">
      <c r="N3798" s="20"/>
      <c r="P3798" s="8"/>
      <c r="Q3798" s="8"/>
      <c r="R3798" s="8"/>
      <c r="S3798" s="8"/>
      <c r="U3798" s="6"/>
      <c r="V3798" s="6"/>
      <c r="W3798" s="6"/>
      <c r="X3798" s="6"/>
      <c r="Y3798" s="6"/>
      <c r="Z3798" s="6"/>
    </row>
    <row r="3799" spans="14:26" ht="31.4" customHeight="1" x14ac:dyDescent="0.35">
      <c r="N3799" s="20"/>
      <c r="P3799" s="8"/>
      <c r="Q3799" s="8"/>
      <c r="R3799" s="8"/>
      <c r="S3799" s="8"/>
      <c r="U3799" s="6"/>
      <c r="V3799" s="6"/>
      <c r="W3799" s="6"/>
      <c r="X3799" s="6"/>
      <c r="Y3799" s="6"/>
      <c r="Z3799" s="6"/>
    </row>
    <row r="3800" spans="14:26" ht="31.4" customHeight="1" x14ac:dyDescent="0.35">
      <c r="N3800" s="20"/>
      <c r="P3800" s="8"/>
      <c r="Q3800" s="8"/>
      <c r="R3800" s="8"/>
      <c r="S3800" s="8"/>
      <c r="U3800" s="6"/>
      <c r="V3800" s="6"/>
      <c r="W3800" s="6"/>
      <c r="X3800" s="6"/>
      <c r="Y3800" s="6"/>
      <c r="Z3800" s="6"/>
    </row>
    <row r="3801" spans="14:26" ht="31.4" customHeight="1" x14ac:dyDescent="0.35">
      <c r="N3801" s="20"/>
      <c r="P3801" s="8"/>
      <c r="Q3801" s="8"/>
      <c r="R3801" s="8"/>
      <c r="S3801" s="8"/>
      <c r="U3801" s="6"/>
      <c r="V3801" s="6"/>
      <c r="W3801" s="6"/>
      <c r="X3801" s="6"/>
      <c r="Y3801" s="6"/>
      <c r="Z3801" s="6"/>
    </row>
    <row r="3802" spans="14:26" ht="31.4" customHeight="1" x14ac:dyDescent="0.35">
      <c r="N3802" s="20"/>
      <c r="P3802" s="8"/>
      <c r="Q3802" s="8"/>
      <c r="R3802" s="8"/>
      <c r="S3802" s="8"/>
      <c r="U3802" s="6"/>
      <c r="V3802" s="6"/>
      <c r="W3802" s="6"/>
      <c r="X3802" s="6"/>
      <c r="Y3802" s="6"/>
      <c r="Z3802" s="6"/>
    </row>
    <row r="3803" spans="14:26" ht="31.4" customHeight="1" x14ac:dyDescent="0.35">
      <c r="N3803" s="20"/>
      <c r="P3803" s="8"/>
      <c r="Q3803" s="8"/>
      <c r="R3803" s="8"/>
      <c r="S3803" s="8"/>
      <c r="U3803" s="6"/>
      <c r="V3803" s="6"/>
      <c r="W3803" s="6"/>
      <c r="X3803" s="6"/>
      <c r="Y3803" s="6"/>
      <c r="Z3803" s="6"/>
    </row>
    <row r="3804" spans="14:26" ht="31.4" customHeight="1" x14ac:dyDescent="0.35">
      <c r="N3804" s="20"/>
      <c r="P3804" s="8"/>
      <c r="Q3804" s="8"/>
      <c r="R3804" s="8"/>
      <c r="S3804" s="8"/>
      <c r="U3804" s="6"/>
      <c r="V3804" s="6"/>
      <c r="W3804" s="6"/>
      <c r="X3804" s="6"/>
      <c r="Y3804" s="6"/>
      <c r="Z3804" s="6"/>
    </row>
    <row r="3805" spans="14:26" ht="31.4" customHeight="1" x14ac:dyDescent="0.35">
      <c r="N3805" s="20"/>
      <c r="P3805" s="8"/>
      <c r="Q3805" s="8"/>
      <c r="R3805" s="8"/>
      <c r="S3805" s="8"/>
      <c r="U3805" s="6"/>
      <c r="V3805" s="6"/>
      <c r="W3805" s="6"/>
      <c r="X3805" s="6"/>
      <c r="Y3805" s="6"/>
      <c r="Z3805" s="6"/>
    </row>
    <row r="3806" spans="14:26" ht="31.4" customHeight="1" x14ac:dyDescent="0.35">
      <c r="N3806" s="20"/>
      <c r="P3806" s="8"/>
      <c r="Q3806" s="8"/>
      <c r="R3806" s="8"/>
      <c r="S3806" s="8"/>
      <c r="U3806" s="6"/>
      <c r="V3806" s="6"/>
      <c r="W3806" s="6"/>
      <c r="X3806" s="6"/>
      <c r="Y3806" s="6"/>
      <c r="Z3806" s="6"/>
    </row>
    <row r="3807" spans="14:26" ht="31.4" customHeight="1" x14ac:dyDescent="0.35">
      <c r="N3807" s="20"/>
      <c r="P3807" s="8"/>
      <c r="Q3807" s="8"/>
      <c r="R3807" s="8"/>
      <c r="S3807" s="8"/>
      <c r="U3807" s="6"/>
      <c r="V3807" s="6"/>
      <c r="W3807" s="6"/>
      <c r="X3807" s="6"/>
      <c r="Y3807" s="6"/>
      <c r="Z3807" s="6"/>
    </row>
    <row r="3808" spans="14:26" ht="31.4" customHeight="1" x14ac:dyDescent="0.35">
      <c r="N3808" s="20"/>
      <c r="P3808" s="8"/>
      <c r="Q3808" s="8"/>
      <c r="R3808" s="8"/>
      <c r="S3808" s="8"/>
      <c r="U3808" s="6"/>
      <c r="V3808" s="6"/>
      <c r="W3808" s="6"/>
      <c r="X3808" s="6"/>
      <c r="Y3808" s="6"/>
      <c r="Z3808" s="6"/>
    </row>
    <row r="3809" spans="14:26" ht="31.4" customHeight="1" x14ac:dyDescent="0.35">
      <c r="N3809" s="20"/>
      <c r="P3809" s="8"/>
      <c r="Q3809" s="8"/>
      <c r="R3809" s="8"/>
      <c r="S3809" s="8"/>
      <c r="U3809" s="6"/>
      <c r="V3809" s="6"/>
      <c r="W3809" s="6"/>
      <c r="X3809" s="6"/>
      <c r="Y3809" s="6"/>
      <c r="Z3809" s="6"/>
    </row>
    <row r="3810" spans="14:26" ht="31.4" customHeight="1" x14ac:dyDescent="0.35">
      <c r="N3810" s="20"/>
      <c r="P3810" s="8"/>
      <c r="Q3810" s="8"/>
      <c r="R3810" s="8"/>
      <c r="S3810" s="8"/>
      <c r="U3810" s="6"/>
      <c r="V3810" s="6"/>
      <c r="W3810" s="6"/>
      <c r="X3810" s="6"/>
      <c r="Y3810" s="6"/>
      <c r="Z3810" s="6"/>
    </row>
    <row r="3811" spans="14:26" ht="31.4" customHeight="1" x14ac:dyDescent="0.35">
      <c r="N3811" s="20"/>
      <c r="P3811" s="8"/>
      <c r="Q3811" s="8"/>
      <c r="R3811" s="8"/>
      <c r="S3811" s="8"/>
      <c r="U3811" s="6"/>
      <c r="V3811" s="6"/>
      <c r="W3811" s="6"/>
      <c r="X3811" s="6"/>
      <c r="Y3811" s="6"/>
      <c r="Z3811" s="6"/>
    </row>
    <row r="3812" spans="14:26" ht="31.4" customHeight="1" x14ac:dyDescent="0.35">
      <c r="N3812" s="20"/>
      <c r="P3812" s="8"/>
      <c r="Q3812" s="8"/>
      <c r="R3812" s="8"/>
      <c r="S3812" s="8"/>
      <c r="U3812" s="6"/>
      <c r="V3812" s="6"/>
      <c r="W3812" s="6"/>
      <c r="X3812" s="6"/>
      <c r="Y3812" s="6"/>
      <c r="Z3812" s="6"/>
    </row>
    <row r="3813" spans="14:26" ht="31.4" customHeight="1" x14ac:dyDescent="0.35">
      <c r="N3813" s="20"/>
      <c r="P3813" s="8"/>
      <c r="Q3813" s="8"/>
      <c r="R3813" s="8"/>
      <c r="S3813" s="8"/>
      <c r="U3813" s="6"/>
      <c r="V3813" s="6"/>
      <c r="W3813" s="6"/>
      <c r="X3813" s="6"/>
      <c r="Y3813" s="6"/>
      <c r="Z3813" s="6"/>
    </row>
    <row r="3814" spans="14:26" ht="31.4" customHeight="1" x14ac:dyDescent="0.35">
      <c r="N3814" s="20"/>
      <c r="P3814" s="8"/>
      <c r="Q3814" s="8"/>
      <c r="R3814" s="8"/>
      <c r="S3814" s="8"/>
      <c r="U3814" s="6"/>
      <c r="V3814" s="6"/>
      <c r="W3814" s="6"/>
      <c r="X3814" s="6"/>
      <c r="Y3814" s="6"/>
      <c r="Z3814" s="6"/>
    </row>
    <row r="3815" spans="14:26" ht="31.4" customHeight="1" x14ac:dyDescent="0.35">
      <c r="N3815" s="20"/>
      <c r="P3815" s="8"/>
      <c r="Q3815" s="8"/>
      <c r="R3815" s="8"/>
      <c r="S3815" s="8"/>
      <c r="U3815" s="6"/>
      <c r="V3815" s="6"/>
      <c r="W3815" s="6"/>
      <c r="X3815" s="6"/>
      <c r="Y3815" s="6"/>
      <c r="Z3815" s="6"/>
    </row>
    <row r="3816" spans="14:26" ht="31.4" customHeight="1" x14ac:dyDescent="0.35">
      <c r="N3816" s="20"/>
      <c r="P3816" s="8"/>
      <c r="Q3816" s="8"/>
      <c r="R3816" s="8"/>
      <c r="S3816" s="8"/>
      <c r="U3816" s="6"/>
      <c r="V3816" s="6"/>
      <c r="W3816" s="6"/>
      <c r="X3816" s="6"/>
      <c r="Y3816" s="6"/>
      <c r="Z3816" s="6"/>
    </row>
    <row r="3817" spans="14:26" ht="31.4" customHeight="1" x14ac:dyDescent="0.35">
      <c r="N3817" s="20"/>
      <c r="P3817" s="8"/>
      <c r="Q3817" s="8"/>
      <c r="R3817" s="8"/>
      <c r="S3817" s="8"/>
      <c r="U3817" s="6"/>
      <c r="V3817" s="6"/>
      <c r="W3817" s="6"/>
      <c r="X3817" s="6"/>
      <c r="Y3817" s="6"/>
      <c r="Z3817" s="6"/>
    </row>
    <row r="3818" spans="14:26" ht="31.4" customHeight="1" x14ac:dyDescent="0.35">
      <c r="N3818" s="20"/>
      <c r="P3818" s="8"/>
      <c r="Q3818" s="8"/>
      <c r="R3818" s="8"/>
      <c r="S3818" s="8"/>
      <c r="U3818" s="6"/>
      <c r="V3818" s="6"/>
      <c r="W3818" s="6"/>
      <c r="X3818" s="6"/>
      <c r="Y3818" s="6"/>
      <c r="Z3818" s="6"/>
    </row>
    <row r="3819" spans="14:26" ht="31.4" customHeight="1" x14ac:dyDescent="0.35">
      <c r="N3819" s="20"/>
      <c r="P3819" s="8"/>
      <c r="Q3819" s="8"/>
      <c r="R3819" s="8"/>
      <c r="S3819" s="8"/>
      <c r="U3819" s="6"/>
      <c r="V3819" s="6"/>
      <c r="W3819" s="6"/>
      <c r="X3819" s="6"/>
      <c r="Y3819" s="6"/>
      <c r="Z3819" s="6"/>
    </row>
    <row r="3820" spans="14:26" ht="31.4" customHeight="1" x14ac:dyDescent="0.35">
      <c r="N3820" s="20"/>
      <c r="P3820" s="8"/>
      <c r="Q3820" s="8"/>
      <c r="R3820" s="8"/>
      <c r="S3820" s="8"/>
      <c r="U3820" s="6"/>
      <c r="V3820" s="6"/>
      <c r="W3820" s="6"/>
      <c r="X3820" s="6"/>
      <c r="Y3820" s="6"/>
      <c r="Z3820" s="6"/>
    </row>
    <row r="3821" spans="14:26" ht="31.4" customHeight="1" x14ac:dyDescent="0.35">
      <c r="N3821" s="20"/>
      <c r="P3821" s="8"/>
      <c r="Q3821" s="8"/>
      <c r="R3821" s="8"/>
      <c r="S3821" s="8"/>
      <c r="U3821" s="6"/>
      <c r="V3821" s="6"/>
      <c r="W3821" s="6"/>
      <c r="X3821" s="6"/>
      <c r="Y3821" s="6"/>
      <c r="Z3821" s="6"/>
    </row>
    <row r="3822" spans="14:26" ht="31.4" customHeight="1" x14ac:dyDescent="0.35">
      <c r="N3822" s="20"/>
      <c r="P3822" s="8"/>
      <c r="Q3822" s="8"/>
      <c r="R3822" s="8"/>
      <c r="S3822" s="8"/>
      <c r="U3822" s="6"/>
      <c r="V3822" s="6"/>
      <c r="W3822" s="6"/>
      <c r="X3822" s="6"/>
      <c r="Y3822" s="6"/>
      <c r="Z3822" s="6"/>
    </row>
    <row r="3823" spans="14:26" ht="31.4" customHeight="1" x14ac:dyDescent="0.35">
      <c r="N3823" s="20"/>
      <c r="P3823" s="8"/>
      <c r="Q3823" s="8"/>
      <c r="R3823" s="8"/>
      <c r="S3823" s="8"/>
      <c r="U3823" s="6"/>
      <c r="V3823" s="6"/>
      <c r="W3823" s="6"/>
      <c r="X3823" s="6"/>
      <c r="Y3823" s="6"/>
      <c r="Z3823" s="6"/>
    </row>
    <row r="3824" spans="14:26" ht="31.4" customHeight="1" x14ac:dyDescent="0.35">
      <c r="N3824" s="20"/>
      <c r="P3824" s="8"/>
      <c r="Q3824" s="8"/>
      <c r="R3824" s="8"/>
      <c r="S3824" s="8"/>
      <c r="U3824" s="6"/>
      <c r="V3824" s="6"/>
      <c r="W3824" s="6"/>
      <c r="X3824" s="6"/>
      <c r="Y3824" s="6"/>
      <c r="Z3824" s="6"/>
    </row>
    <row r="3825" spans="14:26" ht="31.4" customHeight="1" x14ac:dyDescent="0.35">
      <c r="N3825" s="20"/>
      <c r="P3825" s="8"/>
      <c r="Q3825" s="8"/>
      <c r="R3825" s="8"/>
      <c r="S3825" s="8"/>
      <c r="U3825" s="6"/>
      <c r="V3825" s="6"/>
      <c r="W3825" s="6"/>
      <c r="X3825" s="6"/>
      <c r="Y3825" s="6"/>
      <c r="Z3825" s="6"/>
    </row>
    <row r="3826" spans="14:26" ht="31.4" customHeight="1" x14ac:dyDescent="0.35">
      <c r="N3826" s="20"/>
      <c r="P3826" s="8"/>
      <c r="Q3826" s="8"/>
      <c r="R3826" s="8"/>
      <c r="S3826" s="8"/>
      <c r="U3826" s="6"/>
      <c r="V3826" s="6"/>
      <c r="W3826" s="6"/>
      <c r="X3826" s="6"/>
      <c r="Y3826" s="6"/>
      <c r="Z3826" s="6"/>
    </row>
    <row r="3827" spans="14:26" ht="31.4" customHeight="1" x14ac:dyDescent="0.35">
      <c r="N3827" s="20"/>
      <c r="P3827" s="8"/>
      <c r="Q3827" s="8"/>
      <c r="R3827" s="8"/>
      <c r="S3827" s="8"/>
      <c r="U3827" s="6"/>
      <c r="V3827" s="6"/>
      <c r="W3827" s="6"/>
      <c r="X3827" s="6"/>
      <c r="Y3827" s="6"/>
      <c r="Z3827" s="6"/>
    </row>
    <row r="3828" spans="14:26" ht="31.4" customHeight="1" x14ac:dyDescent="0.35">
      <c r="N3828" s="20"/>
      <c r="P3828" s="8"/>
      <c r="Q3828" s="8"/>
      <c r="R3828" s="8"/>
      <c r="S3828" s="8"/>
      <c r="U3828" s="6"/>
      <c r="V3828" s="6"/>
      <c r="W3828" s="6"/>
      <c r="X3828" s="6"/>
      <c r="Y3828" s="6"/>
      <c r="Z3828" s="6"/>
    </row>
    <row r="3829" spans="14:26" ht="31.4" customHeight="1" x14ac:dyDescent="0.35">
      <c r="N3829" s="20"/>
      <c r="P3829" s="8"/>
      <c r="Q3829" s="8"/>
      <c r="R3829" s="8"/>
      <c r="S3829" s="8"/>
      <c r="U3829" s="6"/>
      <c r="V3829" s="6"/>
      <c r="W3829" s="6"/>
      <c r="X3829" s="6"/>
      <c r="Y3829" s="6"/>
      <c r="Z3829" s="6"/>
    </row>
    <row r="3830" spans="14:26" ht="31.4" customHeight="1" x14ac:dyDescent="0.35">
      <c r="N3830" s="20"/>
      <c r="P3830" s="8"/>
      <c r="Q3830" s="8"/>
      <c r="R3830" s="8"/>
      <c r="S3830" s="8"/>
      <c r="U3830" s="6"/>
      <c r="V3830" s="6"/>
      <c r="W3830" s="6"/>
      <c r="X3830" s="6"/>
      <c r="Y3830" s="6"/>
      <c r="Z3830" s="6"/>
    </row>
    <row r="3831" spans="14:26" ht="31.4" customHeight="1" x14ac:dyDescent="0.35">
      <c r="N3831" s="20"/>
      <c r="P3831" s="8"/>
      <c r="Q3831" s="8"/>
      <c r="R3831" s="8"/>
      <c r="S3831" s="8"/>
      <c r="U3831" s="6"/>
      <c r="V3831" s="6"/>
      <c r="W3831" s="6"/>
      <c r="X3831" s="6"/>
      <c r="Y3831" s="6"/>
      <c r="Z3831" s="6"/>
    </row>
    <row r="3832" spans="14:26" ht="31.4" customHeight="1" x14ac:dyDescent="0.35">
      <c r="N3832" s="20"/>
      <c r="P3832" s="8"/>
      <c r="Q3832" s="8"/>
      <c r="R3832" s="8"/>
      <c r="S3832" s="8"/>
      <c r="U3832" s="6"/>
      <c r="V3832" s="6"/>
      <c r="W3832" s="6"/>
      <c r="X3832" s="6"/>
      <c r="Y3832" s="6"/>
      <c r="Z3832" s="6"/>
    </row>
    <row r="3833" spans="14:26" ht="31.4" customHeight="1" x14ac:dyDescent="0.35">
      <c r="N3833" s="20"/>
      <c r="P3833" s="8"/>
      <c r="Q3833" s="8"/>
      <c r="R3833" s="8"/>
      <c r="S3833" s="8"/>
      <c r="U3833" s="6"/>
      <c r="V3833" s="6"/>
      <c r="W3833" s="6"/>
      <c r="X3833" s="6"/>
      <c r="Y3833" s="6"/>
      <c r="Z3833" s="6"/>
    </row>
    <row r="3834" spans="14:26" ht="31.4" customHeight="1" x14ac:dyDescent="0.35">
      <c r="N3834" s="20"/>
      <c r="P3834" s="8"/>
      <c r="Q3834" s="8"/>
      <c r="R3834" s="8"/>
      <c r="S3834" s="8"/>
      <c r="U3834" s="6"/>
      <c r="V3834" s="6"/>
      <c r="W3834" s="6"/>
      <c r="X3834" s="6"/>
      <c r="Y3834" s="6"/>
      <c r="Z3834" s="6"/>
    </row>
    <row r="3835" spans="14:26" ht="31.4" customHeight="1" x14ac:dyDescent="0.35">
      <c r="N3835" s="20"/>
      <c r="P3835" s="8"/>
      <c r="Q3835" s="8"/>
      <c r="R3835" s="8"/>
      <c r="S3835" s="8"/>
      <c r="U3835" s="6"/>
      <c r="V3835" s="6"/>
      <c r="W3835" s="6"/>
      <c r="X3835" s="6"/>
      <c r="Y3835" s="6"/>
      <c r="Z3835" s="6"/>
    </row>
    <row r="3836" spans="14:26" ht="31.4" customHeight="1" x14ac:dyDescent="0.35">
      <c r="N3836" s="20"/>
      <c r="P3836" s="8"/>
      <c r="Q3836" s="8"/>
      <c r="R3836" s="8"/>
      <c r="S3836" s="8"/>
      <c r="U3836" s="6"/>
      <c r="V3836" s="6"/>
      <c r="W3836" s="6"/>
      <c r="X3836" s="6"/>
      <c r="Y3836" s="6"/>
      <c r="Z3836" s="6"/>
    </row>
    <row r="3837" spans="14:26" ht="31.4" customHeight="1" x14ac:dyDescent="0.35">
      <c r="N3837" s="20"/>
      <c r="P3837" s="8"/>
      <c r="Q3837" s="8"/>
      <c r="R3837" s="8"/>
      <c r="S3837" s="8"/>
      <c r="U3837" s="6"/>
      <c r="V3837" s="6"/>
      <c r="W3837" s="6"/>
      <c r="X3837" s="6"/>
      <c r="Y3837" s="6"/>
      <c r="Z3837" s="6"/>
    </row>
    <row r="3838" spans="14:26" ht="31.4" customHeight="1" x14ac:dyDescent="0.35">
      <c r="N3838" s="20"/>
      <c r="P3838" s="8"/>
      <c r="Q3838" s="8"/>
      <c r="R3838" s="8"/>
      <c r="S3838" s="8"/>
      <c r="U3838" s="6"/>
      <c r="V3838" s="6"/>
      <c r="W3838" s="6"/>
      <c r="X3838" s="6"/>
      <c r="Y3838" s="6"/>
      <c r="Z3838" s="6"/>
    </row>
    <row r="3839" spans="14:26" ht="31.4" customHeight="1" x14ac:dyDescent="0.35">
      <c r="N3839" s="20"/>
      <c r="P3839" s="8"/>
      <c r="Q3839" s="8"/>
      <c r="R3839" s="8"/>
      <c r="S3839" s="8"/>
      <c r="U3839" s="6"/>
      <c r="V3839" s="6"/>
      <c r="W3839" s="6"/>
      <c r="X3839" s="6"/>
      <c r="Y3839" s="6"/>
      <c r="Z3839" s="6"/>
    </row>
    <row r="3840" spans="14:26" ht="31.4" customHeight="1" x14ac:dyDescent="0.35">
      <c r="N3840" s="20"/>
      <c r="P3840" s="8"/>
      <c r="Q3840" s="8"/>
      <c r="R3840" s="8"/>
      <c r="S3840" s="8"/>
      <c r="U3840" s="6"/>
      <c r="V3840" s="6"/>
      <c r="W3840" s="6"/>
      <c r="X3840" s="6"/>
      <c r="Y3840" s="6"/>
      <c r="Z3840" s="6"/>
    </row>
    <row r="3841" spans="14:26" ht="31.4" customHeight="1" x14ac:dyDescent="0.35">
      <c r="N3841" s="20"/>
      <c r="P3841" s="8"/>
      <c r="Q3841" s="8"/>
      <c r="R3841" s="8"/>
      <c r="S3841" s="8"/>
      <c r="U3841" s="6"/>
      <c r="V3841" s="6"/>
      <c r="W3841" s="6"/>
      <c r="X3841" s="6"/>
      <c r="Y3841" s="6"/>
      <c r="Z3841" s="6"/>
    </row>
    <row r="3842" spans="14:26" ht="31.4" customHeight="1" x14ac:dyDescent="0.35">
      <c r="N3842" s="20"/>
      <c r="P3842" s="8"/>
      <c r="Q3842" s="8"/>
      <c r="R3842" s="8"/>
      <c r="S3842" s="8"/>
      <c r="U3842" s="6"/>
      <c r="V3842" s="6"/>
      <c r="W3842" s="6"/>
      <c r="X3842" s="6"/>
      <c r="Y3842" s="6"/>
      <c r="Z3842" s="6"/>
    </row>
    <row r="3843" spans="14:26" ht="31.4" customHeight="1" x14ac:dyDescent="0.35">
      <c r="N3843" s="20"/>
      <c r="P3843" s="8"/>
      <c r="Q3843" s="8"/>
      <c r="R3843" s="8"/>
      <c r="S3843" s="8"/>
      <c r="U3843" s="6"/>
      <c r="V3843" s="6"/>
      <c r="W3843" s="6"/>
      <c r="X3843" s="6"/>
      <c r="Y3843" s="6"/>
      <c r="Z3843" s="6"/>
    </row>
    <row r="3844" spans="14:26" ht="31.4" customHeight="1" x14ac:dyDescent="0.35">
      <c r="N3844" s="20"/>
      <c r="P3844" s="8"/>
      <c r="Q3844" s="8"/>
      <c r="R3844" s="8"/>
      <c r="S3844" s="8"/>
      <c r="U3844" s="6"/>
      <c r="V3844" s="6"/>
      <c r="W3844" s="6"/>
      <c r="X3844" s="6"/>
      <c r="Y3844" s="6"/>
      <c r="Z3844" s="6"/>
    </row>
    <row r="3845" spans="14:26" ht="31.4" customHeight="1" x14ac:dyDescent="0.35">
      <c r="N3845" s="20"/>
      <c r="P3845" s="8"/>
      <c r="Q3845" s="8"/>
      <c r="R3845" s="8"/>
      <c r="S3845" s="8"/>
      <c r="U3845" s="6"/>
      <c r="V3845" s="6"/>
      <c r="W3845" s="6"/>
      <c r="X3845" s="6"/>
      <c r="Y3845" s="6"/>
      <c r="Z3845" s="6"/>
    </row>
    <row r="3846" spans="14:26" ht="31.4" customHeight="1" x14ac:dyDescent="0.35">
      <c r="N3846" s="20"/>
      <c r="P3846" s="8"/>
      <c r="Q3846" s="8"/>
      <c r="R3846" s="8"/>
      <c r="S3846" s="8"/>
      <c r="U3846" s="6"/>
      <c r="V3846" s="6"/>
      <c r="W3846" s="6"/>
      <c r="X3846" s="6"/>
      <c r="Y3846" s="6"/>
      <c r="Z3846" s="6"/>
    </row>
    <row r="3847" spans="14:26" ht="31.4" customHeight="1" x14ac:dyDescent="0.35">
      <c r="N3847" s="20"/>
      <c r="P3847" s="8"/>
      <c r="Q3847" s="8"/>
      <c r="R3847" s="8"/>
      <c r="S3847" s="8"/>
      <c r="U3847" s="6"/>
      <c r="V3847" s="6"/>
      <c r="W3847" s="6"/>
      <c r="X3847" s="6"/>
      <c r="Y3847" s="6"/>
      <c r="Z3847" s="6"/>
    </row>
    <row r="3848" spans="14:26" ht="31.4" customHeight="1" x14ac:dyDescent="0.35">
      <c r="N3848" s="20"/>
      <c r="P3848" s="8"/>
      <c r="Q3848" s="8"/>
      <c r="R3848" s="8"/>
      <c r="S3848" s="8"/>
      <c r="U3848" s="6"/>
      <c r="V3848" s="6"/>
      <c r="W3848" s="6"/>
      <c r="X3848" s="6"/>
      <c r="Y3848" s="6"/>
      <c r="Z3848" s="6"/>
    </row>
    <row r="3849" spans="14:26" ht="31.4" customHeight="1" x14ac:dyDescent="0.35">
      <c r="N3849" s="20"/>
      <c r="P3849" s="8"/>
      <c r="Q3849" s="8"/>
      <c r="R3849" s="8"/>
      <c r="S3849" s="8"/>
      <c r="U3849" s="6"/>
      <c r="V3849" s="6"/>
      <c r="W3849" s="6"/>
      <c r="X3849" s="6"/>
      <c r="Y3849" s="6"/>
      <c r="Z3849" s="6"/>
    </row>
    <row r="3850" spans="14:26" ht="31.4" customHeight="1" x14ac:dyDescent="0.35">
      <c r="N3850" s="20"/>
      <c r="P3850" s="8"/>
      <c r="Q3850" s="8"/>
      <c r="R3850" s="8"/>
      <c r="S3850" s="8"/>
      <c r="U3850" s="6"/>
      <c r="V3850" s="6"/>
      <c r="W3850" s="6"/>
      <c r="X3850" s="6"/>
      <c r="Y3850" s="6"/>
      <c r="Z3850" s="6"/>
    </row>
    <row r="3851" spans="14:26" ht="31.4" customHeight="1" x14ac:dyDescent="0.35">
      <c r="N3851" s="20"/>
      <c r="P3851" s="8"/>
      <c r="Q3851" s="8"/>
      <c r="R3851" s="8"/>
      <c r="S3851" s="8"/>
      <c r="U3851" s="6"/>
      <c r="V3851" s="6"/>
      <c r="W3851" s="6"/>
      <c r="X3851" s="6"/>
      <c r="Y3851" s="6"/>
      <c r="Z3851" s="6"/>
    </row>
    <row r="3852" spans="14:26" ht="31.4" customHeight="1" x14ac:dyDescent="0.35">
      <c r="N3852" s="20"/>
      <c r="P3852" s="8"/>
      <c r="Q3852" s="8"/>
      <c r="R3852" s="8"/>
      <c r="S3852" s="8"/>
      <c r="U3852" s="6"/>
      <c r="V3852" s="6"/>
      <c r="W3852" s="6"/>
      <c r="X3852" s="6"/>
      <c r="Y3852" s="6"/>
      <c r="Z3852" s="6"/>
    </row>
    <row r="3853" spans="14:26" ht="31.4" customHeight="1" x14ac:dyDescent="0.35">
      <c r="N3853" s="20"/>
      <c r="P3853" s="8"/>
      <c r="Q3853" s="8"/>
      <c r="R3853" s="8"/>
      <c r="S3853" s="8"/>
      <c r="U3853" s="6"/>
      <c r="V3853" s="6"/>
      <c r="W3853" s="6"/>
      <c r="X3853" s="6"/>
      <c r="Y3853" s="6"/>
      <c r="Z3853" s="6"/>
    </row>
    <row r="3854" spans="14:26" ht="31.4" customHeight="1" x14ac:dyDescent="0.35">
      <c r="N3854" s="20"/>
      <c r="P3854" s="8"/>
      <c r="Q3854" s="8"/>
      <c r="R3854" s="8"/>
      <c r="S3854" s="8"/>
      <c r="U3854" s="6"/>
      <c r="V3854" s="6"/>
      <c r="W3854" s="6"/>
      <c r="X3854" s="6"/>
      <c r="Y3854" s="6"/>
      <c r="Z3854" s="6"/>
    </row>
    <row r="3855" spans="14:26" ht="31.4" customHeight="1" x14ac:dyDescent="0.35">
      <c r="N3855" s="20"/>
      <c r="P3855" s="8"/>
      <c r="Q3855" s="8"/>
      <c r="R3855" s="8"/>
      <c r="S3855" s="8"/>
      <c r="U3855" s="6"/>
      <c r="V3855" s="6"/>
      <c r="W3855" s="6"/>
      <c r="X3855" s="6"/>
      <c r="Y3855" s="6"/>
      <c r="Z3855" s="6"/>
    </row>
    <row r="3856" spans="14:26" ht="31.4" customHeight="1" x14ac:dyDescent="0.35">
      <c r="N3856" s="20"/>
      <c r="P3856" s="8"/>
      <c r="Q3856" s="8"/>
      <c r="R3856" s="8"/>
      <c r="S3856" s="8"/>
      <c r="U3856" s="6"/>
      <c r="V3856" s="6"/>
      <c r="W3856" s="6"/>
      <c r="X3856" s="6"/>
      <c r="Y3856" s="6"/>
      <c r="Z3856" s="6"/>
    </row>
    <row r="3857" spans="14:26" ht="31.4" customHeight="1" x14ac:dyDescent="0.35">
      <c r="N3857" s="20"/>
      <c r="P3857" s="8"/>
      <c r="Q3857" s="8"/>
      <c r="R3857" s="8"/>
      <c r="S3857" s="8"/>
      <c r="U3857" s="6"/>
      <c r="V3857" s="6"/>
      <c r="W3857" s="6"/>
      <c r="X3857" s="6"/>
      <c r="Y3857" s="6"/>
      <c r="Z3857" s="6"/>
    </row>
    <row r="3858" spans="14:26" ht="31.4" customHeight="1" x14ac:dyDescent="0.35">
      <c r="N3858" s="20"/>
      <c r="P3858" s="8"/>
      <c r="Q3858" s="8"/>
      <c r="R3858" s="8"/>
      <c r="S3858" s="8"/>
      <c r="U3858" s="6"/>
      <c r="V3858" s="6"/>
      <c r="W3858" s="6"/>
      <c r="X3858" s="6"/>
      <c r="Y3858" s="6"/>
      <c r="Z3858" s="6"/>
    </row>
    <row r="3859" spans="14:26" ht="31.4" customHeight="1" x14ac:dyDescent="0.35">
      <c r="N3859" s="20"/>
      <c r="P3859" s="8"/>
      <c r="Q3859" s="8"/>
      <c r="R3859" s="8"/>
      <c r="S3859" s="8"/>
      <c r="U3859" s="6"/>
      <c r="V3859" s="6"/>
      <c r="W3859" s="6"/>
      <c r="X3859" s="6"/>
      <c r="Y3859" s="6"/>
      <c r="Z3859" s="6"/>
    </row>
    <row r="3860" spans="14:26" ht="31.4" customHeight="1" x14ac:dyDescent="0.35">
      <c r="N3860" s="20"/>
      <c r="P3860" s="8"/>
      <c r="Q3860" s="8"/>
      <c r="R3860" s="8"/>
      <c r="S3860" s="8"/>
      <c r="U3860" s="6"/>
      <c r="V3860" s="6"/>
      <c r="W3860" s="6"/>
      <c r="X3860" s="6"/>
      <c r="Y3860" s="6"/>
      <c r="Z3860" s="6"/>
    </row>
    <row r="3861" spans="14:26" ht="31.4" customHeight="1" x14ac:dyDescent="0.35">
      <c r="N3861" s="20"/>
      <c r="P3861" s="8"/>
      <c r="Q3861" s="8"/>
      <c r="R3861" s="8"/>
      <c r="S3861" s="8"/>
      <c r="U3861" s="6"/>
      <c r="V3861" s="6"/>
      <c r="W3861" s="6"/>
      <c r="X3861" s="6"/>
      <c r="Y3861" s="6"/>
      <c r="Z3861" s="6"/>
    </row>
    <row r="3862" spans="14:26" ht="31.4" customHeight="1" x14ac:dyDescent="0.35">
      <c r="N3862" s="20"/>
      <c r="P3862" s="8"/>
      <c r="Q3862" s="8"/>
      <c r="R3862" s="8"/>
      <c r="S3862" s="8"/>
      <c r="U3862" s="6"/>
      <c r="V3862" s="6"/>
      <c r="W3862" s="6"/>
      <c r="X3862" s="6"/>
      <c r="Y3862" s="6"/>
      <c r="Z3862" s="6"/>
    </row>
    <row r="3863" spans="14:26" ht="31.4" customHeight="1" x14ac:dyDescent="0.35">
      <c r="N3863" s="20"/>
      <c r="P3863" s="8"/>
      <c r="Q3863" s="8"/>
      <c r="R3863" s="8"/>
      <c r="S3863" s="8"/>
      <c r="U3863" s="6"/>
      <c r="V3863" s="6"/>
      <c r="W3863" s="6"/>
      <c r="X3863" s="6"/>
      <c r="Y3863" s="6"/>
      <c r="Z3863" s="6"/>
    </row>
    <row r="3864" spans="14:26" ht="31.4" customHeight="1" x14ac:dyDescent="0.35">
      <c r="N3864" s="20"/>
      <c r="P3864" s="8"/>
      <c r="Q3864" s="8"/>
      <c r="R3864" s="8"/>
      <c r="S3864" s="8"/>
      <c r="U3864" s="6"/>
      <c r="V3864" s="6"/>
      <c r="W3864" s="6"/>
      <c r="X3864" s="6"/>
      <c r="Y3864" s="6"/>
      <c r="Z3864" s="6"/>
    </row>
    <row r="3865" spans="14:26" ht="31.4" customHeight="1" x14ac:dyDescent="0.35">
      <c r="N3865" s="20"/>
      <c r="P3865" s="8"/>
      <c r="Q3865" s="8"/>
      <c r="R3865" s="8"/>
      <c r="S3865" s="8"/>
      <c r="U3865" s="6"/>
      <c r="V3865" s="6"/>
      <c r="W3865" s="6"/>
      <c r="X3865" s="6"/>
      <c r="Y3865" s="6"/>
      <c r="Z3865" s="6"/>
    </row>
    <row r="3866" spans="14:26" ht="31.4" customHeight="1" x14ac:dyDescent="0.35">
      <c r="N3866" s="20"/>
      <c r="P3866" s="8"/>
      <c r="Q3866" s="8"/>
      <c r="R3866" s="8"/>
      <c r="S3866" s="8"/>
      <c r="U3866" s="6"/>
      <c r="V3866" s="6"/>
      <c r="W3866" s="6"/>
      <c r="X3866" s="6"/>
      <c r="Y3866" s="6"/>
      <c r="Z3866" s="6"/>
    </row>
    <row r="3867" spans="14:26" ht="31.4" customHeight="1" x14ac:dyDescent="0.35">
      <c r="N3867" s="20"/>
      <c r="P3867" s="8"/>
      <c r="Q3867" s="8"/>
      <c r="R3867" s="8"/>
      <c r="S3867" s="8"/>
      <c r="U3867" s="6"/>
      <c r="V3867" s="6"/>
      <c r="W3867" s="6"/>
      <c r="X3867" s="6"/>
      <c r="Y3867" s="6"/>
      <c r="Z3867" s="6"/>
    </row>
    <row r="3868" spans="14:26" ht="31.4" customHeight="1" x14ac:dyDescent="0.35">
      <c r="N3868" s="20"/>
      <c r="P3868" s="8"/>
      <c r="Q3868" s="8"/>
      <c r="R3868" s="8"/>
      <c r="S3868" s="8"/>
      <c r="U3868" s="6"/>
      <c r="V3868" s="6"/>
      <c r="W3868" s="6"/>
      <c r="X3868" s="6"/>
      <c r="Y3868" s="6"/>
      <c r="Z3868" s="6"/>
    </row>
    <row r="3869" spans="14:26" ht="31.4" customHeight="1" x14ac:dyDescent="0.35">
      <c r="N3869" s="20"/>
      <c r="P3869" s="8"/>
      <c r="Q3869" s="8"/>
      <c r="R3869" s="8"/>
      <c r="S3869" s="8"/>
      <c r="U3869" s="6"/>
      <c r="V3869" s="6"/>
      <c r="W3869" s="6"/>
      <c r="X3869" s="6"/>
      <c r="Y3869" s="6"/>
      <c r="Z3869" s="6"/>
    </row>
    <row r="3870" spans="14:26" ht="31.4" customHeight="1" x14ac:dyDescent="0.35">
      <c r="N3870" s="20"/>
      <c r="P3870" s="8"/>
      <c r="Q3870" s="8"/>
      <c r="R3870" s="8"/>
      <c r="S3870" s="8"/>
      <c r="U3870" s="6"/>
      <c r="V3870" s="6"/>
      <c r="W3870" s="6"/>
      <c r="X3870" s="6"/>
      <c r="Y3870" s="6"/>
      <c r="Z3870" s="6"/>
    </row>
    <row r="3871" spans="14:26" ht="31.4" customHeight="1" x14ac:dyDescent="0.35">
      <c r="N3871" s="20"/>
      <c r="P3871" s="8"/>
      <c r="Q3871" s="8"/>
      <c r="R3871" s="8"/>
      <c r="S3871" s="8"/>
      <c r="U3871" s="6"/>
      <c r="V3871" s="6"/>
      <c r="W3871" s="6"/>
      <c r="X3871" s="6"/>
      <c r="Y3871" s="6"/>
      <c r="Z3871" s="6"/>
    </row>
    <row r="3872" spans="14:26" ht="31.4" customHeight="1" x14ac:dyDescent="0.35">
      <c r="N3872" s="20"/>
      <c r="P3872" s="8"/>
      <c r="Q3872" s="8"/>
      <c r="R3872" s="8"/>
      <c r="S3872" s="8"/>
      <c r="U3872" s="6"/>
      <c r="V3872" s="6"/>
      <c r="W3872" s="6"/>
      <c r="X3872" s="6"/>
      <c r="Y3872" s="6"/>
      <c r="Z3872" s="6"/>
    </row>
    <row r="3873" spans="14:26" ht="31.4" customHeight="1" x14ac:dyDescent="0.35">
      <c r="N3873" s="20"/>
      <c r="P3873" s="8"/>
      <c r="Q3873" s="8"/>
      <c r="R3873" s="8"/>
      <c r="S3873" s="8"/>
      <c r="U3873" s="6"/>
      <c r="V3873" s="6"/>
      <c r="W3873" s="6"/>
      <c r="X3873" s="6"/>
      <c r="Y3873" s="6"/>
      <c r="Z3873" s="6"/>
    </row>
    <row r="3874" spans="14:26" ht="31.4" customHeight="1" x14ac:dyDescent="0.35">
      <c r="N3874" s="20"/>
      <c r="P3874" s="8"/>
      <c r="Q3874" s="8"/>
      <c r="R3874" s="8"/>
      <c r="S3874" s="8"/>
      <c r="U3874" s="6"/>
      <c r="V3874" s="6"/>
      <c r="W3874" s="6"/>
      <c r="X3874" s="6"/>
      <c r="Y3874" s="6"/>
      <c r="Z3874" s="6"/>
    </row>
    <row r="3875" spans="14:26" ht="31.4" customHeight="1" x14ac:dyDescent="0.35">
      <c r="N3875" s="20"/>
      <c r="P3875" s="8"/>
      <c r="Q3875" s="8"/>
      <c r="R3875" s="8"/>
      <c r="S3875" s="8"/>
      <c r="U3875" s="6"/>
      <c r="V3875" s="6"/>
      <c r="W3875" s="6"/>
      <c r="X3875" s="6"/>
      <c r="Y3875" s="6"/>
      <c r="Z3875" s="6"/>
    </row>
    <row r="3876" spans="14:26" ht="31.4" customHeight="1" x14ac:dyDescent="0.35">
      <c r="N3876" s="20"/>
      <c r="P3876" s="8"/>
      <c r="Q3876" s="8"/>
      <c r="R3876" s="8"/>
      <c r="S3876" s="8"/>
      <c r="U3876" s="6"/>
      <c r="V3876" s="6"/>
      <c r="W3876" s="6"/>
      <c r="X3876" s="6"/>
      <c r="Y3876" s="6"/>
      <c r="Z3876" s="6"/>
    </row>
    <row r="3877" spans="14:26" ht="31.4" customHeight="1" x14ac:dyDescent="0.35">
      <c r="N3877" s="20"/>
      <c r="P3877" s="8"/>
      <c r="Q3877" s="8"/>
      <c r="R3877" s="8"/>
      <c r="S3877" s="8"/>
      <c r="U3877" s="6"/>
      <c r="V3877" s="6"/>
      <c r="W3877" s="6"/>
      <c r="X3877" s="6"/>
      <c r="Y3877" s="6"/>
      <c r="Z3877" s="6"/>
    </row>
    <row r="3878" spans="14:26" ht="31.4" customHeight="1" x14ac:dyDescent="0.35">
      <c r="N3878" s="20"/>
      <c r="P3878" s="8"/>
      <c r="Q3878" s="8"/>
      <c r="R3878" s="8"/>
      <c r="S3878" s="8"/>
      <c r="U3878" s="6"/>
      <c r="V3878" s="6"/>
      <c r="W3878" s="6"/>
      <c r="X3878" s="6"/>
      <c r="Y3878" s="6"/>
      <c r="Z3878" s="6"/>
    </row>
    <row r="3879" spans="14:26" ht="31.4" customHeight="1" x14ac:dyDescent="0.35">
      <c r="N3879" s="20"/>
      <c r="P3879" s="8"/>
      <c r="Q3879" s="8"/>
      <c r="R3879" s="8"/>
      <c r="S3879" s="8"/>
      <c r="U3879" s="6"/>
      <c r="V3879" s="6"/>
      <c r="W3879" s="6"/>
      <c r="X3879" s="6"/>
      <c r="Y3879" s="6"/>
      <c r="Z3879" s="6"/>
    </row>
    <row r="3880" spans="14:26" ht="31.4" customHeight="1" x14ac:dyDescent="0.35">
      <c r="N3880" s="20"/>
      <c r="P3880" s="8"/>
      <c r="Q3880" s="8"/>
      <c r="R3880" s="8"/>
      <c r="S3880" s="8"/>
      <c r="U3880" s="6"/>
      <c r="V3880" s="6"/>
      <c r="W3880" s="6"/>
      <c r="X3880" s="6"/>
      <c r="Y3880" s="6"/>
      <c r="Z3880" s="6"/>
    </row>
    <row r="3881" spans="14:26" ht="31.4" customHeight="1" x14ac:dyDescent="0.35">
      <c r="N3881" s="20"/>
      <c r="P3881" s="8"/>
      <c r="Q3881" s="8"/>
      <c r="R3881" s="8"/>
      <c r="S3881" s="8"/>
      <c r="U3881" s="6"/>
      <c r="V3881" s="6"/>
      <c r="W3881" s="6"/>
      <c r="X3881" s="6"/>
      <c r="Y3881" s="6"/>
      <c r="Z3881" s="6"/>
    </row>
    <row r="3882" spans="14:26" ht="31.4" customHeight="1" x14ac:dyDescent="0.35">
      <c r="N3882" s="20"/>
      <c r="P3882" s="8"/>
      <c r="Q3882" s="8"/>
      <c r="R3882" s="8"/>
      <c r="S3882" s="8"/>
      <c r="U3882" s="6"/>
      <c r="V3882" s="6"/>
      <c r="W3882" s="6"/>
      <c r="X3882" s="6"/>
      <c r="Y3882" s="6"/>
      <c r="Z3882" s="6"/>
    </row>
    <row r="3883" spans="14:26" ht="31.4" customHeight="1" x14ac:dyDescent="0.35">
      <c r="N3883" s="20"/>
      <c r="P3883" s="8"/>
      <c r="Q3883" s="8"/>
      <c r="R3883" s="8"/>
      <c r="S3883" s="8"/>
      <c r="U3883" s="6"/>
      <c r="V3883" s="6"/>
      <c r="W3883" s="6"/>
      <c r="X3883" s="6"/>
      <c r="Y3883" s="6"/>
      <c r="Z3883" s="6"/>
    </row>
    <row r="3884" spans="14:26" ht="31.4" customHeight="1" x14ac:dyDescent="0.35">
      <c r="N3884" s="20"/>
      <c r="P3884" s="8"/>
      <c r="Q3884" s="8"/>
      <c r="R3884" s="8"/>
      <c r="S3884" s="8"/>
      <c r="U3884" s="6"/>
      <c r="V3884" s="6"/>
      <c r="W3884" s="6"/>
      <c r="X3884" s="6"/>
      <c r="Y3884" s="6"/>
      <c r="Z3884" s="6"/>
    </row>
    <row r="3885" spans="14:26" ht="31.4" customHeight="1" x14ac:dyDescent="0.35">
      <c r="N3885" s="20"/>
      <c r="P3885" s="8"/>
      <c r="Q3885" s="8"/>
      <c r="R3885" s="8"/>
      <c r="S3885" s="8"/>
      <c r="U3885" s="6"/>
      <c r="V3885" s="6"/>
      <c r="W3885" s="6"/>
      <c r="X3885" s="6"/>
      <c r="Y3885" s="6"/>
      <c r="Z3885" s="6"/>
    </row>
    <row r="3886" spans="14:26" ht="31.4" customHeight="1" x14ac:dyDescent="0.35">
      <c r="N3886" s="20"/>
      <c r="P3886" s="8"/>
      <c r="Q3886" s="8"/>
      <c r="R3886" s="8"/>
      <c r="S3886" s="8"/>
      <c r="U3886" s="6"/>
      <c r="V3886" s="6"/>
      <c r="W3886" s="6"/>
      <c r="X3886" s="6"/>
      <c r="Y3886" s="6"/>
      <c r="Z3886" s="6"/>
    </row>
    <row r="3887" spans="14:26" ht="31.4" customHeight="1" x14ac:dyDescent="0.35">
      <c r="N3887" s="20"/>
      <c r="P3887" s="8"/>
      <c r="Q3887" s="8"/>
      <c r="R3887" s="8"/>
      <c r="S3887" s="8"/>
      <c r="U3887" s="6"/>
      <c r="V3887" s="6"/>
      <c r="W3887" s="6"/>
      <c r="X3887" s="6"/>
      <c r="Y3887" s="6"/>
      <c r="Z3887" s="6"/>
    </row>
    <row r="3888" spans="14:26" ht="31.4" customHeight="1" x14ac:dyDescent="0.35">
      <c r="N3888" s="20"/>
      <c r="P3888" s="8"/>
      <c r="Q3888" s="8"/>
      <c r="R3888" s="8"/>
      <c r="S3888" s="8"/>
      <c r="U3888" s="6"/>
      <c r="V3888" s="6"/>
      <c r="W3888" s="6"/>
      <c r="X3888" s="6"/>
      <c r="Y3888" s="6"/>
      <c r="Z3888" s="6"/>
    </row>
    <row r="3889" spans="14:26" ht="31.4" customHeight="1" x14ac:dyDescent="0.35">
      <c r="N3889" s="20"/>
      <c r="P3889" s="8"/>
      <c r="Q3889" s="8"/>
      <c r="R3889" s="8"/>
      <c r="S3889" s="8"/>
      <c r="U3889" s="6"/>
      <c r="V3889" s="6"/>
      <c r="W3889" s="6"/>
      <c r="X3889" s="6"/>
      <c r="Y3889" s="6"/>
      <c r="Z3889" s="6"/>
    </row>
    <row r="3890" spans="14:26" ht="31.4" customHeight="1" x14ac:dyDescent="0.35">
      <c r="N3890" s="20"/>
      <c r="P3890" s="8"/>
      <c r="Q3890" s="8"/>
      <c r="R3890" s="8"/>
      <c r="S3890" s="8"/>
      <c r="U3890" s="6"/>
      <c r="V3890" s="6"/>
      <c r="W3890" s="6"/>
      <c r="X3890" s="6"/>
      <c r="Y3890" s="6"/>
      <c r="Z3890" s="6"/>
    </row>
    <row r="3891" spans="14:26" ht="31.4" customHeight="1" x14ac:dyDescent="0.35">
      <c r="N3891" s="20"/>
      <c r="P3891" s="8"/>
      <c r="Q3891" s="8"/>
      <c r="R3891" s="8"/>
      <c r="S3891" s="8"/>
      <c r="U3891" s="6"/>
      <c r="V3891" s="6"/>
      <c r="W3891" s="6"/>
      <c r="X3891" s="6"/>
      <c r="Y3891" s="6"/>
      <c r="Z3891" s="6"/>
    </row>
    <row r="3892" spans="14:26" ht="31.4" customHeight="1" x14ac:dyDescent="0.35">
      <c r="N3892" s="20"/>
      <c r="P3892" s="8"/>
      <c r="Q3892" s="8"/>
      <c r="R3892" s="8"/>
      <c r="S3892" s="8"/>
      <c r="U3892" s="6"/>
      <c r="V3892" s="6"/>
      <c r="W3892" s="6"/>
      <c r="X3892" s="6"/>
      <c r="Y3892" s="6"/>
      <c r="Z3892" s="6"/>
    </row>
    <row r="3893" spans="14:26" ht="31.4" customHeight="1" x14ac:dyDescent="0.35">
      <c r="N3893" s="20"/>
      <c r="P3893" s="8"/>
      <c r="Q3893" s="8"/>
      <c r="R3893" s="8"/>
      <c r="S3893" s="8"/>
      <c r="U3893" s="6"/>
      <c r="V3893" s="6"/>
      <c r="W3893" s="6"/>
      <c r="X3893" s="6"/>
      <c r="Y3893" s="6"/>
      <c r="Z3893" s="6"/>
    </row>
    <row r="3894" spans="14:26" ht="31.4" customHeight="1" x14ac:dyDescent="0.35">
      <c r="N3894" s="20"/>
      <c r="P3894" s="8"/>
      <c r="Q3894" s="8"/>
      <c r="R3894" s="8"/>
      <c r="S3894" s="8"/>
      <c r="U3894" s="6"/>
      <c r="V3894" s="6"/>
      <c r="W3894" s="6"/>
      <c r="X3894" s="6"/>
      <c r="Y3894" s="6"/>
      <c r="Z3894" s="6"/>
    </row>
    <row r="3895" spans="14:26" ht="31.4" customHeight="1" x14ac:dyDescent="0.35">
      <c r="N3895" s="20"/>
      <c r="P3895" s="8"/>
      <c r="Q3895" s="8"/>
      <c r="R3895" s="8"/>
      <c r="S3895" s="8"/>
      <c r="U3895" s="6"/>
      <c r="V3895" s="6"/>
      <c r="W3895" s="6"/>
      <c r="X3895" s="6"/>
      <c r="Y3895" s="6"/>
      <c r="Z3895" s="6"/>
    </row>
    <row r="3896" spans="14:26" ht="31.4" customHeight="1" x14ac:dyDescent="0.35">
      <c r="N3896" s="20"/>
      <c r="P3896" s="8"/>
      <c r="Q3896" s="8"/>
      <c r="R3896" s="8"/>
      <c r="S3896" s="8"/>
      <c r="U3896" s="6"/>
      <c r="V3896" s="6"/>
      <c r="W3896" s="6"/>
      <c r="X3896" s="6"/>
      <c r="Y3896" s="6"/>
      <c r="Z3896" s="6"/>
    </row>
    <row r="3897" spans="14:26" ht="31.4" customHeight="1" x14ac:dyDescent="0.35">
      <c r="N3897" s="20"/>
      <c r="P3897" s="8"/>
      <c r="Q3897" s="8"/>
      <c r="R3897" s="8"/>
      <c r="S3897" s="8"/>
      <c r="U3897" s="6"/>
      <c r="V3897" s="6"/>
      <c r="W3897" s="6"/>
      <c r="X3897" s="6"/>
      <c r="Y3897" s="6"/>
      <c r="Z3897" s="6"/>
    </row>
    <row r="3898" spans="14:26" ht="31.4" customHeight="1" x14ac:dyDescent="0.35">
      <c r="N3898" s="20"/>
      <c r="P3898" s="8"/>
      <c r="Q3898" s="8"/>
      <c r="R3898" s="8"/>
      <c r="S3898" s="8"/>
      <c r="U3898" s="6"/>
      <c r="V3898" s="6"/>
      <c r="W3898" s="6"/>
      <c r="X3898" s="6"/>
      <c r="Y3898" s="6"/>
      <c r="Z3898" s="6"/>
    </row>
    <row r="3899" spans="14:26" ht="31.4" customHeight="1" x14ac:dyDescent="0.35">
      <c r="N3899" s="20"/>
      <c r="P3899" s="8"/>
      <c r="Q3899" s="8"/>
      <c r="R3899" s="8"/>
      <c r="S3899" s="8"/>
      <c r="U3899" s="6"/>
      <c r="V3899" s="6"/>
      <c r="W3899" s="6"/>
      <c r="X3899" s="6"/>
      <c r="Y3899" s="6"/>
      <c r="Z3899" s="6"/>
    </row>
    <row r="3900" spans="14:26" ht="31.4" customHeight="1" x14ac:dyDescent="0.35">
      <c r="N3900" s="20"/>
      <c r="P3900" s="8"/>
      <c r="Q3900" s="8"/>
      <c r="R3900" s="8"/>
      <c r="S3900" s="8"/>
      <c r="U3900" s="6"/>
      <c r="V3900" s="6"/>
      <c r="W3900" s="6"/>
      <c r="X3900" s="6"/>
      <c r="Y3900" s="6"/>
      <c r="Z3900" s="6"/>
    </row>
    <row r="3901" spans="14:26" ht="31.4" customHeight="1" x14ac:dyDescent="0.35">
      <c r="N3901" s="20"/>
      <c r="P3901" s="8"/>
      <c r="Q3901" s="8"/>
      <c r="R3901" s="8"/>
      <c r="S3901" s="8"/>
      <c r="U3901" s="6"/>
      <c r="V3901" s="6"/>
      <c r="W3901" s="6"/>
      <c r="X3901" s="6"/>
      <c r="Y3901" s="6"/>
      <c r="Z3901" s="6"/>
    </row>
    <row r="3902" spans="14:26" ht="31.4" customHeight="1" x14ac:dyDescent="0.35">
      <c r="N3902" s="20"/>
      <c r="P3902" s="8"/>
      <c r="Q3902" s="8"/>
      <c r="R3902" s="8"/>
      <c r="S3902" s="8"/>
      <c r="U3902" s="6"/>
      <c r="V3902" s="6"/>
      <c r="W3902" s="6"/>
      <c r="X3902" s="6"/>
      <c r="Y3902" s="6"/>
      <c r="Z3902" s="6"/>
    </row>
    <row r="3903" spans="14:26" ht="31.4" customHeight="1" x14ac:dyDescent="0.35">
      <c r="N3903" s="20"/>
      <c r="P3903" s="8"/>
      <c r="Q3903" s="8"/>
      <c r="R3903" s="8"/>
      <c r="S3903" s="8"/>
      <c r="U3903" s="6"/>
      <c r="V3903" s="6"/>
      <c r="W3903" s="6"/>
      <c r="X3903" s="6"/>
      <c r="Y3903" s="6"/>
      <c r="Z3903" s="6"/>
    </row>
    <row r="3904" spans="14:26" ht="31.4" customHeight="1" x14ac:dyDescent="0.35">
      <c r="N3904" s="20"/>
      <c r="P3904" s="8"/>
      <c r="Q3904" s="8"/>
      <c r="R3904" s="8"/>
      <c r="S3904" s="8"/>
      <c r="U3904" s="6"/>
      <c r="V3904" s="6"/>
      <c r="W3904" s="6"/>
      <c r="X3904" s="6"/>
      <c r="Y3904" s="6"/>
      <c r="Z3904" s="6"/>
    </row>
    <row r="3905" spans="14:26" ht="31.4" customHeight="1" x14ac:dyDescent="0.35">
      <c r="N3905" s="20"/>
      <c r="P3905" s="8"/>
      <c r="Q3905" s="8"/>
      <c r="R3905" s="8"/>
      <c r="S3905" s="8"/>
      <c r="U3905" s="6"/>
      <c r="V3905" s="6"/>
      <c r="W3905" s="6"/>
      <c r="X3905" s="6"/>
      <c r="Y3905" s="6"/>
      <c r="Z3905" s="6"/>
    </row>
    <row r="3906" spans="14:26" ht="31.4" customHeight="1" x14ac:dyDescent="0.35">
      <c r="N3906" s="20"/>
      <c r="P3906" s="8"/>
      <c r="Q3906" s="8"/>
      <c r="R3906" s="8"/>
      <c r="S3906" s="8"/>
      <c r="U3906" s="6"/>
      <c r="V3906" s="6"/>
      <c r="W3906" s="6"/>
      <c r="X3906" s="6"/>
      <c r="Y3906" s="6"/>
      <c r="Z3906" s="6"/>
    </row>
    <row r="3907" spans="14:26" ht="31.4" customHeight="1" x14ac:dyDescent="0.35">
      <c r="N3907" s="20"/>
      <c r="P3907" s="8"/>
      <c r="Q3907" s="8"/>
      <c r="R3907" s="8"/>
      <c r="S3907" s="8"/>
      <c r="U3907" s="6"/>
      <c r="V3907" s="6"/>
      <c r="W3907" s="6"/>
      <c r="X3907" s="6"/>
      <c r="Y3907" s="6"/>
      <c r="Z3907" s="6"/>
    </row>
    <row r="3908" spans="14:26" ht="31.4" customHeight="1" x14ac:dyDescent="0.35">
      <c r="N3908" s="20"/>
      <c r="P3908" s="8"/>
      <c r="Q3908" s="8"/>
      <c r="R3908" s="8"/>
      <c r="S3908" s="8"/>
      <c r="U3908" s="6"/>
      <c r="V3908" s="6"/>
      <c r="W3908" s="6"/>
      <c r="X3908" s="6"/>
      <c r="Y3908" s="6"/>
      <c r="Z3908" s="6"/>
    </row>
    <row r="3909" spans="14:26" ht="31.4" customHeight="1" x14ac:dyDescent="0.35">
      <c r="N3909" s="20"/>
      <c r="P3909" s="8"/>
      <c r="Q3909" s="8"/>
      <c r="R3909" s="8"/>
      <c r="S3909" s="8"/>
      <c r="U3909" s="6"/>
      <c r="V3909" s="6"/>
      <c r="W3909" s="6"/>
      <c r="X3909" s="6"/>
      <c r="Y3909" s="6"/>
      <c r="Z3909" s="6"/>
    </row>
    <row r="3910" spans="14:26" ht="31.4" customHeight="1" x14ac:dyDescent="0.35">
      <c r="N3910" s="20"/>
      <c r="P3910" s="8"/>
      <c r="Q3910" s="8"/>
      <c r="R3910" s="8"/>
      <c r="S3910" s="8"/>
      <c r="U3910" s="6"/>
      <c r="V3910" s="6"/>
      <c r="W3910" s="6"/>
      <c r="X3910" s="6"/>
      <c r="Y3910" s="6"/>
      <c r="Z3910" s="6"/>
    </row>
    <row r="3911" spans="14:26" ht="31.4" customHeight="1" x14ac:dyDescent="0.35">
      <c r="N3911" s="20"/>
      <c r="P3911" s="8"/>
      <c r="Q3911" s="8"/>
      <c r="R3911" s="8"/>
      <c r="S3911" s="8"/>
      <c r="U3911" s="6"/>
      <c r="V3911" s="6"/>
      <c r="W3911" s="6"/>
      <c r="X3911" s="6"/>
      <c r="Y3911" s="6"/>
      <c r="Z3911" s="6"/>
    </row>
    <row r="3912" spans="14:26" ht="31.4" customHeight="1" x14ac:dyDescent="0.35">
      <c r="N3912" s="20"/>
      <c r="P3912" s="8"/>
      <c r="Q3912" s="8"/>
      <c r="R3912" s="8"/>
      <c r="S3912" s="8"/>
      <c r="U3912" s="6"/>
      <c r="V3912" s="6"/>
      <c r="W3912" s="6"/>
      <c r="X3912" s="6"/>
      <c r="Y3912" s="6"/>
      <c r="Z3912" s="6"/>
    </row>
    <row r="3913" spans="14:26" ht="31.4" customHeight="1" x14ac:dyDescent="0.35">
      <c r="N3913" s="20"/>
      <c r="P3913" s="8"/>
      <c r="Q3913" s="8"/>
      <c r="R3913" s="8"/>
      <c r="S3913" s="8"/>
      <c r="U3913" s="6"/>
      <c r="V3913" s="6"/>
      <c r="W3913" s="6"/>
      <c r="X3913" s="6"/>
      <c r="Y3913" s="6"/>
      <c r="Z3913" s="6"/>
    </row>
    <row r="3914" spans="14:26" ht="31.4" customHeight="1" x14ac:dyDescent="0.35">
      <c r="N3914" s="20"/>
      <c r="P3914" s="8"/>
      <c r="Q3914" s="8"/>
      <c r="R3914" s="8"/>
      <c r="S3914" s="8"/>
      <c r="U3914" s="6"/>
      <c r="V3914" s="6"/>
      <c r="W3914" s="6"/>
      <c r="X3914" s="6"/>
      <c r="Y3914" s="6"/>
      <c r="Z3914" s="6"/>
    </row>
    <row r="3915" spans="14:26" ht="31.4" customHeight="1" x14ac:dyDescent="0.35">
      <c r="N3915" s="20"/>
      <c r="P3915" s="8"/>
      <c r="Q3915" s="8"/>
      <c r="R3915" s="8"/>
      <c r="S3915" s="8"/>
      <c r="U3915" s="6"/>
      <c r="V3915" s="6"/>
      <c r="W3915" s="6"/>
      <c r="X3915" s="6"/>
      <c r="Y3915" s="6"/>
      <c r="Z3915" s="6"/>
    </row>
    <row r="3916" spans="14:26" ht="31.4" customHeight="1" x14ac:dyDescent="0.35">
      <c r="N3916" s="20"/>
      <c r="P3916" s="8"/>
      <c r="Q3916" s="8"/>
      <c r="R3916" s="8"/>
      <c r="S3916" s="8"/>
      <c r="U3916" s="6"/>
      <c r="V3916" s="6"/>
      <c r="W3916" s="6"/>
      <c r="X3916" s="6"/>
      <c r="Y3916" s="6"/>
      <c r="Z3916" s="6"/>
    </row>
    <row r="3917" spans="14:26" ht="31.4" customHeight="1" x14ac:dyDescent="0.35">
      <c r="N3917" s="20"/>
      <c r="P3917" s="8"/>
      <c r="Q3917" s="8"/>
      <c r="R3917" s="8"/>
      <c r="S3917" s="8"/>
      <c r="U3917" s="6"/>
      <c r="V3917" s="6"/>
      <c r="W3917" s="6"/>
      <c r="X3917" s="6"/>
      <c r="Y3917" s="6"/>
      <c r="Z3917" s="6"/>
    </row>
    <row r="3918" spans="14:26" ht="31.4" customHeight="1" x14ac:dyDescent="0.35">
      <c r="N3918" s="20"/>
      <c r="P3918" s="8"/>
      <c r="Q3918" s="8"/>
      <c r="R3918" s="8"/>
      <c r="S3918" s="8"/>
      <c r="U3918" s="6"/>
      <c r="V3918" s="6"/>
      <c r="W3918" s="6"/>
      <c r="X3918" s="6"/>
      <c r="Y3918" s="6"/>
      <c r="Z3918" s="6"/>
    </row>
    <row r="3919" spans="14:26" ht="31.4" customHeight="1" x14ac:dyDescent="0.35">
      <c r="N3919" s="20"/>
      <c r="P3919" s="8"/>
      <c r="Q3919" s="8"/>
      <c r="R3919" s="8"/>
      <c r="S3919" s="8"/>
      <c r="U3919" s="6"/>
      <c r="V3919" s="6"/>
      <c r="W3919" s="6"/>
      <c r="X3919" s="6"/>
      <c r="Y3919" s="6"/>
      <c r="Z3919" s="6"/>
    </row>
    <row r="3920" spans="14:26" ht="31.4" customHeight="1" x14ac:dyDescent="0.35">
      <c r="N3920" s="20"/>
      <c r="P3920" s="8"/>
      <c r="Q3920" s="8"/>
      <c r="R3920" s="8"/>
      <c r="S3920" s="8"/>
      <c r="U3920" s="6"/>
      <c r="V3920" s="6"/>
      <c r="W3920" s="6"/>
      <c r="X3920" s="6"/>
      <c r="Y3920" s="6"/>
      <c r="Z3920" s="6"/>
    </row>
    <row r="3921" spans="14:26" ht="31.4" customHeight="1" x14ac:dyDescent="0.35">
      <c r="N3921" s="20"/>
      <c r="P3921" s="8"/>
      <c r="Q3921" s="8"/>
      <c r="R3921" s="8"/>
      <c r="S3921" s="8"/>
      <c r="U3921" s="6"/>
      <c r="V3921" s="6"/>
      <c r="W3921" s="6"/>
      <c r="X3921" s="6"/>
      <c r="Y3921" s="6"/>
      <c r="Z3921" s="6"/>
    </row>
    <row r="3922" spans="14:26" ht="31.4" customHeight="1" x14ac:dyDescent="0.35">
      <c r="N3922" s="20"/>
      <c r="P3922" s="8"/>
      <c r="Q3922" s="8"/>
      <c r="R3922" s="8"/>
      <c r="S3922" s="8"/>
      <c r="U3922" s="6"/>
      <c r="V3922" s="6"/>
      <c r="W3922" s="6"/>
      <c r="X3922" s="6"/>
      <c r="Y3922" s="6"/>
      <c r="Z3922" s="6"/>
    </row>
    <row r="3923" spans="14:26" ht="31.4" customHeight="1" x14ac:dyDescent="0.35">
      <c r="N3923" s="20"/>
      <c r="P3923" s="8"/>
      <c r="Q3923" s="8"/>
      <c r="R3923" s="8"/>
      <c r="S3923" s="8"/>
      <c r="U3923" s="6"/>
      <c r="V3923" s="6"/>
      <c r="W3923" s="6"/>
      <c r="X3923" s="6"/>
      <c r="Y3923" s="6"/>
      <c r="Z3923" s="6"/>
    </row>
    <row r="3924" spans="14:26" ht="31.4" customHeight="1" x14ac:dyDescent="0.35">
      <c r="N3924" s="20"/>
      <c r="P3924" s="8"/>
      <c r="Q3924" s="8"/>
      <c r="R3924" s="8"/>
      <c r="S3924" s="8"/>
      <c r="U3924" s="6"/>
      <c r="V3924" s="6"/>
      <c r="W3924" s="6"/>
      <c r="X3924" s="6"/>
      <c r="Y3924" s="6"/>
      <c r="Z3924" s="6"/>
    </row>
    <row r="3925" spans="14:26" ht="31.4" customHeight="1" x14ac:dyDescent="0.35">
      <c r="N3925" s="20"/>
      <c r="P3925" s="8"/>
      <c r="Q3925" s="8"/>
      <c r="R3925" s="8"/>
      <c r="S3925" s="8"/>
      <c r="U3925" s="6"/>
      <c r="V3925" s="6"/>
      <c r="W3925" s="6"/>
      <c r="X3925" s="6"/>
      <c r="Y3925" s="6"/>
      <c r="Z3925" s="6"/>
    </row>
    <row r="3926" spans="14:26" ht="31.4" customHeight="1" x14ac:dyDescent="0.35">
      <c r="N3926" s="20"/>
      <c r="P3926" s="8"/>
      <c r="Q3926" s="8"/>
      <c r="R3926" s="8"/>
      <c r="S3926" s="8"/>
      <c r="U3926" s="6"/>
      <c r="V3926" s="6"/>
      <c r="W3926" s="6"/>
      <c r="X3926" s="6"/>
      <c r="Y3926" s="6"/>
      <c r="Z3926" s="6"/>
    </row>
    <row r="3927" spans="14:26" ht="31.4" customHeight="1" x14ac:dyDescent="0.35">
      <c r="N3927" s="20"/>
      <c r="P3927" s="8"/>
      <c r="Q3927" s="8"/>
      <c r="R3927" s="8"/>
      <c r="S3927" s="8"/>
      <c r="U3927" s="6"/>
      <c r="V3927" s="6"/>
      <c r="W3927" s="6"/>
      <c r="X3927" s="6"/>
      <c r="Y3927" s="6"/>
      <c r="Z3927" s="6"/>
    </row>
    <row r="3928" spans="14:26" ht="31.4" customHeight="1" x14ac:dyDescent="0.35">
      <c r="N3928" s="20"/>
      <c r="P3928" s="8"/>
      <c r="Q3928" s="8"/>
      <c r="R3928" s="8"/>
      <c r="S3928" s="8"/>
      <c r="U3928" s="6"/>
      <c r="V3928" s="6"/>
      <c r="W3928" s="6"/>
      <c r="X3928" s="6"/>
      <c r="Y3928" s="6"/>
      <c r="Z3928" s="6"/>
    </row>
    <row r="3929" spans="14:26" ht="31.4" customHeight="1" x14ac:dyDescent="0.35">
      <c r="N3929" s="20"/>
      <c r="P3929" s="8"/>
      <c r="Q3929" s="8"/>
      <c r="R3929" s="8"/>
      <c r="S3929" s="8"/>
      <c r="U3929" s="6"/>
      <c r="V3929" s="6"/>
      <c r="W3929" s="6"/>
      <c r="X3929" s="6"/>
      <c r="Y3929" s="6"/>
      <c r="Z3929" s="6"/>
    </row>
    <row r="3930" spans="14:26" ht="31.4" customHeight="1" x14ac:dyDescent="0.35">
      <c r="N3930" s="20"/>
      <c r="P3930" s="8"/>
      <c r="Q3930" s="8"/>
      <c r="R3930" s="8"/>
      <c r="S3930" s="8"/>
      <c r="U3930" s="6"/>
      <c r="V3930" s="6"/>
      <c r="W3930" s="6"/>
      <c r="X3930" s="6"/>
      <c r="Y3930" s="6"/>
      <c r="Z3930" s="6"/>
    </row>
    <row r="3931" spans="14:26" ht="31.4" customHeight="1" x14ac:dyDescent="0.35">
      <c r="N3931" s="20"/>
      <c r="P3931" s="8"/>
      <c r="Q3931" s="8"/>
      <c r="R3931" s="8"/>
      <c r="S3931" s="8"/>
      <c r="U3931" s="6"/>
      <c r="V3931" s="6"/>
      <c r="W3931" s="6"/>
      <c r="X3931" s="6"/>
      <c r="Y3931" s="6"/>
      <c r="Z3931" s="6"/>
    </row>
    <row r="3932" spans="14:26" ht="31.4" customHeight="1" x14ac:dyDescent="0.35">
      <c r="N3932" s="20"/>
      <c r="P3932" s="8"/>
      <c r="Q3932" s="8"/>
      <c r="R3932" s="8"/>
      <c r="S3932" s="8"/>
      <c r="U3932" s="6"/>
      <c r="V3932" s="6"/>
      <c r="W3932" s="6"/>
      <c r="X3932" s="6"/>
      <c r="Y3932" s="6"/>
      <c r="Z3932" s="6"/>
    </row>
    <row r="3933" spans="14:26" ht="31.4" customHeight="1" x14ac:dyDescent="0.35">
      <c r="N3933" s="20"/>
      <c r="P3933" s="8"/>
      <c r="Q3933" s="8"/>
      <c r="R3933" s="8"/>
      <c r="S3933" s="8"/>
      <c r="U3933" s="6"/>
      <c r="V3933" s="6"/>
      <c r="W3933" s="6"/>
      <c r="X3933" s="6"/>
      <c r="Y3933" s="6"/>
      <c r="Z3933" s="6"/>
    </row>
    <row r="3934" spans="14:26" ht="31.4" customHeight="1" x14ac:dyDescent="0.35">
      <c r="N3934" s="20"/>
      <c r="P3934" s="8"/>
      <c r="Q3934" s="8"/>
      <c r="R3934" s="8"/>
      <c r="S3934" s="8"/>
      <c r="U3934" s="6"/>
      <c r="V3934" s="6"/>
      <c r="W3934" s="6"/>
      <c r="X3934" s="6"/>
      <c r="Y3934" s="6"/>
      <c r="Z3934" s="6"/>
    </row>
    <row r="3935" spans="14:26" ht="31.4" customHeight="1" x14ac:dyDescent="0.35">
      <c r="N3935" s="20"/>
      <c r="P3935" s="8"/>
      <c r="Q3935" s="8"/>
      <c r="R3935" s="8"/>
      <c r="S3935" s="8"/>
      <c r="U3935" s="6"/>
      <c r="V3935" s="6"/>
      <c r="W3935" s="6"/>
      <c r="X3935" s="6"/>
      <c r="Y3935" s="6"/>
      <c r="Z3935" s="6"/>
    </row>
    <row r="3936" spans="14:26" ht="31.4" customHeight="1" x14ac:dyDescent="0.35">
      <c r="N3936" s="20"/>
      <c r="P3936" s="8"/>
      <c r="Q3936" s="8"/>
      <c r="R3936" s="8"/>
      <c r="S3936" s="8"/>
      <c r="U3936" s="6"/>
      <c r="V3936" s="6"/>
      <c r="W3936" s="6"/>
      <c r="X3936" s="6"/>
      <c r="Y3936" s="6"/>
      <c r="Z3936" s="6"/>
    </row>
    <row r="3937" spans="14:26" ht="31.4" customHeight="1" x14ac:dyDescent="0.35">
      <c r="N3937" s="20"/>
      <c r="P3937" s="8"/>
      <c r="Q3937" s="8"/>
      <c r="R3937" s="8"/>
      <c r="S3937" s="8"/>
      <c r="U3937" s="6"/>
      <c r="V3937" s="6"/>
      <c r="W3937" s="6"/>
      <c r="X3937" s="6"/>
      <c r="Y3937" s="6"/>
      <c r="Z3937" s="6"/>
    </row>
    <row r="3938" spans="14:26" ht="31.4" customHeight="1" x14ac:dyDescent="0.35">
      <c r="N3938" s="20"/>
      <c r="P3938" s="8"/>
      <c r="Q3938" s="8"/>
      <c r="R3938" s="8"/>
      <c r="S3938" s="8"/>
      <c r="U3938" s="6"/>
      <c r="V3938" s="6"/>
      <c r="W3938" s="6"/>
      <c r="X3938" s="6"/>
      <c r="Y3938" s="6"/>
      <c r="Z3938" s="6"/>
    </row>
    <row r="3939" spans="14:26" ht="31.4" customHeight="1" x14ac:dyDescent="0.35">
      <c r="N3939" s="20"/>
      <c r="P3939" s="8"/>
      <c r="Q3939" s="8"/>
      <c r="R3939" s="8"/>
      <c r="S3939" s="8"/>
      <c r="U3939" s="6"/>
      <c r="V3939" s="6"/>
      <c r="W3939" s="6"/>
      <c r="X3939" s="6"/>
      <c r="Y3939" s="6"/>
      <c r="Z3939" s="6"/>
    </row>
    <row r="3940" spans="14:26" ht="31.4" customHeight="1" x14ac:dyDescent="0.35">
      <c r="N3940" s="20"/>
      <c r="P3940" s="8"/>
      <c r="Q3940" s="8"/>
      <c r="R3940" s="8"/>
      <c r="S3940" s="8"/>
      <c r="U3940" s="6"/>
      <c r="V3940" s="6"/>
      <c r="W3940" s="6"/>
      <c r="X3940" s="6"/>
      <c r="Y3940" s="6"/>
      <c r="Z3940" s="6"/>
    </row>
    <row r="3941" spans="14:26" ht="31.4" customHeight="1" x14ac:dyDescent="0.35">
      <c r="N3941" s="20"/>
      <c r="P3941" s="8"/>
      <c r="Q3941" s="8"/>
      <c r="R3941" s="8"/>
      <c r="S3941" s="8"/>
      <c r="U3941" s="6"/>
      <c r="V3941" s="6"/>
      <c r="W3941" s="6"/>
      <c r="X3941" s="6"/>
      <c r="Y3941" s="6"/>
      <c r="Z3941" s="6"/>
    </row>
    <row r="3942" spans="14:26" ht="31.4" customHeight="1" x14ac:dyDescent="0.35">
      <c r="N3942" s="20"/>
      <c r="P3942" s="8"/>
      <c r="Q3942" s="8"/>
      <c r="R3942" s="8"/>
      <c r="S3942" s="8"/>
      <c r="U3942" s="6"/>
      <c r="V3942" s="6"/>
      <c r="W3942" s="6"/>
      <c r="X3942" s="6"/>
      <c r="Y3942" s="6"/>
      <c r="Z3942" s="6"/>
    </row>
    <row r="3943" spans="14:26" ht="31.4" customHeight="1" x14ac:dyDescent="0.35">
      <c r="N3943" s="20"/>
      <c r="P3943" s="8"/>
      <c r="Q3943" s="8"/>
      <c r="R3943" s="8"/>
      <c r="S3943" s="8"/>
      <c r="U3943" s="6"/>
      <c r="V3943" s="6"/>
      <c r="W3943" s="6"/>
      <c r="X3943" s="6"/>
      <c r="Y3943" s="6"/>
      <c r="Z3943" s="6"/>
    </row>
    <row r="3944" spans="14:26" ht="31.4" customHeight="1" x14ac:dyDescent="0.35">
      <c r="N3944" s="20"/>
      <c r="P3944" s="8"/>
      <c r="Q3944" s="8"/>
      <c r="R3944" s="8"/>
      <c r="S3944" s="8"/>
      <c r="U3944" s="6"/>
      <c r="V3944" s="6"/>
      <c r="W3944" s="6"/>
      <c r="X3944" s="6"/>
      <c r="Y3944" s="6"/>
      <c r="Z3944" s="6"/>
    </row>
    <row r="3945" spans="14:26" ht="31.4" customHeight="1" x14ac:dyDescent="0.35">
      <c r="N3945" s="20"/>
      <c r="P3945" s="8"/>
      <c r="Q3945" s="8"/>
      <c r="R3945" s="8"/>
      <c r="S3945" s="8"/>
      <c r="U3945" s="6"/>
      <c r="V3945" s="6"/>
      <c r="W3945" s="6"/>
      <c r="X3945" s="6"/>
      <c r="Y3945" s="6"/>
      <c r="Z3945" s="6"/>
    </row>
    <row r="3946" spans="14:26" ht="31.4" customHeight="1" x14ac:dyDescent="0.35">
      <c r="N3946" s="20"/>
      <c r="P3946" s="8"/>
      <c r="Q3946" s="8"/>
      <c r="R3946" s="8"/>
      <c r="S3946" s="8"/>
      <c r="U3946" s="6"/>
      <c r="V3946" s="6"/>
      <c r="W3946" s="6"/>
      <c r="X3946" s="6"/>
      <c r="Y3946" s="6"/>
      <c r="Z3946" s="6"/>
    </row>
    <row r="3947" spans="14:26" ht="31.4" customHeight="1" x14ac:dyDescent="0.35">
      <c r="N3947" s="20"/>
      <c r="P3947" s="8"/>
      <c r="Q3947" s="8"/>
      <c r="R3947" s="8"/>
      <c r="S3947" s="8"/>
      <c r="U3947" s="6"/>
      <c r="V3947" s="6"/>
      <c r="W3947" s="6"/>
      <c r="X3947" s="6"/>
      <c r="Y3947" s="6"/>
      <c r="Z3947" s="6"/>
    </row>
    <row r="3948" spans="14:26" ht="31.4" customHeight="1" x14ac:dyDescent="0.35">
      <c r="N3948" s="20"/>
      <c r="P3948" s="8"/>
      <c r="Q3948" s="8"/>
      <c r="R3948" s="8"/>
      <c r="S3948" s="8"/>
      <c r="U3948" s="6"/>
      <c r="V3948" s="6"/>
      <c r="W3948" s="6"/>
      <c r="X3948" s="6"/>
      <c r="Y3948" s="6"/>
      <c r="Z3948" s="6"/>
    </row>
    <row r="3949" spans="14:26" ht="31.4" customHeight="1" x14ac:dyDescent="0.35">
      <c r="N3949" s="20"/>
      <c r="P3949" s="8"/>
      <c r="Q3949" s="8"/>
      <c r="R3949" s="8"/>
      <c r="S3949" s="8"/>
      <c r="U3949" s="6"/>
      <c r="V3949" s="6"/>
      <c r="W3949" s="6"/>
      <c r="X3949" s="6"/>
      <c r="Y3949" s="6"/>
      <c r="Z3949" s="6"/>
    </row>
    <row r="3950" spans="14:26" ht="31.4" customHeight="1" x14ac:dyDescent="0.35">
      <c r="N3950" s="20"/>
      <c r="P3950" s="8"/>
      <c r="Q3950" s="8"/>
      <c r="R3950" s="8"/>
      <c r="S3950" s="8"/>
      <c r="U3950" s="6"/>
      <c r="V3950" s="6"/>
      <c r="W3950" s="6"/>
      <c r="X3950" s="6"/>
      <c r="Y3950" s="6"/>
      <c r="Z3950" s="6"/>
    </row>
    <row r="3951" spans="14:26" ht="31.4" customHeight="1" x14ac:dyDescent="0.35">
      <c r="N3951" s="20"/>
      <c r="P3951" s="8"/>
      <c r="Q3951" s="8"/>
      <c r="R3951" s="8"/>
      <c r="S3951" s="8"/>
      <c r="U3951" s="6"/>
      <c r="V3951" s="6"/>
      <c r="W3951" s="6"/>
      <c r="X3951" s="6"/>
      <c r="Y3951" s="6"/>
      <c r="Z3951" s="6"/>
    </row>
    <row r="3952" spans="14:26" ht="31.4" customHeight="1" x14ac:dyDescent="0.35">
      <c r="N3952" s="20"/>
      <c r="P3952" s="8"/>
      <c r="Q3952" s="8"/>
      <c r="R3952" s="8"/>
      <c r="S3952" s="8"/>
      <c r="U3952" s="6"/>
      <c r="V3952" s="6"/>
      <c r="W3952" s="6"/>
      <c r="X3952" s="6"/>
      <c r="Y3952" s="6"/>
      <c r="Z3952" s="6"/>
    </row>
    <row r="3953" spans="14:26" ht="31.4" customHeight="1" x14ac:dyDescent="0.35">
      <c r="N3953" s="20"/>
      <c r="P3953" s="8"/>
      <c r="Q3953" s="8"/>
      <c r="R3953" s="8"/>
      <c r="S3953" s="8"/>
      <c r="U3953" s="6"/>
      <c r="V3953" s="6"/>
      <c r="W3953" s="6"/>
      <c r="X3953" s="6"/>
      <c r="Y3953" s="6"/>
      <c r="Z3953" s="6"/>
    </row>
    <row r="3954" spans="14:26" ht="31.4" customHeight="1" x14ac:dyDescent="0.35">
      <c r="N3954" s="20"/>
      <c r="P3954" s="8"/>
      <c r="Q3954" s="8"/>
      <c r="R3954" s="8"/>
      <c r="S3954" s="8"/>
      <c r="U3954" s="6"/>
      <c r="V3954" s="6"/>
      <c r="W3954" s="6"/>
      <c r="X3954" s="6"/>
      <c r="Y3954" s="6"/>
      <c r="Z3954" s="6"/>
    </row>
    <row r="3955" spans="14:26" ht="31.4" customHeight="1" x14ac:dyDescent="0.35">
      <c r="N3955" s="20"/>
      <c r="P3955" s="8"/>
      <c r="Q3955" s="8"/>
      <c r="R3955" s="8"/>
      <c r="S3955" s="8"/>
      <c r="U3955" s="6"/>
      <c r="V3955" s="6"/>
      <c r="W3955" s="6"/>
      <c r="X3955" s="6"/>
      <c r="Y3955" s="6"/>
      <c r="Z3955" s="6"/>
    </row>
    <row r="3956" spans="14:26" ht="31.4" customHeight="1" x14ac:dyDescent="0.35">
      <c r="N3956" s="20"/>
      <c r="P3956" s="8"/>
      <c r="Q3956" s="8"/>
      <c r="R3956" s="8"/>
      <c r="S3956" s="8"/>
      <c r="U3956" s="6"/>
      <c r="V3956" s="6"/>
      <c r="W3956" s="6"/>
      <c r="X3956" s="6"/>
      <c r="Y3956" s="6"/>
      <c r="Z3956" s="6"/>
    </row>
    <row r="3957" spans="14:26" ht="31.4" customHeight="1" x14ac:dyDescent="0.35">
      <c r="N3957" s="20"/>
      <c r="P3957" s="8"/>
      <c r="Q3957" s="8"/>
      <c r="R3957" s="8"/>
      <c r="S3957" s="8"/>
      <c r="U3957" s="6"/>
      <c r="V3957" s="6"/>
      <c r="W3957" s="6"/>
      <c r="X3957" s="6"/>
      <c r="Y3957" s="6"/>
      <c r="Z3957" s="6"/>
    </row>
    <row r="3958" spans="14:26" ht="31.4" customHeight="1" x14ac:dyDescent="0.35">
      <c r="N3958" s="20"/>
      <c r="P3958" s="8"/>
      <c r="Q3958" s="8"/>
      <c r="R3958" s="8"/>
      <c r="S3958" s="8"/>
      <c r="U3958" s="6"/>
      <c r="V3958" s="6"/>
      <c r="W3958" s="6"/>
      <c r="X3958" s="6"/>
      <c r="Y3958" s="6"/>
      <c r="Z3958" s="6"/>
    </row>
    <row r="3959" spans="14:26" ht="31.4" customHeight="1" x14ac:dyDescent="0.35">
      <c r="N3959" s="20"/>
      <c r="P3959" s="8"/>
      <c r="Q3959" s="8"/>
      <c r="R3959" s="8"/>
      <c r="S3959" s="8"/>
      <c r="U3959" s="6"/>
      <c r="V3959" s="6"/>
      <c r="W3959" s="6"/>
      <c r="X3959" s="6"/>
      <c r="Y3959" s="6"/>
      <c r="Z3959" s="6"/>
    </row>
    <row r="3960" spans="14:26" ht="31.4" customHeight="1" x14ac:dyDescent="0.35">
      <c r="N3960" s="20"/>
      <c r="P3960" s="8"/>
      <c r="Q3960" s="8"/>
      <c r="R3960" s="8"/>
      <c r="S3960" s="8"/>
      <c r="U3960" s="6"/>
      <c r="V3960" s="6"/>
      <c r="W3960" s="6"/>
      <c r="X3960" s="6"/>
      <c r="Y3960" s="6"/>
      <c r="Z3960" s="6"/>
    </row>
    <row r="3961" spans="14:26" ht="31.4" customHeight="1" x14ac:dyDescent="0.35">
      <c r="N3961" s="20"/>
      <c r="P3961" s="8"/>
      <c r="Q3961" s="8"/>
      <c r="R3961" s="8"/>
      <c r="S3961" s="8"/>
      <c r="U3961" s="6"/>
      <c r="V3961" s="6"/>
      <c r="W3961" s="6"/>
      <c r="X3961" s="6"/>
      <c r="Y3961" s="6"/>
      <c r="Z3961" s="6"/>
    </row>
    <row r="3962" spans="14:26" ht="31.4" customHeight="1" x14ac:dyDescent="0.35">
      <c r="N3962" s="20"/>
      <c r="P3962" s="8"/>
      <c r="Q3962" s="8"/>
      <c r="R3962" s="8"/>
      <c r="S3962" s="8"/>
      <c r="U3962" s="6"/>
      <c r="V3962" s="6"/>
      <c r="W3962" s="6"/>
      <c r="X3962" s="6"/>
      <c r="Y3962" s="6"/>
      <c r="Z3962" s="6"/>
    </row>
    <row r="3963" spans="14:26" ht="31.4" customHeight="1" x14ac:dyDescent="0.35">
      <c r="N3963" s="20"/>
      <c r="P3963" s="8"/>
      <c r="Q3963" s="8"/>
      <c r="R3963" s="8"/>
      <c r="S3963" s="8"/>
      <c r="U3963" s="6"/>
      <c r="V3963" s="6"/>
      <c r="W3963" s="6"/>
      <c r="X3963" s="6"/>
      <c r="Y3963" s="6"/>
      <c r="Z3963" s="6"/>
    </row>
    <row r="3964" spans="14:26" ht="31.4" customHeight="1" x14ac:dyDescent="0.35">
      <c r="N3964" s="20"/>
      <c r="P3964" s="8"/>
      <c r="Q3964" s="8"/>
      <c r="R3964" s="8"/>
      <c r="S3964" s="8"/>
      <c r="U3964" s="6"/>
      <c r="V3964" s="6"/>
      <c r="W3964" s="6"/>
      <c r="X3964" s="6"/>
      <c r="Y3964" s="6"/>
      <c r="Z3964" s="6"/>
    </row>
    <row r="3965" spans="14:26" ht="31.4" customHeight="1" x14ac:dyDescent="0.35">
      <c r="N3965" s="20"/>
      <c r="P3965" s="8"/>
      <c r="Q3965" s="8"/>
      <c r="R3965" s="8"/>
      <c r="S3965" s="8"/>
      <c r="U3965" s="6"/>
      <c r="V3965" s="6"/>
      <c r="W3965" s="6"/>
      <c r="X3965" s="6"/>
      <c r="Y3965" s="6"/>
      <c r="Z3965" s="6"/>
    </row>
    <row r="3966" spans="14:26" ht="31.4" customHeight="1" x14ac:dyDescent="0.35">
      <c r="N3966" s="20"/>
      <c r="P3966" s="8"/>
      <c r="Q3966" s="8"/>
      <c r="R3966" s="8"/>
      <c r="S3966" s="8"/>
      <c r="U3966" s="6"/>
      <c r="V3966" s="6"/>
      <c r="W3966" s="6"/>
      <c r="X3966" s="6"/>
      <c r="Y3966" s="6"/>
      <c r="Z3966" s="6"/>
    </row>
    <row r="3967" spans="14:26" ht="31.4" customHeight="1" x14ac:dyDescent="0.35">
      <c r="N3967" s="20"/>
      <c r="P3967" s="8"/>
      <c r="Q3967" s="8"/>
      <c r="R3967" s="8"/>
      <c r="S3967" s="8"/>
      <c r="U3967" s="6"/>
      <c r="V3967" s="6"/>
      <c r="W3967" s="6"/>
      <c r="X3967" s="6"/>
      <c r="Y3967" s="6"/>
      <c r="Z3967" s="6"/>
    </row>
    <row r="3968" spans="14:26" ht="31.4" customHeight="1" x14ac:dyDescent="0.35">
      <c r="N3968" s="20"/>
      <c r="P3968" s="8"/>
      <c r="Q3968" s="8"/>
      <c r="R3968" s="8"/>
      <c r="S3968" s="8"/>
      <c r="U3968" s="6"/>
      <c r="V3968" s="6"/>
      <c r="W3968" s="6"/>
      <c r="X3968" s="6"/>
      <c r="Y3968" s="6"/>
      <c r="Z3968" s="6"/>
    </row>
    <row r="3969" spans="14:26" ht="31.4" customHeight="1" x14ac:dyDescent="0.35">
      <c r="N3969" s="20"/>
      <c r="P3969" s="8"/>
      <c r="Q3969" s="8"/>
      <c r="R3969" s="8"/>
      <c r="S3969" s="8"/>
      <c r="U3969" s="6"/>
      <c r="V3969" s="6"/>
      <c r="W3969" s="6"/>
      <c r="X3969" s="6"/>
      <c r="Y3969" s="6"/>
      <c r="Z3969" s="6"/>
    </row>
    <row r="3970" spans="14:26" ht="31.4" customHeight="1" x14ac:dyDescent="0.35">
      <c r="N3970" s="20"/>
      <c r="P3970" s="8"/>
      <c r="Q3970" s="8"/>
      <c r="R3970" s="8"/>
      <c r="S3970" s="8"/>
      <c r="U3970" s="6"/>
      <c r="V3970" s="6"/>
      <c r="W3970" s="6"/>
      <c r="X3970" s="6"/>
      <c r="Y3970" s="6"/>
      <c r="Z3970" s="6"/>
    </row>
    <row r="3971" spans="14:26" ht="31.4" customHeight="1" x14ac:dyDescent="0.35">
      <c r="N3971" s="20"/>
      <c r="P3971" s="8"/>
      <c r="Q3971" s="8"/>
      <c r="R3971" s="8"/>
      <c r="S3971" s="8"/>
      <c r="U3971" s="6"/>
      <c r="V3971" s="6"/>
      <c r="W3971" s="6"/>
      <c r="X3971" s="6"/>
      <c r="Y3971" s="6"/>
      <c r="Z3971" s="6"/>
    </row>
    <row r="3972" spans="14:26" ht="31.4" customHeight="1" x14ac:dyDescent="0.35">
      <c r="N3972" s="20"/>
      <c r="P3972" s="8"/>
      <c r="Q3972" s="8"/>
      <c r="R3972" s="8"/>
      <c r="S3972" s="8"/>
      <c r="U3972" s="6"/>
      <c r="V3972" s="6"/>
      <c r="W3972" s="6"/>
      <c r="X3972" s="6"/>
      <c r="Y3972" s="6"/>
      <c r="Z3972" s="6"/>
    </row>
    <row r="3973" spans="14:26" ht="31.4" customHeight="1" x14ac:dyDescent="0.35">
      <c r="N3973" s="20"/>
      <c r="P3973" s="8"/>
      <c r="Q3973" s="8"/>
      <c r="R3973" s="8"/>
      <c r="S3973" s="8"/>
      <c r="U3973" s="6"/>
      <c r="V3973" s="6"/>
      <c r="W3973" s="6"/>
      <c r="X3973" s="6"/>
      <c r="Y3973" s="6"/>
      <c r="Z3973" s="6"/>
    </row>
    <row r="3974" spans="14:26" ht="31.4" customHeight="1" x14ac:dyDescent="0.35">
      <c r="N3974" s="20"/>
      <c r="P3974" s="8"/>
      <c r="Q3974" s="8"/>
      <c r="R3974" s="8"/>
      <c r="S3974" s="8"/>
      <c r="U3974" s="6"/>
      <c r="V3974" s="6"/>
      <c r="W3974" s="6"/>
      <c r="X3974" s="6"/>
      <c r="Y3974" s="6"/>
      <c r="Z3974" s="6"/>
    </row>
    <row r="3975" spans="14:26" ht="31.4" customHeight="1" x14ac:dyDescent="0.35">
      <c r="N3975" s="20"/>
      <c r="P3975" s="8"/>
      <c r="Q3975" s="8"/>
      <c r="R3975" s="8"/>
      <c r="S3975" s="8"/>
      <c r="U3975" s="6"/>
      <c r="V3975" s="6"/>
      <c r="W3975" s="6"/>
      <c r="X3975" s="6"/>
      <c r="Y3975" s="6"/>
      <c r="Z3975" s="6"/>
    </row>
    <row r="3976" spans="14:26" ht="31.4" customHeight="1" x14ac:dyDescent="0.35">
      <c r="N3976" s="20"/>
      <c r="P3976" s="8"/>
      <c r="Q3976" s="8"/>
      <c r="R3976" s="8"/>
      <c r="S3976" s="8"/>
      <c r="U3976" s="6"/>
      <c r="V3976" s="6"/>
      <c r="W3976" s="6"/>
      <c r="X3976" s="6"/>
      <c r="Y3976" s="6"/>
      <c r="Z3976" s="6"/>
    </row>
    <row r="3977" spans="14:26" ht="31.4" customHeight="1" x14ac:dyDescent="0.35">
      <c r="N3977" s="20"/>
      <c r="P3977" s="8"/>
      <c r="Q3977" s="8"/>
      <c r="R3977" s="8"/>
      <c r="S3977" s="8"/>
      <c r="U3977" s="6"/>
      <c r="V3977" s="6"/>
      <c r="W3977" s="6"/>
      <c r="X3977" s="6"/>
      <c r="Y3977" s="6"/>
      <c r="Z3977" s="6"/>
    </row>
    <row r="3978" spans="14:26" ht="31.4" customHeight="1" x14ac:dyDescent="0.35">
      <c r="N3978" s="20"/>
      <c r="P3978" s="8"/>
      <c r="Q3978" s="8"/>
      <c r="R3978" s="8"/>
      <c r="S3978" s="8"/>
      <c r="U3978" s="6"/>
      <c r="V3978" s="6"/>
      <c r="W3978" s="6"/>
      <c r="X3978" s="6"/>
      <c r="Y3978" s="6"/>
      <c r="Z3978" s="6"/>
    </row>
    <row r="3979" spans="14:26" ht="31.4" customHeight="1" x14ac:dyDescent="0.35">
      <c r="N3979" s="20"/>
      <c r="P3979" s="8"/>
      <c r="Q3979" s="8"/>
      <c r="R3979" s="8"/>
      <c r="S3979" s="8"/>
      <c r="U3979" s="6"/>
      <c r="V3979" s="6"/>
      <c r="W3979" s="6"/>
      <c r="X3979" s="6"/>
      <c r="Y3979" s="6"/>
      <c r="Z3979" s="6"/>
    </row>
    <row r="3980" spans="14:26" ht="31.4" customHeight="1" x14ac:dyDescent="0.35">
      <c r="N3980" s="20"/>
      <c r="P3980" s="8"/>
      <c r="Q3980" s="8"/>
      <c r="R3980" s="8"/>
      <c r="S3980" s="8"/>
      <c r="U3980" s="6"/>
      <c r="V3980" s="6"/>
      <c r="W3980" s="6"/>
      <c r="X3980" s="6"/>
      <c r="Y3980" s="6"/>
      <c r="Z3980" s="6"/>
    </row>
    <row r="3981" spans="14:26" ht="31.4" customHeight="1" x14ac:dyDescent="0.35">
      <c r="N3981" s="20"/>
      <c r="P3981" s="8"/>
      <c r="Q3981" s="8"/>
      <c r="R3981" s="8"/>
      <c r="S3981" s="8"/>
      <c r="U3981" s="6"/>
      <c r="V3981" s="6"/>
      <c r="W3981" s="6"/>
      <c r="X3981" s="6"/>
      <c r="Y3981" s="6"/>
      <c r="Z3981" s="6"/>
    </row>
    <row r="3982" spans="14:26" ht="31.4" customHeight="1" x14ac:dyDescent="0.35">
      <c r="N3982" s="20"/>
      <c r="P3982" s="8"/>
      <c r="Q3982" s="8"/>
      <c r="R3982" s="8"/>
      <c r="S3982" s="8"/>
      <c r="U3982" s="6"/>
      <c r="V3982" s="6"/>
      <c r="W3982" s="6"/>
      <c r="X3982" s="6"/>
      <c r="Y3982" s="6"/>
      <c r="Z3982" s="6"/>
    </row>
    <row r="3983" spans="14:26" ht="31.4" customHeight="1" x14ac:dyDescent="0.35">
      <c r="N3983" s="20"/>
      <c r="P3983" s="8"/>
      <c r="Q3983" s="8"/>
      <c r="R3983" s="8"/>
      <c r="S3983" s="8"/>
      <c r="U3983" s="6"/>
      <c r="V3983" s="6"/>
      <c r="W3983" s="6"/>
      <c r="X3983" s="6"/>
      <c r="Y3983" s="6"/>
      <c r="Z3983" s="6"/>
    </row>
    <row r="3984" spans="14:26" ht="31.4" customHeight="1" x14ac:dyDescent="0.35">
      <c r="N3984" s="20"/>
      <c r="P3984" s="8"/>
      <c r="Q3984" s="8"/>
      <c r="R3984" s="8"/>
      <c r="S3984" s="8"/>
      <c r="U3984" s="6"/>
      <c r="V3984" s="6"/>
      <c r="W3984" s="6"/>
      <c r="X3984" s="6"/>
      <c r="Y3984" s="6"/>
      <c r="Z3984" s="6"/>
    </row>
    <row r="3985" spans="14:26" ht="31.4" customHeight="1" x14ac:dyDescent="0.35">
      <c r="N3985" s="20"/>
      <c r="P3985" s="8"/>
      <c r="Q3985" s="8"/>
      <c r="R3985" s="8"/>
      <c r="S3985" s="8"/>
      <c r="U3985" s="6"/>
      <c r="V3985" s="6"/>
      <c r="W3985" s="6"/>
      <c r="X3985" s="6"/>
      <c r="Y3985" s="6"/>
      <c r="Z3985" s="6"/>
    </row>
    <row r="3986" spans="14:26" ht="31.4" customHeight="1" x14ac:dyDescent="0.35">
      <c r="N3986" s="20"/>
      <c r="P3986" s="8"/>
      <c r="Q3986" s="8"/>
      <c r="R3986" s="8"/>
      <c r="S3986" s="8"/>
      <c r="U3986" s="6"/>
      <c r="V3986" s="6"/>
      <c r="W3986" s="6"/>
      <c r="X3986" s="6"/>
      <c r="Y3986" s="6"/>
      <c r="Z3986" s="6"/>
    </row>
    <row r="3987" spans="14:26" ht="31.4" customHeight="1" x14ac:dyDescent="0.35">
      <c r="N3987" s="20"/>
      <c r="P3987" s="8"/>
      <c r="Q3987" s="8"/>
      <c r="R3987" s="8"/>
      <c r="S3987" s="8"/>
      <c r="U3987" s="6"/>
      <c r="V3987" s="6"/>
      <c r="W3987" s="6"/>
      <c r="X3987" s="6"/>
      <c r="Y3987" s="6"/>
      <c r="Z3987" s="6"/>
    </row>
    <row r="3988" spans="14:26" ht="31.4" customHeight="1" x14ac:dyDescent="0.35">
      <c r="N3988" s="20"/>
      <c r="P3988" s="8"/>
      <c r="Q3988" s="8"/>
      <c r="R3988" s="8"/>
      <c r="S3988" s="8"/>
      <c r="U3988" s="6"/>
      <c r="V3988" s="6"/>
      <c r="W3988" s="6"/>
      <c r="X3988" s="6"/>
      <c r="Y3988" s="6"/>
      <c r="Z3988" s="6"/>
    </row>
    <row r="3989" spans="14:26" ht="31.4" customHeight="1" x14ac:dyDescent="0.35">
      <c r="N3989" s="20"/>
      <c r="P3989" s="8"/>
      <c r="Q3989" s="8"/>
      <c r="R3989" s="8"/>
      <c r="S3989" s="8"/>
      <c r="U3989" s="6"/>
      <c r="V3989" s="6"/>
      <c r="W3989" s="6"/>
      <c r="X3989" s="6"/>
      <c r="Y3989" s="6"/>
      <c r="Z3989" s="6"/>
    </row>
    <row r="3990" spans="14:26" ht="31.4" customHeight="1" x14ac:dyDescent="0.35">
      <c r="N3990" s="20"/>
      <c r="P3990" s="8"/>
      <c r="Q3990" s="8"/>
      <c r="R3990" s="8"/>
      <c r="S3990" s="8"/>
      <c r="U3990" s="6"/>
      <c r="V3990" s="6"/>
      <c r="W3990" s="6"/>
      <c r="X3990" s="6"/>
      <c r="Y3990" s="6"/>
      <c r="Z3990" s="6"/>
    </row>
    <row r="3991" spans="14:26" ht="31.4" customHeight="1" x14ac:dyDescent="0.35">
      <c r="N3991" s="20"/>
      <c r="P3991" s="8"/>
      <c r="Q3991" s="8"/>
      <c r="R3991" s="8"/>
      <c r="S3991" s="8"/>
      <c r="U3991" s="6"/>
      <c r="V3991" s="6"/>
      <c r="W3991" s="6"/>
      <c r="X3991" s="6"/>
      <c r="Y3991" s="6"/>
      <c r="Z3991" s="6"/>
    </row>
    <row r="3992" spans="14:26" ht="31.4" customHeight="1" x14ac:dyDescent="0.35">
      <c r="N3992" s="20"/>
      <c r="P3992" s="8"/>
      <c r="Q3992" s="8"/>
      <c r="R3992" s="8"/>
      <c r="S3992" s="8"/>
      <c r="U3992" s="6"/>
      <c r="V3992" s="6"/>
      <c r="W3992" s="6"/>
      <c r="X3992" s="6"/>
      <c r="Y3992" s="6"/>
      <c r="Z3992" s="6"/>
    </row>
    <row r="3993" spans="14:26" ht="31.4" customHeight="1" x14ac:dyDescent="0.35">
      <c r="N3993" s="20"/>
      <c r="P3993" s="8"/>
      <c r="Q3993" s="8"/>
      <c r="R3993" s="8"/>
      <c r="S3993" s="8"/>
      <c r="U3993" s="6"/>
      <c r="V3993" s="6"/>
      <c r="W3993" s="6"/>
      <c r="X3993" s="6"/>
      <c r="Y3993" s="6"/>
      <c r="Z3993" s="6"/>
    </row>
    <row r="3994" spans="14:26" ht="31.4" customHeight="1" x14ac:dyDescent="0.35">
      <c r="N3994" s="20"/>
      <c r="P3994" s="8"/>
      <c r="Q3994" s="8"/>
      <c r="R3994" s="8"/>
      <c r="S3994" s="8"/>
      <c r="U3994" s="6"/>
      <c r="V3994" s="6"/>
      <c r="W3994" s="6"/>
      <c r="X3994" s="6"/>
      <c r="Y3994" s="6"/>
      <c r="Z3994" s="6"/>
    </row>
    <row r="3995" spans="14:26" ht="31.4" customHeight="1" x14ac:dyDescent="0.35">
      <c r="N3995" s="20"/>
      <c r="P3995" s="8"/>
      <c r="Q3995" s="8"/>
      <c r="R3995" s="8"/>
      <c r="S3995" s="8"/>
      <c r="U3995" s="6"/>
      <c r="V3995" s="6"/>
      <c r="W3995" s="6"/>
      <c r="X3995" s="6"/>
      <c r="Y3995" s="6"/>
      <c r="Z3995" s="6"/>
    </row>
    <row r="3996" spans="14:26" ht="31.4" customHeight="1" x14ac:dyDescent="0.35">
      <c r="N3996" s="20"/>
      <c r="P3996" s="8"/>
      <c r="Q3996" s="8"/>
      <c r="R3996" s="8"/>
      <c r="S3996" s="8"/>
      <c r="U3996" s="6"/>
      <c r="V3996" s="6"/>
      <c r="W3996" s="6"/>
      <c r="X3996" s="6"/>
      <c r="Y3996" s="6"/>
      <c r="Z3996" s="6"/>
    </row>
    <row r="3997" spans="14:26" ht="31.4" customHeight="1" x14ac:dyDescent="0.35">
      <c r="N3997" s="20"/>
      <c r="P3997" s="8"/>
      <c r="Q3997" s="8"/>
      <c r="R3997" s="8"/>
      <c r="S3997" s="8"/>
      <c r="U3997" s="6"/>
      <c r="V3997" s="6"/>
      <c r="W3997" s="6"/>
      <c r="X3997" s="6"/>
      <c r="Y3997" s="6"/>
      <c r="Z3997" s="6"/>
    </row>
    <row r="3998" spans="14:26" ht="31.4" customHeight="1" x14ac:dyDescent="0.35">
      <c r="N3998" s="20"/>
      <c r="P3998" s="8"/>
      <c r="Q3998" s="8"/>
      <c r="R3998" s="8"/>
      <c r="S3998" s="8"/>
      <c r="U3998" s="6"/>
      <c r="V3998" s="6"/>
      <c r="W3998" s="6"/>
      <c r="X3998" s="6"/>
      <c r="Y3998" s="6"/>
      <c r="Z3998" s="6"/>
    </row>
    <row r="3999" spans="14:26" ht="31.4" customHeight="1" x14ac:dyDescent="0.35">
      <c r="N3999" s="20"/>
      <c r="P3999" s="8"/>
      <c r="Q3999" s="8"/>
      <c r="R3999" s="8"/>
      <c r="S3999" s="8"/>
      <c r="U3999" s="6"/>
      <c r="V3999" s="6"/>
      <c r="W3999" s="6"/>
      <c r="X3999" s="6"/>
      <c r="Y3999" s="6"/>
      <c r="Z3999" s="6"/>
    </row>
    <row r="4000" spans="14:26" ht="31.4" customHeight="1" x14ac:dyDescent="0.35">
      <c r="N4000" s="20"/>
      <c r="P4000" s="8"/>
      <c r="Q4000" s="8"/>
      <c r="R4000" s="8"/>
      <c r="S4000" s="8"/>
      <c r="U4000" s="6"/>
      <c r="V4000" s="6"/>
      <c r="W4000" s="6"/>
      <c r="X4000" s="6"/>
      <c r="Y4000" s="6"/>
      <c r="Z4000" s="6"/>
    </row>
    <row r="4001" spans="14:26" ht="31.4" customHeight="1" x14ac:dyDescent="0.35">
      <c r="N4001" s="20"/>
      <c r="P4001" s="8"/>
      <c r="Q4001" s="8"/>
      <c r="R4001" s="8"/>
      <c r="S4001" s="8"/>
      <c r="U4001" s="6"/>
      <c r="V4001" s="6"/>
      <c r="W4001" s="6"/>
      <c r="X4001" s="6"/>
      <c r="Y4001" s="6"/>
      <c r="Z4001" s="6"/>
    </row>
    <row r="4002" spans="14:26" ht="31.4" customHeight="1" x14ac:dyDescent="0.35">
      <c r="N4002" s="20"/>
      <c r="P4002" s="8"/>
      <c r="Q4002" s="8"/>
      <c r="R4002" s="8"/>
      <c r="S4002" s="8"/>
      <c r="U4002" s="6"/>
      <c r="V4002" s="6"/>
      <c r="W4002" s="6"/>
      <c r="X4002" s="6"/>
      <c r="Y4002" s="6"/>
      <c r="Z4002" s="6"/>
    </row>
    <row r="4003" spans="14:26" ht="31.4" customHeight="1" x14ac:dyDescent="0.35">
      <c r="N4003" s="20"/>
      <c r="P4003" s="8"/>
      <c r="Q4003" s="8"/>
      <c r="R4003" s="8"/>
      <c r="S4003" s="8"/>
      <c r="U4003" s="6"/>
      <c r="V4003" s="6"/>
      <c r="W4003" s="6"/>
      <c r="X4003" s="6"/>
      <c r="Y4003" s="6"/>
      <c r="Z4003" s="6"/>
    </row>
    <row r="4004" spans="14:26" ht="31.4" customHeight="1" x14ac:dyDescent="0.35">
      <c r="N4004" s="20"/>
      <c r="P4004" s="8"/>
      <c r="Q4004" s="8"/>
      <c r="R4004" s="8"/>
      <c r="S4004" s="8"/>
      <c r="U4004" s="6"/>
      <c r="V4004" s="6"/>
      <c r="W4004" s="6"/>
      <c r="X4004" s="6"/>
      <c r="Y4004" s="6"/>
      <c r="Z4004" s="6"/>
    </row>
    <row r="4005" spans="14:26" ht="31.4" customHeight="1" x14ac:dyDescent="0.35">
      <c r="N4005" s="20"/>
      <c r="P4005" s="8"/>
      <c r="Q4005" s="8"/>
      <c r="R4005" s="8"/>
      <c r="S4005" s="8"/>
      <c r="U4005" s="6"/>
      <c r="V4005" s="6"/>
      <c r="W4005" s="6"/>
      <c r="X4005" s="6"/>
      <c r="Y4005" s="6"/>
      <c r="Z4005" s="6"/>
    </row>
    <row r="4006" spans="14:26" ht="31.4" customHeight="1" x14ac:dyDescent="0.35">
      <c r="N4006" s="20"/>
      <c r="P4006" s="8"/>
      <c r="Q4006" s="8"/>
      <c r="R4006" s="8"/>
      <c r="S4006" s="8"/>
      <c r="U4006" s="6"/>
      <c r="V4006" s="6"/>
      <c r="W4006" s="6"/>
      <c r="X4006" s="6"/>
      <c r="Y4006" s="6"/>
      <c r="Z4006" s="6"/>
    </row>
    <row r="4007" spans="14:26" ht="31.4" customHeight="1" x14ac:dyDescent="0.35">
      <c r="N4007" s="20"/>
      <c r="P4007" s="8"/>
      <c r="Q4007" s="8"/>
      <c r="R4007" s="8"/>
      <c r="S4007" s="8"/>
      <c r="U4007" s="6"/>
      <c r="V4007" s="6"/>
      <c r="W4007" s="6"/>
      <c r="X4007" s="6"/>
      <c r="Y4007" s="6"/>
      <c r="Z4007" s="6"/>
    </row>
    <row r="4008" spans="14:26" ht="31.4" customHeight="1" x14ac:dyDescent="0.35">
      <c r="N4008" s="20"/>
      <c r="P4008" s="8"/>
      <c r="Q4008" s="8"/>
      <c r="R4008" s="8"/>
      <c r="S4008" s="8"/>
      <c r="U4008" s="6"/>
      <c r="V4008" s="6"/>
      <c r="W4008" s="6"/>
      <c r="X4008" s="6"/>
      <c r="Y4008" s="6"/>
      <c r="Z4008" s="6"/>
    </row>
    <row r="4009" spans="14:26" ht="31.4" customHeight="1" x14ac:dyDescent="0.35">
      <c r="N4009" s="20"/>
      <c r="P4009" s="8"/>
      <c r="Q4009" s="8"/>
      <c r="R4009" s="8"/>
      <c r="S4009" s="8"/>
      <c r="U4009" s="6"/>
      <c r="V4009" s="6"/>
      <c r="W4009" s="6"/>
      <c r="X4009" s="6"/>
      <c r="Y4009" s="6"/>
      <c r="Z4009" s="6"/>
    </row>
    <row r="4010" spans="14:26" ht="31.4" customHeight="1" x14ac:dyDescent="0.35">
      <c r="N4010" s="20"/>
      <c r="P4010" s="8"/>
      <c r="Q4010" s="8"/>
      <c r="R4010" s="8"/>
      <c r="S4010" s="8"/>
      <c r="U4010" s="6"/>
      <c r="V4010" s="6"/>
      <c r="W4010" s="6"/>
      <c r="X4010" s="6"/>
      <c r="Y4010" s="6"/>
      <c r="Z4010" s="6"/>
    </row>
    <row r="4011" spans="14:26" ht="31.4" customHeight="1" x14ac:dyDescent="0.35">
      <c r="N4011" s="20"/>
      <c r="P4011" s="8"/>
      <c r="Q4011" s="8"/>
      <c r="R4011" s="8"/>
      <c r="S4011" s="8"/>
      <c r="U4011" s="6"/>
      <c r="V4011" s="6"/>
      <c r="W4011" s="6"/>
      <c r="X4011" s="6"/>
      <c r="Y4011" s="6"/>
      <c r="Z4011" s="6"/>
    </row>
    <row r="4012" spans="14:26" ht="31.4" customHeight="1" x14ac:dyDescent="0.35">
      <c r="N4012" s="20"/>
      <c r="P4012" s="8"/>
      <c r="Q4012" s="8"/>
      <c r="R4012" s="8"/>
      <c r="S4012" s="8"/>
      <c r="U4012" s="6"/>
      <c r="V4012" s="6"/>
      <c r="W4012" s="6"/>
      <c r="X4012" s="6"/>
      <c r="Y4012" s="6"/>
      <c r="Z4012" s="6"/>
    </row>
    <row r="4013" spans="14:26" ht="31.4" customHeight="1" x14ac:dyDescent="0.35">
      <c r="N4013" s="20"/>
      <c r="P4013" s="8"/>
      <c r="Q4013" s="8"/>
      <c r="R4013" s="8"/>
      <c r="S4013" s="8"/>
      <c r="U4013" s="6"/>
      <c r="V4013" s="6"/>
      <c r="W4013" s="6"/>
      <c r="X4013" s="6"/>
      <c r="Y4013" s="6"/>
      <c r="Z4013" s="6"/>
    </row>
    <row r="4014" spans="14:26" ht="31.4" customHeight="1" x14ac:dyDescent="0.35">
      <c r="N4014" s="20"/>
      <c r="P4014" s="8"/>
      <c r="Q4014" s="8"/>
      <c r="R4014" s="8"/>
      <c r="S4014" s="8"/>
      <c r="U4014" s="6"/>
      <c r="V4014" s="6"/>
      <c r="W4014" s="6"/>
      <c r="X4014" s="6"/>
      <c r="Y4014" s="6"/>
      <c r="Z4014" s="6"/>
    </row>
    <row r="4015" spans="14:26" ht="31.4" customHeight="1" x14ac:dyDescent="0.35">
      <c r="N4015" s="20"/>
      <c r="P4015" s="8"/>
      <c r="Q4015" s="8"/>
      <c r="R4015" s="8"/>
      <c r="S4015" s="8"/>
      <c r="U4015" s="6"/>
      <c r="V4015" s="6"/>
      <c r="W4015" s="6"/>
      <c r="X4015" s="6"/>
      <c r="Y4015" s="6"/>
      <c r="Z4015" s="6"/>
    </row>
    <row r="4016" spans="14:26" ht="31.4" customHeight="1" x14ac:dyDescent="0.35">
      <c r="N4016" s="20"/>
      <c r="P4016" s="8"/>
      <c r="Q4016" s="8"/>
      <c r="R4016" s="8"/>
      <c r="S4016" s="8"/>
      <c r="U4016" s="6"/>
      <c r="V4016" s="6"/>
      <c r="W4016" s="6"/>
      <c r="X4016" s="6"/>
      <c r="Y4016" s="6"/>
      <c r="Z4016" s="6"/>
    </row>
    <row r="4017" spans="14:26" ht="31.4" customHeight="1" x14ac:dyDescent="0.35">
      <c r="N4017" s="20"/>
      <c r="P4017" s="8"/>
      <c r="Q4017" s="8"/>
      <c r="R4017" s="8"/>
      <c r="S4017" s="8"/>
      <c r="U4017" s="6"/>
      <c r="V4017" s="6"/>
      <c r="W4017" s="6"/>
      <c r="X4017" s="6"/>
      <c r="Y4017" s="6"/>
      <c r="Z4017" s="6"/>
    </row>
    <row r="4018" spans="14:26" ht="31.4" customHeight="1" x14ac:dyDescent="0.35">
      <c r="N4018" s="20"/>
      <c r="P4018" s="8"/>
      <c r="Q4018" s="8"/>
      <c r="R4018" s="8"/>
      <c r="S4018" s="8"/>
      <c r="U4018" s="6"/>
      <c r="V4018" s="6"/>
      <c r="W4018" s="6"/>
      <c r="X4018" s="6"/>
      <c r="Y4018" s="6"/>
      <c r="Z4018" s="6"/>
    </row>
    <row r="4019" spans="14:26" ht="31.4" customHeight="1" x14ac:dyDescent="0.35">
      <c r="N4019" s="20"/>
      <c r="P4019" s="8"/>
      <c r="Q4019" s="8"/>
      <c r="R4019" s="8"/>
      <c r="S4019" s="8"/>
      <c r="U4019" s="6"/>
      <c r="V4019" s="6"/>
      <c r="W4019" s="6"/>
      <c r="X4019" s="6"/>
      <c r="Y4019" s="6"/>
      <c r="Z4019" s="6"/>
    </row>
    <row r="4020" spans="14:26" ht="31.4" customHeight="1" x14ac:dyDescent="0.35">
      <c r="N4020" s="20"/>
      <c r="P4020" s="8"/>
      <c r="Q4020" s="8"/>
      <c r="R4020" s="8"/>
      <c r="S4020" s="8"/>
      <c r="U4020" s="6"/>
      <c r="V4020" s="6"/>
      <c r="W4020" s="6"/>
      <c r="X4020" s="6"/>
      <c r="Y4020" s="6"/>
      <c r="Z4020" s="6"/>
    </row>
    <row r="4021" spans="14:26" ht="31.4" customHeight="1" x14ac:dyDescent="0.35">
      <c r="N4021" s="20"/>
      <c r="P4021" s="8"/>
      <c r="Q4021" s="8"/>
      <c r="R4021" s="8"/>
      <c r="S4021" s="8"/>
      <c r="U4021" s="6"/>
      <c r="V4021" s="6"/>
      <c r="W4021" s="6"/>
      <c r="X4021" s="6"/>
      <c r="Y4021" s="6"/>
      <c r="Z4021" s="6"/>
    </row>
    <row r="4022" spans="14:26" ht="31.4" customHeight="1" x14ac:dyDescent="0.35">
      <c r="N4022" s="20"/>
      <c r="P4022" s="8"/>
      <c r="Q4022" s="8"/>
      <c r="R4022" s="8"/>
      <c r="S4022" s="8"/>
      <c r="U4022" s="6"/>
      <c r="V4022" s="6"/>
      <c r="W4022" s="6"/>
      <c r="X4022" s="6"/>
      <c r="Y4022" s="6"/>
      <c r="Z4022" s="6"/>
    </row>
    <row r="4023" spans="14:26" ht="31.4" customHeight="1" x14ac:dyDescent="0.35">
      <c r="N4023" s="20"/>
      <c r="P4023" s="8"/>
      <c r="Q4023" s="8"/>
      <c r="R4023" s="8"/>
      <c r="S4023" s="8"/>
      <c r="U4023" s="6"/>
      <c r="V4023" s="6"/>
      <c r="W4023" s="6"/>
      <c r="X4023" s="6"/>
      <c r="Y4023" s="6"/>
      <c r="Z4023" s="6"/>
    </row>
    <row r="4024" spans="14:26" ht="31.4" customHeight="1" x14ac:dyDescent="0.35">
      <c r="N4024" s="20"/>
      <c r="P4024" s="8"/>
      <c r="Q4024" s="8"/>
      <c r="R4024" s="8"/>
      <c r="S4024" s="8"/>
      <c r="U4024" s="6"/>
      <c r="V4024" s="6"/>
      <c r="W4024" s="6"/>
      <c r="X4024" s="6"/>
      <c r="Y4024" s="6"/>
      <c r="Z4024" s="6"/>
    </row>
    <row r="4025" spans="14:26" ht="31.4" customHeight="1" x14ac:dyDescent="0.35">
      <c r="N4025" s="20"/>
      <c r="P4025" s="8"/>
      <c r="Q4025" s="8"/>
      <c r="R4025" s="8"/>
      <c r="S4025" s="8"/>
      <c r="U4025" s="6"/>
      <c r="V4025" s="6"/>
      <c r="W4025" s="6"/>
      <c r="X4025" s="6"/>
      <c r="Y4025" s="6"/>
      <c r="Z4025" s="6"/>
    </row>
    <row r="4026" spans="14:26" ht="31.4" customHeight="1" x14ac:dyDescent="0.35">
      <c r="N4026" s="20"/>
      <c r="P4026" s="8"/>
      <c r="Q4026" s="8"/>
      <c r="R4026" s="8"/>
      <c r="S4026" s="8"/>
      <c r="U4026" s="6"/>
      <c r="V4026" s="6"/>
      <c r="W4026" s="6"/>
      <c r="X4026" s="6"/>
      <c r="Y4026" s="6"/>
      <c r="Z4026" s="6"/>
    </row>
    <row r="4027" spans="14:26" ht="31.4" customHeight="1" x14ac:dyDescent="0.35">
      <c r="N4027" s="20"/>
      <c r="P4027" s="8"/>
      <c r="Q4027" s="8"/>
      <c r="R4027" s="8"/>
      <c r="S4027" s="8"/>
      <c r="U4027" s="6"/>
      <c r="V4027" s="6"/>
      <c r="W4027" s="6"/>
      <c r="X4027" s="6"/>
      <c r="Y4027" s="6"/>
      <c r="Z4027" s="6"/>
    </row>
    <row r="4028" spans="14:26" ht="31.4" customHeight="1" x14ac:dyDescent="0.35">
      <c r="N4028" s="20"/>
      <c r="P4028" s="8"/>
      <c r="Q4028" s="8"/>
      <c r="R4028" s="8"/>
      <c r="S4028" s="8"/>
      <c r="U4028" s="6"/>
      <c r="V4028" s="6"/>
      <c r="W4028" s="6"/>
      <c r="X4028" s="6"/>
      <c r="Y4028" s="6"/>
      <c r="Z4028" s="6"/>
    </row>
    <row r="4029" spans="14:26" ht="31.4" customHeight="1" x14ac:dyDescent="0.35">
      <c r="N4029" s="20"/>
      <c r="P4029" s="8"/>
      <c r="Q4029" s="8"/>
      <c r="R4029" s="8"/>
      <c r="S4029" s="8"/>
      <c r="U4029" s="6"/>
      <c r="V4029" s="6"/>
      <c r="W4029" s="6"/>
      <c r="X4029" s="6"/>
      <c r="Y4029" s="6"/>
      <c r="Z4029" s="6"/>
    </row>
    <row r="4030" spans="14:26" ht="31.4" customHeight="1" x14ac:dyDescent="0.35">
      <c r="N4030" s="20"/>
      <c r="P4030" s="8"/>
      <c r="Q4030" s="8"/>
      <c r="R4030" s="8"/>
      <c r="S4030" s="8"/>
      <c r="U4030" s="6"/>
      <c r="V4030" s="6"/>
      <c r="W4030" s="6"/>
      <c r="X4030" s="6"/>
      <c r="Y4030" s="6"/>
      <c r="Z4030" s="6"/>
    </row>
    <row r="4031" spans="14:26" ht="31.4" customHeight="1" x14ac:dyDescent="0.35">
      <c r="N4031" s="20"/>
      <c r="P4031" s="8"/>
      <c r="Q4031" s="8"/>
      <c r="R4031" s="8"/>
      <c r="S4031" s="8"/>
      <c r="U4031" s="6"/>
      <c r="V4031" s="6"/>
      <c r="W4031" s="6"/>
      <c r="X4031" s="6"/>
      <c r="Y4031" s="6"/>
      <c r="Z4031" s="6"/>
    </row>
    <row r="4032" spans="14:26" ht="31.4" customHeight="1" x14ac:dyDescent="0.35">
      <c r="N4032" s="20"/>
      <c r="P4032" s="8"/>
      <c r="Q4032" s="8"/>
      <c r="R4032" s="8"/>
      <c r="S4032" s="8"/>
      <c r="U4032" s="6"/>
      <c r="V4032" s="6"/>
      <c r="W4032" s="6"/>
      <c r="X4032" s="6"/>
      <c r="Y4032" s="6"/>
      <c r="Z4032" s="6"/>
    </row>
    <row r="4033" spans="14:26" ht="31.4" customHeight="1" x14ac:dyDescent="0.35">
      <c r="N4033" s="20"/>
      <c r="P4033" s="8"/>
      <c r="Q4033" s="8"/>
      <c r="R4033" s="8"/>
      <c r="S4033" s="8"/>
      <c r="U4033" s="6"/>
      <c r="V4033" s="6"/>
      <c r="W4033" s="6"/>
      <c r="X4033" s="6"/>
      <c r="Y4033" s="6"/>
      <c r="Z4033" s="6"/>
    </row>
    <row r="4034" spans="14:26" ht="31.4" customHeight="1" x14ac:dyDescent="0.35">
      <c r="N4034" s="20"/>
      <c r="P4034" s="8"/>
      <c r="Q4034" s="8"/>
      <c r="R4034" s="8"/>
      <c r="S4034" s="8"/>
      <c r="U4034" s="6"/>
      <c r="V4034" s="6"/>
      <c r="W4034" s="6"/>
      <c r="X4034" s="6"/>
      <c r="Y4034" s="6"/>
      <c r="Z4034" s="6"/>
    </row>
    <row r="4035" spans="14:26" ht="31.4" customHeight="1" x14ac:dyDescent="0.35">
      <c r="N4035" s="20"/>
      <c r="P4035" s="8"/>
      <c r="Q4035" s="8"/>
      <c r="R4035" s="8"/>
      <c r="S4035" s="8"/>
      <c r="U4035" s="6"/>
      <c r="V4035" s="6"/>
      <c r="W4035" s="6"/>
      <c r="X4035" s="6"/>
      <c r="Y4035" s="6"/>
      <c r="Z4035" s="6"/>
    </row>
    <row r="4036" spans="14:26" ht="31.4" customHeight="1" x14ac:dyDescent="0.35">
      <c r="N4036" s="20"/>
      <c r="P4036" s="8"/>
      <c r="Q4036" s="8"/>
      <c r="R4036" s="8"/>
      <c r="S4036" s="8"/>
      <c r="U4036" s="6"/>
      <c r="V4036" s="6"/>
      <c r="W4036" s="6"/>
      <c r="X4036" s="6"/>
      <c r="Y4036" s="6"/>
      <c r="Z4036" s="6"/>
    </row>
    <row r="4037" spans="14:26" ht="31.4" customHeight="1" x14ac:dyDescent="0.35">
      <c r="N4037" s="20"/>
      <c r="P4037" s="8"/>
      <c r="Q4037" s="8"/>
      <c r="R4037" s="8"/>
      <c r="S4037" s="8"/>
      <c r="U4037" s="6"/>
      <c r="V4037" s="6"/>
      <c r="W4037" s="6"/>
      <c r="X4037" s="6"/>
      <c r="Y4037" s="6"/>
      <c r="Z4037" s="6"/>
    </row>
    <row r="4038" spans="14:26" ht="31.4" customHeight="1" x14ac:dyDescent="0.35">
      <c r="N4038" s="20"/>
      <c r="P4038" s="8"/>
      <c r="Q4038" s="8"/>
      <c r="R4038" s="8"/>
      <c r="S4038" s="8"/>
      <c r="U4038" s="6"/>
      <c r="V4038" s="6"/>
      <c r="W4038" s="6"/>
      <c r="X4038" s="6"/>
      <c r="Y4038" s="6"/>
      <c r="Z4038" s="6"/>
    </row>
    <row r="4039" spans="14:26" ht="31.4" customHeight="1" x14ac:dyDescent="0.35">
      <c r="N4039" s="20"/>
      <c r="P4039" s="8"/>
      <c r="Q4039" s="8"/>
      <c r="R4039" s="8"/>
      <c r="S4039" s="8"/>
      <c r="U4039" s="6"/>
      <c r="V4039" s="6"/>
      <c r="W4039" s="6"/>
      <c r="X4039" s="6"/>
      <c r="Y4039" s="6"/>
      <c r="Z4039" s="6"/>
    </row>
    <row r="4040" spans="14:26" ht="31.4" customHeight="1" x14ac:dyDescent="0.35">
      <c r="N4040" s="20"/>
      <c r="P4040" s="8"/>
      <c r="Q4040" s="8"/>
      <c r="R4040" s="8"/>
      <c r="S4040" s="8"/>
      <c r="U4040" s="6"/>
      <c r="V4040" s="6"/>
      <c r="W4040" s="6"/>
      <c r="X4040" s="6"/>
      <c r="Y4040" s="6"/>
      <c r="Z4040" s="6"/>
    </row>
    <row r="4041" spans="14:26" ht="31.4" customHeight="1" x14ac:dyDescent="0.35">
      <c r="N4041" s="20"/>
      <c r="P4041" s="8"/>
      <c r="Q4041" s="8"/>
      <c r="R4041" s="8"/>
      <c r="S4041" s="8"/>
      <c r="U4041" s="6"/>
      <c r="V4041" s="6"/>
      <c r="W4041" s="6"/>
      <c r="X4041" s="6"/>
      <c r="Y4041" s="6"/>
      <c r="Z4041" s="6"/>
    </row>
    <row r="4042" spans="14:26" ht="31.4" customHeight="1" x14ac:dyDescent="0.35">
      <c r="N4042" s="20"/>
      <c r="P4042" s="8"/>
      <c r="Q4042" s="8"/>
      <c r="R4042" s="8"/>
      <c r="S4042" s="8"/>
      <c r="U4042" s="6"/>
      <c r="V4042" s="6"/>
      <c r="W4042" s="6"/>
      <c r="X4042" s="6"/>
      <c r="Y4042" s="6"/>
      <c r="Z4042" s="6"/>
    </row>
    <row r="4043" spans="14:26" ht="31.4" customHeight="1" x14ac:dyDescent="0.35">
      <c r="N4043" s="20"/>
      <c r="P4043" s="8"/>
      <c r="Q4043" s="8"/>
      <c r="R4043" s="8"/>
      <c r="S4043" s="8"/>
      <c r="U4043" s="6"/>
      <c r="V4043" s="6"/>
      <c r="W4043" s="6"/>
      <c r="X4043" s="6"/>
      <c r="Y4043" s="6"/>
      <c r="Z4043" s="6"/>
    </row>
    <row r="4044" spans="14:26" ht="31.4" customHeight="1" x14ac:dyDescent="0.35">
      <c r="N4044" s="20"/>
      <c r="P4044" s="8"/>
      <c r="Q4044" s="8"/>
      <c r="R4044" s="8"/>
      <c r="S4044" s="8"/>
      <c r="U4044" s="6"/>
      <c r="V4044" s="6"/>
      <c r="W4044" s="6"/>
      <c r="X4044" s="6"/>
      <c r="Y4044" s="6"/>
      <c r="Z4044" s="6"/>
    </row>
    <row r="4045" spans="14:26" ht="31.4" customHeight="1" x14ac:dyDescent="0.35">
      <c r="N4045" s="20"/>
      <c r="P4045" s="8"/>
      <c r="Q4045" s="8"/>
      <c r="R4045" s="8"/>
      <c r="S4045" s="8"/>
      <c r="U4045" s="6"/>
      <c r="V4045" s="6"/>
      <c r="W4045" s="6"/>
      <c r="X4045" s="6"/>
      <c r="Y4045" s="6"/>
      <c r="Z4045" s="6"/>
    </row>
    <row r="4046" spans="14:26" ht="31.4" customHeight="1" x14ac:dyDescent="0.35">
      <c r="N4046" s="20"/>
      <c r="P4046" s="8"/>
      <c r="Q4046" s="8"/>
      <c r="R4046" s="8"/>
      <c r="S4046" s="8"/>
      <c r="U4046" s="6"/>
      <c r="V4046" s="6"/>
      <c r="W4046" s="6"/>
      <c r="X4046" s="6"/>
      <c r="Y4046" s="6"/>
      <c r="Z4046" s="6"/>
    </row>
    <row r="4047" spans="14:26" ht="31.4" customHeight="1" x14ac:dyDescent="0.35">
      <c r="N4047" s="20"/>
      <c r="P4047" s="8"/>
      <c r="Q4047" s="8"/>
      <c r="R4047" s="8"/>
      <c r="S4047" s="8"/>
      <c r="U4047" s="6"/>
      <c r="V4047" s="6"/>
      <c r="W4047" s="6"/>
      <c r="X4047" s="6"/>
      <c r="Y4047" s="6"/>
      <c r="Z4047" s="6"/>
    </row>
    <row r="4048" spans="14:26" ht="31.4" customHeight="1" x14ac:dyDescent="0.35">
      <c r="N4048" s="20"/>
      <c r="P4048" s="8"/>
      <c r="Q4048" s="8"/>
      <c r="R4048" s="8"/>
      <c r="S4048" s="8"/>
      <c r="U4048" s="6"/>
      <c r="V4048" s="6"/>
      <c r="W4048" s="6"/>
      <c r="X4048" s="6"/>
      <c r="Y4048" s="6"/>
      <c r="Z4048" s="6"/>
    </row>
    <row r="4049" spans="14:26" ht="31.4" customHeight="1" x14ac:dyDescent="0.35">
      <c r="N4049" s="20"/>
      <c r="P4049" s="8"/>
      <c r="Q4049" s="8"/>
      <c r="R4049" s="8"/>
      <c r="S4049" s="8"/>
      <c r="U4049" s="6"/>
      <c r="V4049" s="6"/>
      <c r="W4049" s="6"/>
      <c r="X4049" s="6"/>
      <c r="Y4049" s="6"/>
      <c r="Z4049" s="6"/>
    </row>
    <row r="4050" spans="14:26" ht="31.4" customHeight="1" x14ac:dyDescent="0.35">
      <c r="N4050" s="20"/>
      <c r="P4050" s="8"/>
      <c r="Q4050" s="8"/>
      <c r="R4050" s="8"/>
      <c r="S4050" s="8"/>
      <c r="U4050" s="6"/>
      <c r="V4050" s="6"/>
      <c r="W4050" s="6"/>
      <c r="X4050" s="6"/>
      <c r="Y4050" s="6"/>
      <c r="Z4050" s="6"/>
    </row>
    <row r="4051" spans="14:26" ht="31.4" customHeight="1" x14ac:dyDescent="0.35">
      <c r="N4051" s="20"/>
      <c r="P4051" s="8"/>
      <c r="Q4051" s="8"/>
      <c r="R4051" s="8"/>
      <c r="S4051" s="8"/>
      <c r="U4051" s="6"/>
      <c r="V4051" s="6"/>
      <c r="W4051" s="6"/>
      <c r="X4051" s="6"/>
      <c r="Y4051" s="6"/>
      <c r="Z4051" s="6"/>
    </row>
    <row r="4052" spans="14:26" ht="31.4" customHeight="1" x14ac:dyDescent="0.35">
      <c r="N4052" s="20"/>
      <c r="P4052" s="8"/>
      <c r="Q4052" s="8"/>
      <c r="R4052" s="8"/>
      <c r="S4052" s="8"/>
      <c r="U4052" s="6"/>
      <c r="V4052" s="6"/>
      <c r="W4052" s="6"/>
      <c r="X4052" s="6"/>
      <c r="Y4052" s="6"/>
      <c r="Z4052" s="6"/>
    </row>
    <row r="4053" spans="14:26" ht="31.4" customHeight="1" x14ac:dyDescent="0.35">
      <c r="N4053" s="20"/>
      <c r="P4053" s="8"/>
      <c r="Q4053" s="8"/>
      <c r="R4053" s="8"/>
      <c r="S4053" s="8"/>
      <c r="U4053" s="6"/>
      <c r="V4053" s="6"/>
      <c r="W4053" s="6"/>
      <c r="X4053" s="6"/>
      <c r="Y4053" s="6"/>
      <c r="Z4053" s="6"/>
    </row>
    <row r="4054" spans="14:26" ht="31.4" customHeight="1" x14ac:dyDescent="0.35">
      <c r="N4054" s="20"/>
      <c r="P4054" s="8"/>
      <c r="Q4054" s="8"/>
      <c r="R4054" s="8"/>
      <c r="S4054" s="8"/>
      <c r="U4054" s="6"/>
      <c r="V4054" s="6"/>
      <c r="W4054" s="6"/>
      <c r="X4054" s="6"/>
      <c r="Y4054" s="6"/>
      <c r="Z4054" s="6"/>
    </row>
    <row r="4055" spans="14:26" ht="31.4" customHeight="1" x14ac:dyDescent="0.35">
      <c r="N4055" s="20"/>
      <c r="P4055" s="8"/>
      <c r="Q4055" s="8"/>
      <c r="R4055" s="8"/>
      <c r="S4055" s="8"/>
      <c r="U4055" s="6"/>
      <c r="V4055" s="6"/>
      <c r="W4055" s="6"/>
      <c r="X4055" s="6"/>
      <c r="Y4055" s="6"/>
      <c r="Z4055" s="6"/>
    </row>
    <row r="4056" spans="14:26" ht="31.4" customHeight="1" x14ac:dyDescent="0.35">
      <c r="N4056" s="20"/>
      <c r="P4056" s="8"/>
      <c r="Q4056" s="8"/>
      <c r="R4056" s="8"/>
      <c r="S4056" s="8"/>
      <c r="U4056" s="6"/>
      <c r="V4056" s="6"/>
      <c r="W4056" s="6"/>
      <c r="X4056" s="6"/>
      <c r="Y4056" s="6"/>
      <c r="Z4056" s="6"/>
    </row>
    <row r="4057" spans="14:26" ht="31.4" customHeight="1" x14ac:dyDescent="0.35">
      <c r="N4057" s="20"/>
      <c r="P4057" s="8"/>
      <c r="Q4057" s="8"/>
      <c r="R4057" s="8"/>
      <c r="S4057" s="8"/>
      <c r="U4057" s="6"/>
      <c r="V4057" s="6"/>
      <c r="W4057" s="6"/>
      <c r="X4057" s="6"/>
      <c r="Y4057" s="6"/>
      <c r="Z4057" s="6"/>
    </row>
    <row r="4058" spans="14:26" ht="31.4" customHeight="1" x14ac:dyDescent="0.35">
      <c r="N4058" s="20"/>
      <c r="P4058" s="8"/>
      <c r="Q4058" s="8"/>
      <c r="R4058" s="8"/>
      <c r="S4058" s="8"/>
      <c r="U4058" s="6"/>
      <c r="V4058" s="6"/>
      <c r="W4058" s="6"/>
      <c r="X4058" s="6"/>
      <c r="Y4058" s="6"/>
      <c r="Z4058" s="6"/>
    </row>
    <row r="4059" spans="14:26" ht="31.4" customHeight="1" x14ac:dyDescent="0.35">
      <c r="N4059" s="20"/>
      <c r="P4059" s="8"/>
      <c r="Q4059" s="8"/>
      <c r="R4059" s="8"/>
      <c r="S4059" s="8"/>
      <c r="U4059" s="6"/>
      <c r="V4059" s="6"/>
      <c r="W4059" s="6"/>
      <c r="X4059" s="6"/>
      <c r="Y4059" s="6"/>
      <c r="Z4059" s="6"/>
    </row>
    <row r="4060" spans="14:26" ht="31.4" customHeight="1" x14ac:dyDescent="0.35">
      <c r="N4060" s="20"/>
      <c r="P4060" s="8"/>
      <c r="Q4060" s="8"/>
      <c r="R4060" s="8"/>
      <c r="S4060" s="8"/>
      <c r="U4060" s="6"/>
      <c r="V4060" s="6"/>
      <c r="W4060" s="6"/>
      <c r="X4060" s="6"/>
      <c r="Y4060" s="6"/>
      <c r="Z4060" s="6"/>
    </row>
    <row r="4061" spans="14:26" ht="31.4" customHeight="1" x14ac:dyDescent="0.35">
      <c r="N4061" s="20"/>
      <c r="P4061" s="8"/>
      <c r="Q4061" s="8"/>
      <c r="R4061" s="8"/>
      <c r="S4061" s="8"/>
      <c r="U4061" s="6"/>
      <c r="V4061" s="6"/>
      <c r="W4061" s="6"/>
      <c r="X4061" s="6"/>
      <c r="Y4061" s="6"/>
      <c r="Z4061" s="6"/>
    </row>
    <row r="4062" spans="14:26" ht="31.4" customHeight="1" x14ac:dyDescent="0.35">
      <c r="N4062" s="20"/>
      <c r="P4062" s="8"/>
      <c r="Q4062" s="8"/>
      <c r="R4062" s="8"/>
      <c r="S4062" s="8"/>
      <c r="U4062" s="6"/>
      <c r="V4062" s="6"/>
      <c r="W4062" s="6"/>
      <c r="X4062" s="6"/>
      <c r="Y4062" s="6"/>
      <c r="Z4062" s="6"/>
    </row>
    <row r="4063" spans="14:26" ht="31.4" customHeight="1" x14ac:dyDescent="0.35">
      <c r="N4063" s="20"/>
      <c r="P4063" s="8"/>
      <c r="Q4063" s="8"/>
      <c r="R4063" s="8"/>
      <c r="S4063" s="8"/>
      <c r="U4063" s="6"/>
      <c r="V4063" s="6"/>
      <c r="W4063" s="6"/>
      <c r="X4063" s="6"/>
      <c r="Y4063" s="6"/>
      <c r="Z4063" s="6"/>
    </row>
    <row r="4064" spans="14:26" ht="31.4" customHeight="1" x14ac:dyDescent="0.35">
      <c r="N4064" s="20"/>
      <c r="P4064" s="8"/>
      <c r="Q4064" s="8"/>
      <c r="R4064" s="8"/>
      <c r="S4064" s="8"/>
      <c r="U4064" s="6"/>
      <c r="V4064" s="6"/>
      <c r="W4064" s="6"/>
      <c r="X4064" s="6"/>
      <c r="Y4064" s="6"/>
      <c r="Z4064" s="6"/>
    </row>
    <row r="4065" spans="14:26" ht="31.4" customHeight="1" x14ac:dyDescent="0.35">
      <c r="N4065" s="20"/>
      <c r="P4065" s="8"/>
      <c r="Q4065" s="8"/>
      <c r="R4065" s="8"/>
      <c r="S4065" s="8"/>
      <c r="U4065" s="6"/>
      <c r="V4065" s="6"/>
      <c r="W4065" s="6"/>
      <c r="X4065" s="6"/>
      <c r="Y4065" s="6"/>
      <c r="Z4065" s="6"/>
    </row>
    <row r="4066" spans="14:26" ht="31.4" customHeight="1" x14ac:dyDescent="0.35">
      <c r="N4066" s="20"/>
      <c r="P4066" s="8"/>
      <c r="Q4066" s="8"/>
      <c r="R4066" s="8"/>
      <c r="S4066" s="8"/>
      <c r="U4066" s="6"/>
      <c r="V4066" s="6"/>
      <c r="W4066" s="6"/>
      <c r="X4066" s="6"/>
      <c r="Y4066" s="6"/>
      <c r="Z4066" s="6"/>
    </row>
    <row r="4067" spans="14:26" ht="31.4" customHeight="1" x14ac:dyDescent="0.35">
      <c r="N4067" s="20"/>
      <c r="P4067" s="8"/>
      <c r="Q4067" s="8"/>
      <c r="R4067" s="8"/>
      <c r="S4067" s="8"/>
      <c r="U4067" s="6"/>
      <c r="V4067" s="6"/>
      <c r="W4067" s="6"/>
      <c r="X4067" s="6"/>
      <c r="Y4067" s="6"/>
      <c r="Z4067" s="6"/>
    </row>
    <row r="4068" spans="14:26" ht="31.4" customHeight="1" x14ac:dyDescent="0.35">
      <c r="N4068" s="20"/>
      <c r="P4068" s="8"/>
      <c r="Q4068" s="8"/>
      <c r="R4068" s="8"/>
      <c r="S4068" s="8"/>
      <c r="U4068" s="6"/>
      <c r="V4068" s="6"/>
      <c r="W4068" s="6"/>
      <c r="X4068" s="6"/>
      <c r="Y4068" s="6"/>
      <c r="Z4068" s="6"/>
    </row>
    <row r="4069" spans="14:26" ht="31.4" customHeight="1" x14ac:dyDescent="0.35">
      <c r="N4069" s="20"/>
      <c r="P4069" s="8"/>
      <c r="Q4069" s="8"/>
      <c r="R4069" s="8"/>
      <c r="S4069" s="8"/>
      <c r="U4069" s="6"/>
      <c r="V4069" s="6"/>
      <c r="W4069" s="6"/>
      <c r="X4069" s="6"/>
      <c r="Y4069" s="6"/>
      <c r="Z4069" s="6"/>
    </row>
    <row r="4070" spans="14:26" ht="31.4" customHeight="1" x14ac:dyDescent="0.35">
      <c r="N4070" s="20"/>
      <c r="P4070" s="8"/>
      <c r="Q4070" s="8"/>
      <c r="R4070" s="8"/>
      <c r="S4070" s="8"/>
      <c r="U4070" s="6"/>
      <c r="V4070" s="6"/>
      <c r="W4070" s="6"/>
      <c r="X4070" s="6"/>
      <c r="Y4070" s="6"/>
      <c r="Z4070" s="6"/>
    </row>
    <row r="4071" spans="14:26" ht="31.4" customHeight="1" x14ac:dyDescent="0.35">
      <c r="N4071" s="20"/>
      <c r="P4071" s="8"/>
      <c r="Q4071" s="8"/>
      <c r="R4071" s="8"/>
      <c r="S4071" s="8"/>
      <c r="U4071" s="6"/>
      <c r="V4071" s="6"/>
      <c r="W4071" s="6"/>
      <c r="X4071" s="6"/>
      <c r="Y4071" s="6"/>
      <c r="Z4071" s="6"/>
    </row>
    <row r="4072" spans="14:26" ht="31.4" customHeight="1" x14ac:dyDescent="0.35">
      <c r="N4072" s="20"/>
      <c r="P4072" s="8"/>
      <c r="Q4072" s="8"/>
      <c r="R4072" s="8"/>
      <c r="S4072" s="8"/>
      <c r="U4072" s="6"/>
      <c r="V4072" s="6"/>
      <c r="W4072" s="6"/>
      <c r="X4072" s="6"/>
      <c r="Y4072" s="6"/>
      <c r="Z4072" s="6"/>
    </row>
    <row r="4073" spans="14:26" ht="31.4" customHeight="1" x14ac:dyDescent="0.35">
      <c r="N4073" s="20"/>
      <c r="P4073" s="8"/>
      <c r="Q4073" s="8"/>
      <c r="R4073" s="8"/>
      <c r="S4073" s="8"/>
      <c r="U4073" s="6"/>
      <c r="V4073" s="6"/>
      <c r="W4073" s="6"/>
      <c r="X4073" s="6"/>
      <c r="Y4073" s="6"/>
      <c r="Z4073" s="6"/>
    </row>
    <row r="4074" spans="14:26" ht="31.4" customHeight="1" x14ac:dyDescent="0.35">
      <c r="N4074" s="20"/>
      <c r="P4074" s="8"/>
      <c r="Q4074" s="8"/>
      <c r="R4074" s="8"/>
      <c r="S4074" s="8"/>
      <c r="U4074" s="6"/>
      <c r="V4074" s="6"/>
      <c r="W4074" s="6"/>
      <c r="X4074" s="6"/>
      <c r="Y4074" s="6"/>
      <c r="Z4074" s="6"/>
    </row>
    <row r="4075" spans="14:26" ht="31.4" customHeight="1" x14ac:dyDescent="0.35">
      <c r="N4075" s="20"/>
      <c r="P4075" s="8"/>
      <c r="Q4075" s="8"/>
      <c r="R4075" s="8"/>
      <c r="S4075" s="8"/>
      <c r="U4075" s="6"/>
      <c r="V4075" s="6"/>
      <c r="W4075" s="6"/>
      <c r="X4075" s="6"/>
      <c r="Y4075" s="6"/>
      <c r="Z4075" s="6"/>
    </row>
    <row r="4076" spans="14:26" ht="31.4" customHeight="1" x14ac:dyDescent="0.35">
      <c r="N4076" s="20"/>
      <c r="P4076" s="8"/>
      <c r="Q4076" s="8"/>
      <c r="R4076" s="8"/>
      <c r="S4076" s="8"/>
      <c r="U4076" s="6"/>
      <c r="V4076" s="6"/>
      <c r="W4076" s="6"/>
      <c r="X4076" s="6"/>
      <c r="Y4076" s="6"/>
      <c r="Z4076" s="6"/>
    </row>
    <row r="4077" spans="14:26" ht="31.4" customHeight="1" x14ac:dyDescent="0.35">
      <c r="N4077" s="20"/>
      <c r="P4077" s="8"/>
      <c r="Q4077" s="8"/>
      <c r="R4077" s="8"/>
      <c r="S4077" s="8"/>
      <c r="U4077" s="6"/>
      <c r="V4077" s="6"/>
      <c r="W4077" s="6"/>
      <c r="X4077" s="6"/>
      <c r="Y4077" s="6"/>
      <c r="Z4077" s="6"/>
    </row>
    <row r="4078" spans="14:26" ht="31.4" customHeight="1" x14ac:dyDescent="0.35">
      <c r="N4078" s="20"/>
      <c r="P4078" s="8"/>
      <c r="Q4078" s="8"/>
      <c r="R4078" s="8"/>
      <c r="S4078" s="8"/>
      <c r="U4078" s="6"/>
      <c r="V4078" s="6"/>
      <c r="W4078" s="6"/>
      <c r="X4078" s="6"/>
      <c r="Y4078" s="6"/>
      <c r="Z4078" s="6"/>
    </row>
    <row r="4079" spans="14:26" ht="31.4" customHeight="1" x14ac:dyDescent="0.35">
      <c r="N4079" s="20"/>
      <c r="P4079" s="8"/>
      <c r="Q4079" s="8"/>
      <c r="R4079" s="8"/>
      <c r="S4079" s="8"/>
      <c r="U4079" s="6"/>
      <c r="V4079" s="6"/>
      <c r="W4079" s="6"/>
      <c r="X4079" s="6"/>
      <c r="Y4079" s="6"/>
      <c r="Z4079" s="6"/>
    </row>
    <row r="4080" spans="14:26" ht="31.4" customHeight="1" x14ac:dyDescent="0.35">
      <c r="N4080" s="20"/>
      <c r="P4080" s="8"/>
      <c r="Q4080" s="8"/>
      <c r="R4080" s="8"/>
      <c r="S4080" s="8"/>
      <c r="U4080" s="6"/>
      <c r="V4080" s="6"/>
      <c r="W4080" s="6"/>
      <c r="X4080" s="6"/>
      <c r="Y4080" s="6"/>
      <c r="Z4080" s="6"/>
    </row>
    <row r="4081" spans="14:26" ht="31.4" customHeight="1" x14ac:dyDescent="0.35">
      <c r="N4081" s="20"/>
      <c r="P4081" s="8"/>
      <c r="Q4081" s="8"/>
      <c r="R4081" s="8"/>
      <c r="S4081" s="8"/>
      <c r="U4081" s="6"/>
      <c r="V4081" s="6"/>
      <c r="W4081" s="6"/>
      <c r="X4081" s="6"/>
      <c r="Y4081" s="6"/>
      <c r="Z4081" s="6"/>
    </row>
    <row r="4082" spans="14:26" ht="31.4" customHeight="1" x14ac:dyDescent="0.35">
      <c r="N4082" s="20"/>
      <c r="P4082" s="8"/>
      <c r="Q4082" s="8"/>
      <c r="R4082" s="8"/>
      <c r="S4082" s="8"/>
      <c r="U4082" s="6"/>
      <c r="V4082" s="6"/>
      <c r="W4082" s="6"/>
      <c r="X4082" s="6"/>
      <c r="Y4082" s="6"/>
      <c r="Z4082" s="6"/>
    </row>
    <row r="4083" spans="14:26" ht="31.4" customHeight="1" x14ac:dyDescent="0.35">
      <c r="N4083" s="20"/>
      <c r="P4083" s="8"/>
      <c r="Q4083" s="8"/>
      <c r="R4083" s="8"/>
      <c r="S4083" s="8"/>
      <c r="U4083" s="6"/>
      <c r="V4083" s="6"/>
      <c r="W4083" s="6"/>
      <c r="X4083" s="6"/>
      <c r="Y4083" s="6"/>
      <c r="Z4083" s="6"/>
    </row>
    <row r="4084" spans="14:26" ht="31.4" customHeight="1" x14ac:dyDescent="0.35">
      <c r="N4084" s="20"/>
      <c r="P4084" s="8"/>
      <c r="Q4084" s="8"/>
      <c r="R4084" s="8"/>
      <c r="S4084" s="8"/>
      <c r="U4084" s="6"/>
      <c r="V4084" s="6"/>
      <c r="W4084" s="6"/>
      <c r="X4084" s="6"/>
      <c r="Y4084" s="6"/>
      <c r="Z4084" s="6"/>
    </row>
    <row r="4085" spans="14:26" ht="31.4" customHeight="1" x14ac:dyDescent="0.35">
      <c r="N4085" s="20"/>
      <c r="P4085" s="8"/>
      <c r="Q4085" s="8"/>
      <c r="R4085" s="8"/>
      <c r="S4085" s="8"/>
      <c r="U4085" s="6"/>
      <c r="V4085" s="6"/>
      <c r="W4085" s="6"/>
      <c r="X4085" s="6"/>
      <c r="Y4085" s="6"/>
      <c r="Z4085" s="6"/>
    </row>
    <row r="4086" spans="14:26" ht="31.4" customHeight="1" x14ac:dyDescent="0.35">
      <c r="N4086" s="20"/>
      <c r="P4086" s="8"/>
      <c r="Q4086" s="8"/>
      <c r="R4086" s="8"/>
      <c r="S4086" s="8"/>
      <c r="U4086" s="6"/>
      <c r="V4086" s="6"/>
      <c r="W4086" s="6"/>
      <c r="X4086" s="6"/>
      <c r="Y4086" s="6"/>
      <c r="Z4086" s="6"/>
    </row>
    <row r="4087" spans="14:26" ht="31.4" customHeight="1" x14ac:dyDescent="0.35">
      <c r="N4087" s="20"/>
      <c r="P4087" s="8"/>
      <c r="Q4087" s="8"/>
      <c r="R4087" s="8"/>
      <c r="S4087" s="8"/>
      <c r="U4087" s="6"/>
      <c r="V4087" s="6"/>
      <c r="W4087" s="6"/>
      <c r="X4087" s="6"/>
      <c r="Y4087" s="6"/>
      <c r="Z4087" s="6"/>
    </row>
    <row r="4088" spans="14:26" ht="31.4" customHeight="1" x14ac:dyDescent="0.35">
      <c r="N4088" s="20"/>
      <c r="P4088" s="8"/>
      <c r="Q4088" s="8"/>
      <c r="R4088" s="8"/>
      <c r="S4088" s="8"/>
      <c r="U4088" s="6"/>
      <c r="V4088" s="6"/>
      <c r="W4088" s="6"/>
      <c r="X4088" s="6"/>
      <c r="Y4088" s="6"/>
      <c r="Z4088" s="6"/>
    </row>
    <row r="4089" spans="14:26" ht="31.4" customHeight="1" x14ac:dyDescent="0.35">
      <c r="N4089" s="20"/>
      <c r="P4089" s="8"/>
      <c r="Q4089" s="8"/>
      <c r="R4089" s="8"/>
      <c r="S4089" s="8"/>
      <c r="U4089" s="6"/>
      <c r="V4089" s="6"/>
      <c r="W4089" s="6"/>
      <c r="X4089" s="6"/>
      <c r="Y4089" s="6"/>
      <c r="Z4089" s="6"/>
    </row>
    <row r="4090" spans="14:26" ht="31.4" customHeight="1" x14ac:dyDescent="0.35">
      <c r="N4090" s="20"/>
      <c r="P4090" s="8"/>
      <c r="Q4090" s="8"/>
      <c r="R4090" s="8"/>
      <c r="S4090" s="8"/>
      <c r="U4090" s="6"/>
      <c r="V4090" s="6"/>
      <c r="W4090" s="6"/>
      <c r="X4090" s="6"/>
      <c r="Y4090" s="6"/>
      <c r="Z4090" s="6"/>
    </row>
    <row r="4091" spans="14:26" ht="31.4" customHeight="1" x14ac:dyDescent="0.35">
      <c r="N4091" s="20"/>
      <c r="P4091" s="8"/>
      <c r="Q4091" s="8"/>
      <c r="R4091" s="8"/>
      <c r="S4091" s="8"/>
      <c r="U4091" s="6"/>
      <c r="V4091" s="6"/>
      <c r="W4091" s="6"/>
      <c r="X4091" s="6"/>
      <c r="Y4091" s="6"/>
      <c r="Z4091" s="6"/>
    </row>
    <row r="4092" spans="14:26" ht="31.4" customHeight="1" x14ac:dyDescent="0.35">
      <c r="N4092" s="20"/>
      <c r="P4092" s="8"/>
      <c r="Q4092" s="8"/>
      <c r="R4092" s="8"/>
      <c r="S4092" s="8"/>
      <c r="U4092" s="6"/>
      <c r="V4092" s="6"/>
      <c r="W4092" s="6"/>
      <c r="X4092" s="6"/>
      <c r="Y4092" s="6"/>
      <c r="Z4092" s="6"/>
    </row>
    <row r="4093" spans="14:26" ht="31.4" customHeight="1" x14ac:dyDescent="0.35">
      <c r="N4093" s="20"/>
      <c r="P4093" s="8"/>
      <c r="Q4093" s="8"/>
      <c r="R4093" s="8"/>
      <c r="S4093" s="8"/>
      <c r="U4093" s="6"/>
      <c r="V4093" s="6"/>
      <c r="W4093" s="6"/>
      <c r="X4093" s="6"/>
      <c r="Y4093" s="6"/>
      <c r="Z4093" s="6"/>
    </row>
    <row r="4094" spans="14:26" ht="31.4" customHeight="1" x14ac:dyDescent="0.35">
      <c r="N4094" s="20"/>
      <c r="P4094" s="8"/>
      <c r="Q4094" s="8"/>
      <c r="R4094" s="8"/>
      <c r="S4094" s="8"/>
      <c r="U4094" s="6"/>
      <c r="V4094" s="6"/>
      <c r="W4094" s="6"/>
      <c r="X4094" s="6"/>
      <c r="Y4094" s="6"/>
      <c r="Z4094" s="6"/>
    </row>
    <row r="4095" spans="14:26" ht="31.4" customHeight="1" x14ac:dyDescent="0.35">
      <c r="N4095" s="20"/>
      <c r="P4095" s="8"/>
      <c r="Q4095" s="8"/>
      <c r="R4095" s="8"/>
      <c r="S4095" s="8"/>
      <c r="U4095" s="6"/>
      <c r="V4095" s="6"/>
      <c r="W4095" s="6"/>
      <c r="X4095" s="6"/>
      <c r="Y4095" s="6"/>
      <c r="Z4095" s="6"/>
    </row>
    <row r="4096" spans="14:26" ht="31.4" customHeight="1" x14ac:dyDescent="0.35">
      <c r="N4096" s="20"/>
      <c r="P4096" s="8"/>
      <c r="Q4096" s="8"/>
      <c r="R4096" s="8"/>
      <c r="S4096" s="8"/>
      <c r="U4096" s="6"/>
      <c r="V4096" s="6"/>
      <c r="W4096" s="6"/>
      <c r="X4096" s="6"/>
      <c r="Y4096" s="6"/>
      <c r="Z4096" s="6"/>
    </row>
    <row r="4097" spans="14:26" ht="31.4" customHeight="1" x14ac:dyDescent="0.35">
      <c r="N4097" s="20"/>
      <c r="P4097" s="8"/>
      <c r="Q4097" s="8"/>
      <c r="R4097" s="8"/>
      <c r="S4097" s="8"/>
      <c r="U4097" s="6"/>
      <c r="V4097" s="6"/>
      <c r="W4097" s="6"/>
      <c r="X4097" s="6"/>
      <c r="Y4097" s="6"/>
      <c r="Z4097" s="6"/>
    </row>
    <row r="4098" spans="14:26" ht="31.4" customHeight="1" x14ac:dyDescent="0.35">
      <c r="N4098" s="20"/>
      <c r="P4098" s="8"/>
      <c r="Q4098" s="8"/>
      <c r="R4098" s="8"/>
      <c r="S4098" s="8"/>
      <c r="U4098" s="6"/>
      <c r="V4098" s="6"/>
      <c r="W4098" s="6"/>
      <c r="X4098" s="6"/>
      <c r="Y4098" s="6"/>
      <c r="Z4098" s="6"/>
    </row>
    <row r="4099" spans="14:26" ht="31.4" customHeight="1" x14ac:dyDescent="0.35">
      <c r="N4099" s="20"/>
      <c r="P4099" s="8"/>
      <c r="Q4099" s="8"/>
      <c r="R4099" s="8"/>
      <c r="S4099" s="8"/>
      <c r="U4099" s="6"/>
      <c r="V4099" s="6"/>
      <c r="W4099" s="6"/>
      <c r="X4099" s="6"/>
      <c r="Y4099" s="6"/>
      <c r="Z4099" s="6"/>
    </row>
    <row r="4100" spans="14:26" ht="31.4" customHeight="1" x14ac:dyDescent="0.35">
      <c r="N4100" s="20"/>
      <c r="P4100" s="8"/>
      <c r="Q4100" s="8"/>
      <c r="R4100" s="8"/>
      <c r="S4100" s="8"/>
      <c r="U4100" s="6"/>
      <c r="V4100" s="6"/>
      <c r="W4100" s="6"/>
      <c r="X4100" s="6"/>
      <c r="Y4100" s="6"/>
      <c r="Z4100" s="6"/>
    </row>
    <row r="4101" spans="14:26" ht="31.4" customHeight="1" x14ac:dyDescent="0.35">
      <c r="N4101" s="20"/>
      <c r="P4101" s="8"/>
      <c r="Q4101" s="8"/>
      <c r="R4101" s="8"/>
      <c r="S4101" s="8"/>
      <c r="U4101" s="6"/>
      <c r="V4101" s="6"/>
      <c r="W4101" s="6"/>
      <c r="X4101" s="6"/>
      <c r="Y4101" s="6"/>
      <c r="Z4101" s="6"/>
    </row>
    <row r="4102" spans="14:26" ht="31.4" customHeight="1" x14ac:dyDescent="0.35">
      <c r="N4102" s="20"/>
      <c r="P4102" s="8"/>
      <c r="Q4102" s="8"/>
      <c r="R4102" s="8"/>
      <c r="S4102" s="8"/>
      <c r="U4102" s="6"/>
      <c r="V4102" s="6"/>
      <c r="W4102" s="6"/>
      <c r="X4102" s="6"/>
      <c r="Y4102" s="6"/>
      <c r="Z4102" s="6"/>
    </row>
    <row r="4103" spans="14:26" ht="31.4" customHeight="1" x14ac:dyDescent="0.35">
      <c r="N4103" s="20"/>
      <c r="P4103" s="8"/>
      <c r="Q4103" s="8"/>
      <c r="R4103" s="8"/>
      <c r="S4103" s="8"/>
      <c r="U4103" s="6"/>
      <c r="V4103" s="6"/>
      <c r="W4103" s="6"/>
      <c r="X4103" s="6"/>
      <c r="Y4103" s="6"/>
      <c r="Z4103" s="6"/>
    </row>
    <row r="4104" spans="14:26" ht="31.4" customHeight="1" x14ac:dyDescent="0.35">
      <c r="N4104" s="20"/>
      <c r="P4104" s="8"/>
      <c r="Q4104" s="8"/>
      <c r="R4104" s="8"/>
      <c r="S4104" s="8"/>
      <c r="U4104" s="6"/>
      <c r="V4104" s="6"/>
      <c r="W4104" s="6"/>
      <c r="X4104" s="6"/>
      <c r="Y4104" s="6"/>
      <c r="Z4104" s="6"/>
    </row>
    <row r="4105" spans="14:26" ht="31.4" customHeight="1" x14ac:dyDescent="0.35">
      <c r="N4105" s="20"/>
      <c r="P4105" s="8"/>
      <c r="Q4105" s="8"/>
      <c r="R4105" s="8"/>
      <c r="S4105" s="8"/>
      <c r="U4105" s="6"/>
      <c r="V4105" s="6"/>
      <c r="W4105" s="6"/>
      <c r="X4105" s="6"/>
      <c r="Y4105" s="6"/>
      <c r="Z4105" s="6"/>
    </row>
    <row r="4106" spans="14:26" ht="31.4" customHeight="1" x14ac:dyDescent="0.35">
      <c r="N4106" s="20"/>
      <c r="P4106" s="8"/>
      <c r="Q4106" s="8"/>
      <c r="R4106" s="8"/>
      <c r="S4106" s="8"/>
      <c r="U4106" s="6"/>
      <c r="V4106" s="6"/>
      <c r="W4106" s="6"/>
      <c r="X4106" s="6"/>
      <c r="Y4106" s="6"/>
      <c r="Z4106" s="6"/>
    </row>
    <row r="4107" spans="14:26" ht="31.4" customHeight="1" x14ac:dyDescent="0.35">
      <c r="N4107" s="20"/>
      <c r="P4107" s="8"/>
      <c r="Q4107" s="8"/>
      <c r="R4107" s="8"/>
      <c r="S4107" s="8"/>
      <c r="U4107" s="6"/>
      <c r="V4107" s="6"/>
      <c r="W4107" s="6"/>
      <c r="X4107" s="6"/>
      <c r="Y4107" s="6"/>
      <c r="Z4107" s="6"/>
    </row>
    <row r="4108" spans="14:26" ht="31.4" customHeight="1" x14ac:dyDescent="0.35">
      <c r="N4108" s="20"/>
      <c r="P4108" s="8"/>
      <c r="Q4108" s="8"/>
      <c r="R4108" s="8"/>
      <c r="S4108" s="8"/>
      <c r="U4108" s="6"/>
      <c r="V4108" s="6"/>
      <c r="W4108" s="6"/>
      <c r="X4108" s="6"/>
      <c r="Y4108" s="6"/>
      <c r="Z4108" s="6"/>
    </row>
    <row r="4109" spans="14:26" ht="31.4" customHeight="1" x14ac:dyDescent="0.35">
      <c r="N4109" s="20"/>
      <c r="P4109" s="8"/>
      <c r="Q4109" s="8"/>
      <c r="R4109" s="8"/>
      <c r="S4109" s="8"/>
      <c r="U4109" s="6"/>
      <c r="V4109" s="6"/>
      <c r="W4109" s="6"/>
      <c r="X4109" s="6"/>
      <c r="Y4109" s="6"/>
      <c r="Z4109" s="6"/>
    </row>
    <row r="4110" spans="14:26" ht="31.4" customHeight="1" x14ac:dyDescent="0.35">
      <c r="N4110" s="20"/>
      <c r="P4110" s="8"/>
      <c r="Q4110" s="8"/>
      <c r="R4110" s="8"/>
      <c r="S4110" s="8"/>
      <c r="U4110" s="6"/>
      <c r="V4110" s="6"/>
      <c r="W4110" s="6"/>
      <c r="X4110" s="6"/>
      <c r="Y4110" s="6"/>
      <c r="Z4110" s="6"/>
    </row>
    <row r="4111" spans="14:26" ht="31.4" customHeight="1" x14ac:dyDescent="0.35">
      <c r="N4111" s="20"/>
      <c r="P4111" s="8"/>
      <c r="Q4111" s="8"/>
      <c r="R4111" s="8"/>
      <c r="S4111" s="8"/>
      <c r="U4111" s="6"/>
      <c r="V4111" s="6"/>
      <c r="W4111" s="6"/>
      <c r="X4111" s="6"/>
      <c r="Y4111" s="6"/>
      <c r="Z4111" s="6"/>
    </row>
    <row r="4112" spans="14:26" ht="31.4" customHeight="1" x14ac:dyDescent="0.35">
      <c r="N4112" s="20"/>
      <c r="P4112" s="8"/>
      <c r="Q4112" s="8"/>
      <c r="R4112" s="8"/>
      <c r="S4112" s="8"/>
      <c r="U4112" s="6"/>
      <c r="V4112" s="6"/>
      <c r="W4112" s="6"/>
      <c r="X4112" s="6"/>
      <c r="Y4112" s="6"/>
      <c r="Z4112" s="6"/>
    </row>
    <row r="4113" spans="14:26" ht="31.4" customHeight="1" x14ac:dyDescent="0.35">
      <c r="N4113" s="20"/>
      <c r="P4113" s="8"/>
      <c r="Q4113" s="8"/>
      <c r="R4113" s="8"/>
      <c r="S4113" s="8"/>
      <c r="U4113" s="6"/>
      <c r="V4113" s="6"/>
      <c r="W4113" s="6"/>
      <c r="X4113" s="6"/>
      <c r="Y4113" s="6"/>
      <c r="Z4113" s="6"/>
    </row>
    <row r="4114" spans="14:26" ht="31.4" customHeight="1" x14ac:dyDescent="0.35">
      <c r="N4114" s="20"/>
      <c r="P4114" s="8"/>
      <c r="Q4114" s="8"/>
      <c r="R4114" s="8"/>
      <c r="S4114" s="8"/>
      <c r="U4114" s="6"/>
      <c r="V4114" s="6"/>
      <c r="W4114" s="6"/>
      <c r="X4114" s="6"/>
      <c r="Y4114" s="6"/>
      <c r="Z4114" s="6"/>
    </row>
    <row r="4115" spans="14:26" ht="31.4" customHeight="1" x14ac:dyDescent="0.35">
      <c r="N4115" s="20"/>
      <c r="P4115" s="8"/>
      <c r="Q4115" s="8"/>
      <c r="R4115" s="8"/>
      <c r="S4115" s="8"/>
      <c r="U4115" s="6"/>
      <c r="V4115" s="6"/>
      <c r="W4115" s="6"/>
      <c r="X4115" s="6"/>
      <c r="Y4115" s="6"/>
      <c r="Z4115" s="6"/>
    </row>
    <row r="4116" spans="14:26" ht="31.4" customHeight="1" x14ac:dyDescent="0.35">
      <c r="N4116" s="20"/>
      <c r="P4116" s="8"/>
      <c r="Q4116" s="8"/>
      <c r="R4116" s="8"/>
      <c r="S4116" s="8"/>
      <c r="U4116" s="6"/>
      <c r="V4116" s="6"/>
      <c r="W4116" s="6"/>
      <c r="X4116" s="6"/>
      <c r="Y4116" s="6"/>
      <c r="Z4116" s="6"/>
    </row>
    <row r="4117" spans="14:26" ht="31.4" customHeight="1" x14ac:dyDescent="0.35">
      <c r="N4117" s="20"/>
      <c r="P4117" s="8"/>
      <c r="Q4117" s="8"/>
      <c r="R4117" s="8"/>
      <c r="S4117" s="8"/>
      <c r="U4117" s="6"/>
      <c r="V4117" s="6"/>
      <c r="W4117" s="6"/>
      <c r="X4117" s="6"/>
      <c r="Y4117" s="6"/>
      <c r="Z4117" s="6"/>
    </row>
    <row r="4118" spans="14:26" ht="31.4" customHeight="1" x14ac:dyDescent="0.35">
      <c r="N4118" s="20"/>
      <c r="P4118" s="8"/>
      <c r="Q4118" s="8"/>
      <c r="R4118" s="8"/>
      <c r="S4118" s="8"/>
      <c r="U4118" s="6"/>
      <c r="V4118" s="6"/>
      <c r="W4118" s="6"/>
      <c r="X4118" s="6"/>
      <c r="Y4118" s="6"/>
      <c r="Z4118" s="6"/>
    </row>
    <row r="4119" spans="14:26" ht="31.4" customHeight="1" x14ac:dyDescent="0.35">
      <c r="N4119" s="20"/>
      <c r="P4119" s="8"/>
      <c r="Q4119" s="8"/>
      <c r="R4119" s="8"/>
      <c r="S4119" s="8"/>
      <c r="U4119" s="6"/>
      <c r="V4119" s="6"/>
      <c r="W4119" s="6"/>
      <c r="X4119" s="6"/>
      <c r="Y4119" s="6"/>
      <c r="Z4119" s="6"/>
    </row>
    <row r="4120" spans="14:26" ht="31.4" customHeight="1" x14ac:dyDescent="0.35">
      <c r="N4120" s="20"/>
      <c r="P4120" s="8"/>
      <c r="Q4120" s="8"/>
      <c r="R4120" s="8"/>
      <c r="S4120" s="8"/>
      <c r="U4120" s="6"/>
      <c r="V4120" s="6"/>
      <c r="W4120" s="6"/>
      <c r="X4120" s="6"/>
      <c r="Y4120" s="6"/>
      <c r="Z4120" s="6"/>
    </row>
    <row r="4121" spans="14:26" ht="31.4" customHeight="1" x14ac:dyDescent="0.35">
      <c r="N4121" s="20"/>
      <c r="P4121" s="8"/>
      <c r="Q4121" s="8"/>
      <c r="R4121" s="8"/>
      <c r="S4121" s="8"/>
      <c r="U4121" s="6"/>
      <c r="V4121" s="6"/>
      <c r="W4121" s="6"/>
      <c r="X4121" s="6"/>
      <c r="Y4121" s="6"/>
      <c r="Z4121" s="6"/>
    </row>
    <row r="4122" spans="14:26" ht="31.4" customHeight="1" x14ac:dyDescent="0.35">
      <c r="N4122" s="20"/>
      <c r="P4122" s="8"/>
      <c r="Q4122" s="8"/>
      <c r="R4122" s="8"/>
      <c r="S4122" s="8"/>
      <c r="U4122" s="6"/>
      <c r="V4122" s="6"/>
      <c r="W4122" s="6"/>
      <c r="X4122" s="6"/>
      <c r="Y4122" s="6"/>
      <c r="Z4122" s="6"/>
    </row>
    <row r="4123" spans="14:26" ht="31.4" customHeight="1" x14ac:dyDescent="0.35">
      <c r="N4123" s="20"/>
      <c r="P4123" s="8"/>
      <c r="Q4123" s="8"/>
      <c r="R4123" s="8"/>
      <c r="S4123" s="8"/>
      <c r="U4123" s="6"/>
      <c r="V4123" s="6"/>
      <c r="W4123" s="6"/>
      <c r="X4123" s="6"/>
      <c r="Y4123" s="6"/>
      <c r="Z4123" s="6"/>
    </row>
    <row r="4124" spans="14:26" ht="31.4" customHeight="1" x14ac:dyDescent="0.35">
      <c r="N4124" s="20"/>
      <c r="P4124" s="8"/>
      <c r="Q4124" s="8"/>
      <c r="R4124" s="8"/>
      <c r="S4124" s="8"/>
      <c r="U4124" s="6"/>
      <c r="V4124" s="6"/>
      <c r="W4124" s="6"/>
      <c r="X4124" s="6"/>
      <c r="Y4124" s="6"/>
      <c r="Z4124" s="6"/>
    </row>
    <row r="4125" spans="14:26" ht="31.4" customHeight="1" x14ac:dyDescent="0.35">
      <c r="N4125" s="20"/>
      <c r="P4125" s="8"/>
      <c r="Q4125" s="8"/>
      <c r="R4125" s="8"/>
      <c r="S4125" s="8"/>
      <c r="U4125" s="6"/>
      <c r="V4125" s="6"/>
      <c r="W4125" s="6"/>
      <c r="X4125" s="6"/>
      <c r="Y4125" s="6"/>
      <c r="Z4125" s="6"/>
    </row>
    <row r="4126" spans="14:26" ht="31.4" customHeight="1" x14ac:dyDescent="0.35">
      <c r="N4126" s="20"/>
      <c r="P4126" s="8"/>
      <c r="Q4126" s="8"/>
      <c r="R4126" s="8"/>
      <c r="S4126" s="8"/>
      <c r="U4126" s="6"/>
      <c r="V4126" s="6"/>
      <c r="W4126" s="6"/>
      <c r="X4126" s="6"/>
      <c r="Y4126" s="6"/>
      <c r="Z4126" s="6"/>
    </row>
    <row r="4127" spans="14:26" ht="31.4" customHeight="1" x14ac:dyDescent="0.35">
      <c r="N4127" s="20"/>
      <c r="P4127" s="8"/>
      <c r="Q4127" s="8"/>
      <c r="R4127" s="8"/>
      <c r="S4127" s="8"/>
      <c r="U4127" s="6"/>
      <c r="V4127" s="6"/>
      <c r="W4127" s="6"/>
      <c r="X4127" s="6"/>
      <c r="Y4127" s="6"/>
      <c r="Z4127" s="6"/>
    </row>
    <row r="4128" spans="14:26" ht="31.4" customHeight="1" x14ac:dyDescent="0.35">
      <c r="N4128" s="20"/>
      <c r="P4128" s="8"/>
      <c r="Q4128" s="8"/>
      <c r="R4128" s="8"/>
      <c r="S4128" s="8"/>
      <c r="U4128" s="6"/>
      <c r="V4128" s="6"/>
      <c r="W4128" s="6"/>
      <c r="X4128" s="6"/>
      <c r="Y4128" s="6"/>
      <c r="Z4128" s="6"/>
    </row>
    <row r="4129" spans="14:26" ht="31.4" customHeight="1" x14ac:dyDescent="0.35">
      <c r="N4129" s="20"/>
      <c r="P4129" s="8"/>
      <c r="Q4129" s="8"/>
      <c r="R4129" s="8"/>
      <c r="S4129" s="8"/>
      <c r="U4129" s="6"/>
      <c r="V4129" s="6"/>
      <c r="W4129" s="6"/>
      <c r="X4129" s="6"/>
      <c r="Y4129" s="6"/>
      <c r="Z4129" s="6"/>
    </row>
    <row r="4130" spans="14:26" ht="31.4" customHeight="1" x14ac:dyDescent="0.35">
      <c r="N4130" s="20"/>
      <c r="P4130" s="8"/>
      <c r="Q4130" s="8"/>
      <c r="R4130" s="8"/>
      <c r="S4130" s="8"/>
      <c r="U4130" s="6"/>
      <c r="V4130" s="6"/>
      <c r="W4130" s="6"/>
      <c r="X4130" s="6"/>
      <c r="Y4130" s="6"/>
      <c r="Z4130" s="6"/>
    </row>
    <row r="4131" spans="14:26" ht="31.4" customHeight="1" x14ac:dyDescent="0.35">
      <c r="N4131" s="20"/>
      <c r="P4131" s="8"/>
      <c r="Q4131" s="8"/>
      <c r="R4131" s="8"/>
      <c r="S4131" s="8"/>
      <c r="U4131" s="6"/>
      <c r="V4131" s="6"/>
      <c r="W4131" s="6"/>
      <c r="X4131" s="6"/>
      <c r="Y4131" s="6"/>
      <c r="Z4131" s="6"/>
    </row>
    <row r="4132" spans="14:26" ht="31.4" customHeight="1" x14ac:dyDescent="0.35">
      <c r="N4132" s="20"/>
      <c r="P4132" s="8"/>
      <c r="Q4132" s="8"/>
      <c r="R4132" s="8"/>
      <c r="S4132" s="8"/>
      <c r="U4132" s="6"/>
      <c r="V4132" s="6"/>
      <c r="W4132" s="6"/>
      <c r="X4132" s="6"/>
      <c r="Y4132" s="6"/>
      <c r="Z4132" s="6"/>
    </row>
    <row r="4133" spans="14:26" ht="31.4" customHeight="1" x14ac:dyDescent="0.35">
      <c r="N4133" s="20"/>
      <c r="P4133" s="8"/>
      <c r="Q4133" s="8"/>
      <c r="R4133" s="8"/>
      <c r="S4133" s="8"/>
      <c r="U4133" s="6"/>
      <c r="V4133" s="6"/>
      <c r="W4133" s="6"/>
      <c r="X4133" s="6"/>
      <c r="Y4133" s="6"/>
      <c r="Z4133" s="6"/>
    </row>
    <row r="4134" spans="14:26" ht="31.4" customHeight="1" x14ac:dyDescent="0.35">
      <c r="N4134" s="20"/>
      <c r="P4134" s="8"/>
      <c r="Q4134" s="8"/>
      <c r="R4134" s="8"/>
      <c r="S4134" s="8"/>
      <c r="U4134" s="6"/>
      <c r="V4134" s="6"/>
      <c r="W4134" s="6"/>
      <c r="X4134" s="6"/>
      <c r="Y4134" s="6"/>
      <c r="Z4134" s="6"/>
    </row>
    <row r="4135" spans="14:26" ht="31.4" customHeight="1" x14ac:dyDescent="0.35">
      <c r="N4135" s="20"/>
      <c r="P4135" s="8"/>
      <c r="Q4135" s="8"/>
      <c r="R4135" s="8"/>
      <c r="S4135" s="8"/>
      <c r="U4135" s="6"/>
      <c r="V4135" s="6"/>
      <c r="W4135" s="6"/>
      <c r="X4135" s="6"/>
      <c r="Y4135" s="6"/>
      <c r="Z4135" s="6"/>
    </row>
    <row r="4136" spans="14:26" ht="31.4" customHeight="1" x14ac:dyDescent="0.35">
      <c r="N4136" s="20"/>
      <c r="P4136" s="8"/>
      <c r="Q4136" s="8"/>
      <c r="R4136" s="8"/>
      <c r="S4136" s="8"/>
      <c r="U4136" s="6"/>
      <c r="V4136" s="6"/>
      <c r="W4136" s="6"/>
      <c r="X4136" s="6"/>
      <c r="Y4136" s="6"/>
      <c r="Z4136" s="6"/>
    </row>
    <row r="4137" spans="14:26" ht="31.4" customHeight="1" x14ac:dyDescent="0.35">
      <c r="N4137" s="20"/>
      <c r="P4137" s="8"/>
      <c r="Q4137" s="8"/>
      <c r="R4137" s="8"/>
      <c r="S4137" s="8"/>
      <c r="U4137" s="6"/>
      <c r="V4137" s="6"/>
      <c r="W4137" s="6"/>
      <c r="X4137" s="6"/>
      <c r="Y4137" s="6"/>
      <c r="Z4137" s="6"/>
    </row>
    <row r="4138" spans="14:26" ht="31.4" customHeight="1" x14ac:dyDescent="0.35">
      <c r="N4138" s="20"/>
      <c r="P4138" s="8"/>
      <c r="Q4138" s="8"/>
      <c r="R4138" s="8"/>
      <c r="S4138" s="8"/>
      <c r="U4138" s="6"/>
      <c r="V4138" s="6"/>
      <c r="W4138" s="6"/>
      <c r="X4138" s="6"/>
      <c r="Y4138" s="6"/>
      <c r="Z4138" s="6"/>
    </row>
    <row r="4139" spans="14:26" ht="31.4" customHeight="1" x14ac:dyDescent="0.35">
      <c r="N4139" s="20"/>
      <c r="P4139" s="8"/>
      <c r="Q4139" s="8"/>
      <c r="R4139" s="8"/>
      <c r="S4139" s="8"/>
      <c r="U4139" s="6"/>
      <c r="V4139" s="6"/>
      <c r="W4139" s="6"/>
      <c r="X4139" s="6"/>
      <c r="Y4139" s="6"/>
      <c r="Z4139" s="6"/>
    </row>
    <row r="4140" spans="14:26" ht="31.4" customHeight="1" x14ac:dyDescent="0.35">
      <c r="N4140" s="20"/>
      <c r="P4140" s="8"/>
      <c r="Q4140" s="8"/>
      <c r="R4140" s="8"/>
      <c r="S4140" s="8"/>
      <c r="U4140" s="6"/>
      <c r="V4140" s="6"/>
      <c r="W4140" s="6"/>
      <c r="X4140" s="6"/>
      <c r="Y4140" s="6"/>
      <c r="Z4140" s="6"/>
    </row>
    <row r="4141" spans="14:26" ht="31.4" customHeight="1" x14ac:dyDescent="0.35">
      <c r="N4141" s="20"/>
      <c r="P4141" s="8"/>
      <c r="Q4141" s="8"/>
      <c r="R4141" s="8"/>
      <c r="S4141" s="8"/>
      <c r="U4141" s="6"/>
      <c r="V4141" s="6"/>
      <c r="W4141" s="6"/>
      <c r="X4141" s="6"/>
      <c r="Y4141" s="6"/>
      <c r="Z4141" s="6"/>
    </row>
    <row r="4142" spans="14:26" ht="31.4" customHeight="1" x14ac:dyDescent="0.35">
      <c r="N4142" s="20"/>
      <c r="P4142" s="8"/>
      <c r="Q4142" s="8"/>
      <c r="R4142" s="8"/>
      <c r="S4142" s="8"/>
      <c r="U4142" s="6"/>
      <c r="V4142" s="6"/>
      <c r="W4142" s="6"/>
      <c r="X4142" s="6"/>
      <c r="Y4142" s="6"/>
      <c r="Z4142" s="6"/>
    </row>
    <row r="4143" spans="14:26" ht="31.4" customHeight="1" x14ac:dyDescent="0.35">
      <c r="N4143" s="20"/>
      <c r="P4143" s="8"/>
      <c r="Q4143" s="8"/>
      <c r="R4143" s="8"/>
      <c r="S4143" s="8"/>
      <c r="U4143" s="6"/>
      <c r="V4143" s="6"/>
      <c r="W4143" s="6"/>
      <c r="X4143" s="6"/>
      <c r="Y4143" s="6"/>
      <c r="Z4143" s="6"/>
    </row>
    <row r="4144" spans="14:26" ht="31.4" customHeight="1" x14ac:dyDescent="0.35">
      <c r="N4144" s="20"/>
      <c r="P4144" s="8"/>
      <c r="Q4144" s="8"/>
      <c r="R4144" s="8"/>
      <c r="S4144" s="8"/>
      <c r="U4144" s="6"/>
      <c r="V4144" s="6"/>
      <c r="W4144" s="6"/>
      <c r="X4144" s="6"/>
      <c r="Y4144" s="6"/>
      <c r="Z4144" s="6"/>
    </row>
    <row r="4145" spans="14:26" ht="31.4" customHeight="1" x14ac:dyDescent="0.35">
      <c r="N4145" s="20"/>
      <c r="P4145" s="8"/>
      <c r="Q4145" s="8"/>
      <c r="R4145" s="8"/>
      <c r="S4145" s="8"/>
      <c r="U4145" s="6"/>
      <c r="V4145" s="6"/>
      <c r="W4145" s="6"/>
      <c r="X4145" s="6"/>
      <c r="Y4145" s="6"/>
      <c r="Z4145" s="6"/>
    </row>
    <row r="4146" spans="14:26" ht="31.4" customHeight="1" x14ac:dyDescent="0.35">
      <c r="N4146" s="20"/>
      <c r="P4146" s="8"/>
      <c r="Q4146" s="8"/>
      <c r="R4146" s="8"/>
      <c r="S4146" s="8"/>
      <c r="U4146" s="6"/>
      <c r="V4146" s="6"/>
      <c r="W4146" s="6"/>
      <c r="X4146" s="6"/>
      <c r="Y4146" s="6"/>
      <c r="Z4146" s="6"/>
    </row>
    <row r="4147" spans="14:26" ht="31.4" customHeight="1" x14ac:dyDescent="0.35">
      <c r="N4147" s="20"/>
      <c r="P4147" s="8"/>
      <c r="Q4147" s="8"/>
      <c r="R4147" s="8"/>
      <c r="S4147" s="8"/>
      <c r="U4147" s="6"/>
      <c r="V4147" s="6"/>
      <c r="W4147" s="6"/>
      <c r="X4147" s="6"/>
      <c r="Y4147" s="6"/>
      <c r="Z4147" s="6"/>
    </row>
    <row r="4148" spans="14:26" ht="31.4" customHeight="1" x14ac:dyDescent="0.35">
      <c r="N4148" s="20"/>
      <c r="P4148" s="8"/>
      <c r="Q4148" s="8"/>
      <c r="R4148" s="8"/>
      <c r="S4148" s="8"/>
      <c r="U4148" s="6"/>
      <c r="V4148" s="6"/>
      <c r="W4148" s="6"/>
      <c r="X4148" s="6"/>
      <c r="Y4148" s="6"/>
      <c r="Z4148" s="6"/>
    </row>
    <row r="4149" spans="14:26" ht="31.4" customHeight="1" x14ac:dyDescent="0.35">
      <c r="N4149" s="20"/>
      <c r="P4149" s="8"/>
      <c r="Q4149" s="8"/>
      <c r="R4149" s="8"/>
      <c r="S4149" s="8"/>
      <c r="U4149" s="6"/>
      <c r="V4149" s="6"/>
      <c r="W4149" s="6"/>
      <c r="X4149" s="6"/>
      <c r="Y4149" s="6"/>
      <c r="Z4149" s="6"/>
    </row>
    <row r="4150" spans="14:26" ht="31.4" customHeight="1" x14ac:dyDescent="0.35">
      <c r="N4150" s="20"/>
      <c r="P4150" s="8"/>
      <c r="Q4150" s="8"/>
      <c r="R4150" s="8"/>
      <c r="S4150" s="8"/>
      <c r="U4150" s="6"/>
      <c r="V4150" s="6"/>
      <c r="W4150" s="6"/>
      <c r="X4150" s="6"/>
      <c r="Y4150" s="6"/>
      <c r="Z4150" s="6"/>
    </row>
    <row r="4151" spans="14:26" ht="31.4" customHeight="1" x14ac:dyDescent="0.35">
      <c r="N4151" s="20"/>
      <c r="P4151" s="8"/>
      <c r="Q4151" s="8"/>
      <c r="R4151" s="8"/>
      <c r="S4151" s="8"/>
      <c r="U4151" s="6"/>
      <c r="V4151" s="6"/>
      <c r="W4151" s="6"/>
      <c r="X4151" s="6"/>
      <c r="Y4151" s="6"/>
      <c r="Z4151" s="6"/>
    </row>
    <row r="4152" spans="14:26" ht="31.4" customHeight="1" x14ac:dyDescent="0.35">
      <c r="N4152" s="20"/>
      <c r="P4152" s="8"/>
      <c r="Q4152" s="8"/>
      <c r="R4152" s="8"/>
      <c r="S4152" s="8"/>
      <c r="U4152" s="6"/>
      <c r="V4152" s="6"/>
      <c r="W4152" s="6"/>
      <c r="X4152" s="6"/>
      <c r="Y4152" s="6"/>
      <c r="Z4152" s="6"/>
    </row>
    <row r="4153" spans="14:26" ht="31.4" customHeight="1" x14ac:dyDescent="0.35">
      <c r="N4153" s="20"/>
      <c r="P4153" s="8"/>
      <c r="Q4153" s="8"/>
      <c r="R4153" s="8"/>
      <c r="S4153" s="8"/>
      <c r="U4153" s="6"/>
      <c r="V4153" s="6"/>
      <c r="W4153" s="6"/>
      <c r="X4153" s="6"/>
      <c r="Y4153" s="6"/>
      <c r="Z4153" s="6"/>
    </row>
    <row r="4154" spans="14:26" ht="31.4" customHeight="1" x14ac:dyDescent="0.35">
      <c r="N4154" s="20"/>
      <c r="P4154" s="8"/>
      <c r="Q4154" s="8"/>
      <c r="R4154" s="8"/>
      <c r="S4154" s="8"/>
      <c r="U4154" s="6"/>
      <c r="V4154" s="6"/>
      <c r="W4154" s="6"/>
      <c r="X4154" s="6"/>
      <c r="Y4154" s="6"/>
      <c r="Z4154" s="6"/>
    </row>
    <row r="4155" spans="14:26" ht="31.4" customHeight="1" x14ac:dyDescent="0.35">
      <c r="N4155" s="20"/>
      <c r="P4155" s="8"/>
      <c r="Q4155" s="8"/>
      <c r="R4155" s="8"/>
      <c r="S4155" s="8"/>
      <c r="U4155" s="6"/>
      <c r="V4155" s="6"/>
      <c r="W4155" s="6"/>
      <c r="X4155" s="6"/>
      <c r="Y4155" s="6"/>
      <c r="Z4155" s="6"/>
    </row>
    <row r="4156" spans="14:26" ht="31.4" customHeight="1" x14ac:dyDescent="0.35">
      <c r="N4156" s="20"/>
      <c r="P4156" s="8"/>
      <c r="Q4156" s="8"/>
      <c r="R4156" s="8"/>
      <c r="S4156" s="8"/>
      <c r="U4156" s="6"/>
      <c r="V4156" s="6"/>
      <c r="W4156" s="6"/>
      <c r="X4156" s="6"/>
      <c r="Y4156" s="6"/>
      <c r="Z4156" s="6"/>
    </row>
    <row r="4157" spans="14:26" ht="31.4" customHeight="1" x14ac:dyDescent="0.35">
      <c r="N4157" s="20"/>
      <c r="P4157" s="8"/>
      <c r="Q4157" s="8"/>
      <c r="R4157" s="8"/>
      <c r="S4157" s="8"/>
      <c r="U4157" s="6"/>
      <c r="V4157" s="6"/>
      <c r="W4157" s="6"/>
      <c r="X4157" s="6"/>
      <c r="Y4157" s="6"/>
      <c r="Z4157" s="6"/>
    </row>
    <row r="4158" spans="14:26" ht="31.4" customHeight="1" x14ac:dyDescent="0.35">
      <c r="N4158" s="20"/>
      <c r="P4158" s="8"/>
      <c r="Q4158" s="8"/>
      <c r="R4158" s="8"/>
      <c r="S4158" s="8"/>
      <c r="U4158" s="6"/>
      <c r="V4158" s="6"/>
      <c r="W4158" s="6"/>
      <c r="X4158" s="6"/>
      <c r="Y4158" s="6"/>
      <c r="Z4158" s="6"/>
    </row>
    <row r="4159" spans="14:26" ht="31.4" customHeight="1" x14ac:dyDescent="0.35">
      <c r="N4159" s="20"/>
      <c r="P4159" s="8"/>
      <c r="Q4159" s="8"/>
      <c r="R4159" s="8"/>
      <c r="S4159" s="8"/>
      <c r="U4159" s="6"/>
      <c r="V4159" s="6"/>
      <c r="W4159" s="6"/>
      <c r="X4159" s="6"/>
      <c r="Y4159" s="6"/>
      <c r="Z4159" s="6"/>
    </row>
    <row r="4160" spans="14:26" ht="31.4" customHeight="1" x14ac:dyDescent="0.35">
      <c r="N4160" s="20"/>
      <c r="P4160" s="8"/>
      <c r="Q4160" s="8"/>
      <c r="R4160" s="8"/>
      <c r="S4160" s="8"/>
      <c r="U4160" s="6"/>
      <c r="V4160" s="6"/>
      <c r="W4160" s="6"/>
      <c r="X4160" s="6"/>
      <c r="Y4160" s="6"/>
      <c r="Z4160" s="6"/>
    </row>
    <row r="4161" spans="14:26" ht="31.4" customHeight="1" x14ac:dyDescent="0.35">
      <c r="N4161" s="20"/>
      <c r="P4161" s="8"/>
      <c r="Q4161" s="8"/>
      <c r="R4161" s="8"/>
      <c r="S4161" s="8"/>
      <c r="U4161" s="6"/>
      <c r="V4161" s="6"/>
      <c r="W4161" s="6"/>
      <c r="X4161" s="6"/>
      <c r="Y4161" s="6"/>
      <c r="Z4161" s="6"/>
    </row>
    <row r="4162" spans="14:26" ht="31.4" customHeight="1" x14ac:dyDescent="0.35">
      <c r="N4162" s="20"/>
      <c r="P4162" s="8"/>
      <c r="Q4162" s="8"/>
      <c r="R4162" s="8"/>
      <c r="S4162" s="8"/>
      <c r="U4162" s="6"/>
      <c r="V4162" s="6"/>
      <c r="W4162" s="6"/>
      <c r="X4162" s="6"/>
      <c r="Y4162" s="6"/>
      <c r="Z4162" s="6"/>
    </row>
    <row r="4163" spans="14:26" ht="31.4" customHeight="1" x14ac:dyDescent="0.35">
      <c r="N4163" s="20"/>
      <c r="P4163" s="8"/>
      <c r="Q4163" s="8"/>
      <c r="R4163" s="8"/>
      <c r="S4163" s="8"/>
      <c r="U4163" s="6"/>
      <c r="V4163" s="6"/>
      <c r="W4163" s="6"/>
      <c r="X4163" s="6"/>
      <c r="Y4163" s="6"/>
      <c r="Z4163" s="6"/>
    </row>
    <row r="4164" spans="14:26" ht="31.4" customHeight="1" x14ac:dyDescent="0.35">
      <c r="N4164" s="20"/>
      <c r="P4164" s="8"/>
      <c r="Q4164" s="8"/>
      <c r="R4164" s="8"/>
      <c r="S4164" s="8"/>
      <c r="U4164" s="6"/>
      <c r="V4164" s="6"/>
      <c r="W4164" s="6"/>
      <c r="X4164" s="6"/>
      <c r="Y4164" s="6"/>
      <c r="Z4164" s="6"/>
    </row>
    <row r="4165" spans="14:26" ht="31.4" customHeight="1" x14ac:dyDescent="0.35">
      <c r="N4165" s="20"/>
      <c r="P4165" s="8"/>
      <c r="Q4165" s="8"/>
      <c r="R4165" s="8"/>
      <c r="S4165" s="8"/>
      <c r="U4165" s="6"/>
      <c r="V4165" s="6"/>
      <c r="W4165" s="6"/>
      <c r="X4165" s="6"/>
      <c r="Y4165" s="6"/>
      <c r="Z4165" s="6"/>
    </row>
    <row r="4166" spans="14:26" ht="31.4" customHeight="1" x14ac:dyDescent="0.35">
      <c r="N4166" s="20"/>
      <c r="P4166" s="8"/>
      <c r="Q4166" s="8"/>
      <c r="R4166" s="8"/>
      <c r="S4166" s="8"/>
      <c r="U4166" s="6"/>
      <c r="V4166" s="6"/>
      <c r="W4166" s="6"/>
      <c r="X4166" s="6"/>
      <c r="Y4166" s="6"/>
      <c r="Z4166" s="6"/>
    </row>
    <row r="4167" spans="14:26" ht="31.4" customHeight="1" x14ac:dyDescent="0.35">
      <c r="N4167" s="20"/>
      <c r="P4167" s="8"/>
      <c r="Q4167" s="8"/>
      <c r="R4167" s="8"/>
      <c r="S4167" s="8"/>
      <c r="U4167" s="6"/>
      <c r="V4167" s="6"/>
      <c r="W4167" s="6"/>
      <c r="X4167" s="6"/>
      <c r="Y4167" s="6"/>
      <c r="Z4167" s="6"/>
    </row>
    <row r="4168" spans="14:26" ht="31.4" customHeight="1" x14ac:dyDescent="0.35">
      <c r="N4168" s="20"/>
      <c r="P4168" s="8"/>
      <c r="Q4168" s="8"/>
      <c r="R4168" s="8"/>
      <c r="S4168" s="8"/>
      <c r="U4168" s="6"/>
      <c r="V4168" s="6"/>
      <c r="W4168" s="6"/>
      <c r="X4168" s="6"/>
      <c r="Y4168" s="6"/>
      <c r="Z4168" s="6"/>
    </row>
    <row r="4169" spans="14:26" ht="31.4" customHeight="1" x14ac:dyDescent="0.35">
      <c r="N4169" s="20"/>
      <c r="P4169" s="8"/>
      <c r="Q4169" s="8"/>
      <c r="R4169" s="8"/>
      <c r="S4169" s="8"/>
      <c r="U4169" s="6"/>
      <c r="V4169" s="6"/>
      <c r="W4169" s="6"/>
      <c r="X4169" s="6"/>
      <c r="Y4169" s="6"/>
      <c r="Z4169" s="6"/>
    </row>
    <row r="4170" spans="14:26" ht="31.4" customHeight="1" x14ac:dyDescent="0.35">
      <c r="N4170" s="20"/>
      <c r="P4170" s="8"/>
      <c r="Q4170" s="8"/>
      <c r="R4170" s="8"/>
      <c r="S4170" s="8"/>
      <c r="U4170" s="6"/>
      <c r="V4170" s="6"/>
      <c r="W4170" s="6"/>
      <c r="X4170" s="6"/>
      <c r="Y4170" s="6"/>
      <c r="Z4170" s="6"/>
    </row>
    <row r="4171" spans="14:26" ht="31.4" customHeight="1" x14ac:dyDescent="0.35">
      <c r="N4171" s="20"/>
      <c r="P4171" s="8"/>
      <c r="Q4171" s="8"/>
      <c r="R4171" s="8"/>
      <c r="S4171" s="8"/>
      <c r="U4171" s="6"/>
      <c r="V4171" s="6"/>
      <c r="W4171" s="6"/>
      <c r="X4171" s="6"/>
      <c r="Y4171" s="6"/>
      <c r="Z4171" s="6"/>
    </row>
    <row r="4172" spans="14:26" ht="31.4" customHeight="1" x14ac:dyDescent="0.35">
      <c r="N4172" s="20"/>
      <c r="P4172" s="8"/>
      <c r="Q4172" s="8"/>
      <c r="R4172" s="8"/>
      <c r="S4172" s="8"/>
      <c r="U4172" s="6"/>
      <c r="V4172" s="6"/>
      <c r="W4172" s="6"/>
      <c r="X4172" s="6"/>
      <c r="Y4172" s="6"/>
      <c r="Z4172" s="6"/>
    </row>
    <row r="4173" spans="14:26" ht="31.4" customHeight="1" x14ac:dyDescent="0.35">
      <c r="N4173" s="20"/>
      <c r="P4173" s="8"/>
      <c r="Q4173" s="8"/>
      <c r="R4173" s="8"/>
      <c r="S4173" s="8"/>
      <c r="U4173" s="6"/>
      <c r="V4173" s="6"/>
      <c r="W4173" s="6"/>
      <c r="X4173" s="6"/>
      <c r="Y4173" s="6"/>
      <c r="Z4173" s="6"/>
    </row>
    <row r="4174" spans="14:26" ht="31.4" customHeight="1" x14ac:dyDescent="0.35">
      <c r="N4174" s="20"/>
      <c r="P4174" s="8"/>
      <c r="Q4174" s="8"/>
      <c r="R4174" s="8"/>
      <c r="S4174" s="8"/>
      <c r="U4174" s="6"/>
      <c r="V4174" s="6"/>
      <c r="W4174" s="6"/>
      <c r="X4174" s="6"/>
      <c r="Y4174" s="6"/>
      <c r="Z4174" s="6"/>
    </row>
    <row r="4175" spans="14:26" ht="31.4" customHeight="1" x14ac:dyDescent="0.35">
      <c r="N4175" s="20"/>
      <c r="P4175" s="8"/>
      <c r="Q4175" s="8"/>
      <c r="R4175" s="8"/>
      <c r="S4175" s="8"/>
      <c r="U4175" s="6"/>
      <c r="V4175" s="6"/>
      <c r="W4175" s="6"/>
      <c r="X4175" s="6"/>
      <c r="Y4175" s="6"/>
      <c r="Z4175" s="6"/>
    </row>
    <row r="4176" spans="14:26" ht="31.4" customHeight="1" x14ac:dyDescent="0.35">
      <c r="N4176" s="20"/>
      <c r="P4176" s="8"/>
      <c r="Q4176" s="8"/>
      <c r="R4176" s="8"/>
      <c r="S4176" s="8"/>
      <c r="U4176" s="6"/>
      <c r="V4176" s="6"/>
      <c r="W4176" s="6"/>
      <c r="X4176" s="6"/>
      <c r="Y4176" s="6"/>
      <c r="Z4176" s="6"/>
    </row>
    <row r="4177" spans="14:26" ht="31.4" customHeight="1" x14ac:dyDescent="0.35">
      <c r="N4177" s="20"/>
      <c r="P4177" s="8"/>
      <c r="Q4177" s="8"/>
      <c r="R4177" s="8"/>
      <c r="S4177" s="8"/>
      <c r="U4177" s="6"/>
      <c r="V4177" s="6"/>
      <c r="W4177" s="6"/>
      <c r="X4177" s="6"/>
      <c r="Y4177" s="6"/>
      <c r="Z4177" s="6"/>
    </row>
    <row r="4178" spans="14:26" ht="31.4" customHeight="1" x14ac:dyDescent="0.35">
      <c r="N4178" s="20"/>
      <c r="P4178" s="8"/>
      <c r="Q4178" s="8"/>
      <c r="R4178" s="8"/>
      <c r="S4178" s="8"/>
      <c r="U4178" s="6"/>
      <c r="V4178" s="6"/>
      <c r="W4178" s="6"/>
      <c r="X4178" s="6"/>
      <c r="Y4178" s="6"/>
      <c r="Z4178" s="6"/>
    </row>
    <row r="4179" spans="14:26" ht="31.4" customHeight="1" x14ac:dyDescent="0.35">
      <c r="N4179" s="20"/>
      <c r="P4179" s="8"/>
      <c r="Q4179" s="8"/>
      <c r="R4179" s="8"/>
      <c r="S4179" s="8"/>
      <c r="U4179" s="6"/>
      <c r="V4179" s="6"/>
      <c r="W4179" s="6"/>
      <c r="X4179" s="6"/>
      <c r="Y4179" s="6"/>
      <c r="Z4179" s="6"/>
    </row>
    <row r="4180" spans="14:26" ht="31.4" customHeight="1" x14ac:dyDescent="0.35">
      <c r="N4180" s="20"/>
      <c r="P4180" s="8"/>
      <c r="Q4180" s="8"/>
      <c r="R4180" s="8"/>
      <c r="S4180" s="8"/>
      <c r="U4180" s="6"/>
      <c r="V4180" s="6"/>
      <c r="W4180" s="6"/>
      <c r="X4180" s="6"/>
      <c r="Y4180" s="6"/>
      <c r="Z4180" s="6"/>
    </row>
    <row r="4181" spans="14:26" ht="31.4" customHeight="1" x14ac:dyDescent="0.35">
      <c r="N4181" s="20"/>
      <c r="P4181" s="8"/>
      <c r="Q4181" s="8"/>
      <c r="R4181" s="8"/>
      <c r="S4181" s="8"/>
      <c r="U4181" s="6"/>
      <c r="V4181" s="6"/>
      <c r="W4181" s="6"/>
      <c r="X4181" s="6"/>
      <c r="Y4181" s="6"/>
      <c r="Z4181" s="6"/>
    </row>
    <row r="4182" spans="14:26" ht="31.4" customHeight="1" x14ac:dyDescent="0.35">
      <c r="N4182" s="20"/>
      <c r="P4182" s="8"/>
      <c r="Q4182" s="8"/>
      <c r="R4182" s="8"/>
      <c r="S4182" s="8"/>
      <c r="U4182" s="6"/>
      <c r="V4182" s="6"/>
      <c r="W4182" s="6"/>
      <c r="X4182" s="6"/>
      <c r="Y4182" s="6"/>
      <c r="Z4182" s="6"/>
    </row>
    <row r="4183" spans="14:26" ht="31.4" customHeight="1" x14ac:dyDescent="0.35">
      <c r="N4183" s="20"/>
      <c r="P4183" s="8"/>
      <c r="Q4183" s="8"/>
      <c r="R4183" s="8"/>
      <c r="S4183" s="8"/>
      <c r="U4183" s="6"/>
      <c r="V4183" s="6"/>
      <c r="W4183" s="6"/>
      <c r="X4183" s="6"/>
      <c r="Y4183" s="6"/>
      <c r="Z4183" s="6"/>
    </row>
    <row r="4184" spans="14:26" ht="31.4" customHeight="1" x14ac:dyDescent="0.35">
      <c r="N4184" s="20"/>
      <c r="P4184" s="8"/>
      <c r="Q4184" s="8"/>
      <c r="R4184" s="8"/>
      <c r="S4184" s="8"/>
      <c r="U4184" s="6"/>
      <c r="V4184" s="6"/>
      <c r="W4184" s="6"/>
      <c r="X4184" s="6"/>
      <c r="Y4184" s="6"/>
      <c r="Z4184" s="6"/>
    </row>
    <row r="4185" spans="14:26" ht="31.4" customHeight="1" x14ac:dyDescent="0.35">
      <c r="N4185" s="20"/>
      <c r="P4185" s="8"/>
      <c r="Q4185" s="8"/>
      <c r="R4185" s="8"/>
      <c r="S4185" s="8"/>
      <c r="U4185" s="6"/>
      <c r="V4185" s="6"/>
      <c r="W4185" s="6"/>
      <c r="X4185" s="6"/>
      <c r="Y4185" s="6"/>
      <c r="Z4185" s="6"/>
    </row>
    <row r="4186" spans="14:26" ht="31.4" customHeight="1" x14ac:dyDescent="0.35">
      <c r="N4186" s="20"/>
      <c r="P4186" s="8"/>
      <c r="Q4186" s="8"/>
      <c r="R4186" s="8"/>
      <c r="S4186" s="8"/>
      <c r="U4186" s="6"/>
      <c r="V4186" s="6"/>
      <c r="W4186" s="6"/>
      <c r="X4186" s="6"/>
      <c r="Y4186" s="6"/>
      <c r="Z4186" s="6"/>
    </row>
    <row r="4187" spans="14:26" ht="31.4" customHeight="1" x14ac:dyDescent="0.35">
      <c r="N4187" s="20"/>
      <c r="P4187" s="8"/>
      <c r="Q4187" s="8"/>
      <c r="R4187" s="8"/>
      <c r="S4187" s="8"/>
      <c r="U4187" s="6"/>
      <c r="V4187" s="6"/>
      <c r="W4187" s="6"/>
      <c r="X4187" s="6"/>
      <c r="Y4187" s="6"/>
      <c r="Z4187" s="6"/>
    </row>
    <row r="4188" spans="14:26" ht="31.4" customHeight="1" x14ac:dyDescent="0.35">
      <c r="N4188" s="20"/>
      <c r="P4188" s="8"/>
      <c r="Q4188" s="8"/>
      <c r="R4188" s="8"/>
      <c r="S4188" s="8"/>
      <c r="U4188" s="6"/>
      <c r="V4188" s="6"/>
      <c r="W4188" s="6"/>
      <c r="X4188" s="6"/>
      <c r="Y4188" s="6"/>
      <c r="Z4188" s="6"/>
    </row>
    <row r="4189" spans="14:26" ht="31.4" customHeight="1" x14ac:dyDescent="0.35">
      <c r="N4189" s="20"/>
      <c r="P4189" s="8"/>
      <c r="Q4189" s="8"/>
      <c r="R4189" s="8"/>
      <c r="S4189" s="8"/>
      <c r="U4189" s="6"/>
      <c r="V4189" s="6"/>
      <c r="W4189" s="6"/>
      <c r="X4189" s="6"/>
      <c r="Y4189" s="6"/>
      <c r="Z4189" s="6"/>
    </row>
    <row r="4190" spans="14:26" ht="31.4" customHeight="1" x14ac:dyDescent="0.35">
      <c r="N4190" s="20"/>
      <c r="P4190" s="8"/>
      <c r="Q4190" s="8"/>
      <c r="R4190" s="8"/>
      <c r="S4190" s="8"/>
      <c r="U4190" s="6"/>
      <c r="V4190" s="6"/>
      <c r="W4190" s="6"/>
      <c r="X4190" s="6"/>
      <c r="Y4190" s="6"/>
      <c r="Z4190" s="6"/>
    </row>
    <row r="4191" spans="14:26" ht="31.4" customHeight="1" x14ac:dyDescent="0.35">
      <c r="N4191" s="20"/>
      <c r="P4191" s="8"/>
      <c r="Q4191" s="8"/>
      <c r="R4191" s="8"/>
      <c r="S4191" s="8"/>
      <c r="U4191" s="6"/>
      <c r="V4191" s="6"/>
      <c r="W4191" s="6"/>
      <c r="X4191" s="6"/>
      <c r="Y4191" s="6"/>
      <c r="Z4191" s="6"/>
    </row>
    <row r="4192" spans="14:26" ht="31.4" customHeight="1" x14ac:dyDescent="0.35">
      <c r="N4192" s="20"/>
      <c r="P4192" s="8"/>
      <c r="Q4192" s="8"/>
      <c r="R4192" s="8"/>
      <c r="S4192" s="8"/>
      <c r="U4192" s="6"/>
      <c r="V4192" s="6"/>
      <c r="W4192" s="6"/>
      <c r="X4192" s="6"/>
      <c r="Y4192" s="6"/>
      <c r="Z4192" s="6"/>
    </row>
    <row r="4193" spans="14:26" ht="31.4" customHeight="1" x14ac:dyDescent="0.35">
      <c r="N4193" s="20"/>
      <c r="P4193" s="8"/>
      <c r="Q4193" s="8"/>
      <c r="R4193" s="8"/>
      <c r="S4193" s="8"/>
      <c r="U4193" s="6"/>
      <c r="V4193" s="6"/>
      <c r="W4193" s="6"/>
      <c r="X4193" s="6"/>
      <c r="Y4193" s="6"/>
      <c r="Z4193" s="6"/>
    </row>
    <row r="4194" spans="14:26" ht="31.4" customHeight="1" x14ac:dyDescent="0.35">
      <c r="N4194" s="20"/>
      <c r="P4194" s="8"/>
      <c r="Q4194" s="8"/>
      <c r="R4194" s="8"/>
      <c r="S4194" s="8"/>
      <c r="U4194" s="6"/>
      <c r="V4194" s="6"/>
      <c r="W4194" s="6"/>
      <c r="X4194" s="6"/>
      <c r="Y4194" s="6"/>
      <c r="Z4194" s="6"/>
    </row>
    <row r="4195" spans="14:26" ht="31.4" customHeight="1" x14ac:dyDescent="0.35">
      <c r="N4195" s="20"/>
      <c r="P4195" s="8"/>
      <c r="Q4195" s="8"/>
      <c r="R4195" s="8"/>
      <c r="S4195" s="8"/>
      <c r="U4195" s="6"/>
      <c r="V4195" s="6"/>
      <c r="W4195" s="6"/>
      <c r="X4195" s="6"/>
      <c r="Y4195" s="6"/>
      <c r="Z4195" s="6"/>
    </row>
    <row r="4196" spans="14:26" ht="31.4" customHeight="1" x14ac:dyDescent="0.35">
      <c r="N4196" s="20"/>
      <c r="P4196" s="8"/>
      <c r="Q4196" s="8"/>
      <c r="R4196" s="8"/>
      <c r="S4196" s="8"/>
      <c r="U4196" s="6"/>
      <c r="V4196" s="6"/>
      <c r="W4196" s="6"/>
      <c r="X4196" s="6"/>
      <c r="Y4196" s="6"/>
      <c r="Z4196" s="6"/>
    </row>
    <row r="4197" spans="14:26" ht="31.4" customHeight="1" x14ac:dyDescent="0.35">
      <c r="N4197" s="20"/>
      <c r="P4197" s="8"/>
      <c r="Q4197" s="8"/>
      <c r="R4197" s="8"/>
      <c r="S4197" s="8"/>
      <c r="U4197" s="6"/>
      <c r="V4197" s="6"/>
      <c r="W4197" s="6"/>
      <c r="X4197" s="6"/>
      <c r="Y4197" s="6"/>
      <c r="Z4197" s="6"/>
    </row>
    <row r="4198" spans="14:26" ht="31.4" customHeight="1" x14ac:dyDescent="0.35">
      <c r="N4198" s="20"/>
      <c r="P4198" s="8"/>
      <c r="Q4198" s="8"/>
      <c r="R4198" s="8"/>
      <c r="S4198" s="8"/>
      <c r="U4198" s="6"/>
      <c r="V4198" s="6"/>
      <c r="W4198" s="6"/>
      <c r="X4198" s="6"/>
      <c r="Y4198" s="6"/>
      <c r="Z4198" s="6"/>
    </row>
    <row r="4199" spans="14:26" ht="31.4" customHeight="1" x14ac:dyDescent="0.35">
      <c r="N4199" s="20"/>
      <c r="P4199" s="8"/>
      <c r="Q4199" s="8"/>
      <c r="R4199" s="8"/>
      <c r="S4199" s="8"/>
      <c r="U4199" s="6"/>
      <c r="V4199" s="6"/>
      <c r="W4199" s="6"/>
      <c r="X4199" s="6"/>
      <c r="Y4199" s="6"/>
      <c r="Z4199" s="6"/>
    </row>
    <row r="4200" spans="14:26" ht="31.4" customHeight="1" x14ac:dyDescent="0.35">
      <c r="N4200" s="20"/>
      <c r="P4200" s="8"/>
      <c r="Q4200" s="8"/>
      <c r="R4200" s="8"/>
      <c r="S4200" s="8"/>
      <c r="U4200" s="6"/>
      <c r="V4200" s="6"/>
      <c r="W4200" s="6"/>
      <c r="X4200" s="6"/>
      <c r="Y4200" s="6"/>
      <c r="Z4200" s="6"/>
    </row>
    <row r="4201" spans="14:26" ht="31.4" customHeight="1" x14ac:dyDescent="0.35">
      <c r="N4201" s="20"/>
      <c r="P4201" s="8"/>
      <c r="Q4201" s="8"/>
      <c r="R4201" s="8"/>
      <c r="S4201" s="8"/>
      <c r="U4201" s="6"/>
      <c r="V4201" s="6"/>
      <c r="W4201" s="6"/>
      <c r="X4201" s="6"/>
      <c r="Y4201" s="6"/>
      <c r="Z4201" s="6"/>
    </row>
    <row r="4202" spans="14:26" ht="31.4" customHeight="1" x14ac:dyDescent="0.35">
      <c r="N4202" s="20"/>
      <c r="P4202" s="8"/>
      <c r="Q4202" s="8"/>
      <c r="R4202" s="8"/>
      <c r="S4202" s="8"/>
      <c r="U4202" s="6"/>
      <c r="V4202" s="6"/>
      <c r="W4202" s="6"/>
      <c r="X4202" s="6"/>
      <c r="Y4202" s="6"/>
      <c r="Z4202" s="6"/>
    </row>
    <row r="4203" spans="14:26" ht="31.4" customHeight="1" x14ac:dyDescent="0.35">
      <c r="N4203" s="20"/>
      <c r="P4203" s="8"/>
      <c r="Q4203" s="8"/>
      <c r="R4203" s="8"/>
      <c r="S4203" s="8"/>
      <c r="U4203" s="6"/>
      <c r="V4203" s="6"/>
      <c r="W4203" s="6"/>
      <c r="X4203" s="6"/>
      <c r="Y4203" s="6"/>
      <c r="Z4203" s="6"/>
    </row>
    <row r="4204" spans="14:26" ht="31.4" customHeight="1" x14ac:dyDescent="0.35">
      <c r="N4204" s="20"/>
      <c r="P4204" s="8"/>
      <c r="Q4204" s="8"/>
      <c r="R4204" s="8"/>
      <c r="S4204" s="8"/>
      <c r="U4204" s="6"/>
      <c r="V4204" s="6"/>
      <c r="W4204" s="6"/>
      <c r="X4204" s="6"/>
      <c r="Y4204" s="6"/>
      <c r="Z4204" s="6"/>
    </row>
    <row r="4205" spans="14:26" ht="31.4" customHeight="1" x14ac:dyDescent="0.35">
      <c r="N4205" s="20"/>
      <c r="P4205" s="8"/>
      <c r="Q4205" s="8"/>
      <c r="R4205" s="8"/>
      <c r="S4205" s="8"/>
      <c r="U4205" s="6"/>
      <c r="V4205" s="6"/>
      <c r="W4205" s="6"/>
      <c r="X4205" s="6"/>
      <c r="Y4205" s="6"/>
      <c r="Z4205" s="6"/>
    </row>
    <row r="4206" spans="14:26" ht="31.4" customHeight="1" x14ac:dyDescent="0.35">
      <c r="N4206" s="20"/>
      <c r="P4206" s="8"/>
      <c r="Q4206" s="8"/>
      <c r="R4206" s="8"/>
      <c r="S4206" s="8"/>
      <c r="U4206" s="6"/>
      <c r="V4206" s="6"/>
      <c r="W4206" s="6"/>
      <c r="X4206" s="6"/>
      <c r="Y4206" s="6"/>
      <c r="Z4206" s="6"/>
    </row>
    <row r="4207" spans="14:26" ht="31.4" customHeight="1" x14ac:dyDescent="0.35">
      <c r="N4207" s="20"/>
      <c r="P4207" s="8"/>
      <c r="Q4207" s="8"/>
      <c r="R4207" s="8"/>
      <c r="S4207" s="8"/>
      <c r="U4207" s="6"/>
      <c r="V4207" s="6"/>
      <c r="W4207" s="6"/>
      <c r="X4207" s="6"/>
      <c r="Y4207" s="6"/>
      <c r="Z4207" s="6"/>
    </row>
    <row r="4208" spans="14:26" ht="31.4" customHeight="1" x14ac:dyDescent="0.35">
      <c r="N4208" s="20"/>
      <c r="P4208" s="8"/>
      <c r="Q4208" s="8"/>
      <c r="R4208" s="8"/>
      <c r="S4208" s="8"/>
      <c r="U4208" s="6"/>
      <c r="V4208" s="6"/>
      <c r="W4208" s="6"/>
      <c r="X4208" s="6"/>
      <c r="Y4208" s="6"/>
      <c r="Z4208" s="6"/>
    </row>
    <row r="4209" spans="14:26" ht="31.4" customHeight="1" x14ac:dyDescent="0.35">
      <c r="N4209" s="20"/>
      <c r="P4209" s="8"/>
      <c r="Q4209" s="8"/>
      <c r="R4209" s="8"/>
      <c r="S4209" s="8"/>
      <c r="U4209" s="6"/>
      <c r="V4209" s="6"/>
      <c r="W4209" s="6"/>
      <c r="X4209" s="6"/>
      <c r="Y4209" s="6"/>
      <c r="Z4209" s="6"/>
    </row>
    <row r="4210" spans="14:26" ht="31.4" customHeight="1" x14ac:dyDescent="0.35">
      <c r="N4210" s="20"/>
      <c r="P4210" s="8"/>
      <c r="Q4210" s="8"/>
      <c r="R4210" s="8"/>
      <c r="S4210" s="8"/>
      <c r="U4210" s="6"/>
      <c r="V4210" s="6"/>
      <c r="W4210" s="6"/>
      <c r="X4210" s="6"/>
      <c r="Y4210" s="6"/>
      <c r="Z4210" s="6"/>
    </row>
    <row r="4211" spans="14:26" ht="31.4" customHeight="1" x14ac:dyDescent="0.35">
      <c r="N4211" s="20"/>
      <c r="P4211" s="8"/>
      <c r="Q4211" s="8"/>
      <c r="R4211" s="8"/>
      <c r="S4211" s="8"/>
      <c r="U4211" s="6"/>
      <c r="V4211" s="6"/>
      <c r="W4211" s="6"/>
      <c r="X4211" s="6"/>
      <c r="Y4211" s="6"/>
      <c r="Z4211" s="6"/>
    </row>
    <row r="4212" spans="14:26" ht="31.4" customHeight="1" x14ac:dyDescent="0.35">
      <c r="N4212" s="20"/>
      <c r="P4212" s="8"/>
      <c r="Q4212" s="8"/>
      <c r="R4212" s="8"/>
      <c r="S4212" s="8"/>
      <c r="U4212" s="6"/>
      <c r="V4212" s="6"/>
      <c r="W4212" s="6"/>
      <c r="X4212" s="6"/>
      <c r="Y4212" s="6"/>
      <c r="Z4212" s="6"/>
    </row>
    <row r="4213" spans="14:26" ht="31.4" customHeight="1" x14ac:dyDescent="0.35">
      <c r="N4213" s="20"/>
      <c r="P4213" s="8"/>
      <c r="Q4213" s="8"/>
      <c r="R4213" s="8"/>
      <c r="S4213" s="8"/>
      <c r="U4213" s="6"/>
      <c r="V4213" s="6"/>
      <c r="W4213" s="6"/>
      <c r="X4213" s="6"/>
      <c r="Y4213" s="6"/>
      <c r="Z4213" s="6"/>
    </row>
    <row r="4214" spans="14:26" ht="31.4" customHeight="1" x14ac:dyDescent="0.35">
      <c r="N4214" s="20"/>
      <c r="P4214" s="8"/>
      <c r="Q4214" s="8"/>
      <c r="R4214" s="8"/>
      <c r="S4214" s="8"/>
      <c r="U4214" s="6"/>
      <c r="V4214" s="6"/>
      <c r="W4214" s="6"/>
      <c r="X4214" s="6"/>
      <c r="Y4214" s="6"/>
      <c r="Z4214" s="6"/>
    </row>
    <row r="4215" spans="14:26" ht="31.4" customHeight="1" x14ac:dyDescent="0.35">
      <c r="N4215" s="20"/>
      <c r="P4215" s="8"/>
      <c r="Q4215" s="8"/>
      <c r="R4215" s="8"/>
      <c r="S4215" s="8"/>
      <c r="U4215" s="6"/>
      <c r="V4215" s="6"/>
      <c r="W4215" s="6"/>
      <c r="X4215" s="6"/>
      <c r="Y4215" s="6"/>
      <c r="Z4215" s="6"/>
    </row>
    <row r="4216" spans="14:26" ht="31.4" customHeight="1" x14ac:dyDescent="0.35">
      <c r="N4216" s="20"/>
      <c r="P4216" s="8"/>
      <c r="Q4216" s="8"/>
      <c r="R4216" s="8"/>
      <c r="S4216" s="8"/>
      <c r="U4216" s="6"/>
      <c r="V4216" s="6"/>
      <c r="W4216" s="6"/>
      <c r="X4216" s="6"/>
      <c r="Y4216" s="6"/>
      <c r="Z4216" s="6"/>
    </row>
    <row r="4217" spans="14:26" ht="31.4" customHeight="1" x14ac:dyDescent="0.35">
      <c r="N4217" s="20"/>
      <c r="P4217" s="8"/>
      <c r="Q4217" s="8"/>
      <c r="R4217" s="8"/>
      <c r="S4217" s="8"/>
      <c r="U4217" s="6"/>
      <c r="V4217" s="6"/>
      <c r="W4217" s="6"/>
      <c r="X4217" s="6"/>
      <c r="Y4217" s="6"/>
      <c r="Z4217" s="6"/>
    </row>
    <row r="4218" spans="14:26" ht="31.4" customHeight="1" x14ac:dyDescent="0.35">
      <c r="N4218" s="20"/>
      <c r="P4218" s="8"/>
      <c r="Q4218" s="8"/>
      <c r="R4218" s="8"/>
      <c r="S4218" s="8"/>
      <c r="U4218" s="6"/>
      <c r="V4218" s="6"/>
      <c r="W4218" s="6"/>
      <c r="X4218" s="6"/>
      <c r="Y4218" s="6"/>
      <c r="Z4218" s="6"/>
    </row>
    <row r="4219" spans="14:26" ht="31.4" customHeight="1" x14ac:dyDescent="0.35">
      <c r="N4219" s="20"/>
      <c r="P4219" s="8"/>
      <c r="Q4219" s="8"/>
      <c r="R4219" s="8"/>
      <c r="S4219" s="8"/>
      <c r="U4219" s="6"/>
      <c r="V4219" s="6"/>
      <c r="W4219" s="6"/>
      <c r="X4219" s="6"/>
      <c r="Y4219" s="6"/>
      <c r="Z4219" s="6"/>
    </row>
    <row r="4220" spans="14:26" ht="31.4" customHeight="1" x14ac:dyDescent="0.35">
      <c r="N4220" s="20"/>
      <c r="P4220" s="8"/>
      <c r="Q4220" s="8"/>
      <c r="R4220" s="8"/>
      <c r="S4220" s="8"/>
      <c r="U4220" s="6"/>
      <c r="V4220" s="6"/>
      <c r="W4220" s="6"/>
      <c r="X4220" s="6"/>
      <c r="Y4220" s="6"/>
      <c r="Z4220" s="6"/>
    </row>
    <row r="4221" spans="14:26" ht="31.4" customHeight="1" x14ac:dyDescent="0.35">
      <c r="N4221" s="20"/>
      <c r="P4221" s="8"/>
      <c r="Q4221" s="8"/>
      <c r="R4221" s="8"/>
      <c r="S4221" s="8"/>
      <c r="U4221" s="6"/>
      <c r="V4221" s="6"/>
      <c r="W4221" s="6"/>
      <c r="X4221" s="6"/>
      <c r="Y4221" s="6"/>
      <c r="Z4221" s="6"/>
    </row>
    <row r="4222" spans="14:26" ht="31.4" customHeight="1" x14ac:dyDescent="0.35">
      <c r="N4222" s="20"/>
      <c r="P4222" s="8"/>
      <c r="Q4222" s="8"/>
      <c r="R4222" s="8"/>
      <c r="S4222" s="8"/>
      <c r="U4222" s="6"/>
      <c r="V4222" s="6"/>
      <c r="W4222" s="6"/>
      <c r="X4222" s="6"/>
      <c r="Y4222" s="6"/>
      <c r="Z4222" s="6"/>
    </row>
    <row r="4223" spans="14:26" ht="31.4" customHeight="1" x14ac:dyDescent="0.35">
      <c r="N4223" s="20"/>
      <c r="P4223" s="8"/>
      <c r="Q4223" s="8"/>
      <c r="R4223" s="8"/>
      <c r="S4223" s="8"/>
      <c r="U4223" s="6"/>
      <c r="V4223" s="6"/>
      <c r="W4223" s="6"/>
      <c r="X4223" s="6"/>
      <c r="Y4223" s="6"/>
      <c r="Z4223" s="6"/>
    </row>
    <row r="4224" spans="14:26" ht="31.4" customHeight="1" x14ac:dyDescent="0.35">
      <c r="N4224" s="20"/>
      <c r="P4224" s="8"/>
      <c r="Q4224" s="8"/>
      <c r="R4224" s="8"/>
      <c r="S4224" s="8"/>
      <c r="U4224" s="6"/>
      <c r="V4224" s="6"/>
      <c r="W4224" s="6"/>
      <c r="X4224" s="6"/>
      <c r="Y4224" s="6"/>
      <c r="Z4224" s="6"/>
    </row>
    <row r="4225" spans="14:26" ht="31.4" customHeight="1" x14ac:dyDescent="0.35">
      <c r="N4225" s="20"/>
      <c r="P4225" s="8"/>
      <c r="Q4225" s="8"/>
      <c r="R4225" s="8"/>
      <c r="S4225" s="8"/>
      <c r="U4225" s="6"/>
      <c r="V4225" s="6"/>
      <c r="W4225" s="6"/>
      <c r="X4225" s="6"/>
      <c r="Y4225" s="6"/>
      <c r="Z4225" s="6"/>
    </row>
    <row r="4226" spans="14:26" ht="31.4" customHeight="1" x14ac:dyDescent="0.35">
      <c r="N4226" s="20"/>
      <c r="P4226" s="8"/>
      <c r="Q4226" s="8"/>
      <c r="R4226" s="8"/>
      <c r="S4226" s="8"/>
      <c r="U4226" s="6"/>
      <c r="V4226" s="6"/>
      <c r="W4226" s="6"/>
      <c r="X4226" s="6"/>
      <c r="Y4226" s="6"/>
      <c r="Z4226" s="6"/>
    </row>
    <row r="4227" spans="14:26" ht="31.4" customHeight="1" x14ac:dyDescent="0.35">
      <c r="N4227" s="20"/>
      <c r="P4227" s="8"/>
      <c r="Q4227" s="8"/>
      <c r="R4227" s="8"/>
      <c r="S4227" s="8"/>
      <c r="U4227" s="6"/>
      <c r="V4227" s="6"/>
      <c r="W4227" s="6"/>
      <c r="X4227" s="6"/>
      <c r="Y4227" s="6"/>
      <c r="Z4227" s="6"/>
    </row>
    <row r="4228" spans="14:26" ht="31.4" customHeight="1" x14ac:dyDescent="0.35">
      <c r="N4228" s="20"/>
      <c r="P4228" s="8"/>
      <c r="Q4228" s="8"/>
      <c r="R4228" s="8"/>
      <c r="S4228" s="8"/>
      <c r="U4228" s="6"/>
      <c r="V4228" s="6"/>
      <c r="W4228" s="6"/>
      <c r="X4228" s="6"/>
      <c r="Y4228" s="6"/>
      <c r="Z4228" s="6"/>
    </row>
    <row r="4229" spans="14:26" ht="31.4" customHeight="1" x14ac:dyDescent="0.35">
      <c r="N4229" s="20"/>
      <c r="P4229" s="8"/>
      <c r="Q4229" s="8"/>
      <c r="R4229" s="8"/>
      <c r="S4229" s="8"/>
      <c r="U4229" s="6"/>
      <c r="V4229" s="6"/>
      <c r="W4229" s="6"/>
      <c r="X4229" s="6"/>
      <c r="Y4229" s="6"/>
      <c r="Z4229" s="6"/>
    </row>
    <row r="4230" spans="14:26" ht="31.4" customHeight="1" x14ac:dyDescent="0.35">
      <c r="N4230" s="20"/>
      <c r="P4230" s="8"/>
      <c r="Q4230" s="8"/>
      <c r="R4230" s="8"/>
      <c r="S4230" s="8"/>
      <c r="U4230" s="6"/>
      <c r="V4230" s="6"/>
      <c r="W4230" s="6"/>
      <c r="X4230" s="6"/>
      <c r="Y4230" s="6"/>
      <c r="Z4230" s="6"/>
    </row>
    <row r="4231" spans="14:26" ht="31.4" customHeight="1" x14ac:dyDescent="0.35">
      <c r="N4231" s="20"/>
      <c r="P4231" s="8"/>
      <c r="Q4231" s="8"/>
      <c r="R4231" s="8"/>
      <c r="S4231" s="8"/>
      <c r="U4231" s="6"/>
      <c r="V4231" s="6"/>
      <c r="W4231" s="6"/>
      <c r="X4231" s="6"/>
      <c r="Y4231" s="6"/>
      <c r="Z4231" s="6"/>
    </row>
    <row r="4232" spans="14:26" ht="31.4" customHeight="1" x14ac:dyDescent="0.35">
      <c r="N4232" s="20"/>
      <c r="P4232" s="8"/>
      <c r="Q4232" s="8"/>
      <c r="R4232" s="8"/>
      <c r="S4232" s="8"/>
      <c r="U4232" s="6"/>
      <c r="V4232" s="6"/>
      <c r="W4232" s="6"/>
      <c r="X4232" s="6"/>
      <c r="Y4232" s="6"/>
      <c r="Z4232" s="6"/>
    </row>
    <row r="4233" spans="14:26" ht="31.4" customHeight="1" x14ac:dyDescent="0.35">
      <c r="N4233" s="20"/>
      <c r="P4233" s="8"/>
      <c r="Q4233" s="8"/>
      <c r="R4233" s="8"/>
      <c r="S4233" s="8"/>
      <c r="U4233" s="6"/>
      <c r="V4233" s="6"/>
      <c r="W4233" s="6"/>
      <c r="X4233" s="6"/>
      <c r="Y4233" s="6"/>
      <c r="Z4233" s="6"/>
    </row>
    <row r="4234" spans="14:26" ht="31.4" customHeight="1" x14ac:dyDescent="0.35">
      <c r="N4234" s="20"/>
      <c r="P4234" s="8"/>
      <c r="Q4234" s="8"/>
      <c r="R4234" s="8"/>
      <c r="S4234" s="8"/>
      <c r="U4234" s="6"/>
      <c r="V4234" s="6"/>
      <c r="W4234" s="6"/>
      <c r="X4234" s="6"/>
      <c r="Y4234" s="6"/>
      <c r="Z4234" s="6"/>
    </row>
    <row r="4235" spans="14:26" ht="31.4" customHeight="1" x14ac:dyDescent="0.35">
      <c r="N4235" s="20"/>
      <c r="P4235" s="8"/>
      <c r="Q4235" s="8"/>
      <c r="R4235" s="8"/>
      <c r="S4235" s="8"/>
      <c r="U4235" s="6"/>
      <c r="V4235" s="6"/>
      <c r="W4235" s="6"/>
      <c r="X4235" s="6"/>
      <c r="Y4235" s="6"/>
      <c r="Z4235" s="6"/>
    </row>
    <row r="4236" spans="14:26" ht="31.4" customHeight="1" x14ac:dyDescent="0.35">
      <c r="N4236" s="20"/>
      <c r="P4236" s="8"/>
      <c r="Q4236" s="8"/>
      <c r="R4236" s="8"/>
      <c r="S4236" s="8"/>
      <c r="U4236" s="6"/>
      <c r="V4236" s="6"/>
      <c r="W4236" s="6"/>
      <c r="X4236" s="6"/>
      <c r="Y4236" s="6"/>
      <c r="Z4236" s="6"/>
    </row>
    <row r="4237" spans="14:26" ht="31.4" customHeight="1" x14ac:dyDescent="0.35">
      <c r="N4237" s="20"/>
      <c r="P4237" s="8"/>
      <c r="Q4237" s="8"/>
      <c r="R4237" s="8"/>
      <c r="S4237" s="8"/>
      <c r="U4237" s="6"/>
      <c r="V4237" s="6"/>
      <c r="W4237" s="6"/>
      <c r="X4237" s="6"/>
      <c r="Y4237" s="6"/>
      <c r="Z4237" s="6"/>
    </row>
    <row r="4238" spans="14:26" ht="31.4" customHeight="1" x14ac:dyDescent="0.35">
      <c r="N4238" s="20"/>
      <c r="P4238" s="8"/>
      <c r="Q4238" s="8"/>
      <c r="R4238" s="8"/>
      <c r="S4238" s="8"/>
      <c r="U4238" s="6"/>
      <c r="V4238" s="6"/>
      <c r="W4238" s="6"/>
      <c r="X4238" s="6"/>
      <c r="Y4238" s="6"/>
      <c r="Z4238" s="6"/>
    </row>
    <row r="4239" spans="14:26" ht="31.4" customHeight="1" x14ac:dyDescent="0.35">
      <c r="N4239" s="20"/>
      <c r="P4239" s="8"/>
      <c r="Q4239" s="8"/>
      <c r="R4239" s="8"/>
      <c r="S4239" s="8"/>
      <c r="U4239" s="6"/>
      <c r="V4239" s="6"/>
      <c r="W4239" s="6"/>
      <c r="X4239" s="6"/>
      <c r="Y4239" s="6"/>
      <c r="Z4239" s="6"/>
    </row>
    <row r="4240" spans="14:26" ht="31.4" customHeight="1" x14ac:dyDescent="0.35">
      <c r="N4240" s="20"/>
      <c r="P4240" s="8"/>
      <c r="Q4240" s="8"/>
      <c r="R4240" s="8"/>
      <c r="S4240" s="8"/>
      <c r="U4240" s="6"/>
      <c r="V4240" s="6"/>
      <c r="W4240" s="6"/>
      <c r="X4240" s="6"/>
      <c r="Y4240" s="6"/>
      <c r="Z4240" s="6"/>
    </row>
    <row r="4241" spans="14:26" ht="31.4" customHeight="1" x14ac:dyDescent="0.35">
      <c r="N4241" s="20"/>
      <c r="P4241" s="8"/>
      <c r="Q4241" s="8"/>
      <c r="R4241" s="8"/>
      <c r="S4241" s="8"/>
      <c r="U4241" s="6"/>
      <c r="V4241" s="6"/>
      <c r="W4241" s="6"/>
      <c r="X4241" s="6"/>
      <c r="Y4241" s="6"/>
      <c r="Z4241" s="6"/>
    </row>
    <row r="4242" spans="14:26" ht="31.4" customHeight="1" x14ac:dyDescent="0.35">
      <c r="N4242" s="20"/>
      <c r="P4242" s="8"/>
      <c r="Q4242" s="8"/>
      <c r="R4242" s="8"/>
      <c r="S4242" s="8"/>
      <c r="U4242" s="6"/>
      <c r="V4242" s="6"/>
      <c r="W4242" s="6"/>
      <c r="X4242" s="6"/>
      <c r="Y4242" s="6"/>
      <c r="Z4242" s="6"/>
    </row>
    <row r="4243" spans="14:26" ht="31.4" customHeight="1" x14ac:dyDescent="0.35">
      <c r="N4243" s="20"/>
      <c r="P4243" s="8"/>
      <c r="Q4243" s="8"/>
      <c r="R4243" s="8"/>
      <c r="S4243" s="8"/>
      <c r="U4243" s="6"/>
      <c r="V4243" s="6"/>
      <c r="W4243" s="6"/>
      <c r="X4243" s="6"/>
      <c r="Y4243" s="6"/>
      <c r="Z4243" s="6"/>
    </row>
    <row r="4244" spans="14:26" ht="31.4" customHeight="1" x14ac:dyDescent="0.35">
      <c r="N4244" s="20"/>
      <c r="P4244" s="8"/>
      <c r="Q4244" s="8"/>
      <c r="R4244" s="8"/>
      <c r="S4244" s="8"/>
      <c r="U4244" s="6"/>
      <c r="V4244" s="6"/>
      <c r="W4244" s="6"/>
      <c r="X4244" s="6"/>
      <c r="Y4244" s="6"/>
      <c r="Z4244" s="6"/>
    </row>
    <row r="4245" spans="14:26" ht="31.4" customHeight="1" x14ac:dyDescent="0.35">
      <c r="N4245" s="20"/>
      <c r="P4245" s="8"/>
      <c r="Q4245" s="8"/>
      <c r="R4245" s="8"/>
      <c r="S4245" s="8"/>
      <c r="U4245" s="6"/>
      <c r="V4245" s="6"/>
      <c r="W4245" s="6"/>
      <c r="X4245" s="6"/>
      <c r="Y4245" s="6"/>
      <c r="Z4245" s="6"/>
    </row>
    <row r="4246" spans="14:26" ht="31.4" customHeight="1" x14ac:dyDescent="0.35">
      <c r="N4246" s="20"/>
      <c r="P4246" s="8"/>
      <c r="Q4246" s="8"/>
      <c r="R4246" s="8"/>
      <c r="S4246" s="8"/>
      <c r="U4246" s="6"/>
      <c r="V4246" s="6"/>
      <c r="W4246" s="6"/>
      <c r="X4246" s="6"/>
      <c r="Y4246" s="6"/>
      <c r="Z4246" s="6"/>
    </row>
    <row r="4247" spans="14:26" ht="31.4" customHeight="1" x14ac:dyDescent="0.35">
      <c r="N4247" s="20"/>
      <c r="P4247" s="8"/>
      <c r="Q4247" s="8"/>
      <c r="R4247" s="8"/>
      <c r="S4247" s="8"/>
      <c r="U4247" s="6"/>
      <c r="V4247" s="6"/>
      <c r="W4247" s="6"/>
      <c r="X4247" s="6"/>
      <c r="Y4247" s="6"/>
      <c r="Z4247" s="6"/>
    </row>
    <row r="4248" spans="14:26" ht="31.4" customHeight="1" x14ac:dyDescent="0.35">
      <c r="N4248" s="20"/>
      <c r="P4248" s="8"/>
      <c r="Q4248" s="8"/>
      <c r="R4248" s="8"/>
      <c r="S4248" s="8"/>
      <c r="U4248" s="6"/>
      <c r="V4248" s="6"/>
      <c r="W4248" s="6"/>
      <c r="X4248" s="6"/>
      <c r="Y4248" s="6"/>
      <c r="Z4248" s="6"/>
    </row>
    <row r="4249" spans="14:26" ht="31.4" customHeight="1" x14ac:dyDescent="0.35">
      <c r="N4249" s="20"/>
      <c r="P4249" s="8"/>
      <c r="Q4249" s="8"/>
      <c r="R4249" s="8"/>
      <c r="S4249" s="8"/>
      <c r="U4249" s="6"/>
      <c r="V4249" s="6"/>
      <c r="W4249" s="6"/>
      <c r="X4249" s="6"/>
      <c r="Y4249" s="6"/>
      <c r="Z4249" s="6"/>
    </row>
    <row r="4250" spans="14:26" ht="31.4" customHeight="1" x14ac:dyDescent="0.35">
      <c r="N4250" s="20"/>
      <c r="P4250" s="8"/>
      <c r="Q4250" s="8"/>
      <c r="R4250" s="8"/>
      <c r="S4250" s="8"/>
      <c r="U4250" s="6"/>
      <c r="V4250" s="6"/>
      <c r="W4250" s="6"/>
      <c r="X4250" s="6"/>
      <c r="Y4250" s="6"/>
      <c r="Z4250" s="6"/>
    </row>
    <row r="4251" spans="14:26" ht="31.4" customHeight="1" x14ac:dyDescent="0.35">
      <c r="N4251" s="20"/>
      <c r="P4251" s="8"/>
      <c r="Q4251" s="8"/>
      <c r="R4251" s="8"/>
      <c r="S4251" s="8"/>
      <c r="U4251" s="6"/>
      <c r="V4251" s="6"/>
      <c r="W4251" s="6"/>
      <c r="X4251" s="6"/>
      <c r="Y4251" s="6"/>
      <c r="Z4251" s="6"/>
    </row>
    <row r="4252" spans="14:26" ht="31.4" customHeight="1" x14ac:dyDescent="0.35">
      <c r="N4252" s="20"/>
      <c r="P4252" s="8"/>
      <c r="Q4252" s="8"/>
      <c r="R4252" s="8"/>
      <c r="S4252" s="8"/>
      <c r="U4252" s="6"/>
      <c r="V4252" s="6"/>
      <c r="W4252" s="6"/>
      <c r="X4252" s="6"/>
      <c r="Y4252" s="6"/>
      <c r="Z4252" s="6"/>
    </row>
    <row r="4253" spans="14:26" ht="31.4" customHeight="1" x14ac:dyDescent="0.35">
      <c r="N4253" s="20"/>
      <c r="P4253" s="8"/>
      <c r="Q4253" s="8"/>
      <c r="R4253" s="8"/>
      <c r="S4253" s="8"/>
      <c r="U4253" s="6"/>
      <c r="V4253" s="6"/>
      <c r="W4253" s="6"/>
      <c r="X4253" s="6"/>
      <c r="Y4253" s="6"/>
      <c r="Z4253" s="6"/>
    </row>
    <row r="4254" spans="14:26" ht="31.4" customHeight="1" x14ac:dyDescent="0.35">
      <c r="N4254" s="20"/>
      <c r="P4254" s="8"/>
      <c r="Q4254" s="8"/>
      <c r="R4254" s="8"/>
      <c r="S4254" s="8"/>
      <c r="U4254" s="6"/>
      <c r="V4254" s="6"/>
      <c r="W4254" s="6"/>
      <c r="X4254" s="6"/>
      <c r="Y4254" s="6"/>
      <c r="Z4254" s="6"/>
    </row>
    <row r="4255" spans="14:26" ht="31.4" customHeight="1" x14ac:dyDescent="0.35">
      <c r="N4255" s="20"/>
      <c r="P4255" s="8"/>
      <c r="Q4255" s="8"/>
      <c r="R4255" s="8"/>
      <c r="S4255" s="8"/>
      <c r="U4255" s="6"/>
      <c r="V4255" s="6"/>
      <c r="W4255" s="6"/>
      <c r="X4255" s="6"/>
      <c r="Y4255" s="6"/>
      <c r="Z4255" s="6"/>
    </row>
    <row r="4256" spans="14:26" ht="31.4" customHeight="1" x14ac:dyDescent="0.35">
      <c r="N4256" s="20"/>
      <c r="P4256" s="8"/>
      <c r="Q4256" s="8"/>
      <c r="R4256" s="8"/>
      <c r="S4256" s="8"/>
      <c r="U4256" s="6"/>
      <c r="V4256" s="6"/>
      <c r="W4256" s="6"/>
      <c r="X4256" s="6"/>
      <c r="Y4256" s="6"/>
      <c r="Z4256" s="6"/>
    </row>
    <row r="4257" spans="14:26" ht="31.4" customHeight="1" x14ac:dyDescent="0.35">
      <c r="N4257" s="20"/>
      <c r="P4257" s="8"/>
      <c r="Q4257" s="8"/>
      <c r="R4257" s="8"/>
      <c r="S4257" s="8"/>
      <c r="U4257" s="6"/>
      <c r="V4257" s="6"/>
      <c r="W4257" s="6"/>
      <c r="X4257" s="6"/>
      <c r="Y4257" s="6"/>
      <c r="Z4257" s="6"/>
    </row>
    <row r="4258" spans="14:26" ht="31.4" customHeight="1" x14ac:dyDescent="0.35">
      <c r="N4258" s="20"/>
      <c r="P4258" s="8"/>
      <c r="Q4258" s="8"/>
      <c r="R4258" s="8"/>
      <c r="S4258" s="8"/>
      <c r="U4258" s="6"/>
      <c r="V4258" s="6"/>
      <c r="W4258" s="6"/>
      <c r="X4258" s="6"/>
      <c r="Y4258" s="6"/>
      <c r="Z4258" s="6"/>
    </row>
    <row r="4259" spans="14:26" ht="31.4" customHeight="1" x14ac:dyDescent="0.35">
      <c r="N4259" s="20"/>
      <c r="P4259" s="8"/>
      <c r="Q4259" s="8"/>
      <c r="R4259" s="8"/>
      <c r="S4259" s="8"/>
      <c r="U4259" s="6"/>
      <c r="V4259" s="6"/>
      <c r="W4259" s="6"/>
      <c r="X4259" s="6"/>
      <c r="Y4259" s="6"/>
      <c r="Z4259" s="6"/>
    </row>
    <row r="4260" spans="14:26" ht="31.4" customHeight="1" x14ac:dyDescent="0.35">
      <c r="N4260" s="20"/>
      <c r="P4260" s="8"/>
      <c r="Q4260" s="8"/>
      <c r="R4260" s="8"/>
      <c r="S4260" s="8"/>
      <c r="U4260" s="6"/>
      <c r="V4260" s="6"/>
      <c r="W4260" s="6"/>
      <c r="X4260" s="6"/>
      <c r="Y4260" s="6"/>
      <c r="Z4260" s="6"/>
    </row>
    <row r="4261" spans="14:26" ht="31.4" customHeight="1" x14ac:dyDescent="0.35">
      <c r="N4261" s="20"/>
      <c r="P4261" s="8"/>
      <c r="Q4261" s="8"/>
      <c r="R4261" s="8"/>
      <c r="S4261" s="8"/>
      <c r="U4261" s="6"/>
      <c r="V4261" s="6"/>
      <c r="W4261" s="6"/>
      <c r="X4261" s="6"/>
      <c r="Y4261" s="6"/>
      <c r="Z4261" s="6"/>
    </row>
    <row r="4262" spans="14:26" ht="31.4" customHeight="1" x14ac:dyDescent="0.35">
      <c r="N4262" s="20"/>
      <c r="P4262" s="8"/>
      <c r="Q4262" s="8"/>
      <c r="R4262" s="8"/>
      <c r="S4262" s="8"/>
      <c r="U4262" s="6"/>
      <c r="V4262" s="6"/>
      <c r="W4262" s="6"/>
      <c r="X4262" s="6"/>
      <c r="Y4262" s="6"/>
      <c r="Z4262" s="6"/>
    </row>
    <row r="4263" spans="14:26" ht="31.4" customHeight="1" x14ac:dyDescent="0.35">
      <c r="N4263" s="20"/>
      <c r="P4263" s="8"/>
      <c r="Q4263" s="8"/>
      <c r="R4263" s="8"/>
      <c r="S4263" s="8"/>
      <c r="U4263" s="6"/>
      <c r="V4263" s="6"/>
      <c r="W4263" s="6"/>
      <c r="X4263" s="6"/>
      <c r="Y4263" s="6"/>
      <c r="Z4263" s="6"/>
    </row>
    <row r="4264" spans="14:26" ht="31.4" customHeight="1" x14ac:dyDescent="0.35">
      <c r="N4264" s="20"/>
      <c r="P4264" s="8"/>
      <c r="Q4264" s="8"/>
      <c r="R4264" s="8"/>
      <c r="S4264" s="8"/>
      <c r="U4264" s="6"/>
      <c r="V4264" s="6"/>
      <c r="W4264" s="6"/>
      <c r="X4264" s="6"/>
      <c r="Y4264" s="6"/>
      <c r="Z4264" s="6"/>
    </row>
    <row r="4265" spans="14:26" ht="31.4" customHeight="1" x14ac:dyDescent="0.35">
      <c r="N4265" s="20"/>
      <c r="P4265" s="8"/>
      <c r="Q4265" s="8"/>
      <c r="R4265" s="8"/>
      <c r="S4265" s="8"/>
      <c r="U4265" s="6"/>
      <c r="V4265" s="6"/>
      <c r="W4265" s="6"/>
      <c r="X4265" s="6"/>
      <c r="Y4265" s="6"/>
      <c r="Z4265" s="6"/>
    </row>
    <row r="4266" spans="14:26" ht="31.4" customHeight="1" x14ac:dyDescent="0.35">
      <c r="N4266" s="20"/>
      <c r="P4266" s="8"/>
      <c r="Q4266" s="8"/>
      <c r="R4266" s="8"/>
      <c r="S4266" s="8"/>
      <c r="U4266" s="6"/>
      <c r="V4266" s="6"/>
      <c r="W4266" s="6"/>
      <c r="X4266" s="6"/>
      <c r="Y4266" s="6"/>
      <c r="Z4266" s="6"/>
    </row>
    <row r="4267" spans="14:26" ht="31.4" customHeight="1" x14ac:dyDescent="0.35">
      <c r="N4267" s="20"/>
      <c r="P4267" s="8"/>
      <c r="Q4267" s="8"/>
      <c r="R4267" s="8"/>
      <c r="S4267" s="8"/>
      <c r="U4267" s="6"/>
      <c r="V4267" s="6"/>
      <c r="W4267" s="6"/>
      <c r="X4267" s="6"/>
      <c r="Y4267" s="6"/>
      <c r="Z4267" s="6"/>
    </row>
    <row r="4268" spans="14:26" ht="31.4" customHeight="1" x14ac:dyDescent="0.35">
      <c r="N4268" s="20"/>
      <c r="P4268" s="8"/>
      <c r="Q4268" s="8"/>
      <c r="R4268" s="8"/>
      <c r="S4268" s="8"/>
      <c r="U4268" s="6"/>
      <c r="V4268" s="6"/>
      <c r="W4268" s="6"/>
      <c r="X4268" s="6"/>
      <c r="Y4268" s="6"/>
      <c r="Z4268" s="6"/>
    </row>
    <row r="4269" spans="14:26" ht="31.4" customHeight="1" x14ac:dyDescent="0.35">
      <c r="N4269" s="20"/>
      <c r="P4269" s="8"/>
      <c r="Q4269" s="8"/>
      <c r="R4269" s="8"/>
      <c r="S4269" s="8"/>
      <c r="U4269" s="6"/>
      <c r="V4269" s="6"/>
      <c r="W4269" s="6"/>
      <c r="X4269" s="6"/>
      <c r="Y4269" s="6"/>
      <c r="Z4269" s="6"/>
    </row>
    <row r="4270" spans="14:26" ht="31.4" customHeight="1" x14ac:dyDescent="0.35">
      <c r="N4270" s="20"/>
      <c r="P4270" s="8"/>
      <c r="Q4270" s="8"/>
      <c r="R4270" s="8"/>
      <c r="S4270" s="8"/>
      <c r="U4270" s="6"/>
      <c r="V4270" s="6"/>
      <c r="W4270" s="6"/>
      <c r="X4270" s="6"/>
      <c r="Y4270" s="6"/>
      <c r="Z4270" s="6"/>
    </row>
    <row r="4271" spans="14:26" ht="31.4" customHeight="1" x14ac:dyDescent="0.35">
      <c r="N4271" s="20"/>
      <c r="P4271" s="8"/>
      <c r="Q4271" s="8"/>
      <c r="R4271" s="8"/>
      <c r="S4271" s="8"/>
      <c r="U4271" s="6"/>
      <c r="V4271" s="6"/>
      <c r="W4271" s="6"/>
      <c r="X4271" s="6"/>
      <c r="Y4271" s="6"/>
      <c r="Z4271" s="6"/>
    </row>
    <row r="4272" spans="14:26" ht="31.4" customHeight="1" x14ac:dyDescent="0.35">
      <c r="N4272" s="20"/>
      <c r="P4272" s="8"/>
      <c r="Q4272" s="8"/>
      <c r="R4272" s="8"/>
      <c r="S4272" s="8"/>
      <c r="U4272" s="6"/>
      <c r="V4272" s="6"/>
      <c r="W4272" s="6"/>
      <c r="X4272" s="6"/>
      <c r="Y4272" s="6"/>
      <c r="Z4272" s="6"/>
    </row>
    <row r="4273" spans="14:26" ht="31.4" customHeight="1" x14ac:dyDescent="0.35">
      <c r="N4273" s="20"/>
      <c r="P4273" s="8"/>
      <c r="Q4273" s="8"/>
      <c r="R4273" s="8"/>
      <c r="S4273" s="8"/>
      <c r="U4273" s="6"/>
      <c r="V4273" s="6"/>
      <c r="W4273" s="6"/>
      <c r="X4273" s="6"/>
      <c r="Y4273" s="6"/>
      <c r="Z4273" s="6"/>
    </row>
    <row r="4274" spans="14:26" ht="31.4" customHeight="1" x14ac:dyDescent="0.35">
      <c r="N4274" s="20"/>
      <c r="P4274" s="8"/>
      <c r="Q4274" s="8"/>
      <c r="R4274" s="8"/>
      <c r="S4274" s="8"/>
      <c r="U4274" s="6"/>
      <c r="V4274" s="6"/>
      <c r="W4274" s="6"/>
      <c r="X4274" s="6"/>
      <c r="Y4274" s="6"/>
      <c r="Z4274" s="6"/>
    </row>
    <row r="4275" spans="14:26" ht="31.4" customHeight="1" x14ac:dyDescent="0.35">
      <c r="N4275" s="20"/>
      <c r="P4275" s="8"/>
      <c r="Q4275" s="8"/>
      <c r="R4275" s="8"/>
      <c r="S4275" s="8"/>
      <c r="U4275" s="6"/>
      <c r="V4275" s="6"/>
      <c r="W4275" s="6"/>
      <c r="X4275" s="6"/>
      <c r="Y4275" s="6"/>
      <c r="Z4275" s="6"/>
    </row>
    <row r="4276" spans="14:26" ht="31.4" customHeight="1" x14ac:dyDescent="0.35">
      <c r="N4276" s="20"/>
      <c r="P4276" s="8"/>
      <c r="Q4276" s="8"/>
      <c r="R4276" s="8"/>
      <c r="S4276" s="8"/>
      <c r="U4276" s="6"/>
      <c r="V4276" s="6"/>
      <c r="W4276" s="6"/>
      <c r="X4276" s="6"/>
      <c r="Y4276" s="6"/>
      <c r="Z4276" s="6"/>
    </row>
    <row r="4277" spans="14:26" ht="31.4" customHeight="1" x14ac:dyDescent="0.35">
      <c r="N4277" s="20"/>
      <c r="P4277" s="8"/>
      <c r="Q4277" s="8"/>
      <c r="R4277" s="8"/>
      <c r="S4277" s="8"/>
      <c r="U4277" s="6"/>
      <c r="V4277" s="6"/>
      <c r="W4277" s="6"/>
      <c r="X4277" s="6"/>
      <c r="Y4277" s="6"/>
      <c r="Z4277" s="6"/>
    </row>
    <row r="4278" spans="14:26" ht="31.4" customHeight="1" x14ac:dyDescent="0.35">
      <c r="N4278" s="20"/>
      <c r="P4278" s="8"/>
      <c r="Q4278" s="8"/>
      <c r="R4278" s="8"/>
      <c r="S4278" s="8"/>
      <c r="U4278" s="6"/>
      <c r="V4278" s="6"/>
      <c r="W4278" s="6"/>
      <c r="X4278" s="6"/>
      <c r="Y4278" s="6"/>
      <c r="Z4278" s="6"/>
    </row>
    <row r="4279" spans="14:26" ht="31.4" customHeight="1" x14ac:dyDescent="0.35">
      <c r="N4279" s="20"/>
      <c r="P4279" s="8"/>
      <c r="Q4279" s="8"/>
      <c r="R4279" s="8"/>
      <c r="S4279" s="8"/>
      <c r="U4279" s="6"/>
      <c r="V4279" s="6"/>
      <c r="W4279" s="6"/>
      <c r="X4279" s="6"/>
      <c r="Y4279" s="6"/>
      <c r="Z4279" s="6"/>
    </row>
    <row r="4280" spans="14:26" ht="31.4" customHeight="1" x14ac:dyDescent="0.35">
      <c r="N4280" s="20"/>
      <c r="P4280" s="8"/>
      <c r="Q4280" s="8"/>
      <c r="R4280" s="8"/>
      <c r="S4280" s="8"/>
      <c r="U4280" s="6"/>
      <c r="V4280" s="6"/>
      <c r="W4280" s="6"/>
      <c r="X4280" s="6"/>
      <c r="Y4280" s="6"/>
      <c r="Z4280" s="6"/>
    </row>
    <row r="4281" spans="14:26" ht="31.4" customHeight="1" x14ac:dyDescent="0.35">
      <c r="N4281" s="20"/>
      <c r="P4281" s="8"/>
      <c r="Q4281" s="8"/>
      <c r="R4281" s="8"/>
      <c r="S4281" s="8"/>
      <c r="U4281" s="6"/>
      <c r="V4281" s="6"/>
      <c r="W4281" s="6"/>
      <c r="X4281" s="6"/>
      <c r="Y4281" s="6"/>
      <c r="Z4281" s="6"/>
    </row>
    <row r="4282" spans="14:26" ht="31.4" customHeight="1" x14ac:dyDescent="0.35">
      <c r="N4282" s="20"/>
      <c r="P4282" s="8"/>
      <c r="Q4282" s="8"/>
      <c r="R4282" s="8"/>
      <c r="S4282" s="8"/>
      <c r="U4282" s="6"/>
      <c r="V4282" s="6"/>
      <c r="W4282" s="6"/>
      <c r="X4282" s="6"/>
      <c r="Y4282" s="6"/>
      <c r="Z4282" s="6"/>
    </row>
    <row r="4283" spans="14:26" ht="31.4" customHeight="1" x14ac:dyDescent="0.35">
      <c r="N4283" s="20"/>
      <c r="P4283" s="8"/>
      <c r="Q4283" s="8"/>
      <c r="R4283" s="8"/>
      <c r="S4283" s="8"/>
      <c r="U4283" s="6"/>
      <c r="V4283" s="6"/>
      <c r="W4283" s="6"/>
      <c r="X4283" s="6"/>
      <c r="Y4283" s="6"/>
      <c r="Z4283" s="6"/>
    </row>
    <row r="4284" spans="14:26" ht="31.4" customHeight="1" x14ac:dyDescent="0.35">
      <c r="N4284" s="20"/>
      <c r="P4284" s="8"/>
      <c r="Q4284" s="8"/>
      <c r="R4284" s="8"/>
      <c r="S4284" s="8"/>
      <c r="U4284" s="6"/>
      <c r="V4284" s="6"/>
      <c r="W4284" s="6"/>
      <c r="X4284" s="6"/>
      <c r="Y4284" s="6"/>
      <c r="Z4284" s="6"/>
    </row>
    <row r="4285" spans="14:26" ht="31.4" customHeight="1" x14ac:dyDescent="0.35">
      <c r="N4285" s="20"/>
      <c r="P4285" s="8"/>
      <c r="Q4285" s="8"/>
      <c r="R4285" s="8"/>
      <c r="S4285" s="8"/>
      <c r="U4285" s="6"/>
      <c r="V4285" s="6"/>
      <c r="W4285" s="6"/>
      <c r="X4285" s="6"/>
      <c r="Y4285" s="6"/>
      <c r="Z4285" s="6"/>
    </row>
    <row r="4286" spans="14:26" ht="31.4" customHeight="1" x14ac:dyDescent="0.35">
      <c r="N4286" s="20"/>
      <c r="P4286" s="8"/>
      <c r="Q4286" s="8"/>
      <c r="R4286" s="8"/>
      <c r="S4286" s="8"/>
      <c r="U4286" s="6"/>
      <c r="V4286" s="6"/>
      <c r="W4286" s="6"/>
      <c r="X4286" s="6"/>
      <c r="Y4286" s="6"/>
      <c r="Z4286" s="6"/>
    </row>
    <row r="4287" spans="14:26" ht="31.4" customHeight="1" x14ac:dyDescent="0.35">
      <c r="N4287" s="20"/>
      <c r="P4287" s="8"/>
      <c r="Q4287" s="8"/>
      <c r="R4287" s="8"/>
      <c r="S4287" s="8"/>
      <c r="U4287" s="6"/>
      <c r="V4287" s="6"/>
      <c r="W4287" s="6"/>
      <c r="X4287" s="6"/>
      <c r="Y4287" s="6"/>
      <c r="Z4287" s="6"/>
    </row>
    <row r="4288" spans="14:26" ht="31.4" customHeight="1" x14ac:dyDescent="0.35">
      <c r="N4288" s="20"/>
      <c r="P4288" s="8"/>
      <c r="Q4288" s="8"/>
      <c r="R4288" s="8"/>
      <c r="S4288" s="8"/>
      <c r="U4288" s="6"/>
      <c r="V4288" s="6"/>
      <c r="W4288" s="6"/>
      <c r="X4288" s="6"/>
      <c r="Y4288" s="6"/>
      <c r="Z4288" s="6"/>
    </row>
    <row r="4289" spans="14:26" ht="31.4" customHeight="1" x14ac:dyDescent="0.35">
      <c r="N4289" s="20"/>
      <c r="P4289" s="8"/>
      <c r="Q4289" s="8"/>
      <c r="R4289" s="8"/>
      <c r="S4289" s="8"/>
      <c r="U4289" s="6"/>
      <c r="V4289" s="6"/>
      <c r="W4289" s="6"/>
      <c r="X4289" s="6"/>
      <c r="Y4289" s="6"/>
      <c r="Z4289" s="6"/>
    </row>
    <row r="4290" spans="14:26" ht="31.4" customHeight="1" x14ac:dyDescent="0.35">
      <c r="N4290" s="20"/>
      <c r="P4290" s="8"/>
      <c r="Q4290" s="8"/>
      <c r="R4290" s="8"/>
      <c r="S4290" s="8"/>
      <c r="U4290" s="6"/>
      <c r="V4290" s="6"/>
      <c r="W4290" s="6"/>
      <c r="X4290" s="6"/>
      <c r="Y4290" s="6"/>
      <c r="Z4290" s="6"/>
    </row>
    <row r="4291" spans="14:26" ht="31.4" customHeight="1" x14ac:dyDescent="0.35">
      <c r="N4291" s="20"/>
      <c r="P4291" s="8"/>
      <c r="Q4291" s="8"/>
      <c r="R4291" s="8"/>
      <c r="S4291" s="8"/>
      <c r="U4291" s="6"/>
      <c r="V4291" s="6"/>
      <c r="W4291" s="6"/>
      <c r="X4291" s="6"/>
      <c r="Y4291" s="6"/>
      <c r="Z4291" s="6"/>
    </row>
    <row r="4292" spans="14:26" ht="31.4" customHeight="1" x14ac:dyDescent="0.35">
      <c r="N4292" s="20"/>
      <c r="P4292" s="8"/>
      <c r="Q4292" s="8"/>
      <c r="R4292" s="8"/>
      <c r="S4292" s="8"/>
      <c r="U4292" s="6"/>
      <c r="V4292" s="6"/>
      <c r="W4292" s="6"/>
      <c r="X4292" s="6"/>
      <c r="Y4292" s="6"/>
      <c r="Z4292" s="6"/>
    </row>
    <row r="4293" spans="14:26" ht="31.4" customHeight="1" x14ac:dyDescent="0.35">
      <c r="N4293" s="20"/>
      <c r="P4293" s="8"/>
      <c r="Q4293" s="8"/>
      <c r="R4293" s="8"/>
      <c r="S4293" s="8"/>
      <c r="U4293" s="6"/>
      <c r="V4293" s="6"/>
      <c r="W4293" s="6"/>
      <c r="X4293" s="6"/>
      <c r="Y4293" s="6"/>
      <c r="Z4293" s="6"/>
    </row>
    <row r="4294" spans="14:26" ht="31.4" customHeight="1" x14ac:dyDescent="0.35">
      <c r="N4294" s="20"/>
      <c r="P4294" s="8"/>
      <c r="Q4294" s="8"/>
      <c r="R4294" s="8"/>
      <c r="S4294" s="8"/>
      <c r="U4294" s="6"/>
      <c r="V4294" s="6"/>
      <c r="W4294" s="6"/>
      <c r="X4294" s="6"/>
      <c r="Y4294" s="6"/>
      <c r="Z4294" s="6"/>
    </row>
    <row r="4295" spans="14:26" ht="31.4" customHeight="1" x14ac:dyDescent="0.35">
      <c r="N4295" s="20"/>
      <c r="P4295" s="8"/>
      <c r="Q4295" s="8"/>
      <c r="R4295" s="8"/>
      <c r="S4295" s="8"/>
      <c r="U4295" s="6"/>
      <c r="V4295" s="6"/>
      <c r="W4295" s="6"/>
      <c r="X4295" s="6"/>
      <c r="Y4295" s="6"/>
      <c r="Z4295" s="6"/>
    </row>
    <row r="4296" spans="14:26" ht="31.4" customHeight="1" x14ac:dyDescent="0.35">
      <c r="N4296" s="20"/>
      <c r="P4296" s="8"/>
      <c r="Q4296" s="8"/>
      <c r="R4296" s="8"/>
      <c r="S4296" s="8"/>
      <c r="U4296" s="6"/>
      <c r="V4296" s="6"/>
      <c r="W4296" s="6"/>
      <c r="X4296" s="6"/>
      <c r="Y4296" s="6"/>
      <c r="Z4296" s="6"/>
    </row>
    <row r="4297" spans="14:26" ht="31.4" customHeight="1" x14ac:dyDescent="0.35">
      <c r="N4297" s="20"/>
      <c r="P4297" s="8"/>
      <c r="Q4297" s="8"/>
      <c r="R4297" s="8"/>
      <c r="S4297" s="8"/>
      <c r="U4297" s="6"/>
      <c r="V4297" s="6"/>
      <c r="W4297" s="6"/>
      <c r="X4297" s="6"/>
      <c r="Y4297" s="6"/>
      <c r="Z4297" s="6"/>
    </row>
    <row r="4298" spans="14:26" ht="31.4" customHeight="1" x14ac:dyDescent="0.35">
      <c r="N4298" s="20"/>
      <c r="P4298" s="8"/>
      <c r="Q4298" s="8"/>
      <c r="R4298" s="8"/>
      <c r="S4298" s="8"/>
      <c r="U4298" s="6"/>
      <c r="V4298" s="6"/>
      <c r="W4298" s="6"/>
      <c r="X4298" s="6"/>
      <c r="Y4298" s="6"/>
      <c r="Z4298" s="6"/>
    </row>
    <row r="4299" spans="14:26" ht="31.4" customHeight="1" x14ac:dyDescent="0.35">
      <c r="N4299" s="20"/>
      <c r="P4299" s="8"/>
      <c r="Q4299" s="8"/>
      <c r="R4299" s="8"/>
      <c r="S4299" s="8"/>
      <c r="U4299" s="6"/>
      <c r="V4299" s="6"/>
      <c r="W4299" s="6"/>
      <c r="X4299" s="6"/>
      <c r="Y4299" s="6"/>
      <c r="Z4299" s="6"/>
    </row>
    <row r="4300" spans="14:26" ht="31.4" customHeight="1" x14ac:dyDescent="0.35">
      <c r="N4300" s="20"/>
      <c r="P4300" s="8"/>
      <c r="Q4300" s="8"/>
      <c r="R4300" s="8"/>
      <c r="S4300" s="8"/>
      <c r="U4300" s="6"/>
      <c r="V4300" s="6"/>
      <c r="W4300" s="6"/>
      <c r="X4300" s="6"/>
      <c r="Y4300" s="6"/>
      <c r="Z4300" s="6"/>
    </row>
    <row r="4301" spans="14:26" ht="31.4" customHeight="1" x14ac:dyDescent="0.35">
      <c r="N4301" s="20"/>
      <c r="P4301" s="8"/>
      <c r="Q4301" s="8"/>
      <c r="R4301" s="8"/>
      <c r="S4301" s="8"/>
      <c r="U4301" s="6"/>
      <c r="V4301" s="6"/>
      <c r="W4301" s="6"/>
      <c r="X4301" s="6"/>
      <c r="Y4301" s="6"/>
      <c r="Z4301" s="6"/>
    </row>
    <row r="4302" spans="14:26" ht="31.4" customHeight="1" x14ac:dyDescent="0.35">
      <c r="N4302" s="20"/>
      <c r="P4302" s="8"/>
      <c r="Q4302" s="8"/>
      <c r="R4302" s="8"/>
      <c r="S4302" s="8"/>
      <c r="U4302" s="6"/>
      <c r="V4302" s="6"/>
      <c r="W4302" s="6"/>
      <c r="X4302" s="6"/>
      <c r="Y4302" s="6"/>
      <c r="Z4302" s="6"/>
    </row>
    <row r="4303" spans="14:26" ht="31.4" customHeight="1" x14ac:dyDescent="0.35">
      <c r="N4303" s="20"/>
      <c r="P4303" s="8"/>
      <c r="Q4303" s="8"/>
      <c r="R4303" s="8"/>
      <c r="S4303" s="8"/>
      <c r="U4303" s="6"/>
      <c r="V4303" s="6"/>
      <c r="W4303" s="6"/>
      <c r="X4303" s="6"/>
      <c r="Y4303" s="6"/>
      <c r="Z4303" s="6"/>
    </row>
    <row r="4304" spans="14:26" ht="31.4" customHeight="1" x14ac:dyDescent="0.35">
      <c r="N4304" s="20"/>
      <c r="P4304" s="8"/>
      <c r="Q4304" s="8"/>
      <c r="R4304" s="8"/>
      <c r="S4304" s="8"/>
      <c r="U4304" s="6"/>
      <c r="V4304" s="6"/>
      <c r="W4304" s="6"/>
      <c r="X4304" s="6"/>
      <c r="Y4304" s="6"/>
      <c r="Z4304" s="6"/>
    </row>
    <row r="4305" spans="14:26" ht="31.4" customHeight="1" x14ac:dyDescent="0.35">
      <c r="N4305" s="20"/>
      <c r="P4305" s="8"/>
      <c r="Q4305" s="8"/>
      <c r="R4305" s="8"/>
      <c r="S4305" s="8"/>
      <c r="U4305" s="6"/>
      <c r="V4305" s="6"/>
      <c r="W4305" s="6"/>
      <c r="X4305" s="6"/>
      <c r="Y4305" s="6"/>
      <c r="Z4305" s="6"/>
    </row>
    <row r="4306" spans="14:26" ht="31.4" customHeight="1" x14ac:dyDescent="0.35">
      <c r="N4306" s="20"/>
      <c r="P4306" s="8"/>
      <c r="Q4306" s="8"/>
      <c r="R4306" s="8"/>
      <c r="S4306" s="8"/>
      <c r="U4306" s="6"/>
      <c r="V4306" s="6"/>
      <c r="W4306" s="6"/>
      <c r="X4306" s="6"/>
      <c r="Y4306" s="6"/>
      <c r="Z4306" s="6"/>
    </row>
    <row r="4307" spans="14:26" ht="31.4" customHeight="1" x14ac:dyDescent="0.35">
      <c r="N4307" s="20"/>
      <c r="P4307" s="8"/>
      <c r="Q4307" s="8"/>
      <c r="R4307" s="8"/>
      <c r="S4307" s="8"/>
      <c r="U4307" s="6"/>
      <c r="V4307" s="6"/>
      <c r="W4307" s="6"/>
      <c r="X4307" s="6"/>
      <c r="Y4307" s="6"/>
      <c r="Z4307" s="6"/>
    </row>
    <row r="4308" spans="14:26" ht="31.4" customHeight="1" x14ac:dyDescent="0.35">
      <c r="N4308" s="20"/>
      <c r="P4308" s="8"/>
      <c r="Q4308" s="8"/>
      <c r="R4308" s="8"/>
      <c r="S4308" s="8"/>
      <c r="U4308" s="6"/>
      <c r="V4308" s="6"/>
      <c r="W4308" s="6"/>
      <c r="X4308" s="6"/>
      <c r="Y4308" s="6"/>
      <c r="Z4308" s="6"/>
    </row>
    <row r="4309" spans="14:26" ht="31.4" customHeight="1" x14ac:dyDescent="0.35">
      <c r="N4309" s="20"/>
      <c r="P4309" s="8"/>
      <c r="Q4309" s="8"/>
      <c r="R4309" s="8"/>
      <c r="S4309" s="8"/>
      <c r="U4309" s="6"/>
      <c r="V4309" s="6"/>
      <c r="W4309" s="6"/>
      <c r="X4309" s="6"/>
      <c r="Y4309" s="6"/>
      <c r="Z4309" s="6"/>
    </row>
    <row r="4310" spans="14:26" ht="31.4" customHeight="1" x14ac:dyDescent="0.35">
      <c r="N4310" s="20"/>
      <c r="P4310" s="8"/>
      <c r="Q4310" s="8"/>
      <c r="R4310" s="8"/>
      <c r="S4310" s="8"/>
      <c r="U4310" s="6"/>
      <c r="V4310" s="6"/>
      <c r="W4310" s="6"/>
      <c r="X4310" s="6"/>
      <c r="Y4310" s="6"/>
      <c r="Z4310" s="6"/>
    </row>
    <row r="4311" spans="14:26" ht="31.4" customHeight="1" x14ac:dyDescent="0.35">
      <c r="N4311" s="20"/>
      <c r="P4311" s="8"/>
      <c r="Q4311" s="8"/>
      <c r="R4311" s="8"/>
      <c r="S4311" s="8"/>
      <c r="U4311" s="6"/>
      <c r="V4311" s="6"/>
      <c r="W4311" s="6"/>
      <c r="X4311" s="6"/>
      <c r="Y4311" s="6"/>
      <c r="Z4311" s="6"/>
    </row>
    <row r="4312" spans="14:26" ht="31.4" customHeight="1" x14ac:dyDescent="0.35">
      <c r="N4312" s="20"/>
      <c r="P4312" s="8"/>
      <c r="Q4312" s="8"/>
      <c r="R4312" s="8"/>
      <c r="S4312" s="8"/>
      <c r="U4312" s="6"/>
      <c r="V4312" s="6"/>
      <c r="W4312" s="6"/>
      <c r="X4312" s="6"/>
      <c r="Y4312" s="6"/>
      <c r="Z4312" s="6"/>
    </row>
    <row r="4313" spans="14:26" ht="31.4" customHeight="1" x14ac:dyDescent="0.35">
      <c r="N4313" s="20"/>
      <c r="P4313" s="8"/>
      <c r="Q4313" s="8"/>
      <c r="R4313" s="8"/>
      <c r="S4313" s="8"/>
      <c r="U4313" s="6"/>
      <c r="V4313" s="6"/>
      <c r="W4313" s="6"/>
      <c r="X4313" s="6"/>
      <c r="Y4313" s="6"/>
      <c r="Z4313" s="6"/>
    </row>
    <row r="4314" spans="14:26" ht="31.4" customHeight="1" x14ac:dyDescent="0.35">
      <c r="N4314" s="20"/>
      <c r="P4314" s="8"/>
      <c r="Q4314" s="8"/>
      <c r="R4314" s="8"/>
      <c r="S4314" s="8"/>
      <c r="U4314" s="6"/>
      <c r="V4314" s="6"/>
      <c r="W4314" s="6"/>
      <c r="X4314" s="6"/>
      <c r="Y4314" s="6"/>
      <c r="Z4314" s="6"/>
    </row>
    <row r="4315" spans="14:26" ht="31.4" customHeight="1" x14ac:dyDescent="0.35">
      <c r="N4315" s="20"/>
      <c r="P4315" s="8"/>
      <c r="Q4315" s="8"/>
      <c r="R4315" s="8"/>
      <c r="S4315" s="8"/>
      <c r="U4315" s="6"/>
      <c r="V4315" s="6"/>
      <c r="W4315" s="6"/>
      <c r="X4315" s="6"/>
      <c r="Y4315" s="6"/>
      <c r="Z4315" s="6"/>
    </row>
    <row r="4316" spans="14:26" ht="31.4" customHeight="1" x14ac:dyDescent="0.35">
      <c r="N4316" s="20"/>
      <c r="P4316" s="8"/>
      <c r="Q4316" s="8"/>
      <c r="R4316" s="8"/>
      <c r="S4316" s="8"/>
      <c r="U4316" s="6"/>
      <c r="V4316" s="6"/>
      <c r="W4316" s="6"/>
      <c r="X4316" s="6"/>
      <c r="Y4316" s="6"/>
      <c r="Z4316" s="6"/>
    </row>
    <row r="4317" spans="14:26" ht="31.4" customHeight="1" x14ac:dyDescent="0.35">
      <c r="N4317" s="20"/>
      <c r="P4317" s="8"/>
      <c r="Q4317" s="8"/>
      <c r="R4317" s="8"/>
      <c r="S4317" s="8"/>
      <c r="U4317" s="6"/>
      <c r="V4317" s="6"/>
      <c r="W4317" s="6"/>
      <c r="X4317" s="6"/>
      <c r="Y4317" s="6"/>
      <c r="Z4317" s="6"/>
    </row>
    <row r="4318" spans="14:26" ht="31.4" customHeight="1" x14ac:dyDescent="0.35">
      <c r="N4318" s="20"/>
      <c r="P4318" s="8"/>
      <c r="Q4318" s="8"/>
      <c r="R4318" s="8"/>
      <c r="S4318" s="8"/>
      <c r="U4318" s="6"/>
      <c r="V4318" s="6"/>
      <c r="W4318" s="6"/>
      <c r="X4318" s="6"/>
      <c r="Y4318" s="6"/>
      <c r="Z4318" s="6"/>
    </row>
    <row r="4319" spans="14:26" ht="31.4" customHeight="1" x14ac:dyDescent="0.35">
      <c r="N4319" s="20"/>
      <c r="P4319" s="8"/>
      <c r="Q4319" s="8"/>
      <c r="R4319" s="8"/>
      <c r="S4319" s="8"/>
      <c r="U4319" s="6"/>
      <c r="V4319" s="6"/>
      <c r="W4319" s="6"/>
      <c r="X4319" s="6"/>
      <c r="Y4319" s="6"/>
      <c r="Z4319" s="6"/>
    </row>
    <row r="4320" spans="14:26" ht="31.4" customHeight="1" x14ac:dyDescent="0.35">
      <c r="N4320" s="20"/>
      <c r="P4320" s="8"/>
      <c r="Q4320" s="8"/>
      <c r="R4320" s="8"/>
      <c r="S4320" s="8"/>
      <c r="U4320" s="6"/>
      <c r="V4320" s="6"/>
      <c r="W4320" s="6"/>
      <c r="X4320" s="6"/>
      <c r="Y4320" s="6"/>
      <c r="Z4320" s="6"/>
    </row>
    <row r="4321" spans="14:26" ht="31.4" customHeight="1" x14ac:dyDescent="0.35">
      <c r="N4321" s="20"/>
      <c r="P4321" s="8"/>
      <c r="Q4321" s="8"/>
      <c r="R4321" s="8"/>
      <c r="S4321" s="8"/>
      <c r="U4321" s="6"/>
      <c r="V4321" s="6"/>
      <c r="W4321" s="6"/>
      <c r="X4321" s="6"/>
      <c r="Y4321" s="6"/>
      <c r="Z4321" s="6"/>
    </row>
    <row r="4322" spans="14:26" ht="31.4" customHeight="1" x14ac:dyDescent="0.35">
      <c r="N4322" s="20"/>
      <c r="P4322" s="8"/>
      <c r="Q4322" s="8"/>
      <c r="R4322" s="8"/>
      <c r="S4322" s="8"/>
      <c r="U4322" s="6"/>
      <c r="V4322" s="6"/>
      <c r="W4322" s="6"/>
      <c r="X4322" s="6"/>
      <c r="Y4322" s="6"/>
      <c r="Z4322" s="6"/>
    </row>
    <row r="4323" spans="14:26" ht="31.4" customHeight="1" x14ac:dyDescent="0.35">
      <c r="N4323" s="20"/>
      <c r="P4323" s="8"/>
      <c r="Q4323" s="8"/>
      <c r="R4323" s="8"/>
      <c r="S4323" s="8"/>
      <c r="U4323" s="6"/>
      <c r="V4323" s="6"/>
      <c r="W4323" s="6"/>
      <c r="X4323" s="6"/>
      <c r="Y4323" s="6"/>
      <c r="Z4323" s="6"/>
    </row>
    <row r="4324" spans="14:26" ht="31.4" customHeight="1" x14ac:dyDescent="0.35">
      <c r="N4324" s="20"/>
      <c r="P4324" s="8"/>
      <c r="Q4324" s="8"/>
      <c r="R4324" s="8"/>
      <c r="S4324" s="8"/>
      <c r="U4324" s="6"/>
      <c r="V4324" s="6"/>
      <c r="W4324" s="6"/>
      <c r="X4324" s="6"/>
      <c r="Y4324" s="6"/>
      <c r="Z4324" s="6"/>
    </row>
    <row r="4325" spans="14:26" ht="31.4" customHeight="1" x14ac:dyDescent="0.35">
      <c r="N4325" s="20"/>
      <c r="P4325" s="8"/>
      <c r="Q4325" s="8"/>
      <c r="R4325" s="8"/>
      <c r="S4325" s="8"/>
      <c r="U4325" s="6"/>
      <c r="V4325" s="6"/>
      <c r="W4325" s="6"/>
      <c r="X4325" s="6"/>
      <c r="Y4325" s="6"/>
      <c r="Z4325" s="6"/>
    </row>
    <row r="4326" spans="14:26" ht="31.4" customHeight="1" x14ac:dyDescent="0.35">
      <c r="N4326" s="20"/>
      <c r="P4326" s="8"/>
      <c r="Q4326" s="8"/>
      <c r="R4326" s="8"/>
      <c r="S4326" s="8"/>
      <c r="U4326" s="6"/>
      <c r="V4326" s="6"/>
      <c r="W4326" s="6"/>
      <c r="X4326" s="6"/>
      <c r="Y4326" s="6"/>
      <c r="Z4326" s="6"/>
    </row>
    <row r="4327" spans="14:26" ht="31.4" customHeight="1" x14ac:dyDescent="0.35">
      <c r="N4327" s="20"/>
      <c r="P4327" s="8"/>
      <c r="Q4327" s="8"/>
      <c r="R4327" s="8"/>
      <c r="S4327" s="8"/>
      <c r="U4327" s="6"/>
      <c r="V4327" s="6"/>
      <c r="W4327" s="6"/>
      <c r="X4327" s="6"/>
      <c r="Y4327" s="6"/>
      <c r="Z4327" s="6"/>
    </row>
    <row r="4328" spans="14:26" ht="31.4" customHeight="1" x14ac:dyDescent="0.35">
      <c r="N4328" s="20"/>
      <c r="P4328" s="8"/>
      <c r="Q4328" s="8"/>
      <c r="R4328" s="8"/>
      <c r="S4328" s="8"/>
      <c r="U4328" s="6"/>
      <c r="V4328" s="6"/>
      <c r="W4328" s="6"/>
      <c r="X4328" s="6"/>
      <c r="Y4328" s="6"/>
      <c r="Z4328" s="6"/>
    </row>
    <row r="4329" spans="14:26" ht="31.4" customHeight="1" x14ac:dyDescent="0.35">
      <c r="N4329" s="20"/>
      <c r="P4329" s="8"/>
      <c r="Q4329" s="8"/>
      <c r="R4329" s="8"/>
      <c r="S4329" s="8"/>
      <c r="U4329" s="6"/>
      <c r="V4329" s="6"/>
      <c r="W4329" s="6"/>
      <c r="X4329" s="6"/>
      <c r="Y4329" s="6"/>
      <c r="Z4329" s="6"/>
    </row>
    <row r="4330" spans="14:26" ht="31.4" customHeight="1" x14ac:dyDescent="0.35">
      <c r="N4330" s="20"/>
      <c r="P4330" s="8"/>
      <c r="Q4330" s="8"/>
      <c r="R4330" s="8"/>
      <c r="S4330" s="8"/>
      <c r="U4330" s="6"/>
      <c r="V4330" s="6"/>
      <c r="W4330" s="6"/>
      <c r="X4330" s="6"/>
      <c r="Y4330" s="6"/>
      <c r="Z4330" s="6"/>
    </row>
    <row r="4331" spans="14:26" ht="31.4" customHeight="1" x14ac:dyDescent="0.35">
      <c r="N4331" s="20"/>
      <c r="P4331" s="8"/>
      <c r="Q4331" s="8"/>
      <c r="R4331" s="8"/>
      <c r="S4331" s="8"/>
      <c r="U4331" s="6"/>
      <c r="V4331" s="6"/>
      <c r="W4331" s="6"/>
      <c r="X4331" s="6"/>
      <c r="Y4331" s="6"/>
      <c r="Z4331" s="6"/>
    </row>
    <row r="4332" spans="14:26" ht="31.4" customHeight="1" x14ac:dyDescent="0.35">
      <c r="N4332" s="20"/>
      <c r="P4332" s="8"/>
      <c r="Q4332" s="8"/>
      <c r="R4332" s="8"/>
      <c r="S4332" s="8"/>
      <c r="U4332" s="6"/>
      <c r="V4332" s="6"/>
      <c r="W4332" s="6"/>
      <c r="X4332" s="6"/>
      <c r="Y4332" s="6"/>
      <c r="Z4332" s="6"/>
    </row>
    <row r="4333" spans="14:26" ht="31.4" customHeight="1" x14ac:dyDescent="0.35">
      <c r="N4333" s="20"/>
      <c r="P4333" s="8"/>
      <c r="Q4333" s="8"/>
      <c r="R4333" s="8"/>
      <c r="S4333" s="8"/>
      <c r="U4333" s="6"/>
      <c r="V4333" s="6"/>
      <c r="W4333" s="6"/>
      <c r="X4333" s="6"/>
      <c r="Y4333" s="6"/>
      <c r="Z4333" s="6"/>
    </row>
    <row r="4334" spans="14:26" ht="31.4" customHeight="1" x14ac:dyDescent="0.35">
      <c r="N4334" s="20"/>
      <c r="P4334" s="8"/>
      <c r="Q4334" s="8"/>
      <c r="R4334" s="8"/>
      <c r="S4334" s="8"/>
      <c r="U4334" s="6"/>
      <c r="V4334" s="6"/>
      <c r="W4334" s="6"/>
      <c r="X4334" s="6"/>
      <c r="Y4334" s="6"/>
      <c r="Z4334" s="6"/>
    </row>
    <row r="4335" spans="14:26" ht="31.4" customHeight="1" x14ac:dyDescent="0.35">
      <c r="N4335" s="20"/>
      <c r="P4335" s="8"/>
      <c r="Q4335" s="8"/>
      <c r="R4335" s="8"/>
      <c r="S4335" s="8"/>
      <c r="U4335" s="6"/>
      <c r="V4335" s="6"/>
      <c r="W4335" s="6"/>
      <c r="X4335" s="6"/>
      <c r="Y4335" s="6"/>
      <c r="Z4335" s="6"/>
    </row>
    <row r="4336" spans="14:26" ht="31.4" customHeight="1" x14ac:dyDescent="0.35">
      <c r="N4336" s="20"/>
      <c r="P4336" s="8"/>
      <c r="Q4336" s="8"/>
      <c r="R4336" s="8"/>
      <c r="S4336" s="8"/>
      <c r="U4336" s="6"/>
      <c r="V4336" s="6"/>
      <c r="W4336" s="6"/>
      <c r="X4336" s="6"/>
      <c r="Y4336" s="6"/>
      <c r="Z4336" s="6"/>
    </row>
    <row r="4337" spans="14:26" ht="31.4" customHeight="1" x14ac:dyDescent="0.35">
      <c r="N4337" s="20"/>
      <c r="P4337" s="8"/>
      <c r="Q4337" s="8"/>
      <c r="R4337" s="8"/>
      <c r="S4337" s="8"/>
      <c r="U4337" s="6"/>
      <c r="V4337" s="6"/>
      <c r="W4337" s="6"/>
      <c r="X4337" s="6"/>
      <c r="Y4337" s="6"/>
      <c r="Z4337" s="6"/>
    </row>
    <row r="4338" spans="14:26" ht="31.4" customHeight="1" x14ac:dyDescent="0.35">
      <c r="N4338" s="20"/>
      <c r="P4338" s="8"/>
      <c r="Q4338" s="8"/>
      <c r="R4338" s="8"/>
      <c r="S4338" s="8"/>
      <c r="U4338" s="6"/>
      <c r="V4338" s="6"/>
      <c r="W4338" s="6"/>
      <c r="X4338" s="6"/>
      <c r="Y4338" s="6"/>
      <c r="Z4338" s="6"/>
    </row>
    <row r="4339" spans="14:26" ht="31.4" customHeight="1" x14ac:dyDescent="0.35">
      <c r="N4339" s="20"/>
      <c r="P4339" s="8"/>
      <c r="Q4339" s="8"/>
      <c r="R4339" s="8"/>
      <c r="S4339" s="8"/>
      <c r="U4339" s="6"/>
      <c r="V4339" s="6"/>
      <c r="W4339" s="6"/>
      <c r="X4339" s="6"/>
      <c r="Y4339" s="6"/>
      <c r="Z4339" s="6"/>
    </row>
    <row r="4340" spans="14:26" ht="31.4" customHeight="1" x14ac:dyDescent="0.35">
      <c r="N4340" s="20"/>
      <c r="P4340" s="8"/>
      <c r="Q4340" s="8"/>
      <c r="R4340" s="8"/>
      <c r="S4340" s="8"/>
      <c r="U4340" s="6"/>
      <c r="V4340" s="6"/>
      <c r="W4340" s="6"/>
      <c r="X4340" s="6"/>
      <c r="Y4340" s="6"/>
      <c r="Z4340" s="6"/>
    </row>
    <row r="4341" spans="14:26" ht="31.4" customHeight="1" x14ac:dyDescent="0.35">
      <c r="N4341" s="20"/>
      <c r="P4341" s="8"/>
      <c r="Q4341" s="8"/>
      <c r="R4341" s="8"/>
      <c r="S4341" s="8"/>
      <c r="U4341" s="6"/>
      <c r="V4341" s="6"/>
      <c r="W4341" s="6"/>
      <c r="X4341" s="6"/>
      <c r="Y4341" s="6"/>
      <c r="Z4341" s="6"/>
    </row>
    <row r="4342" spans="14:26" ht="31.4" customHeight="1" x14ac:dyDescent="0.35">
      <c r="N4342" s="20"/>
      <c r="P4342" s="8"/>
      <c r="Q4342" s="8"/>
      <c r="R4342" s="8"/>
      <c r="S4342" s="8"/>
      <c r="U4342" s="6"/>
      <c r="V4342" s="6"/>
      <c r="W4342" s="6"/>
      <c r="X4342" s="6"/>
      <c r="Y4342" s="6"/>
      <c r="Z4342" s="6"/>
    </row>
    <row r="4343" spans="14:26" ht="31.4" customHeight="1" x14ac:dyDescent="0.35">
      <c r="N4343" s="20"/>
      <c r="P4343" s="8"/>
      <c r="Q4343" s="8"/>
      <c r="R4343" s="8"/>
      <c r="S4343" s="8"/>
      <c r="U4343" s="6"/>
      <c r="V4343" s="6"/>
      <c r="W4343" s="6"/>
      <c r="X4343" s="6"/>
      <c r="Y4343" s="6"/>
      <c r="Z4343" s="6"/>
    </row>
    <row r="4344" spans="14:26" ht="31.4" customHeight="1" x14ac:dyDescent="0.35">
      <c r="N4344" s="20"/>
      <c r="P4344" s="8"/>
      <c r="Q4344" s="8"/>
      <c r="R4344" s="8"/>
      <c r="S4344" s="8"/>
      <c r="U4344" s="6"/>
      <c r="V4344" s="6"/>
      <c r="W4344" s="6"/>
      <c r="X4344" s="6"/>
      <c r="Y4344" s="6"/>
      <c r="Z4344" s="6"/>
    </row>
    <row r="4345" spans="14:26" ht="31.4" customHeight="1" x14ac:dyDescent="0.35">
      <c r="N4345" s="20"/>
      <c r="P4345" s="8"/>
      <c r="Q4345" s="8"/>
      <c r="R4345" s="8"/>
      <c r="S4345" s="8"/>
      <c r="U4345" s="6"/>
      <c r="V4345" s="6"/>
      <c r="W4345" s="6"/>
      <c r="X4345" s="6"/>
      <c r="Y4345" s="6"/>
      <c r="Z4345" s="6"/>
    </row>
    <row r="4346" spans="14:26" ht="31.4" customHeight="1" x14ac:dyDescent="0.35">
      <c r="N4346" s="20"/>
      <c r="P4346" s="8"/>
      <c r="Q4346" s="8"/>
      <c r="R4346" s="8"/>
      <c r="S4346" s="8"/>
      <c r="U4346" s="6"/>
      <c r="V4346" s="6"/>
      <c r="W4346" s="6"/>
      <c r="X4346" s="6"/>
      <c r="Y4346" s="6"/>
      <c r="Z4346" s="6"/>
    </row>
    <row r="4347" spans="14:26" ht="31.4" customHeight="1" x14ac:dyDescent="0.35">
      <c r="N4347" s="20"/>
      <c r="P4347" s="8"/>
      <c r="Q4347" s="8"/>
      <c r="R4347" s="8"/>
      <c r="S4347" s="8"/>
      <c r="U4347" s="6"/>
      <c r="V4347" s="6"/>
      <c r="W4347" s="6"/>
      <c r="X4347" s="6"/>
      <c r="Y4347" s="6"/>
      <c r="Z4347" s="6"/>
    </row>
    <row r="4348" spans="14:26" ht="31.4" customHeight="1" x14ac:dyDescent="0.35">
      <c r="N4348" s="20"/>
      <c r="P4348" s="8"/>
      <c r="Q4348" s="8"/>
      <c r="R4348" s="8"/>
      <c r="S4348" s="8"/>
      <c r="U4348" s="6"/>
      <c r="V4348" s="6"/>
      <c r="W4348" s="6"/>
      <c r="X4348" s="6"/>
      <c r="Y4348" s="6"/>
      <c r="Z4348" s="6"/>
    </row>
    <row r="4349" spans="14:26" ht="31.4" customHeight="1" x14ac:dyDescent="0.35">
      <c r="N4349" s="20"/>
      <c r="P4349" s="8"/>
      <c r="Q4349" s="8"/>
      <c r="R4349" s="8"/>
      <c r="S4349" s="8"/>
      <c r="U4349" s="6"/>
      <c r="V4349" s="6"/>
      <c r="W4349" s="6"/>
      <c r="X4349" s="6"/>
      <c r="Y4349" s="6"/>
      <c r="Z4349" s="6"/>
    </row>
    <row r="4350" spans="14:26" ht="31.4" customHeight="1" x14ac:dyDescent="0.35">
      <c r="N4350" s="20"/>
      <c r="P4350" s="8"/>
      <c r="Q4350" s="8"/>
      <c r="R4350" s="8"/>
      <c r="S4350" s="8"/>
      <c r="U4350" s="6"/>
      <c r="V4350" s="6"/>
      <c r="W4350" s="6"/>
      <c r="X4350" s="6"/>
      <c r="Y4350" s="6"/>
      <c r="Z4350" s="6"/>
    </row>
    <row r="4351" spans="14:26" ht="31.4" customHeight="1" x14ac:dyDescent="0.35">
      <c r="N4351" s="20"/>
      <c r="P4351" s="8"/>
      <c r="Q4351" s="8"/>
      <c r="R4351" s="8"/>
      <c r="S4351" s="8"/>
      <c r="U4351" s="6"/>
      <c r="V4351" s="6"/>
      <c r="W4351" s="6"/>
      <c r="X4351" s="6"/>
      <c r="Y4351" s="6"/>
      <c r="Z4351" s="6"/>
    </row>
    <row r="4352" spans="14:26" ht="31.4" customHeight="1" x14ac:dyDescent="0.35">
      <c r="N4352" s="20"/>
      <c r="P4352" s="8"/>
      <c r="Q4352" s="8"/>
      <c r="R4352" s="8"/>
      <c r="S4352" s="8"/>
      <c r="U4352" s="6"/>
      <c r="V4352" s="6"/>
      <c r="W4352" s="6"/>
      <c r="X4352" s="6"/>
      <c r="Y4352" s="6"/>
      <c r="Z4352" s="6"/>
    </row>
    <row r="4353" spans="14:26" ht="31.4" customHeight="1" x14ac:dyDescent="0.35">
      <c r="N4353" s="20"/>
      <c r="P4353" s="8"/>
      <c r="Q4353" s="8"/>
      <c r="R4353" s="8"/>
      <c r="S4353" s="8"/>
      <c r="U4353" s="6"/>
      <c r="V4353" s="6"/>
      <c r="W4353" s="6"/>
      <c r="X4353" s="6"/>
      <c r="Y4353" s="6"/>
      <c r="Z4353" s="6"/>
    </row>
    <row r="4354" spans="14:26" ht="31.4" customHeight="1" x14ac:dyDescent="0.35">
      <c r="N4354" s="20"/>
      <c r="P4354" s="8"/>
      <c r="Q4354" s="8"/>
      <c r="R4354" s="8"/>
      <c r="S4354" s="8"/>
      <c r="U4354" s="6"/>
      <c r="V4354" s="6"/>
      <c r="W4354" s="6"/>
      <c r="X4354" s="6"/>
      <c r="Y4354" s="6"/>
      <c r="Z4354" s="6"/>
    </row>
    <row r="4355" spans="14:26" ht="31.4" customHeight="1" x14ac:dyDescent="0.35">
      <c r="N4355" s="20"/>
      <c r="P4355" s="8"/>
      <c r="Q4355" s="8"/>
      <c r="R4355" s="8"/>
      <c r="S4355" s="8"/>
      <c r="U4355" s="6"/>
      <c r="V4355" s="6"/>
      <c r="W4355" s="6"/>
      <c r="X4355" s="6"/>
      <c r="Y4355" s="6"/>
      <c r="Z4355" s="6"/>
    </row>
    <row r="4356" spans="14:26" ht="31.4" customHeight="1" x14ac:dyDescent="0.35">
      <c r="N4356" s="20"/>
      <c r="P4356" s="8"/>
      <c r="Q4356" s="8"/>
      <c r="R4356" s="8"/>
      <c r="S4356" s="8"/>
      <c r="U4356" s="6"/>
      <c r="V4356" s="6"/>
      <c r="W4356" s="6"/>
      <c r="X4356" s="6"/>
      <c r="Y4356" s="6"/>
      <c r="Z4356" s="6"/>
    </row>
    <row r="4357" spans="14:26" ht="31.4" customHeight="1" x14ac:dyDescent="0.35">
      <c r="N4357" s="20"/>
      <c r="P4357" s="8"/>
      <c r="Q4357" s="8"/>
      <c r="R4357" s="8"/>
      <c r="S4357" s="8"/>
      <c r="U4357" s="6"/>
      <c r="V4357" s="6"/>
      <c r="W4357" s="6"/>
      <c r="X4357" s="6"/>
      <c r="Y4357" s="6"/>
      <c r="Z4357" s="6"/>
    </row>
    <row r="4358" spans="14:26" ht="31.4" customHeight="1" x14ac:dyDescent="0.35">
      <c r="N4358" s="20"/>
      <c r="P4358" s="8"/>
      <c r="Q4358" s="8"/>
      <c r="R4358" s="8"/>
      <c r="S4358" s="8"/>
      <c r="U4358" s="6"/>
      <c r="V4358" s="6"/>
      <c r="W4358" s="6"/>
      <c r="X4358" s="6"/>
      <c r="Y4358" s="6"/>
      <c r="Z4358" s="6"/>
    </row>
    <row r="4359" spans="14:26" ht="31.4" customHeight="1" x14ac:dyDescent="0.35">
      <c r="N4359" s="20"/>
      <c r="P4359" s="8"/>
      <c r="Q4359" s="8"/>
      <c r="R4359" s="8"/>
      <c r="S4359" s="8"/>
      <c r="U4359" s="6"/>
      <c r="V4359" s="6"/>
      <c r="W4359" s="6"/>
      <c r="X4359" s="6"/>
      <c r="Y4359" s="6"/>
      <c r="Z4359" s="6"/>
    </row>
    <row r="4360" spans="14:26" ht="31.4" customHeight="1" x14ac:dyDescent="0.35">
      <c r="N4360" s="20"/>
      <c r="P4360" s="8"/>
      <c r="Q4360" s="8"/>
      <c r="R4360" s="8"/>
      <c r="S4360" s="8"/>
      <c r="U4360" s="6"/>
      <c r="V4360" s="6"/>
      <c r="W4360" s="6"/>
      <c r="X4360" s="6"/>
      <c r="Y4360" s="6"/>
      <c r="Z4360" s="6"/>
    </row>
    <row r="4361" spans="14:26" ht="31.4" customHeight="1" x14ac:dyDescent="0.35">
      <c r="N4361" s="20"/>
      <c r="P4361" s="8"/>
      <c r="Q4361" s="8"/>
      <c r="R4361" s="8"/>
      <c r="S4361" s="8"/>
      <c r="U4361" s="6"/>
      <c r="V4361" s="6"/>
      <c r="W4361" s="6"/>
      <c r="X4361" s="6"/>
      <c r="Y4361" s="6"/>
      <c r="Z4361" s="6"/>
    </row>
    <row r="4362" spans="14:26" ht="31.4" customHeight="1" x14ac:dyDescent="0.35">
      <c r="N4362" s="20"/>
      <c r="P4362" s="8"/>
      <c r="Q4362" s="8"/>
      <c r="R4362" s="8"/>
      <c r="S4362" s="8"/>
      <c r="U4362" s="6"/>
      <c r="V4362" s="6"/>
      <c r="W4362" s="6"/>
      <c r="X4362" s="6"/>
      <c r="Y4362" s="6"/>
      <c r="Z4362" s="6"/>
    </row>
    <row r="4363" spans="14:26" ht="31.4" customHeight="1" x14ac:dyDescent="0.35">
      <c r="N4363" s="20"/>
      <c r="P4363" s="8"/>
      <c r="Q4363" s="8"/>
      <c r="R4363" s="8"/>
      <c r="S4363" s="8"/>
      <c r="U4363" s="6"/>
      <c r="V4363" s="6"/>
      <c r="W4363" s="6"/>
      <c r="X4363" s="6"/>
      <c r="Y4363" s="6"/>
      <c r="Z4363" s="6"/>
    </row>
    <row r="4364" spans="14:26" ht="31.4" customHeight="1" x14ac:dyDescent="0.35">
      <c r="N4364" s="20"/>
      <c r="P4364" s="8"/>
      <c r="Q4364" s="8"/>
      <c r="R4364" s="8"/>
      <c r="S4364" s="8"/>
      <c r="U4364" s="6"/>
      <c r="V4364" s="6"/>
      <c r="W4364" s="6"/>
      <c r="X4364" s="6"/>
      <c r="Y4364" s="6"/>
      <c r="Z4364" s="6"/>
    </row>
    <row r="4365" spans="14:26" ht="31.4" customHeight="1" x14ac:dyDescent="0.35">
      <c r="N4365" s="20"/>
      <c r="P4365" s="8"/>
      <c r="Q4365" s="8"/>
      <c r="R4365" s="8"/>
      <c r="S4365" s="8"/>
      <c r="U4365" s="6"/>
      <c r="V4365" s="6"/>
      <c r="W4365" s="6"/>
      <c r="X4365" s="6"/>
      <c r="Y4365" s="6"/>
      <c r="Z4365" s="6"/>
    </row>
    <row r="4366" spans="14:26" ht="31.4" customHeight="1" x14ac:dyDescent="0.35">
      <c r="N4366" s="20"/>
      <c r="P4366" s="8"/>
      <c r="Q4366" s="8"/>
      <c r="R4366" s="8"/>
      <c r="S4366" s="8"/>
      <c r="U4366" s="6"/>
      <c r="V4366" s="6"/>
      <c r="W4366" s="6"/>
      <c r="X4366" s="6"/>
      <c r="Y4366" s="6"/>
      <c r="Z4366" s="6"/>
    </row>
    <row r="4367" spans="14:26" ht="31.4" customHeight="1" x14ac:dyDescent="0.35">
      <c r="N4367" s="20"/>
      <c r="P4367" s="8"/>
      <c r="Q4367" s="8"/>
      <c r="R4367" s="8"/>
      <c r="S4367" s="8"/>
      <c r="U4367" s="6"/>
      <c r="V4367" s="6"/>
      <c r="W4367" s="6"/>
      <c r="X4367" s="6"/>
      <c r="Y4367" s="6"/>
      <c r="Z4367" s="6"/>
    </row>
    <row r="4368" spans="14:26" ht="31.4" customHeight="1" x14ac:dyDescent="0.35">
      <c r="N4368" s="20"/>
      <c r="P4368" s="8"/>
      <c r="Q4368" s="8"/>
      <c r="R4368" s="8"/>
      <c r="S4368" s="8"/>
      <c r="U4368" s="6"/>
      <c r="V4368" s="6"/>
      <c r="W4368" s="6"/>
      <c r="X4368" s="6"/>
      <c r="Y4368" s="6"/>
      <c r="Z4368" s="6"/>
    </row>
    <row r="4369" spans="14:26" ht="31.4" customHeight="1" x14ac:dyDescent="0.35">
      <c r="N4369" s="20"/>
      <c r="P4369" s="8"/>
      <c r="Q4369" s="8"/>
      <c r="R4369" s="8"/>
      <c r="S4369" s="8"/>
      <c r="U4369" s="6"/>
      <c r="V4369" s="6"/>
      <c r="W4369" s="6"/>
      <c r="X4369" s="6"/>
      <c r="Y4369" s="6"/>
      <c r="Z4369" s="6"/>
    </row>
    <row r="4370" spans="14:26" ht="31.4" customHeight="1" x14ac:dyDescent="0.35">
      <c r="N4370" s="20"/>
      <c r="P4370" s="8"/>
      <c r="Q4370" s="8"/>
      <c r="R4370" s="8"/>
      <c r="S4370" s="8"/>
      <c r="U4370" s="6"/>
      <c r="V4370" s="6"/>
      <c r="W4370" s="6"/>
      <c r="X4370" s="6"/>
      <c r="Y4370" s="6"/>
      <c r="Z4370" s="6"/>
    </row>
    <row r="4371" spans="14:26" ht="31.4" customHeight="1" x14ac:dyDescent="0.35">
      <c r="N4371" s="20"/>
      <c r="P4371" s="8"/>
      <c r="Q4371" s="8"/>
      <c r="R4371" s="8"/>
      <c r="S4371" s="8"/>
      <c r="U4371" s="6"/>
      <c r="V4371" s="6"/>
      <c r="W4371" s="6"/>
      <c r="X4371" s="6"/>
      <c r="Y4371" s="6"/>
      <c r="Z4371" s="6"/>
    </row>
    <row r="4372" spans="14:26" ht="31.4" customHeight="1" x14ac:dyDescent="0.35">
      <c r="N4372" s="20"/>
      <c r="P4372" s="8"/>
      <c r="Q4372" s="8"/>
      <c r="R4372" s="8"/>
      <c r="S4372" s="8"/>
      <c r="U4372" s="6"/>
      <c r="V4372" s="6"/>
      <c r="W4372" s="6"/>
      <c r="X4372" s="6"/>
      <c r="Y4372" s="6"/>
      <c r="Z4372" s="6"/>
    </row>
    <row r="4373" spans="14:26" ht="31.4" customHeight="1" x14ac:dyDescent="0.35">
      <c r="N4373" s="20"/>
      <c r="P4373" s="8"/>
      <c r="Q4373" s="8"/>
      <c r="R4373" s="8"/>
      <c r="S4373" s="8"/>
      <c r="U4373" s="6"/>
      <c r="V4373" s="6"/>
      <c r="W4373" s="6"/>
      <c r="X4373" s="6"/>
      <c r="Y4373" s="6"/>
      <c r="Z4373" s="6"/>
    </row>
    <row r="4374" spans="14:26" ht="31.4" customHeight="1" x14ac:dyDescent="0.35">
      <c r="N4374" s="20"/>
      <c r="P4374" s="8"/>
      <c r="Q4374" s="8"/>
      <c r="R4374" s="8"/>
      <c r="S4374" s="8"/>
      <c r="U4374" s="6"/>
      <c r="V4374" s="6"/>
      <c r="W4374" s="6"/>
      <c r="X4374" s="6"/>
      <c r="Y4374" s="6"/>
      <c r="Z4374" s="6"/>
    </row>
    <row r="4375" spans="14:26" ht="31.4" customHeight="1" x14ac:dyDescent="0.35">
      <c r="N4375" s="20"/>
      <c r="P4375" s="8"/>
      <c r="Q4375" s="8"/>
      <c r="R4375" s="8"/>
      <c r="S4375" s="8"/>
      <c r="U4375" s="6"/>
      <c r="V4375" s="6"/>
      <c r="W4375" s="6"/>
      <c r="X4375" s="6"/>
      <c r="Y4375" s="6"/>
      <c r="Z4375" s="6"/>
    </row>
    <row r="4376" spans="14:26" ht="31.4" customHeight="1" x14ac:dyDescent="0.35">
      <c r="N4376" s="20"/>
      <c r="P4376" s="8"/>
      <c r="Q4376" s="8"/>
      <c r="R4376" s="8"/>
      <c r="S4376" s="8"/>
      <c r="U4376" s="6"/>
      <c r="V4376" s="6"/>
      <c r="W4376" s="6"/>
      <c r="X4376" s="6"/>
      <c r="Y4376" s="6"/>
      <c r="Z4376" s="6"/>
    </row>
    <row r="4377" spans="14:26" ht="31.4" customHeight="1" x14ac:dyDescent="0.35">
      <c r="N4377" s="20"/>
      <c r="P4377" s="8"/>
      <c r="Q4377" s="8"/>
      <c r="R4377" s="8"/>
      <c r="S4377" s="8"/>
      <c r="U4377" s="6"/>
      <c r="V4377" s="6"/>
      <c r="W4377" s="6"/>
      <c r="X4377" s="6"/>
      <c r="Y4377" s="6"/>
      <c r="Z4377" s="6"/>
    </row>
    <row r="4378" spans="14:26" ht="31.4" customHeight="1" x14ac:dyDescent="0.35">
      <c r="N4378" s="20"/>
      <c r="P4378" s="8"/>
      <c r="Q4378" s="8"/>
      <c r="R4378" s="8"/>
      <c r="S4378" s="8"/>
      <c r="U4378" s="6"/>
      <c r="V4378" s="6"/>
      <c r="W4378" s="6"/>
      <c r="X4378" s="6"/>
      <c r="Y4378" s="6"/>
      <c r="Z4378" s="6"/>
    </row>
    <row r="4379" spans="14:26" ht="31.4" customHeight="1" x14ac:dyDescent="0.35">
      <c r="N4379" s="20"/>
      <c r="P4379" s="8"/>
      <c r="Q4379" s="8"/>
      <c r="R4379" s="8"/>
      <c r="S4379" s="8"/>
      <c r="U4379" s="6"/>
      <c r="V4379" s="6"/>
      <c r="W4379" s="6"/>
      <c r="X4379" s="6"/>
      <c r="Y4379" s="6"/>
      <c r="Z4379" s="6"/>
    </row>
    <row r="4380" spans="14:26" ht="31.4" customHeight="1" x14ac:dyDescent="0.35">
      <c r="N4380" s="20"/>
      <c r="P4380" s="8"/>
      <c r="Q4380" s="8"/>
      <c r="R4380" s="8"/>
      <c r="S4380" s="8"/>
      <c r="U4380" s="6"/>
      <c r="V4380" s="6"/>
      <c r="W4380" s="6"/>
      <c r="X4380" s="6"/>
      <c r="Y4380" s="6"/>
      <c r="Z4380" s="6"/>
    </row>
    <row r="4381" spans="14:26" ht="31.4" customHeight="1" x14ac:dyDescent="0.35">
      <c r="N4381" s="20"/>
      <c r="P4381" s="8"/>
      <c r="Q4381" s="8"/>
      <c r="R4381" s="8"/>
      <c r="S4381" s="8"/>
      <c r="U4381" s="6"/>
      <c r="V4381" s="6"/>
      <c r="W4381" s="6"/>
      <c r="X4381" s="6"/>
      <c r="Y4381" s="6"/>
      <c r="Z4381" s="6"/>
    </row>
    <row r="4382" spans="14:26" ht="31.4" customHeight="1" x14ac:dyDescent="0.35">
      <c r="N4382" s="20"/>
      <c r="P4382" s="8"/>
      <c r="Q4382" s="8"/>
      <c r="R4382" s="8"/>
      <c r="S4382" s="8"/>
      <c r="U4382" s="6"/>
      <c r="V4382" s="6"/>
      <c r="W4382" s="6"/>
      <c r="X4382" s="6"/>
      <c r="Y4382" s="6"/>
      <c r="Z4382" s="6"/>
    </row>
    <row r="4383" spans="14:26" ht="31.4" customHeight="1" x14ac:dyDescent="0.35">
      <c r="N4383" s="20"/>
      <c r="P4383" s="8"/>
      <c r="Q4383" s="8"/>
      <c r="R4383" s="8"/>
      <c r="S4383" s="8"/>
      <c r="U4383" s="6"/>
      <c r="V4383" s="6"/>
      <c r="W4383" s="6"/>
      <c r="X4383" s="6"/>
      <c r="Y4383" s="6"/>
      <c r="Z4383" s="6"/>
    </row>
    <row r="4384" spans="14:26" ht="31.4" customHeight="1" x14ac:dyDescent="0.35">
      <c r="N4384" s="20"/>
      <c r="P4384" s="8"/>
      <c r="Q4384" s="8"/>
      <c r="R4384" s="8"/>
      <c r="S4384" s="8"/>
      <c r="U4384" s="6"/>
      <c r="V4384" s="6"/>
      <c r="W4384" s="6"/>
      <c r="X4384" s="6"/>
      <c r="Y4384" s="6"/>
      <c r="Z4384" s="6"/>
    </row>
    <row r="4385" spans="14:26" ht="31.4" customHeight="1" x14ac:dyDescent="0.35">
      <c r="N4385" s="20"/>
      <c r="P4385" s="8"/>
      <c r="Q4385" s="8"/>
      <c r="R4385" s="8"/>
      <c r="S4385" s="8"/>
      <c r="U4385" s="6"/>
      <c r="V4385" s="6"/>
      <c r="W4385" s="6"/>
      <c r="X4385" s="6"/>
      <c r="Y4385" s="6"/>
      <c r="Z4385" s="6"/>
    </row>
    <row r="4386" spans="14:26" ht="31.4" customHeight="1" x14ac:dyDescent="0.35">
      <c r="N4386" s="20"/>
      <c r="P4386" s="8"/>
      <c r="Q4386" s="8"/>
      <c r="R4386" s="8"/>
      <c r="S4386" s="8"/>
      <c r="U4386" s="6"/>
      <c r="V4386" s="6"/>
      <c r="W4386" s="6"/>
      <c r="X4386" s="6"/>
      <c r="Y4386" s="6"/>
      <c r="Z4386" s="6"/>
    </row>
    <row r="4387" spans="14:26" ht="31.4" customHeight="1" x14ac:dyDescent="0.35">
      <c r="N4387" s="20"/>
      <c r="P4387" s="8"/>
      <c r="Q4387" s="8"/>
      <c r="R4387" s="8"/>
      <c r="S4387" s="8"/>
      <c r="U4387" s="6"/>
      <c r="V4387" s="6"/>
      <c r="W4387" s="6"/>
      <c r="X4387" s="6"/>
      <c r="Y4387" s="6"/>
      <c r="Z4387" s="6"/>
    </row>
    <row r="4388" spans="14:26" ht="31.4" customHeight="1" x14ac:dyDescent="0.35">
      <c r="N4388" s="20"/>
      <c r="P4388" s="8"/>
      <c r="Q4388" s="8"/>
      <c r="R4388" s="8"/>
      <c r="S4388" s="8"/>
      <c r="U4388" s="6"/>
      <c r="V4388" s="6"/>
      <c r="W4388" s="6"/>
      <c r="X4388" s="6"/>
      <c r="Y4388" s="6"/>
      <c r="Z4388" s="6"/>
    </row>
    <row r="4389" spans="14:26" ht="31.4" customHeight="1" x14ac:dyDescent="0.35">
      <c r="N4389" s="20"/>
      <c r="P4389" s="8"/>
      <c r="Q4389" s="8"/>
      <c r="R4389" s="8"/>
      <c r="S4389" s="8"/>
      <c r="U4389" s="6"/>
      <c r="V4389" s="6"/>
      <c r="W4389" s="6"/>
      <c r="X4389" s="6"/>
      <c r="Y4389" s="6"/>
      <c r="Z4389" s="6"/>
    </row>
    <row r="4390" spans="14:26" ht="31.4" customHeight="1" x14ac:dyDescent="0.35">
      <c r="N4390" s="20"/>
      <c r="P4390" s="8"/>
      <c r="Q4390" s="8"/>
      <c r="R4390" s="8"/>
      <c r="S4390" s="8"/>
      <c r="U4390" s="6"/>
      <c r="V4390" s="6"/>
      <c r="W4390" s="6"/>
      <c r="X4390" s="6"/>
      <c r="Y4390" s="6"/>
      <c r="Z4390" s="6"/>
    </row>
    <row r="4391" spans="14:26" ht="31.4" customHeight="1" x14ac:dyDescent="0.35">
      <c r="N4391" s="20"/>
      <c r="P4391" s="8"/>
      <c r="Q4391" s="8"/>
      <c r="R4391" s="8"/>
      <c r="S4391" s="8"/>
      <c r="U4391" s="6"/>
      <c r="V4391" s="6"/>
      <c r="W4391" s="6"/>
      <c r="X4391" s="6"/>
      <c r="Y4391" s="6"/>
      <c r="Z4391" s="6"/>
    </row>
    <row r="4392" spans="14:26" ht="31.4" customHeight="1" x14ac:dyDescent="0.35">
      <c r="N4392" s="20"/>
      <c r="P4392" s="8"/>
      <c r="Q4392" s="8"/>
      <c r="R4392" s="8"/>
      <c r="S4392" s="8"/>
      <c r="U4392" s="6"/>
      <c r="V4392" s="6"/>
      <c r="W4392" s="6"/>
      <c r="X4392" s="6"/>
      <c r="Y4392" s="6"/>
      <c r="Z4392" s="6"/>
    </row>
    <row r="4393" spans="14:26" ht="31.4" customHeight="1" x14ac:dyDescent="0.35">
      <c r="N4393" s="20"/>
      <c r="P4393" s="8"/>
      <c r="Q4393" s="8"/>
      <c r="R4393" s="8"/>
      <c r="S4393" s="8"/>
      <c r="U4393" s="6"/>
      <c r="V4393" s="6"/>
      <c r="W4393" s="6"/>
      <c r="X4393" s="6"/>
      <c r="Y4393" s="6"/>
      <c r="Z4393" s="6"/>
    </row>
    <row r="4394" spans="14:26" ht="31.4" customHeight="1" x14ac:dyDescent="0.35">
      <c r="N4394" s="20"/>
      <c r="P4394" s="8"/>
      <c r="Q4394" s="8"/>
      <c r="R4394" s="8"/>
      <c r="S4394" s="8"/>
      <c r="U4394" s="6"/>
      <c r="V4394" s="6"/>
      <c r="W4394" s="6"/>
      <c r="X4394" s="6"/>
      <c r="Y4394" s="6"/>
      <c r="Z4394" s="6"/>
    </row>
    <row r="4395" spans="14:26" ht="31.4" customHeight="1" x14ac:dyDescent="0.35">
      <c r="N4395" s="20"/>
      <c r="P4395" s="8"/>
      <c r="Q4395" s="8"/>
      <c r="R4395" s="8"/>
      <c r="S4395" s="8"/>
      <c r="U4395" s="6"/>
      <c r="V4395" s="6"/>
      <c r="W4395" s="6"/>
      <c r="X4395" s="6"/>
      <c r="Y4395" s="6"/>
      <c r="Z4395" s="6"/>
    </row>
    <row r="4396" spans="14:26" ht="31.4" customHeight="1" x14ac:dyDescent="0.35">
      <c r="N4396" s="20"/>
      <c r="P4396" s="8"/>
      <c r="Q4396" s="8"/>
      <c r="R4396" s="8"/>
      <c r="S4396" s="8"/>
      <c r="U4396" s="6"/>
      <c r="V4396" s="6"/>
      <c r="W4396" s="6"/>
      <c r="X4396" s="6"/>
      <c r="Y4396" s="6"/>
      <c r="Z4396" s="6"/>
    </row>
    <row r="4397" spans="14:26" ht="31.4" customHeight="1" x14ac:dyDescent="0.35">
      <c r="N4397" s="20"/>
      <c r="P4397" s="8"/>
      <c r="Q4397" s="8"/>
      <c r="R4397" s="8"/>
      <c r="S4397" s="8"/>
      <c r="U4397" s="6"/>
      <c r="V4397" s="6"/>
      <c r="W4397" s="6"/>
      <c r="X4397" s="6"/>
      <c r="Y4397" s="6"/>
      <c r="Z4397" s="6"/>
    </row>
    <row r="4398" spans="14:26" ht="31.4" customHeight="1" x14ac:dyDescent="0.35">
      <c r="N4398" s="20"/>
      <c r="P4398" s="8"/>
      <c r="Q4398" s="8"/>
      <c r="R4398" s="8"/>
      <c r="S4398" s="8"/>
      <c r="U4398" s="6"/>
      <c r="V4398" s="6"/>
      <c r="W4398" s="6"/>
      <c r="X4398" s="6"/>
      <c r="Y4398" s="6"/>
      <c r="Z4398" s="6"/>
    </row>
    <row r="4399" spans="14:26" ht="31.4" customHeight="1" x14ac:dyDescent="0.35">
      <c r="N4399" s="20"/>
      <c r="P4399" s="8"/>
      <c r="Q4399" s="8"/>
      <c r="R4399" s="8"/>
      <c r="S4399" s="8"/>
      <c r="U4399" s="6"/>
      <c r="V4399" s="6"/>
      <c r="W4399" s="6"/>
      <c r="X4399" s="6"/>
      <c r="Y4399" s="6"/>
      <c r="Z4399" s="6"/>
    </row>
    <row r="4400" spans="14:26" ht="31.4" customHeight="1" x14ac:dyDescent="0.35">
      <c r="N4400" s="20"/>
      <c r="P4400" s="8"/>
      <c r="Q4400" s="8"/>
      <c r="R4400" s="8"/>
      <c r="S4400" s="8"/>
      <c r="U4400" s="6"/>
      <c r="V4400" s="6"/>
      <c r="W4400" s="6"/>
      <c r="X4400" s="6"/>
      <c r="Y4400" s="6"/>
      <c r="Z4400" s="6"/>
    </row>
    <row r="4401" spans="14:26" ht="31.4" customHeight="1" x14ac:dyDescent="0.35">
      <c r="N4401" s="20"/>
      <c r="P4401" s="8"/>
      <c r="Q4401" s="8"/>
      <c r="R4401" s="8"/>
      <c r="S4401" s="8"/>
      <c r="U4401" s="6"/>
      <c r="V4401" s="6"/>
      <c r="W4401" s="6"/>
      <c r="X4401" s="6"/>
      <c r="Y4401" s="6"/>
      <c r="Z4401" s="6"/>
    </row>
    <row r="4402" spans="14:26" ht="31.4" customHeight="1" x14ac:dyDescent="0.35">
      <c r="N4402" s="20"/>
      <c r="P4402" s="8"/>
      <c r="Q4402" s="8"/>
      <c r="R4402" s="8"/>
      <c r="S4402" s="8"/>
      <c r="U4402" s="6"/>
      <c r="V4402" s="6"/>
      <c r="W4402" s="6"/>
      <c r="X4402" s="6"/>
      <c r="Y4402" s="6"/>
      <c r="Z4402" s="6"/>
    </row>
    <row r="4403" spans="14:26" ht="31.4" customHeight="1" x14ac:dyDescent="0.35">
      <c r="N4403" s="20"/>
      <c r="P4403" s="8"/>
      <c r="Q4403" s="8"/>
      <c r="R4403" s="8"/>
      <c r="S4403" s="8"/>
      <c r="U4403" s="6"/>
      <c r="V4403" s="6"/>
      <c r="W4403" s="6"/>
      <c r="X4403" s="6"/>
      <c r="Y4403" s="6"/>
      <c r="Z4403" s="6"/>
    </row>
    <row r="4404" spans="14:26" ht="31.4" customHeight="1" x14ac:dyDescent="0.35">
      <c r="N4404" s="20"/>
      <c r="P4404" s="8"/>
      <c r="Q4404" s="8"/>
      <c r="R4404" s="8"/>
      <c r="S4404" s="8"/>
      <c r="U4404" s="6"/>
      <c r="V4404" s="6"/>
      <c r="W4404" s="6"/>
      <c r="X4404" s="6"/>
      <c r="Y4404" s="6"/>
      <c r="Z4404" s="6"/>
    </row>
    <row r="4405" spans="14:26" ht="31.4" customHeight="1" x14ac:dyDescent="0.35">
      <c r="N4405" s="20"/>
      <c r="P4405" s="8"/>
      <c r="Q4405" s="8"/>
      <c r="R4405" s="8"/>
      <c r="S4405" s="8"/>
      <c r="U4405" s="6"/>
      <c r="V4405" s="6"/>
      <c r="W4405" s="6"/>
      <c r="X4405" s="6"/>
      <c r="Y4405" s="6"/>
      <c r="Z4405" s="6"/>
    </row>
    <row r="4406" spans="14:26" ht="31.4" customHeight="1" x14ac:dyDescent="0.35">
      <c r="N4406" s="20"/>
      <c r="P4406" s="8"/>
      <c r="Q4406" s="8"/>
      <c r="R4406" s="8"/>
      <c r="S4406" s="8"/>
      <c r="U4406" s="6"/>
      <c r="V4406" s="6"/>
      <c r="W4406" s="6"/>
      <c r="X4406" s="6"/>
      <c r="Y4406" s="6"/>
      <c r="Z4406" s="6"/>
    </row>
    <row r="4407" spans="14:26" ht="31.4" customHeight="1" x14ac:dyDescent="0.35">
      <c r="N4407" s="20"/>
      <c r="P4407" s="8"/>
      <c r="Q4407" s="8"/>
      <c r="R4407" s="8"/>
      <c r="S4407" s="8"/>
      <c r="U4407" s="6"/>
      <c r="V4407" s="6"/>
      <c r="W4407" s="6"/>
      <c r="X4407" s="6"/>
      <c r="Y4407" s="6"/>
      <c r="Z4407" s="6"/>
    </row>
    <row r="4408" spans="14:26" ht="31.4" customHeight="1" x14ac:dyDescent="0.35">
      <c r="N4408" s="20"/>
      <c r="P4408" s="8"/>
      <c r="Q4408" s="8"/>
      <c r="R4408" s="8"/>
      <c r="S4408" s="8"/>
      <c r="U4408" s="6"/>
      <c r="V4408" s="6"/>
      <c r="W4408" s="6"/>
      <c r="X4408" s="6"/>
      <c r="Y4408" s="6"/>
      <c r="Z4408" s="6"/>
    </row>
    <row r="4409" spans="14:26" ht="31.4" customHeight="1" x14ac:dyDescent="0.35">
      <c r="N4409" s="20"/>
      <c r="P4409" s="8"/>
      <c r="Q4409" s="8"/>
      <c r="R4409" s="8"/>
      <c r="S4409" s="8"/>
      <c r="U4409" s="6"/>
      <c r="V4409" s="6"/>
      <c r="W4409" s="6"/>
      <c r="X4409" s="6"/>
      <c r="Y4409" s="6"/>
      <c r="Z4409" s="6"/>
    </row>
    <row r="4410" spans="14:26" ht="31.4" customHeight="1" x14ac:dyDescent="0.35">
      <c r="N4410" s="20"/>
      <c r="P4410" s="8"/>
      <c r="Q4410" s="8"/>
      <c r="R4410" s="8"/>
      <c r="S4410" s="8"/>
      <c r="U4410" s="6"/>
      <c r="V4410" s="6"/>
      <c r="W4410" s="6"/>
      <c r="X4410" s="6"/>
      <c r="Y4410" s="6"/>
      <c r="Z4410" s="6"/>
    </row>
    <row r="4411" spans="14:26" ht="31.4" customHeight="1" x14ac:dyDescent="0.35">
      <c r="N4411" s="20"/>
      <c r="P4411" s="8"/>
      <c r="Q4411" s="8"/>
      <c r="R4411" s="8"/>
      <c r="S4411" s="8"/>
      <c r="U4411" s="6"/>
      <c r="V4411" s="6"/>
      <c r="W4411" s="6"/>
      <c r="X4411" s="6"/>
      <c r="Y4411" s="6"/>
      <c r="Z4411" s="6"/>
    </row>
    <row r="4412" spans="14:26" ht="31.4" customHeight="1" x14ac:dyDescent="0.35">
      <c r="N4412" s="20"/>
      <c r="P4412" s="8"/>
      <c r="Q4412" s="8"/>
      <c r="R4412" s="8"/>
      <c r="S4412" s="8"/>
      <c r="U4412" s="6"/>
      <c r="V4412" s="6"/>
      <c r="W4412" s="6"/>
      <c r="X4412" s="6"/>
      <c r="Y4412" s="6"/>
      <c r="Z4412" s="6"/>
    </row>
    <row r="4413" spans="14:26" ht="31.4" customHeight="1" x14ac:dyDescent="0.35">
      <c r="N4413" s="20"/>
      <c r="P4413" s="8"/>
      <c r="Q4413" s="8"/>
      <c r="R4413" s="8"/>
      <c r="S4413" s="8"/>
      <c r="U4413" s="6"/>
      <c r="V4413" s="6"/>
      <c r="W4413" s="6"/>
      <c r="X4413" s="6"/>
      <c r="Y4413" s="6"/>
      <c r="Z4413" s="6"/>
    </row>
    <row r="4414" spans="14:26" ht="31.4" customHeight="1" x14ac:dyDescent="0.35">
      <c r="N4414" s="20"/>
      <c r="P4414" s="8"/>
      <c r="Q4414" s="8"/>
      <c r="R4414" s="8"/>
      <c r="S4414" s="8"/>
      <c r="U4414" s="6"/>
      <c r="V4414" s="6"/>
      <c r="W4414" s="6"/>
      <c r="X4414" s="6"/>
      <c r="Y4414" s="6"/>
      <c r="Z4414" s="6"/>
    </row>
    <row r="4415" spans="14:26" ht="31.4" customHeight="1" x14ac:dyDescent="0.35">
      <c r="N4415" s="20"/>
      <c r="P4415" s="8"/>
      <c r="Q4415" s="8"/>
      <c r="R4415" s="8"/>
      <c r="S4415" s="8"/>
      <c r="U4415" s="6"/>
      <c r="V4415" s="6"/>
      <c r="W4415" s="6"/>
      <c r="X4415" s="6"/>
      <c r="Y4415" s="6"/>
      <c r="Z4415" s="6"/>
    </row>
    <row r="4416" spans="14:26" ht="31.4" customHeight="1" x14ac:dyDescent="0.35">
      <c r="N4416" s="20"/>
      <c r="P4416" s="8"/>
      <c r="Q4416" s="8"/>
      <c r="R4416" s="8"/>
      <c r="S4416" s="8"/>
      <c r="U4416" s="6"/>
      <c r="V4416" s="6"/>
      <c r="W4416" s="6"/>
      <c r="X4416" s="6"/>
      <c r="Y4416" s="6"/>
      <c r="Z4416" s="6"/>
    </row>
    <row r="4417" spans="14:26" ht="31.4" customHeight="1" x14ac:dyDescent="0.35">
      <c r="N4417" s="20"/>
      <c r="P4417" s="8"/>
      <c r="Q4417" s="8"/>
      <c r="R4417" s="8"/>
      <c r="S4417" s="8"/>
      <c r="U4417" s="6"/>
      <c r="V4417" s="6"/>
      <c r="W4417" s="6"/>
      <c r="X4417" s="6"/>
      <c r="Y4417" s="6"/>
      <c r="Z4417" s="6"/>
    </row>
    <row r="4418" spans="14:26" ht="31.4" customHeight="1" x14ac:dyDescent="0.35">
      <c r="N4418" s="20"/>
      <c r="P4418" s="8"/>
      <c r="Q4418" s="8"/>
      <c r="R4418" s="8"/>
      <c r="S4418" s="8"/>
      <c r="U4418" s="6"/>
      <c r="V4418" s="6"/>
      <c r="W4418" s="6"/>
      <c r="X4418" s="6"/>
      <c r="Y4418" s="6"/>
      <c r="Z4418" s="6"/>
    </row>
    <row r="4419" spans="14:26" ht="31.4" customHeight="1" x14ac:dyDescent="0.35">
      <c r="N4419" s="20"/>
      <c r="P4419" s="8"/>
      <c r="Q4419" s="8"/>
      <c r="R4419" s="8"/>
      <c r="S4419" s="8"/>
      <c r="U4419" s="6"/>
      <c r="V4419" s="6"/>
      <c r="W4419" s="6"/>
      <c r="X4419" s="6"/>
      <c r="Y4419" s="6"/>
      <c r="Z4419" s="6"/>
    </row>
    <row r="4420" spans="14:26" ht="31.4" customHeight="1" x14ac:dyDescent="0.35">
      <c r="N4420" s="20"/>
      <c r="P4420" s="8"/>
      <c r="Q4420" s="8"/>
      <c r="R4420" s="8"/>
      <c r="S4420" s="8"/>
      <c r="U4420" s="6"/>
      <c r="V4420" s="6"/>
      <c r="W4420" s="6"/>
      <c r="X4420" s="6"/>
      <c r="Y4420" s="6"/>
      <c r="Z4420" s="6"/>
    </row>
    <row r="4421" spans="14:26" ht="31.4" customHeight="1" x14ac:dyDescent="0.35">
      <c r="N4421" s="20"/>
      <c r="P4421" s="8"/>
      <c r="Q4421" s="8"/>
      <c r="R4421" s="8"/>
      <c r="S4421" s="8"/>
      <c r="U4421" s="6"/>
      <c r="V4421" s="6"/>
      <c r="W4421" s="6"/>
      <c r="X4421" s="6"/>
      <c r="Y4421" s="6"/>
      <c r="Z4421" s="6"/>
    </row>
    <row r="4422" spans="14:26" ht="31.4" customHeight="1" x14ac:dyDescent="0.35">
      <c r="N4422" s="20"/>
      <c r="P4422" s="8"/>
      <c r="Q4422" s="8"/>
      <c r="R4422" s="8"/>
      <c r="S4422" s="8"/>
      <c r="U4422" s="6"/>
      <c r="V4422" s="6"/>
      <c r="W4422" s="6"/>
      <c r="X4422" s="6"/>
      <c r="Y4422" s="6"/>
      <c r="Z4422" s="6"/>
    </row>
    <row r="4423" spans="14:26" ht="31.4" customHeight="1" x14ac:dyDescent="0.35">
      <c r="N4423" s="20"/>
      <c r="P4423" s="8"/>
      <c r="Q4423" s="8"/>
      <c r="R4423" s="8"/>
      <c r="S4423" s="8"/>
      <c r="U4423" s="6"/>
      <c r="V4423" s="6"/>
      <c r="W4423" s="6"/>
      <c r="X4423" s="6"/>
      <c r="Y4423" s="6"/>
      <c r="Z4423" s="6"/>
    </row>
    <row r="4424" spans="14:26" ht="31.4" customHeight="1" x14ac:dyDescent="0.35">
      <c r="N4424" s="20"/>
      <c r="P4424" s="8"/>
      <c r="Q4424" s="8"/>
      <c r="R4424" s="8"/>
      <c r="S4424" s="8"/>
      <c r="U4424" s="6"/>
      <c r="V4424" s="6"/>
      <c r="W4424" s="6"/>
      <c r="X4424" s="6"/>
      <c r="Y4424" s="6"/>
      <c r="Z4424" s="6"/>
    </row>
    <row r="4425" spans="14:26" ht="31.4" customHeight="1" x14ac:dyDescent="0.35">
      <c r="N4425" s="20"/>
      <c r="P4425" s="8"/>
      <c r="Q4425" s="8"/>
      <c r="R4425" s="8"/>
      <c r="S4425" s="8"/>
      <c r="U4425" s="6"/>
      <c r="V4425" s="6"/>
      <c r="W4425" s="6"/>
      <c r="X4425" s="6"/>
      <c r="Y4425" s="6"/>
      <c r="Z4425" s="6"/>
    </row>
    <row r="4426" spans="14:26" ht="31.4" customHeight="1" x14ac:dyDescent="0.35">
      <c r="N4426" s="20"/>
      <c r="P4426" s="8"/>
      <c r="Q4426" s="8"/>
      <c r="R4426" s="8"/>
      <c r="S4426" s="8"/>
      <c r="U4426" s="6"/>
      <c r="V4426" s="6"/>
      <c r="W4426" s="6"/>
      <c r="X4426" s="6"/>
      <c r="Y4426" s="6"/>
      <c r="Z4426" s="6"/>
    </row>
    <row r="4427" spans="14:26" ht="31.4" customHeight="1" x14ac:dyDescent="0.35">
      <c r="N4427" s="20"/>
      <c r="P4427" s="8"/>
      <c r="Q4427" s="8"/>
      <c r="R4427" s="8"/>
      <c r="S4427" s="8"/>
      <c r="U4427" s="6"/>
      <c r="V4427" s="6"/>
      <c r="W4427" s="6"/>
      <c r="X4427" s="6"/>
      <c r="Y4427" s="6"/>
      <c r="Z4427" s="6"/>
    </row>
    <row r="4428" spans="14:26" ht="31.4" customHeight="1" x14ac:dyDescent="0.35">
      <c r="N4428" s="20"/>
      <c r="P4428" s="8"/>
      <c r="Q4428" s="8"/>
      <c r="R4428" s="8"/>
      <c r="S4428" s="8"/>
      <c r="U4428" s="6"/>
      <c r="V4428" s="6"/>
      <c r="W4428" s="6"/>
      <c r="X4428" s="6"/>
      <c r="Y4428" s="6"/>
      <c r="Z4428" s="6"/>
    </row>
    <row r="4429" spans="14:26" ht="31.4" customHeight="1" x14ac:dyDescent="0.35">
      <c r="N4429" s="20"/>
      <c r="P4429" s="8"/>
      <c r="Q4429" s="8"/>
      <c r="R4429" s="8"/>
      <c r="S4429" s="8"/>
      <c r="U4429" s="6"/>
      <c r="V4429" s="6"/>
      <c r="W4429" s="6"/>
      <c r="X4429" s="6"/>
      <c r="Y4429" s="6"/>
      <c r="Z4429" s="6"/>
    </row>
    <row r="4430" spans="14:26" ht="31.4" customHeight="1" x14ac:dyDescent="0.35">
      <c r="N4430" s="20"/>
      <c r="P4430" s="8"/>
      <c r="Q4430" s="8"/>
      <c r="R4430" s="8"/>
      <c r="S4430" s="8"/>
      <c r="U4430" s="6"/>
      <c r="V4430" s="6"/>
      <c r="W4430" s="6"/>
      <c r="X4430" s="6"/>
      <c r="Y4430" s="6"/>
      <c r="Z4430" s="6"/>
    </row>
    <row r="4431" spans="14:26" ht="31.4" customHeight="1" x14ac:dyDescent="0.35">
      <c r="N4431" s="20"/>
      <c r="P4431" s="8"/>
      <c r="Q4431" s="8"/>
      <c r="R4431" s="8"/>
      <c r="S4431" s="8"/>
      <c r="U4431" s="6"/>
      <c r="V4431" s="6"/>
      <c r="W4431" s="6"/>
      <c r="X4431" s="6"/>
      <c r="Y4431" s="6"/>
      <c r="Z4431" s="6"/>
    </row>
    <row r="4432" spans="14:26" ht="31.4" customHeight="1" x14ac:dyDescent="0.35">
      <c r="N4432" s="20"/>
      <c r="P4432" s="8"/>
      <c r="Q4432" s="8"/>
      <c r="R4432" s="8"/>
      <c r="S4432" s="8"/>
      <c r="U4432" s="6"/>
      <c r="V4432" s="6"/>
      <c r="W4432" s="6"/>
      <c r="X4432" s="6"/>
      <c r="Y4432" s="6"/>
      <c r="Z4432" s="6"/>
    </row>
    <row r="4433" spans="14:26" ht="31.4" customHeight="1" x14ac:dyDescent="0.35">
      <c r="N4433" s="20"/>
      <c r="P4433" s="8"/>
      <c r="Q4433" s="8"/>
      <c r="R4433" s="8"/>
      <c r="S4433" s="8"/>
      <c r="U4433" s="6"/>
      <c r="V4433" s="6"/>
      <c r="W4433" s="6"/>
      <c r="X4433" s="6"/>
      <c r="Y4433" s="6"/>
      <c r="Z4433" s="6"/>
    </row>
    <row r="4434" spans="14:26" ht="31.4" customHeight="1" x14ac:dyDescent="0.35">
      <c r="N4434" s="20"/>
      <c r="P4434" s="8"/>
      <c r="Q4434" s="8"/>
      <c r="R4434" s="8"/>
      <c r="S4434" s="8"/>
      <c r="U4434" s="6"/>
      <c r="V4434" s="6"/>
      <c r="W4434" s="6"/>
      <c r="X4434" s="6"/>
      <c r="Y4434" s="6"/>
      <c r="Z4434" s="6"/>
    </row>
    <row r="4435" spans="14:26" ht="31.4" customHeight="1" x14ac:dyDescent="0.35">
      <c r="N4435" s="20"/>
      <c r="P4435" s="8"/>
      <c r="Q4435" s="8"/>
      <c r="R4435" s="8"/>
      <c r="S4435" s="8"/>
      <c r="U4435" s="6"/>
      <c r="V4435" s="6"/>
      <c r="W4435" s="6"/>
      <c r="X4435" s="6"/>
      <c r="Y4435" s="6"/>
      <c r="Z4435" s="6"/>
    </row>
    <row r="4436" spans="14:26" ht="31.4" customHeight="1" x14ac:dyDescent="0.35">
      <c r="N4436" s="20"/>
      <c r="P4436" s="8"/>
      <c r="Q4436" s="8"/>
      <c r="R4436" s="8"/>
      <c r="S4436" s="8"/>
      <c r="U4436" s="6"/>
      <c r="V4436" s="6"/>
      <c r="W4436" s="6"/>
      <c r="X4436" s="6"/>
      <c r="Y4436" s="6"/>
      <c r="Z4436" s="6"/>
    </row>
    <row r="4437" spans="14:26" ht="31.4" customHeight="1" x14ac:dyDescent="0.35">
      <c r="N4437" s="20"/>
      <c r="P4437" s="8"/>
      <c r="Q4437" s="8"/>
      <c r="R4437" s="8"/>
      <c r="S4437" s="8"/>
      <c r="U4437" s="6"/>
      <c r="V4437" s="6"/>
      <c r="W4437" s="6"/>
      <c r="X4437" s="6"/>
      <c r="Y4437" s="6"/>
      <c r="Z4437" s="6"/>
    </row>
    <row r="4438" spans="14:26" ht="31.4" customHeight="1" x14ac:dyDescent="0.35">
      <c r="N4438" s="20"/>
      <c r="P4438" s="8"/>
      <c r="Q4438" s="8"/>
      <c r="R4438" s="8"/>
      <c r="S4438" s="8"/>
      <c r="U4438" s="6"/>
      <c r="V4438" s="6"/>
      <c r="W4438" s="6"/>
      <c r="X4438" s="6"/>
      <c r="Y4438" s="6"/>
      <c r="Z4438" s="6"/>
    </row>
    <row r="4439" spans="14:26" ht="31.4" customHeight="1" x14ac:dyDescent="0.35">
      <c r="N4439" s="20"/>
      <c r="P4439" s="8"/>
      <c r="Q4439" s="8"/>
      <c r="R4439" s="8"/>
      <c r="S4439" s="8"/>
      <c r="U4439" s="6"/>
      <c r="V4439" s="6"/>
      <c r="W4439" s="6"/>
      <c r="X4439" s="6"/>
      <c r="Y4439" s="6"/>
      <c r="Z4439" s="6"/>
    </row>
    <row r="4440" spans="14:26" ht="31.4" customHeight="1" x14ac:dyDescent="0.35">
      <c r="N4440" s="20"/>
      <c r="P4440" s="8"/>
      <c r="Q4440" s="8"/>
      <c r="R4440" s="8"/>
      <c r="S4440" s="8"/>
      <c r="U4440" s="6"/>
      <c r="V4440" s="6"/>
      <c r="W4440" s="6"/>
      <c r="X4440" s="6"/>
      <c r="Y4440" s="6"/>
      <c r="Z4440" s="6"/>
    </row>
    <row r="4441" spans="14:26" ht="31.4" customHeight="1" x14ac:dyDescent="0.35">
      <c r="N4441" s="20"/>
      <c r="P4441" s="8"/>
      <c r="Q4441" s="8"/>
      <c r="R4441" s="8"/>
      <c r="S4441" s="8"/>
      <c r="U4441" s="6"/>
      <c r="V4441" s="6"/>
      <c r="W4441" s="6"/>
      <c r="X4441" s="6"/>
      <c r="Y4441" s="6"/>
      <c r="Z4441" s="6"/>
    </row>
    <row r="4442" spans="14:26" ht="31.4" customHeight="1" x14ac:dyDescent="0.35">
      <c r="N4442" s="20"/>
      <c r="P4442" s="8"/>
      <c r="Q4442" s="8"/>
      <c r="R4442" s="8"/>
      <c r="S4442" s="8"/>
      <c r="U4442" s="6"/>
      <c r="V4442" s="6"/>
      <c r="W4442" s="6"/>
      <c r="X4442" s="6"/>
      <c r="Y4442" s="6"/>
      <c r="Z4442" s="6"/>
    </row>
    <row r="4443" spans="14:26" ht="31.4" customHeight="1" x14ac:dyDescent="0.35">
      <c r="N4443" s="20"/>
      <c r="P4443" s="8"/>
      <c r="Q4443" s="8"/>
      <c r="R4443" s="8"/>
      <c r="S4443" s="8"/>
      <c r="U4443" s="6"/>
      <c r="V4443" s="6"/>
      <c r="W4443" s="6"/>
      <c r="X4443" s="6"/>
      <c r="Y4443" s="6"/>
      <c r="Z4443" s="6"/>
    </row>
    <row r="4444" spans="14:26" ht="31.4" customHeight="1" x14ac:dyDescent="0.35">
      <c r="N4444" s="20"/>
      <c r="P4444" s="8"/>
      <c r="Q4444" s="8"/>
      <c r="R4444" s="8"/>
      <c r="S4444" s="8"/>
      <c r="U4444" s="6"/>
      <c r="V4444" s="6"/>
      <c r="W4444" s="6"/>
      <c r="X4444" s="6"/>
      <c r="Y4444" s="6"/>
      <c r="Z4444" s="6"/>
    </row>
    <row r="4445" spans="14:26" ht="31.4" customHeight="1" x14ac:dyDescent="0.35">
      <c r="N4445" s="20"/>
      <c r="P4445" s="8"/>
      <c r="Q4445" s="8"/>
      <c r="R4445" s="8"/>
      <c r="S4445" s="8"/>
      <c r="U4445" s="6"/>
      <c r="V4445" s="6"/>
      <c r="W4445" s="6"/>
      <c r="X4445" s="6"/>
      <c r="Y4445" s="6"/>
      <c r="Z4445" s="6"/>
    </row>
    <row r="4446" spans="14:26" ht="31.4" customHeight="1" x14ac:dyDescent="0.35">
      <c r="N4446" s="20"/>
      <c r="P4446" s="8"/>
      <c r="Q4446" s="8"/>
      <c r="R4446" s="8"/>
      <c r="S4446" s="8"/>
      <c r="U4446" s="6"/>
      <c r="V4446" s="6"/>
      <c r="W4446" s="6"/>
      <c r="X4446" s="6"/>
      <c r="Y4446" s="6"/>
      <c r="Z4446" s="6"/>
    </row>
    <row r="4447" spans="14:26" ht="31.4" customHeight="1" x14ac:dyDescent="0.35">
      <c r="N4447" s="20"/>
      <c r="P4447" s="8"/>
      <c r="Q4447" s="8"/>
      <c r="R4447" s="8"/>
      <c r="S4447" s="8"/>
      <c r="U4447" s="6"/>
      <c r="V4447" s="6"/>
      <c r="W4447" s="6"/>
      <c r="X4447" s="6"/>
      <c r="Y4447" s="6"/>
      <c r="Z4447" s="6"/>
    </row>
    <row r="4448" spans="14:26" ht="31.4" customHeight="1" x14ac:dyDescent="0.35">
      <c r="N4448" s="20"/>
      <c r="P4448" s="8"/>
      <c r="Q4448" s="8"/>
      <c r="R4448" s="8"/>
      <c r="S4448" s="8"/>
      <c r="U4448" s="6"/>
      <c r="V4448" s="6"/>
      <c r="W4448" s="6"/>
      <c r="X4448" s="6"/>
      <c r="Y4448" s="6"/>
      <c r="Z4448" s="6"/>
    </row>
    <row r="4449" spans="14:26" ht="31.4" customHeight="1" x14ac:dyDescent="0.35">
      <c r="N4449" s="20"/>
      <c r="P4449" s="8"/>
      <c r="Q4449" s="8"/>
      <c r="R4449" s="8"/>
      <c r="S4449" s="8"/>
      <c r="U4449" s="6"/>
      <c r="V4449" s="6"/>
      <c r="W4449" s="6"/>
      <c r="X4449" s="6"/>
      <c r="Y4449" s="6"/>
      <c r="Z4449" s="6"/>
    </row>
    <row r="4450" spans="14:26" ht="31.4" customHeight="1" x14ac:dyDescent="0.35">
      <c r="N4450" s="20"/>
      <c r="P4450" s="8"/>
      <c r="Q4450" s="8"/>
      <c r="R4450" s="8"/>
      <c r="S4450" s="8"/>
      <c r="U4450" s="6"/>
      <c r="V4450" s="6"/>
      <c r="W4450" s="6"/>
      <c r="X4450" s="6"/>
      <c r="Y4450" s="6"/>
      <c r="Z4450" s="6"/>
    </row>
    <row r="4451" spans="14:26" ht="31.4" customHeight="1" x14ac:dyDescent="0.35">
      <c r="N4451" s="20"/>
      <c r="P4451" s="8"/>
      <c r="Q4451" s="8"/>
      <c r="R4451" s="8"/>
      <c r="S4451" s="8"/>
      <c r="U4451" s="6"/>
      <c r="V4451" s="6"/>
      <c r="W4451" s="6"/>
      <c r="X4451" s="6"/>
      <c r="Y4451" s="6"/>
      <c r="Z4451" s="6"/>
    </row>
    <row r="4452" spans="14:26" ht="31.4" customHeight="1" x14ac:dyDescent="0.35">
      <c r="N4452" s="20"/>
      <c r="P4452" s="8"/>
      <c r="Q4452" s="8"/>
      <c r="R4452" s="8"/>
      <c r="S4452" s="8"/>
      <c r="U4452" s="6"/>
      <c r="V4452" s="6"/>
      <c r="W4452" s="6"/>
      <c r="X4452" s="6"/>
      <c r="Y4452" s="6"/>
      <c r="Z4452" s="6"/>
    </row>
    <row r="4453" spans="14:26" ht="31.4" customHeight="1" x14ac:dyDescent="0.35">
      <c r="N4453" s="20"/>
      <c r="P4453" s="8"/>
      <c r="Q4453" s="8"/>
      <c r="R4453" s="8"/>
      <c r="S4453" s="8"/>
      <c r="U4453" s="6"/>
      <c r="V4453" s="6"/>
      <c r="W4453" s="6"/>
      <c r="X4453" s="6"/>
      <c r="Y4453" s="6"/>
      <c r="Z4453" s="6"/>
    </row>
    <row r="4454" spans="14:26" ht="31.4" customHeight="1" x14ac:dyDescent="0.35">
      <c r="N4454" s="20"/>
      <c r="P4454" s="8"/>
      <c r="Q4454" s="8"/>
      <c r="R4454" s="8"/>
      <c r="S4454" s="8"/>
      <c r="U4454" s="6"/>
      <c r="V4454" s="6"/>
      <c r="W4454" s="6"/>
      <c r="X4454" s="6"/>
      <c r="Y4454" s="6"/>
      <c r="Z4454" s="6"/>
    </row>
    <row r="4455" spans="14:26" ht="31.4" customHeight="1" x14ac:dyDescent="0.35">
      <c r="N4455" s="20"/>
      <c r="P4455" s="8"/>
      <c r="Q4455" s="8"/>
      <c r="R4455" s="8"/>
      <c r="S4455" s="8"/>
      <c r="U4455" s="6"/>
      <c r="V4455" s="6"/>
      <c r="W4455" s="6"/>
      <c r="X4455" s="6"/>
      <c r="Y4455" s="6"/>
      <c r="Z4455" s="6"/>
    </row>
    <row r="4456" spans="14:26" ht="31.4" customHeight="1" x14ac:dyDescent="0.35">
      <c r="N4456" s="20"/>
      <c r="P4456" s="8"/>
      <c r="Q4456" s="8"/>
      <c r="R4456" s="8"/>
      <c r="S4456" s="8"/>
      <c r="U4456" s="6"/>
      <c r="V4456" s="6"/>
      <c r="W4456" s="6"/>
      <c r="X4456" s="6"/>
      <c r="Y4456" s="6"/>
      <c r="Z4456" s="6"/>
    </row>
    <row r="4457" spans="14:26" ht="31.4" customHeight="1" x14ac:dyDescent="0.35">
      <c r="N4457" s="20"/>
      <c r="P4457" s="8"/>
      <c r="Q4457" s="8"/>
      <c r="R4457" s="8"/>
      <c r="S4457" s="8"/>
      <c r="U4457" s="6"/>
      <c r="V4457" s="6"/>
      <c r="W4457" s="6"/>
      <c r="X4457" s="6"/>
      <c r="Y4457" s="6"/>
      <c r="Z4457" s="6"/>
    </row>
    <row r="4458" spans="14:26" ht="31.4" customHeight="1" x14ac:dyDescent="0.35">
      <c r="N4458" s="20"/>
      <c r="P4458" s="8"/>
      <c r="Q4458" s="8"/>
      <c r="R4458" s="8"/>
      <c r="S4458" s="8"/>
      <c r="U4458" s="6"/>
      <c r="V4458" s="6"/>
      <c r="W4458" s="6"/>
      <c r="X4458" s="6"/>
      <c r="Y4458" s="6"/>
      <c r="Z4458" s="6"/>
    </row>
    <row r="4459" spans="14:26" ht="31.4" customHeight="1" x14ac:dyDescent="0.35">
      <c r="N4459" s="20"/>
      <c r="P4459" s="8"/>
      <c r="Q4459" s="8"/>
      <c r="R4459" s="8"/>
      <c r="S4459" s="8"/>
      <c r="U4459" s="6"/>
      <c r="V4459" s="6"/>
      <c r="W4459" s="6"/>
      <c r="X4459" s="6"/>
      <c r="Y4459" s="6"/>
      <c r="Z4459" s="6"/>
    </row>
    <row r="4460" spans="14:26" ht="31.4" customHeight="1" x14ac:dyDescent="0.35">
      <c r="N4460" s="20"/>
      <c r="P4460" s="8"/>
      <c r="Q4460" s="8"/>
      <c r="R4460" s="8"/>
      <c r="S4460" s="8"/>
      <c r="U4460" s="6"/>
      <c r="V4460" s="6"/>
      <c r="W4460" s="6"/>
      <c r="X4460" s="6"/>
      <c r="Y4460" s="6"/>
      <c r="Z4460" s="6"/>
    </row>
    <row r="4461" spans="14:26" ht="31.4" customHeight="1" x14ac:dyDescent="0.35">
      <c r="N4461" s="20"/>
      <c r="P4461" s="8"/>
      <c r="Q4461" s="8"/>
      <c r="R4461" s="8"/>
      <c r="S4461" s="8"/>
      <c r="U4461" s="6"/>
      <c r="V4461" s="6"/>
      <c r="W4461" s="6"/>
      <c r="X4461" s="6"/>
      <c r="Y4461" s="6"/>
      <c r="Z4461" s="6"/>
    </row>
    <row r="4462" spans="14:26" ht="31.4" customHeight="1" x14ac:dyDescent="0.35">
      <c r="N4462" s="20"/>
      <c r="P4462" s="8"/>
      <c r="Q4462" s="8"/>
      <c r="R4462" s="8"/>
      <c r="S4462" s="8"/>
      <c r="U4462" s="6"/>
      <c r="V4462" s="6"/>
      <c r="W4462" s="6"/>
      <c r="X4462" s="6"/>
      <c r="Y4462" s="6"/>
      <c r="Z4462" s="6"/>
    </row>
    <row r="4463" spans="14:26" ht="31.4" customHeight="1" x14ac:dyDescent="0.35">
      <c r="N4463" s="20"/>
      <c r="P4463" s="8"/>
      <c r="Q4463" s="8"/>
      <c r="R4463" s="8"/>
      <c r="S4463" s="8"/>
      <c r="U4463" s="6"/>
      <c r="V4463" s="6"/>
      <c r="W4463" s="6"/>
      <c r="X4463" s="6"/>
      <c r="Y4463" s="6"/>
      <c r="Z4463" s="6"/>
    </row>
    <row r="4464" spans="14:26" ht="31.4" customHeight="1" x14ac:dyDescent="0.35">
      <c r="N4464" s="20"/>
      <c r="P4464" s="8"/>
      <c r="Q4464" s="8"/>
      <c r="R4464" s="8"/>
      <c r="S4464" s="8"/>
      <c r="U4464" s="6"/>
      <c r="V4464" s="6"/>
      <c r="W4464" s="6"/>
      <c r="X4464" s="6"/>
      <c r="Y4464" s="6"/>
      <c r="Z4464" s="6"/>
    </row>
    <row r="4465" spans="14:26" ht="31.4" customHeight="1" x14ac:dyDescent="0.35">
      <c r="N4465" s="20"/>
      <c r="P4465" s="8"/>
      <c r="Q4465" s="8"/>
      <c r="R4465" s="8"/>
      <c r="S4465" s="8"/>
      <c r="U4465" s="6"/>
      <c r="V4465" s="6"/>
      <c r="W4465" s="6"/>
      <c r="X4465" s="6"/>
      <c r="Y4465" s="6"/>
      <c r="Z4465" s="6"/>
    </row>
    <row r="4466" spans="14:26" ht="31.4" customHeight="1" x14ac:dyDescent="0.35">
      <c r="N4466" s="20"/>
      <c r="P4466" s="8"/>
      <c r="Q4466" s="8"/>
      <c r="R4466" s="8"/>
      <c r="S4466" s="8"/>
      <c r="U4466" s="6"/>
      <c r="V4466" s="6"/>
      <c r="W4466" s="6"/>
      <c r="X4466" s="6"/>
      <c r="Y4466" s="6"/>
      <c r="Z4466" s="6"/>
    </row>
    <row r="4467" spans="14:26" ht="31.4" customHeight="1" x14ac:dyDescent="0.35">
      <c r="N4467" s="20"/>
      <c r="P4467" s="8"/>
      <c r="Q4467" s="8"/>
      <c r="R4467" s="8"/>
      <c r="S4467" s="8"/>
      <c r="U4467" s="6"/>
      <c r="V4467" s="6"/>
      <c r="W4467" s="6"/>
      <c r="X4467" s="6"/>
      <c r="Y4467" s="6"/>
      <c r="Z4467" s="6"/>
    </row>
    <row r="4468" spans="14:26" ht="31.4" customHeight="1" x14ac:dyDescent="0.35">
      <c r="N4468" s="20"/>
      <c r="P4468" s="8"/>
      <c r="Q4468" s="8"/>
      <c r="R4468" s="8"/>
      <c r="S4468" s="8"/>
      <c r="U4468" s="6"/>
      <c r="V4468" s="6"/>
      <c r="W4468" s="6"/>
      <c r="X4468" s="6"/>
      <c r="Y4468" s="6"/>
      <c r="Z4468" s="6"/>
    </row>
    <row r="4469" spans="14:26" ht="31.4" customHeight="1" x14ac:dyDescent="0.35">
      <c r="N4469" s="20"/>
      <c r="P4469" s="8"/>
      <c r="Q4469" s="8"/>
      <c r="R4469" s="8"/>
      <c r="S4469" s="8"/>
      <c r="U4469" s="6"/>
      <c r="V4469" s="6"/>
      <c r="W4469" s="6"/>
      <c r="X4469" s="6"/>
      <c r="Y4469" s="6"/>
      <c r="Z4469" s="6"/>
    </row>
    <row r="4470" spans="14:26" ht="31.4" customHeight="1" x14ac:dyDescent="0.35">
      <c r="N4470" s="20"/>
      <c r="P4470" s="8"/>
      <c r="Q4470" s="8"/>
      <c r="R4470" s="8"/>
      <c r="S4470" s="8"/>
      <c r="U4470" s="6"/>
      <c r="V4470" s="6"/>
      <c r="W4470" s="6"/>
      <c r="X4470" s="6"/>
      <c r="Y4470" s="6"/>
      <c r="Z4470" s="6"/>
    </row>
    <row r="4471" spans="14:26" ht="31.4" customHeight="1" x14ac:dyDescent="0.35">
      <c r="N4471" s="20"/>
      <c r="P4471" s="8"/>
      <c r="Q4471" s="8"/>
      <c r="R4471" s="8"/>
      <c r="S4471" s="8"/>
      <c r="U4471" s="6"/>
      <c r="V4471" s="6"/>
      <c r="W4471" s="6"/>
      <c r="X4471" s="6"/>
      <c r="Y4471" s="6"/>
      <c r="Z4471" s="6"/>
    </row>
    <row r="4472" spans="14:26" ht="31.4" customHeight="1" x14ac:dyDescent="0.35">
      <c r="N4472" s="20"/>
      <c r="P4472" s="8"/>
      <c r="Q4472" s="8"/>
      <c r="R4472" s="8"/>
      <c r="S4472" s="8"/>
      <c r="U4472" s="6"/>
      <c r="V4472" s="6"/>
      <c r="W4472" s="6"/>
      <c r="X4472" s="6"/>
      <c r="Y4472" s="6"/>
      <c r="Z4472" s="6"/>
    </row>
    <row r="4473" spans="14:26" ht="31.4" customHeight="1" x14ac:dyDescent="0.35">
      <c r="N4473" s="20"/>
      <c r="P4473" s="8"/>
      <c r="Q4473" s="8"/>
      <c r="R4473" s="8"/>
      <c r="S4473" s="8"/>
      <c r="U4473" s="6"/>
      <c r="V4473" s="6"/>
      <c r="W4473" s="6"/>
      <c r="X4473" s="6"/>
      <c r="Y4473" s="6"/>
      <c r="Z4473" s="6"/>
    </row>
    <row r="4474" spans="14:26" ht="31.4" customHeight="1" x14ac:dyDescent="0.35">
      <c r="N4474" s="20"/>
      <c r="P4474" s="8"/>
      <c r="Q4474" s="8"/>
      <c r="R4474" s="8"/>
      <c r="S4474" s="8"/>
      <c r="U4474" s="6"/>
      <c r="V4474" s="6"/>
      <c r="W4474" s="6"/>
      <c r="X4474" s="6"/>
      <c r="Y4474" s="6"/>
      <c r="Z4474" s="6"/>
    </row>
    <row r="4475" spans="14:26" ht="31.4" customHeight="1" x14ac:dyDescent="0.35">
      <c r="N4475" s="20"/>
      <c r="P4475" s="8"/>
      <c r="Q4475" s="8"/>
      <c r="R4475" s="8"/>
      <c r="S4475" s="8"/>
      <c r="U4475" s="6"/>
      <c r="V4475" s="6"/>
      <c r="W4475" s="6"/>
      <c r="X4475" s="6"/>
      <c r="Y4475" s="6"/>
      <c r="Z4475" s="6"/>
    </row>
    <row r="4476" spans="14:26" ht="31.4" customHeight="1" x14ac:dyDescent="0.35">
      <c r="N4476" s="20"/>
      <c r="P4476" s="8"/>
      <c r="Q4476" s="8"/>
      <c r="R4476" s="8"/>
      <c r="S4476" s="8"/>
      <c r="U4476" s="6"/>
      <c r="V4476" s="6"/>
      <c r="W4476" s="6"/>
      <c r="X4476" s="6"/>
      <c r="Y4476" s="6"/>
      <c r="Z4476" s="6"/>
    </row>
    <row r="4477" spans="14:26" ht="31.4" customHeight="1" x14ac:dyDescent="0.35">
      <c r="N4477" s="20"/>
      <c r="P4477" s="8"/>
      <c r="Q4477" s="8"/>
      <c r="R4477" s="8"/>
      <c r="S4477" s="8"/>
      <c r="U4477" s="6"/>
      <c r="V4477" s="6"/>
      <c r="W4477" s="6"/>
      <c r="X4477" s="6"/>
      <c r="Y4477" s="6"/>
      <c r="Z4477" s="6"/>
    </row>
    <row r="4478" spans="14:26" ht="31.4" customHeight="1" x14ac:dyDescent="0.35">
      <c r="N4478" s="20"/>
      <c r="P4478" s="8"/>
      <c r="Q4478" s="8"/>
      <c r="R4478" s="8"/>
      <c r="S4478" s="8"/>
      <c r="U4478" s="6"/>
      <c r="V4478" s="6"/>
      <c r="W4478" s="6"/>
      <c r="X4478" s="6"/>
      <c r="Y4478" s="6"/>
      <c r="Z4478" s="6"/>
    </row>
    <row r="4479" spans="14:26" ht="31.4" customHeight="1" x14ac:dyDescent="0.35">
      <c r="N4479" s="20"/>
      <c r="P4479" s="8"/>
      <c r="Q4479" s="8"/>
      <c r="R4479" s="8"/>
      <c r="S4479" s="8"/>
      <c r="U4479" s="6"/>
      <c r="V4479" s="6"/>
      <c r="W4479" s="6"/>
      <c r="X4479" s="6"/>
      <c r="Y4479" s="6"/>
      <c r="Z4479" s="6"/>
    </row>
    <row r="4480" spans="14:26" ht="31.4" customHeight="1" x14ac:dyDescent="0.35">
      <c r="N4480" s="20"/>
      <c r="P4480" s="8"/>
      <c r="Q4480" s="8"/>
      <c r="R4480" s="8"/>
      <c r="S4480" s="8"/>
      <c r="U4480" s="6"/>
      <c r="V4480" s="6"/>
      <c r="W4480" s="6"/>
      <c r="X4480" s="6"/>
      <c r="Y4480" s="6"/>
      <c r="Z4480" s="6"/>
    </row>
    <row r="4481" spans="14:26" ht="31.4" customHeight="1" x14ac:dyDescent="0.35">
      <c r="N4481" s="20"/>
      <c r="P4481" s="8"/>
      <c r="Q4481" s="8"/>
      <c r="R4481" s="8"/>
      <c r="S4481" s="8"/>
      <c r="U4481" s="6"/>
      <c r="V4481" s="6"/>
      <c r="W4481" s="6"/>
      <c r="X4481" s="6"/>
      <c r="Y4481" s="6"/>
      <c r="Z4481" s="6"/>
    </row>
    <row r="4482" spans="14:26" ht="31.4" customHeight="1" x14ac:dyDescent="0.35">
      <c r="N4482" s="20"/>
      <c r="P4482" s="8"/>
      <c r="Q4482" s="8"/>
      <c r="R4482" s="8"/>
      <c r="S4482" s="8"/>
      <c r="U4482" s="6"/>
      <c r="V4482" s="6"/>
      <c r="W4482" s="6"/>
      <c r="X4482" s="6"/>
      <c r="Y4482" s="6"/>
      <c r="Z4482" s="6"/>
    </row>
    <row r="4483" spans="14:26" ht="31.4" customHeight="1" x14ac:dyDescent="0.35">
      <c r="N4483" s="20"/>
      <c r="P4483" s="8"/>
      <c r="Q4483" s="8"/>
      <c r="R4483" s="8"/>
      <c r="S4483" s="8"/>
      <c r="U4483" s="6"/>
      <c r="V4483" s="6"/>
      <c r="W4483" s="6"/>
      <c r="X4483" s="6"/>
      <c r="Y4483" s="6"/>
      <c r="Z4483" s="6"/>
    </row>
    <row r="4484" spans="14:26" ht="31.4" customHeight="1" x14ac:dyDescent="0.35">
      <c r="N4484" s="20"/>
      <c r="P4484" s="8"/>
      <c r="Q4484" s="8"/>
      <c r="R4484" s="8"/>
      <c r="S4484" s="8"/>
      <c r="U4484" s="6"/>
      <c r="V4484" s="6"/>
      <c r="W4484" s="6"/>
      <c r="X4484" s="6"/>
      <c r="Y4484" s="6"/>
      <c r="Z4484" s="6"/>
    </row>
    <row r="4485" spans="14:26" ht="31.4" customHeight="1" x14ac:dyDescent="0.35">
      <c r="N4485" s="20"/>
      <c r="P4485" s="8"/>
      <c r="Q4485" s="8"/>
      <c r="R4485" s="8"/>
      <c r="S4485" s="8"/>
      <c r="U4485" s="6"/>
      <c r="V4485" s="6"/>
      <c r="W4485" s="6"/>
      <c r="X4485" s="6"/>
      <c r="Y4485" s="6"/>
      <c r="Z4485" s="6"/>
    </row>
    <row r="4486" spans="14:26" ht="31.4" customHeight="1" x14ac:dyDescent="0.35">
      <c r="N4486" s="20"/>
      <c r="P4486" s="8"/>
      <c r="Q4486" s="8"/>
      <c r="R4486" s="8"/>
      <c r="S4486" s="8"/>
      <c r="U4486" s="6"/>
      <c r="V4486" s="6"/>
      <c r="W4486" s="6"/>
      <c r="X4486" s="6"/>
      <c r="Y4486" s="6"/>
      <c r="Z4486" s="6"/>
    </row>
    <row r="4487" spans="14:26" ht="31.4" customHeight="1" x14ac:dyDescent="0.35">
      <c r="N4487" s="20"/>
      <c r="P4487" s="8"/>
      <c r="Q4487" s="8"/>
      <c r="R4487" s="8"/>
      <c r="S4487" s="8"/>
      <c r="U4487" s="6"/>
      <c r="V4487" s="6"/>
      <c r="W4487" s="6"/>
      <c r="X4487" s="6"/>
      <c r="Y4487" s="6"/>
      <c r="Z4487" s="6"/>
    </row>
    <row r="4488" spans="14:26" ht="31.4" customHeight="1" x14ac:dyDescent="0.35">
      <c r="N4488" s="20"/>
      <c r="P4488" s="8"/>
      <c r="Q4488" s="8"/>
      <c r="R4488" s="8"/>
      <c r="S4488" s="8"/>
      <c r="U4488" s="6"/>
      <c r="V4488" s="6"/>
      <c r="W4488" s="6"/>
      <c r="X4488" s="6"/>
      <c r="Y4488" s="6"/>
      <c r="Z4488" s="6"/>
    </row>
    <row r="4489" spans="14:26" ht="31.4" customHeight="1" x14ac:dyDescent="0.35">
      <c r="N4489" s="20"/>
      <c r="P4489" s="8"/>
      <c r="Q4489" s="8"/>
      <c r="R4489" s="8"/>
      <c r="S4489" s="8"/>
      <c r="U4489" s="6"/>
      <c r="V4489" s="6"/>
      <c r="W4489" s="6"/>
      <c r="X4489" s="6"/>
      <c r="Y4489" s="6"/>
      <c r="Z4489" s="6"/>
    </row>
    <row r="4490" spans="14:26" ht="31.4" customHeight="1" x14ac:dyDescent="0.35">
      <c r="N4490" s="20"/>
      <c r="P4490" s="8"/>
      <c r="Q4490" s="8"/>
      <c r="R4490" s="8"/>
      <c r="S4490" s="8"/>
      <c r="U4490" s="6"/>
      <c r="V4490" s="6"/>
      <c r="W4490" s="6"/>
      <c r="X4490" s="6"/>
      <c r="Y4490" s="6"/>
      <c r="Z4490" s="6"/>
    </row>
    <row r="4491" spans="14:26" ht="31.4" customHeight="1" x14ac:dyDescent="0.35">
      <c r="N4491" s="20"/>
      <c r="P4491" s="8"/>
      <c r="Q4491" s="8"/>
      <c r="R4491" s="8"/>
      <c r="S4491" s="8"/>
      <c r="U4491" s="6"/>
      <c r="V4491" s="6"/>
      <c r="W4491" s="6"/>
      <c r="X4491" s="6"/>
      <c r="Y4491" s="6"/>
      <c r="Z4491" s="6"/>
    </row>
    <row r="4492" spans="14:26" ht="31.4" customHeight="1" x14ac:dyDescent="0.35">
      <c r="N4492" s="20"/>
      <c r="P4492" s="8"/>
      <c r="Q4492" s="8"/>
      <c r="R4492" s="8"/>
      <c r="S4492" s="8"/>
      <c r="U4492" s="6"/>
      <c r="V4492" s="6"/>
      <c r="W4492" s="6"/>
      <c r="X4492" s="6"/>
      <c r="Y4492" s="6"/>
      <c r="Z4492" s="6"/>
    </row>
    <row r="4493" spans="14:26" ht="31.4" customHeight="1" x14ac:dyDescent="0.35">
      <c r="N4493" s="20"/>
      <c r="P4493" s="8"/>
      <c r="Q4493" s="8"/>
      <c r="R4493" s="8"/>
      <c r="S4493" s="8"/>
      <c r="U4493" s="6"/>
      <c r="V4493" s="6"/>
      <c r="W4493" s="6"/>
      <c r="X4493" s="6"/>
      <c r="Y4493" s="6"/>
      <c r="Z4493" s="6"/>
    </row>
    <row r="4494" spans="14:26" ht="31.4" customHeight="1" x14ac:dyDescent="0.35">
      <c r="N4494" s="20"/>
      <c r="P4494" s="8"/>
      <c r="Q4494" s="8"/>
      <c r="R4494" s="8"/>
      <c r="S4494" s="8"/>
      <c r="U4494" s="6"/>
      <c r="V4494" s="6"/>
      <c r="W4494" s="6"/>
      <c r="X4494" s="6"/>
      <c r="Y4494" s="6"/>
      <c r="Z4494" s="6"/>
    </row>
    <row r="4495" spans="14:26" ht="31.4" customHeight="1" x14ac:dyDescent="0.35">
      <c r="N4495" s="20"/>
      <c r="P4495" s="8"/>
      <c r="Q4495" s="8"/>
      <c r="R4495" s="8"/>
      <c r="S4495" s="8"/>
      <c r="U4495" s="6"/>
      <c r="V4495" s="6"/>
      <c r="W4495" s="6"/>
      <c r="X4495" s="6"/>
      <c r="Y4495" s="6"/>
      <c r="Z4495" s="6"/>
    </row>
    <row r="4496" spans="14:26" ht="31.4" customHeight="1" x14ac:dyDescent="0.35">
      <c r="N4496" s="20"/>
      <c r="P4496" s="8"/>
      <c r="Q4496" s="8"/>
      <c r="R4496" s="8"/>
      <c r="S4496" s="8"/>
      <c r="U4496" s="6"/>
      <c r="V4496" s="6"/>
      <c r="W4496" s="6"/>
      <c r="X4496" s="6"/>
      <c r="Y4496" s="6"/>
      <c r="Z4496" s="6"/>
    </row>
    <row r="4497" spans="14:26" ht="31.4" customHeight="1" x14ac:dyDescent="0.35">
      <c r="N4497" s="20"/>
      <c r="P4497" s="8"/>
      <c r="Q4497" s="8"/>
      <c r="R4497" s="8"/>
      <c r="S4497" s="8"/>
      <c r="U4497" s="6"/>
      <c r="V4497" s="6"/>
      <c r="W4497" s="6"/>
      <c r="X4497" s="6"/>
      <c r="Y4497" s="6"/>
      <c r="Z4497" s="6"/>
    </row>
    <row r="4498" spans="14:26" ht="31.4" customHeight="1" x14ac:dyDescent="0.35">
      <c r="N4498" s="20"/>
      <c r="P4498" s="8"/>
      <c r="Q4498" s="8"/>
      <c r="R4498" s="8"/>
      <c r="S4498" s="8"/>
      <c r="U4498" s="6"/>
      <c r="V4498" s="6"/>
      <c r="W4498" s="6"/>
      <c r="X4498" s="6"/>
      <c r="Y4498" s="6"/>
      <c r="Z4498" s="6"/>
    </row>
    <row r="4499" spans="14:26" ht="31.4" customHeight="1" x14ac:dyDescent="0.35">
      <c r="N4499" s="20"/>
      <c r="P4499" s="8"/>
      <c r="Q4499" s="8"/>
      <c r="R4499" s="8"/>
      <c r="S4499" s="8"/>
      <c r="U4499" s="6"/>
      <c r="V4499" s="6"/>
      <c r="W4499" s="6"/>
      <c r="X4499" s="6"/>
      <c r="Y4499" s="6"/>
      <c r="Z4499" s="6"/>
    </row>
    <row r="4500" spans="14:26" ht="31.4" customHeight="1" x14ac:dyDescent="0.35">
      <c r="N4500" s="20"/>
      <c r="P4500" s="8"/>
      <c r="Q4500" s="8"/>
      <c r="R4500" s="8"/>
      <c r="S4500" s="8"/>
      <c r="U4500" s="6"/>
      <c r="V4500" s="6"/>
      <c r="W4500" s="6"/>
      <c r="X4500" s="6"/>
      <c r="Y4500" s="6"/>
      <c r="Z4500" s="6"/>
    </row>
    <row r="4501" spans="14:26" ht="31.4" customHeight="1" x14ac:dyDescent="0.35">
      <c r="N4501" s="20"/>
      <c r="P4501" s="8"/>
      <c r="Q4501" s="8"/>
      <c r="R4501" s="8"/>
      <c r="S4501" s="8"/>
      <c r="U4501" s="6"/>
      <c r="V4501" s="6"/>
      <c r="W4501" s="6"/>
      <c r="X4501" s="6"/>
      <c r="Y4501" s="6"/>
      <c r="Z4501" s="6"/>
    </row>
    <row r="4502" spans="14:26" ht="31.4" customHeight="1" x14ac:dyDescent="0.35">
      <c r="N4502" s="20"/>
      <c r="P4502" s="8"/>
      <c r="Q4502" s="8"/>
      <c r="R4502" s="8"/>
      <c r="S4502" s="8"/>
      <c r="U4502" s="6"/>
      <c r="V4502" s="6"/>
      <c r="W4502" s="6"/>
      <c r="X4502" s="6"/>
      <c r="Y4502" s="6"/>
      <c r="Z4502" s="6"/>
    </row>
    <row r="4503" spans="14:26" ht="31.4" customHeight="1" x14ac:dyDescent="0.35">
      <c r="N4503" s="20"/>
      <c r="P4503" s="8"/>
      <c r="Q4503" s="8"/>
      <c r="R4503" s="8"/>
      <c r="S4503" s="8"/>
      <c r="U4503" s="6"/>
      <c r="V4503" s="6"/>
      <c r="W4503" s="6"/>
      <c r="X4503" s="6"/>
      <c r="Y4503" s="6"/>
      <c r="Z4503" s="6"/>
    </row>
    <row r="4504" spans="14:26" ht="31.4" customHeight="1" x14ac:dyDescent="0.35">
      <c r="N4504" s="20"/>
      <c r="P4504" s="8"/>
      <c r="Q4504" s="8"/>
      <c r="R4504" s="8"/>
      <c r="S4504" s="8"/>
      <c r="U4504" s="6"/>
      <c r="V4504" s="6"/>
      <c r="W4504" s="6"/>
      <c r="X4504" s="6"/>
      <c r="Y4504" s="6"/>
      <c r="Z4504" s="6"/>
    </row>
    <row r="4505" spans="14:26" ht="31.4" customHeight="1" x14ac:dyDescent="0.35">
      <c r="N4505" s="20"/>
      <c r="P4505" s="8"/>
      <c r="Q4505" s="8"/>
      <c r="R4505" s="8"/>
      <c r="S4505" s="8"/>
      <c r="U4505" s="6"/>
      <c r="V4505" s="6"/>
      <c r="W4505" s="6"/>
      <c r="X4505" s="6"/>
      <c r="Y4505" s="6"/>
      <c r="Z4505" s="6"/>
    </row>
    <row r="4506" spans="14:26" ht="31.4" customHeight="1" x14ac:dyDescent="0.35">
      <c r="N4506" s="20"/>
      <c r="P4506" s="8"/>
      <c r="Q4506" s="8"/>
      <c r="R4506" s="8"/>
      <c r="S4506" s="8"/>
      <c r="U4506" s="6"/>
      <c r="V4506" s="6"/>
      <c r="W4506" s="6"/>
      <c r="X4506" s="6"/>
      <c r="Y4506" s="6"/>
      <c r="Z4506" s="6"/>
    </row>
    <row r="4507" spans="14:26" ht="31.4" customHeight="1" x14ac:dyDescent="0.35">
      <c r="N4507" s="20"/>
      <c r="P4507" s="8"/>
      <c r="Q4507" s="8"/>
      <c r="R4507" s="8"/>
      <c r="S4507" s="8"/>
      <c r="U4507" s="6"/>
      <c r="V4507" s="6"/>
      <c r="W4507" s="6"/>
      <c r="X4507" s="6"/>
      <c r="Y4507" s="6"/>
      <c r="Z4507" s="6"/>
    </row>
    <row r="4508" spans="14:26" ht="31.4" customHeight="1" x14ac:dyDescent="0.35">
      <c r="N4508" s="20"/>
      <c r="P4508" s="8"/>
      <c r="Q4508" s="8"/>
      <c r="R4508" s="8"/>
      <c r="S4508" s="8"/>
      <c r="U4508" s="6"/>
      <c r="V4508" s="6"/>
      <c r="W4508" s="6"/>
      <c r="X4508" s="6"/>
      <c r="Y4508" s="6"/>
      <c r="Z4508" s="6"/>
    </row>
    <row r="4509" spans="14:26" ht="31.4" customHeight="1" x14ac:dyDescent="0.35">
      <c r="N4509" s="20"/>
      <c r="P4509" s="8"/>
      <c r="Q4509" s="8"/>
      <c r="R4509" s="8"/>
      <c r="S4509" s="8"/>
      <c r="U4509" s="6"/>
      <c r="V4509" s="6"/>
      <c r="W4509" s="6"/>
      <c r="X4509" s="6"/>
      <c r="Y4509" s="6"/>
      <c r="Z4509" s="6"/>
    </row>
    <row r="4510" spans="14:26" ht="31.4" customHeight="1" x14ac:dyDescent="0.35">
      <c r="N4510" s="20"/>
      <c r="P4510" s="8"/>
      <c r="Q4510" s="8"/>
      <c r="R4510" s="8"/>
      <c r="S4510" s="8"/>
      <c r="U4510" s="6"/>
      <c r="V4510" s="6"/>
      <c r="W4510" s="6"/>
      <c r="X4510" s="6"/>
      <c r="Y4510" s="6"/>
      <c r="Z4510" s="6"/>
    </row>
    <row r="4511" spans="14:26" ht="31.4" customHeight="1" x14ac:dyDescent="0.35">
      <c r="N4511" s="20"/>
      <c r="P4511" s="8"/>
      <c r="Q4511" s="8"/>
      <c r="R4511" s="8"/>
      <c r="S4511" s="8"/>
      <c r="U4511" s="6"/>
      <c r="V4511" s="6"/>
      <c r="W4511" s="6"/>
      <c r="X4511" s="6"/>
      <c r="Y4511" s="6"/>
      <c r="Z4511" s="6"/>
    </row>
    <row r="4512" spans="14:26" ht="31.4" customHeight="1" x14ac:dyDescent="0.35">
      <c r="N4512" s="20"/>
      <c r="P4512" s="8"/>
      <c r="Q4512" s="8"/>
      <c r="R4512" s="8"/>
      <c r="S4512" s="8"/>
      <c r="U4512" s="6"/>
      <c r="V4512" s="6"/>
      <c r="W4512" s="6"/>
      <c r="X4512" s="6"/>
      <c r="Y4512" s="6"/>
      <c r="Z4512" s="6"/>
    </row>
    <row r="4513" spans="14:26" ht="31.4" customHeight="1" x14ac:dyDescent="0.35">
      <c r="N4513" s="20"/>
      <c r="P4513" s="8"/>
      <c r="Q4513" s="8"/>
      <c r="R4513" s="8"/>
      <c r="S4513" s="8"/>
      <c r="U4513" s="6"/>
      <c r="V4513" s="6"/>
      <c r="W4513" s="6"/>
      <c r="X4513" s="6"/>
      <c r="Y4513" s="6"/>
      <c r="Z4513" s="6"/>
    </row>
    <row r="4514" spans="14:26" ht="31.4" customHeight="1" x14ac:dyDescent="0.35">
      <c r="N4514" s="20"/>
      <c r="P4514" s="8"/>
      <c r="Q4514" s="8"/>
      <c r="R4514" s="8"/>
      <c r="S4514" s="8"/>
      <c r="U4514" s="6"/>
      <c r="V4514" s="6"/>
      <c r="W4514" s="6"/>
      <c r="X4514" s="6"/>
      <c r="Y4514" s="6"/>
      <c r="Z4514" s="6"/>
    </row>
    <row r="4515" spans="14:26" ht="31.4" customHeight="1" x14ac:dyDescent="0.35">
      <c r="N4515" s="20"/>
      <c r="P4515" s="8"/>
      <c r="Q4515" s="8"/>
      <c r="R4515" s="8"/>
      <c r="S4515" s="8"/>
      <c r="U4515" s="6"/>
      <c r="V4515" s="6"/>
      <c r="W4515" s="6"/>
      <c r="X4515" s="6"/>
      <c r="Y4515" s="6"/>
      <c r="Z4515" s="6"/>
    </row>
    <row r="4516" spans="14:26" ht="31.4" customHeight="1" x14ac:dyDescent="0.35">
      <c r="N4516" s="20"/>
      <c r="P4516" s="8"/>
      <c r="Q4516" s="8"/>
      <c r="R4516" s="8"/>
      <c r="S4516" s="8"/>
      <c r="U4516" s="6"/>
      <c r="V4516" s="6"/>
      <c r="W4516" s="6"/>
      <c r="X4516" s="6"/>
      <c r="Y4516" s="6"/>
      <c r="Z4516" s="6"/>
    </row>
    <row r="4517" spans="14:26" ht="31.4" customHeight="1" x14ac:dyDescent="0.35">
      <c r="N4517" s="20"/>
      <c r="P4517" s="8"/>
      <c r="Q4517" s="8"/>
      <c r="R4517" s="8"/>
      <c r="S4517" s="8"/>
      <c r="U4517" s="6"/>
      <c r="V4517" s="6"/>
      <c r="W4517" s="6"/>
      <c r="X4517" s="6"/>
      <c r="Y4517" s="6"/>
      <c r="Z4517" s="6"/>
    </row>
    <row r="4518" spans="14:26" ht="31.4" customHeight="1" x14ac:dyDescent="0.35">
      <c r="N4518" s="20"/>
      <c r="P4518" s="8"/>
      <c r="Q4518" s="8"/>
      <c r="R4518" s="8"/>
      <c r="S4518" s="8"/>
      <c r="U4518" s="6"/>
      <c r="V4518" s="6"/>
      <c r="W4518" s="6"/>
      <c r="X4518" s="6"/>
      <c r="Y4518" s="6"/>
      <c r="Z4518" s="6"/>
    </row>
    <row r="4519" spans="14:26" ht="31.4" customHeight="1" x14ac:dyDescent="0.35">
      <c r="N4519" s="20"/>
      <c r="P4519" s="8"/>
      <c r="Q4519" s="8"/>
      <c r="R4519" s="8"/>
      <c r="S4519" s="8"/>
      <c r="U4519" s="6"/>
      <c r="V4519" s="6"/>
      <c r="W4519" s="6"/>
      <c r="X4519" s="6"/>
      <c r="Y4519" s="6"/>
      <c r="Z4519" s="6"/>
    </row>
    <row r="4520" spans="14:26" ht="31.4" customHeight="1" x14ac:dyDescent="0.35">
      <c r="N4520" s="20"/>
      <c r="P4520" s="8"/>
      <c r="Q4520" s="8"/>
      <c r="R4520" s="8"/>
      <c r="S4520" s="8"/>
      <c r="U4520" s="6"/>
      <c r="V4520" s="6"/>
      <c r="W4520" s="6"/>
      <c r="X4520" s="6"/>
      <c r="Y4520" s="6"/>
      <c r="Z4520" s="6"/>
    </row>
    <row r="4521" spans="14:26" ht="31.4" customHeight="1" x14ac:dyDescent="0.35">
      <c r="N4521" s="20"/>
      <c r="P4521" s="8"/>
      <c r="Q4521" s="8"/>
      <c r="R4521" s="8"/>
      <c r="S4521" s="8"/>
      <c r="U4521" s="6"/>
      <c r="V4521" s="6"/>
      <c r="W4521" s="6"/>
      <c r="X4521" s="6"/>
      <c r="Y4521" s="6"/>
      <c r="Z4521" s="6"/>
    </row>
    <row r="4522" spans="14:26" ht="31.4" customHeight="1" x14ac:dyDescent="0.35">
      <c r="N4522" s="20"/>
      <c r="P4522" s="8"/>
      <c r="Q4522" s="8"/>
      <c r="R4522" s="8"/>
      <c r="S4522" s="8"/>
      <c r="U4522" s="6"/>
      <c r="V4522" s="6"/>
      <c r="W4522" s="6"/>
      <c r="X4522" s="6"/>
      <c r="Y4522" s="6"/>
      <c r="Z4522" s="6"/>
    </row>
    <row r="4523" spans="14:26" ht="31.4" customHeight="1" x14ac:dyDescent="0.35">
      <c r="N4523" s="20"/>
      <c r="P4523" s="8"/>
      <c r="Q4523" s="8"/>
      <c r="R4523" s="8"/>
      <c r="S4523" s="8"/>
      <c r="U4523" s="6"/>
      <c r="V4523" s="6"/>
      <c r="W4523" s="6"/>
      <c r="X4523" s="6"/>
      <c r="Y4523" s="6"/>
      <c r="Z4523" s="6"/>
    </row>
    <row r="4524" spans="14:26" ht="31.4" customHeight="1" x14ac:dyDescent="0.35">
      <c r="N4524" s="20"/>
      <c r="P4524" s="8"/>
      <c r="Q4524" s="8"/>
      <c r="R4524" s="8"/>
      <c r="S4524" s="8"/>
      <c r="U4524" s="6"/>
      <c r="V4524" s="6"/>
      <c r="W4524" s="6"/>
      <c r="X4524" s="6"/>
      <c r="Y4524" s="6"/>
      <c r="Z4524" s="6"/>
    </row>
    <row r="4525" spans="14:26" ht="31.4" customHeight="1" x14ac:dyDescent="0.35">
      <c r="N4525" s="20"/>
      <c r="P4525" s="8"/>
      <c r="Q4525" s="8"/>
      <c r="R4525" s="8"/>
      <c r="S4525" s="8"/>
      <c r="U4525" s="6"/>
      <c r="V4525" s="6"/>
      <c r="W4525" s="6"/>
      <c r="X4525" s="6"/>
      <c r="Y4525" s="6"/>
      <c r="Z4525" s="6"/>
    </row>
    <row r="4526" spans="14:26" ht="31.4" customHeight="1" x14ac:dyDescent="0.35">
      <c r="N4526" s="20"/>
      <c r="P4526" s="8"/>
      <c r="Q4526" s="8"/>
      <c r="R4526" s="8"/>
      <c r="S4526" s="8"/>
      <c r="U4526" s="6"/>
      <c r="V4526" s="6"/>
      <c r="W4526" s="6"/>
      <c r="X4526" s="6"/>
      <c r="Y4526" s="6"/>
      <c r="Z4526" s="6"/>
    </row>
    <row r="4527" spans="14:26" ht="31.4" customHeight="1" x14ac:dyDescent="0.35">
      <c r="N4527" s="20"/>
      <c r="P4527" s="8"/>
      <c r="Q4527" s="8"/>
      <c r="R4527" s="8"/>
      <c r="S4527" s="8"/>
      <c r="U4527" s="6"/>
      <c r="V4527" s="6"/>
      <c r="W4527" s="6"/>
      <c r="X4527" s="6"/>
      <c r="Y4527" s="6"/>
      <c r="Z4527" s="6"/>
    </row>
    <row r="4528" spans="14:26" ht="31.4" customHeight="1" x14ac:dyDescent="0.35">
      <c r="N4528" s="20"/>
      <c r="P4528" s="8"/>
      <c r="Q4528" s="8"/>
      <c r="R4528" s="8"/>
      <c r="S4528" s="8"/>
      <c r="U4528" s="6"/>
      <c r="V4528" s="6"/>
      <c r="W4528" s="6"/>
      <c r="X4528" s="6"/>
      <c r="Y4528" s="6"/>
      <c r="Z4528" s="6"/>
    </row>
    <row r="4529" spans="14:26" ht="31.4" customHeight="1" x14ac:dyDescent="0.35">
      <c r="N4529" s="20"/>
      <c r="P4529" s="8"/>
      <c r="Q4529" s="8"/>
      <c r="R4529" s="8"/>
      <c r="S4529" s="8"/>
      <c r="U4529" s="6"/>
      <c r="V4529" s="6"/>
      <c r="W4529" s="6"/>
      <c r="X4529" s="6"/>
      <c r="Y4529" s="6"/>
      <c r="Z4529" s="6"/>
    </row>
    <row r="4530" spans="14:26" ht="31.4" customHeight="1" x14ac:dyDescent="0.35">
      <c r="N4530" s="20"/>
      <c r="P4530" s="8"/>
      <c r="Q4530" s="8"/>
      <c r="R4530" s="8"/>
      <c r="S4530" s="8"/>
      <c r="U4530" s="6"/>
      <c r="V4530" s="6"/>
      <c r="W4530" s="6"/>
      <c r="X4530" s="6"/>
      <c r="Y4530" s="6"/>
      <c r="Z4530" s="6"/>
    </row>
    <row r="4531" spans="14:26" ht="31.4" customHeight="1" x14ac:dyDescent="0.35">
      <c r="N4531" s="20"/>
      <c r="P4531" s="8"/>
      <c r="Q4531" s="8"/>
      <c r="R4531" s="8"/>
      <c r="S4531" s="8"/>
      <c r="U4531" s="6"/>
      <c r="V4531" s="6"/>
      <c r="W4531" s="6"/>
      <c r="X4531" s="6"/>
      <c r="Y4531" s="6"/>
      <c r="Z4531" s="6"/>
    </row>
    <row r="4532" spans="14:26" ht="31.4" customHeight="1" x14ac:dyDescent="0.35">
      <c r="N4532" s="20"/>
      <c r="P4532" s="8"/>
      <c r="Q4532" s="8"/>
      <c r="R4532" s="8"/>
      <c r="S4532" s="8"/>
      <c r="U4532" s="6"/>
      <c r="V4532" s="6"/>
      <c r="W4532" s="6"/>
      <c r="X4532" s="6"/>
      <c r="Y4532" s="6"/>
      <c r="Z4532" s="6"/>
    </row>
    <row r="4533" spans="14:26" ht="31.4" customHeight="1" x14ac:dyDescent="0.35">
      <c r="N4533" s="20"/>
      <c r="P4533" s="8"/>
      <c r="Q4533" s="8"/>
      <c r="R4533" s="8"/>
      <c r="S4533" s="8"/>
      <c r="U4533" s="6"/>
      <c r="V4533" s="6"/>
      <c r="W4533" s="6"/>
      <c r="X4533" s="6"/>
      <c r="Y4533" s="6"/>
      <c r="Z4533" s="6"/>
    </row>
    <row r="4534" spans="14:26" ht="31.4" customHeight="1" x14ac:dyDescent="0.35">
      <c r="N4534" s="20"/>
      <c r="P4534" s="8"/>
      <c r="Q4534" s="8"/>
      <c r="R4534" s="8"/>
      <c r="S4534" s="8"/>
      <c r="U4534" s="6"/>
      <c r="V4534" s="6"/>
      <c r="W4534" s="6"/>
      <c r="X4534" s="6"/>
      <c r="Y4534" s="6"/>
      <c r="Z4534" s="6"/>
    </row>
    <row r="4535" spans="14:26" ht="31.4" customHeight="1" x14ac:dyDescent="0.35">
      <c r="N4535" s="20"/>
      <c r="P4535" s="8"/>
      <c r="Q4535" s="8"/>
      <c r="R4535" s="8"/>
      <c r="S4535" s="8"/>
      <c r="U4535" s="6"/>
      <c r="V4535" s="6"/>
      <c r="W4535" s="6"/>
      <c r="X4535" s="6"/>
      <c r="Y4535" s="6"/>
      <c r="Z4535" s="6"/>
    </row>
    <row r="4536" spans="14:26" ht="31.4" customHeight="1" x14ac:dyDescent="0.35">
      <c r="N4536" s="20"/>
      <c r="P4536" s="8"/>
      <c r="Q4536" s="8"/>
      <c r="R4536" s="8"/>
      <c r="S4536" s="8"/>
      <c r="U4536" s="6"/>
      <c r="V4536" s="6"/>
      <c r="W4536" s="6"/>
      <c r="X4536" s="6"/>
      <c r="Y4536" s="6"/>
      <c r="Z4536" s="6"/>
    </row>
    <row r="4537" spans="14:26" ht="31.4" customHeight="1" x14ac:dyDescent="0.35">
      <c r="N4537" s="20"/>
      <c r="P4537" s="8"/>
      <c r="Q4537" s="8"/>
      <c r="R4537" s="8"/>
      <c r="S4537" s="8"/>
      <c r="U4537" s="6"/>
      <c r="V4537" s="6"/>
      <c r="W4537" s="6"/>
      <c r="X4537" s="6"/>
      <c r="Y4537" s="6"/>
      <c r="Z4537" s="6"/>
    </row>
    <row r="4538" spans="14:26" ht="31.4" customHeight="1" x14ac:dyDescent="0.35">
      <c r="N4538" s="20"/>
      <c r="P4538" s="8"/>
      <c r="Q4538" s="8"/>
      <c r="R4538" s="8"/>
      <c r="S4538" s="8"/>
      <c r="U4538" s="6"/>
      <c r="V4538" s="6"/>
      <c r="W4538" s="6"/>
      <c r="X4538" s="6"/>
      <c r="Y4538" s="6"/>
      <c r="Z4538" s="6"/>
    </row>
    <row r="4539" spans="14:26" ht="31.4" customHeight="1" x14ac:dyDescent="0.35">
      <c r="N4539" s="20"/>
      <c r="P4539" s="8"/>
      <c r="Q4539" s="8"/>
      <c r="R4539" s="8"/>
      <c r="S4539" s="8"/>
      <c r="U4539" s="6"/>
      <c r="V4539" s="6"/>
      <c r="W4539" s="6"/>
      <c r="X4539" s="6"/>
      <c r="Y4539" s="6"/>
      <c r="Z4539" s="6"/>
    </row>
    <row r="4540" spans="14:26" ht="31.4" customHeight="1" x14ac:dyDescent="0.35">
      <c r="N4540" s="20"/>
      <c r="P4540" s="8"/>
      <c r="Q4540" s="8"/>
      <c r="R4540" s="8"/>
      <c r="S4540" s="8"/>
      <c r="U4540" s="6"/>
      <c r="V4540" s="6"/>
      <c r="W4540" s="6"/>
      <c r="X4540" s="6"/>
      <c r="Y4540" s="6"/>
      <c r="Z4540" s="6"/>
    </row>
    <row r="4541" spans="14:26" ht="31.4" customHeight="1" x14ac:dyDescent="0.35">
      <c r="N4541" s="20"/>
      <c r="P4541" s="8"/>
      <c r="Q4541" s="8"/>
      <c r="R4541" s="8"/>
      <c r="S4541" s="8"/>
      <c r="U4541" s="6"/>
      <c r="V4541" s="6"/>
      <c r="W4541" s="6"/>
      <c r="X4541" s="6"/>
      <c r="Y4541" s="6"/>
      <c r="Z4541" s="6"/>
    </row>
    <row r="4542" spans="14:26" ht="31.4" customHeight="1" x14ac:dyDescent="0.35">
      <c r="N4542" s="20"/>
      <c r="P4542" s="8"/>
      <c r="Q4542" s="8"/>
      <c r="R4542" s="8"/>
      <c r="S4542" s="8"/>
      <c r="U4542" s="6"/>
      <c r="V4542" s="6"/>
      <c r="W4542" s="6"/>
      <c r="X4542" s="6"/>
      <c r="Y4542" s="6"/>
      <c r="Z4542" s="6"/>
    </row>
    <row r="4543" spans="14:26" ht="31.4" customHeight="1" x14ac:dyDescent="0.35">
      <c r="N4543" s="20"/>
      <c r="P4543" s="8"/>
      <c r="Q4543" s="8"/>
      <c r="R4543" s="8"/>
      <c r="S4543" s="8"/>
      <c r="U4543" s="6"/>
      <c r="V4543" s="6"/>
      <c r="W4543" s="6"/>
      <c r="X4543" s="6"/>
      <c r="Y4543" s="6"/>
      <c r="Z4543" s="6"/>
    </row>
    <row r="4544" spans="14:26" ht="31.4" customHeight="1" x14ac:dyDescent="0.35">
      <c r="N4544" s="20"/>
      <c r="P4544" s="8"/>
      <c r="Q4544" s="8"/>
      <c r="R4544" s="8"/>
      <c r="S4544" s="8"/>
      <c r="U4544" s="6"/>
      <c r="V4544" s="6"/>
      <c r="W4544" s="6"/>
      <c r="X4544" s="6"/>
      <c r="Y4544" s="6"/>
      <c r="Z4544" s="6"/>
    </row>
    <row r="4545" spans="14:26" ht="31.4" customHeight="1" x14ac:dyDescent="0.35">
      <c r="N4545" s="20"/>
      <c r="P4545" s="8"/>
      <c r="Q4545" s="8"/>
      <c r="R4545" s="8"/>
      <c r="S4545" s="8"/>
      <c r="U4545" s="6"/>
      <c r="V4545" s="6"/>
      <c r="W4545" s="6"/>
      <c r="X4545" s="6"/>
      <c r="Y4545" s="6"/>
      <c r="Z4545" s="6"/>
    </row>
    <row r="4546" spans="14:26" ht="31.4" customHeight="1" x14ac:dyDescent="0.35">
      <c r="N4546" s="20"/>
      <c r="P4546" s="8"/>
      <c r="Q4546" s="8"/>
      <c r="R4546" s="8"/>
      <c r="S4546" s="8"/>
      <c r="U4546" s="6"/>
      <c r="V4546" s="6"/>
      <c r="W4546" s="6"/>
      <c r="X4546" s="6"/>
      <c r="Y4546" s="6"/>
      <c r="Z4546" s="6"/>
    </row>
    <row r="4547" spans="14:26" ht="31.4" customHeight="1" x14ac:dyDescent="0.35">
      <c r="N4547" s="20"/>
      <c r="P4547" s="8"/>
      <c r="Q4547" s="8"/>
      <c r="R4547" s="8"/>
      <c r="S4547" s="8"/>
      <c r="U4547" s="6"/>
      <c r="V4547" s="6"/>
      <c r="W4547" s="6"/>
      <c r="X4547" s="6"/>
      <c r="Y4547" s="6"/>
      <c r="Z4547" s="6"/>
    </row>
    <row r="4548" spans="14:26" ht="31.4" customHeight="1" x14ac:dyDescent="0.35">
      <c r="N4548" s="20"/>
      <c r="P4548" s="8"/>
      <c r="Q4548" s="8"/>
      <c r="R4548" s="8"/>
      <c r="S4548" s="8"/>
      <c r="U4548" s="6"/>
      <c r="V4548" s="6"/>
      <c r="W4548" s="6"/>
      <c r="X4548" s="6"/>
      <c r="Y4548" s="6"/>
      <c r="Z4548" s="6"/>
    </row>
    <row r="4549" spans="14:26" ht="31.4" customHeight="1" x14ac:dyDescent="0.35">
      <c r="N4549" s="20"/>
      <c r="P4549" s="8"/>
      <c r="Q4549" s="8"/>
      <c r="R4549" s="8"/>
      <c r="S4549" s="8"/>
      <c r="U4549" s="6"/>
      <c r="V4549" s="6"/>
      <c r="W4549" s="6"/>
      <c r="X4549" s="6"/>
      <c r="Y4549" s="6"/>
      <c r="Z4549" s="6"/>
    </row>
    <row r="4550" spans="14:26" ht="31.4" customHeight="1" x14ac:dyDescent="0.35">
      <c r="N4550" s="20"/>
      <c r="P4550" s="8"/>
      <c r="Q4550" s="8"/>
      <c r="R4550" s="8"/>
      <c r="S4550" s="8"/>
      <c r="U4550" s="6"/>
      <c r="V4550" s="6"/>
      <c r="W4550" s="6"/>
      <c r="X4550" s="6"/>
      <c r="Y4550" s="6"/>
      <c r="Z4550" s="6"/>
    </row>
    <row r="4551" spans="14:26" ht="31.4" customHeight="1" x14ac:dyDescent="0.35">
      <c r="N4551" s="20"/>
      <c r="P4551" s="8"/>
      <c r="Q4551" s="8"/>
      <c r="R4551" s="8"/>
      <c r="S4551" s="8"/>
      <c r="U4551" s="6"/>
      <c r="V4551" s="6"/>
      <c r="W4551" s="6"/>
      <c r="X4551" s="6"/>
      <c r="Y4551" s="6"/>
      <c r="Z4551" s="6"/>
    </row>
    <row r="4552" spans="14:26" ht="31.4" customHeight="1" x14ac:dyDescent="0.35">
      <c r="N4552" s="20"/>
      <c r="P4552" s="8"/>
      <c r="Q4552" s="8"/>
      <c r="R4552" s="8"/>
      <c r="S4552" s="8"/>
      <c r="U4552" s="6"/>
      <c r="V4552" s="6"/>
      <c r="W4552" s="6"/>
      <c r="X4552" s="6"/>
      <c r="Y4552" s="6"/>
      <c r="Z4552" s="6"/>
    </row>
    <row r="4553" spans="14:26" ht="31.4" customHeight="1" x14ac:dyDescent="0.35">
      <c r="N4553" s="20"/>
      <c r="P4553" s="8"/>
      <c r="Q4553" s="8"/>
      <c r="R4553" s="8"/>
      <c r="S4553" s="8"/>
      <c r="U4553" s="6"/>
      <c r="V4553" s="6"/>
      <c r="W4553" s="6"/>
      <c r="X4553" s="6"/>
      <c r="Y4553" s="6"/>
      <c r="Z4553" s="6"/>
    </row>
    <row r="4554" spans="14:26" ht="31.4" customHeight="1" x14ac:dyDescent="0.35">
      <c r="N4554" s="20"/>
      <c r="P4554" s="8"/>
      <c r="Q4554" s="8"/>
      <c r="R4554" s="8"/>
      <c r="S4554" s="8"/>
      <c r="U4554" s="6"/>
      <c r="V4554" s="6"/>
      <c r="W4554" s="6"/>
      <c r="X4554" s="6"/>
      <c r="Y4554" s="6"/>
      <c r="Z4554" s="6"/>
    </row>
    <row r="4555" spans="14:26" ht="31.4" customHeight="1" x14ac:dyDescent="0.35">
      <c r="N4555" s="20"/>
      <c r="P4555" s="8"/>
      <c r="Q4555" s="8"/>
      <c r="R4555" s="8"/>
      <c r="S4555" s="8"/>
      <c r="U4555" s="6"/>
      <c r="V4555" s="6"/>
      <c r="W4555" s="6"/>
      <c r="X4555" s="6"/>
      <c r="Y4555" s="6"/>
      <c r="Z4555" s="6"/>
    </row>
    <row r="4556" spans="14:26" ht="31.4" customHeight="1" x14ac:dyDescent="0.35">
      <c r="N4556" s="20"/>
      <c r="P4556" s="8"/>
      <c r="Q4556" s="8"/>
      <c r="R4556" s="8"/>
      <c r="S4556" s="8"/>
      <c r="U4556" s="6"/>
      <c r="V4556" s="6"/>
      <c r="W4556" s="6"/>
      <c r="X4556" s="6"/>
      <c r="Y4556" s="6"/>
      <c r="Z4556" s="6"/>
    </row>
    <row r="4557" spans="14:26" ht="31.4" customHeight="1" x14ac:dyDescent="0.35">
      <c r="N4557" s="20"/>
      <c r="P4557" s="8"/>
      <c r="Q4557" s="8"/>
      <c r="R4557" s="8"/>
      <c r="S4557" s="8"/>
      <c r="U4557" s="6"/>
      <c r="V4557" s="6"/>
      <c r="W4557" s="6"/>
      <c r="X4557" s="6"/>
      <c r="Y4557" s="6"/>
      <c r="Z4557" s="6"/>
    </row>
    <row r="4558" spans="14:26" ht="31.4" customHeight="1" x14ac:dyDescent="0.35">
      <c r="N4558" s="20"/>
      <c r="P4558" s="8"/>
      <c r="Q4558" s="8"/>
      <c r="R4558" s="8"/>
      <c r="S4558" s="8"/>
      <c r="U4558" s="6"/>
      <c r="V4558" s="6"/>
      <c r="W4558" s="6"/>
      <c r="X4558" s="6"/>
      <c r="Y4558" s="6"/>
      <c r="Z4558" s="6"/>
    </row>
    <row r="4559" spans="14:26" ht="31.4" customHeight="1" x14ac:dyDescent="0.35">
      <c r="N4559" s="20"/>
      <c r="P4559" s="8"/>
      <c r="Q4559" s="8"/>
      <c r="R4559" s="8"/>
      <c r="S4559" s="8"/>
      <c r="U4559" s="6"/>
      <c r="V4559" s="6"/>
      <c r="W4559" s="6"/>
      <c r="X4559" s="6"/>
      <c r="Y4559" s="6"/>
      <c r="Z4559" s="6"/>
    </row>
    <row r="4560" spans="14:26" ht="31.4" customHeight="1" x14ac:dyDescent="0.35">
      <c r="N4560" s="20"/>
      <c r="P4560" s="8"/>
      <c r="Q4560" s="8"/>
      <c r="R4560" s="8"/>
      <c r="S4560" s="8"/>
      <c r="U4560" s="6"/>
      <c r="V4560" s="6"/>
      <c r="W4560" s="6"/>
      <c r="X4560" s="6"/>
      <c r="Y4560" s="6"/>
      <c r="Z4560" s="6"/>
    </row>
    <row r="4561" spans="14:26" ht="31.4" customHeight="1" x14ac:dyDescent="0.35">
      <c r="N4561" s="20"/>
      <c r="P4561" s="8"/>
      <c r="Q4561" s="8"/>
      <c r="R4561" s="8"/>
      <c r="S4561" s="8"/>
      <c r="U4561" s="6"/>
      <c r="V4561" s="6"/>
      <c r="W4561" s="6"/>
      <c r="X4561" s="6"/>
      <c r="Y4561" s="6"/>
      <c r="Z4561" s="6"/>
    </row>
    <row r="4562" spans="14:26" ht="31.4" customHeight="1" x14ac:dyDescent="0.35">
      <c r="N4562" s="20"/>
      <c r="P4562" s="8"/>
      <c r="Q4562" s="8"/>
      <c r="R4562" s="8"/>
      <c r="S4562" s="8"/>
      <c r="U4562" s="6"/>
      <c r="V4562" s="6"/>
      <c r="W4562" s="6"/>
      <c r="X4562" s="6"/>
      <c r="Y4562" s="6"/>
      <c r="Z4562" s="6"/>
    </row>
    <row r="4563" spans="14:26" ht="31.4" customHeight="1" x14ac:dyDescent="0.35">
      <c r="N4563" s="20"/>
      <c r="P4563" s="8"/>
      <c r="Q4563" s="8"/>
      <c r="R4563" s="8"/>
      <c r="S4563" s="8"/>
      <c r="U4563" s="6"/>
      <c r="V4563" s="6"/>
      <c r="W4563" s="6"/>
      <c r="X4563" s="6"/>
      <c r="Y4563" s="6"/>
      <c r="Z4563" s="6"/>
    </row>
    <row r="4564" spans="14:26" ht="31.4" customHeight="1" x14ac:dyDescent="0.35">
      <c r="N4564" s="20"/>
      <c r="P4564" s="8"/>
      <c r="Q4564" s="8"/>
      <c r="R4564" s="8"/>
      <c r="S4564" s="8"/>
      <c r="U4564" s="6"/>
      <c r="V4564" s="6"/>
      <c r="W4564" s="6"/>
      <c r="X4564" s="6"/>
      <c r="Y4564" s="6"/>
      <c r="Z4564" s="6"/>
    </row>
    <row r="4565" spans="14:26" ht="31.4" customHeight="1" x14ac:dyDescent="0.35">
      <c r="N4565" s="20"/>
      <c r="P4565" s="8"/>
      <c r="Q4565" s="8"/>
      <c r="R4565" s="8"/>
      <c r="S4565" s="8"/>
      <c r="U4565" s="6"/>
      <c r="V4565" s="6"/>
      <c r="W4565" s="6"/>
      <c r="X4565" s="6"/>
      <c r="Y4565" s="6"/>
      <c r="Z4565" s="6"/>
    </row>
    <row r="4566" spans="14:26" ht="31.4" customHeight="1" x14ac:dyDescent="0.35">
      <c r="N4566" s="20"/>
      <c r="P4566" s="8"/>
      <c r="Q4566" s="8"/>
      <c r="R4566" s="8"/>
      <c r="S4566" s="8"/>
      <c r="U4566" s="6"/>
      <c r="V4566" s="6"/>
      <c r="W4566" s="6"/>
      <c r="X4566" s="6"/>
      <c r="Y4566" s="6"/>
      <c r="Z4566" s="6"/>
    </row>
    <row r="4567" spans="14:26" ht="31.4" customHeight="1" x14ac:dyDescent="0.35">
      <c r="N4567" s="20"/>
      <c r="P4567" s="8"/>
      <c r="Q4567" s="8"/>
      <c r="R4567" s="8"/>
      <c r="S4567" s="8"/>
      <c r="U4567" s="6"/>
      <c r="V4567" s="6"/>
      <c r="W4567" s="6"/>
      <c r="X4567" s="6"/>
      <c r="Y4567" s="6"/>
      <c r="Z4567" s="6"/>
    </row>
    <row r="4568" spans="14:26" ht="31.4" customHeight="1" x14ac:dyDescent="0.35">
      <c r="N4568" s="20"/>
      <c r="P4568" s="8"/>
      <c r="Q4568" s="8"/>
      <c r="R4568" s="8"/>
      <c r="S4568" s="8"/>
      <c r="U4568" s="6"/>
      <c r="V4568" s="6"/>
      <c r="W4568" s="6"/>
      <c r="X4568" s="6"/>
      <c r="Y4568" s="6"/>
      <c r="Z4568" s="6"/>
    </row>
    <row r="4569" spans="14:26" ht="31.4" customHeight="1" x14ac:dyDescent="0.35">
      <c r="N4569" s="20"/>
      <c r="P4569" s="8"/>
      <c r="Q4569" s="8"/>
      <c r="R4569" s="8"/>
      <c r="S4569" s="8"/>
      <c r="U4569" s="6"/>
      <c r="V4569" s="6"/>
      <c r="W4569" s="6"/>
      <c r="X4569" s="6"/>
      <c r="Y4569" s="6"/>
      <c r="Z4569" s="6"/>
    </row>
    <row r="4570" spans="14:26" ht="31.4" customHeight="1" x14ac:dyDescent="0.35">
      <c r="N4570" s="20"/>
      <c r="P4570" s="8"/>
      <c r="Q4570" s="8"/>
      <c r="R4570" s="8"/>
      <c r="S4570" s="8"/>
      <c r="U4570" s="6"/>
      <c r="V4570" s="6"/>
      <c r="W4570" s="6"/>
      <c r="X4570" s="6"/>
      <c r="Y4570" s="6"/>
      <c r="Z4570" s="6"/>
    </row>
    <row r="4571" spans="14:26" ht="31.4" customHeight="1" x14ac:dyDescent="0.35">
      <c r="N4571" s="20"/>
      <c r="P4571" s="8"/>
      <c r="Q4571" s="8"/>
      <c r="R4571" s="8"/>
      <c r="S4571" s="8"/>
      <c r="U4571" s="6"/>
      <c r="V4571" s="6"/>
      <c r="W4571" s="6"/>
      <c r="X4571" s="6"/>
      <c r="Y4571" s="6"/>
      <c r="Z4571" s="6"/>
    </row>
    <row r="4572" spans="14:26" ht="31.4" customHeight="1" x14ac:dyDescent="0.35">
      <c r="N4572" s="20"/>
      <c r="P4572" s="8"/>
      <c r="Q4572" s="8"/>
      <c r="R4572" s="8"/>
      <c r="S4572" s="8"/>
      <c r="U4572" s="6"/>
      <c r="V4572" s="6"/>
      <c r="W4572" s="6"/>
      <c r="X4572" s="6"/>
      <c r="Y4572" s="6"/>
      <c r="Z4572" s="6"/>
    </row>
    <row r="4573" spans="14:26" ht="31.4" customHeight="1" x14ac:dyDescent="0.35">
      <c r="N4573" s="20"/>
      <c r="P4573" s="8"/>
      <c r="Q4573" s="8"/>
      <c r="R4573" s="8"/>
      <c r="S4573" s="8"/>
      <c r="U4573" s="6"/>
      <c r="V4573" s="6"/>
      <c r="W4573" s="6"/>
      <c r="X4573" s="6"/>
      <c r="Y4573" s="6"/>
      <c r="Z4573" s="6"/>
    </row>
    <row r="4574" spans="14:26" ht="31.4" customHeight="1" x14ac:dyDescent="0.35">
      <c r="N4574" s="20"/>
      <c r="P4574" s="8"/>
      <c r="Q4574" s="8"/>
      <c r="R4574" s="8"/>
      <c r="S4574" s="8"/>
      <c r="U4574" s="6"/>
      <c r="V4574" s="6"/>
      <c r="W4574" s="6"/>
      <c r="X4574" s="6"/>
      <c r="Y4574" s="6"/>
      <c r="Z4574" s="6"/>
    </row>
    <row r="4575" spans="14:26" ht="31.4" customHeight="1" x14ac:dyDescent="0.35">
      <c r="N4575" s="20"/>
      <c r="P4575" s="8"/>
      <c r="Q4575" s="8"/>
      <c r="R4575" s="8"/>
      <c r="S4575" s="8"/>
      <c r="U4575" s="6"/>
      <c r="V4575" s="6"/>
      <c r="W4575" s="6"/>
      <c r="X4575" s="6"/>
      <c r="Y4575" s="6"/>
      <c r="Z4575" s="6"/>
    </row>
    <row r="4576" spans="14:26" ht="31.4" customHeight="1" x14ac:dyDescent="0.35">
      <c r="N4576" s="20"/>
      <c r="P4576" s="8"/>
      <c r="Q4576" s="8"/>
      <c r="R4576" s="8"/>
      <c r="S4576" s="8"/>
      <c r="U4576" s="6"/>
      <c r="V4576" s="6"/>
      <c r="W4576" s="6"/>
      <c r="X4576" s="6"/>
      <c r="Y4576" s="6"/>
      <c r="Z4576" s="6"/>
    </row>
    <row r="4577" spans="14:26" ht="31.4" customHeight="1" x14ac:dyDescent="0.35">
      <c r="N4577" s="20"/>
      <c r="P4577" s="8"/>
      <c r="Q4577" s="8"/>
      <c r="R4577" s="8"/>
      <c r="S4577" s="8"/>
      <c r="U4577" s="6"/>
      <c r="V4577" s="6"/>
      <c r="W4577" s="6"/>
      <c r="X4577" s="6"/>
      <c r="Y4577" s="6"/>
      <c r="Z4577" s="6"/>
    </row>
    <row r="4578" spans="14:26" ht="31.4" customHeight="1" x14ac:dyDescent="0.35">
      <c r="N4578" s="20"/>
      <c r="P4578" s="8"/>
      <c r="Q4578" s="8"/>
      <c r="R4578" s="8"/>
      <c r="S4578" s="8"/>
      <c r="U4578" s="6"/>
      <c r="V4578" s="6"/>
      <c r="W4578" s="6"/>
      <c r="X4578" s="6"/>
      <c r="Y4578" s="6"/>
      <c r="Z4578" s="6"/>
    </row>
    <row r="4579" spans="14:26" ht="31.4" customHeight="1" x14ac:dyDescent="0.35">
      <c r="N4579" s="20"/>
      <c r="P4579" s="8"/>
      <c r="Q4579" s="8"/>
      <c r="R4579" s="8"/>
      <c r="S4579" s="8"/>
      <c r="U4579" s="6"/>
      <c r="V4579" s="6"/>
      <c r="W4579" s="6"/>
      <c r="X4579" s="6"/>
      <c r="Y4579" s="6"/>
      <c r="Z4579" s="6"/>
    </row>
    <row r="4580" spans="14:26" ht="31.4" customHeight="1" x14ac:dyDescent="0.35">
      <c r="N4580" s="20"/>
      <c r="P4580" s="8"/>
      <c r="Q4580" s="8"/>
      <c r="R4580" s="8"/>
      <c r="S4580" s="8"/>
      <c r="U4580" s="6"/>
      <c r="V4580" s="6"/>
      <c r="W4580" s="6"/>
      <c r="X4580" s="6"/>
      <c r="Y4580" s="6"/>
      <c r="Z4580" s="6"/>
    </row>
    <row r="4581" spans="14:26" ht="31.4" customHeight="1" x14ac:dyDescent="0.35">
      <c r="N4581" s="20"/>
      <c r="P4581" s="8"/>
      <c r="Q4581" s="8"/>
      <c r="R4581" s="8"/>
      <c r="S4581" s="8"/>
      <c r="U4581" s="6"/>
      <c r="V4581" s="6"/>
      <c r="W4581" s="6"/>
      <c r="X4581" s="6"/>
      <c r="Y4581" s="6"/>
      <c r="Z4581" s="6"/>
    </row>
    <row r="4582" spans="14:26" ht="31.4" customHeight="1" x14ac:dyDescent="0.35">
      <c r="N4582" s="20"/>
      <c r="P4582" s="8"/>
      <c r="Q4582" s="8"/>
      <c r="R4582" s="8"/>
      <c r="S4582" s="8"/>
      <c r="U4582" s="6"/>
      <c r="V4582" s="6"/>
      <c r="W4582" s="6"/>
      <c r="X4582" s="6"/>
      <c r="Y4582" s="6"/>
      <c r="Z4582" s="6"/>
    </row>
    <row r="4583" spans="14:26" ht="31.4" customHeight="1" x14ac:dyDescent="0.35">
      <c r="N4583" s="20"/>
      <c r="P4583" s="8"/>
      <c r="Q4583" s="8"/>
      <c r="R4583" s="8"/>
      <c r="S4583" s="8"/>
      <c r="U4583" s="6"/>
      <c r="V4583" s="6"/>
      <c r="W4583" s="6"/>
      <c r="X4583" s="6"/>
      <c r="Y4583" s="6"/>
      <c r="Z4583" s="6"/>
    </row>
    <row r="4584" spans="14:26" ht="31.4" customHeight="1" x14ac:dyDescent="0.35">
      <c r="N4584" s="20"/>
      <c r="P4584" s="8"/>
      <c r="Q4584" s="8"/>
      <c r="R4584" s="8"/>
      <c r="S4584" s="8"/>
      <c r="U4584" s="6"/>
      <c r="V4584" s="6"/>
      <c r="W4584" s="6"/>
      <c r="X4584" s="6"/>
      <c r="Y4584" s="6"/>
      <c r="Z4584" s="6"/>
    </row>
    <row r="4585" spans="14:26" ht="31.4" customHeight="1" x14ac:dyDescent="0.35">
      <c r="N4585" s="20"/>
      <c r="P4585" s="8"/>
      <c r="Q4585" s="8"/>
      <c r="R4585" s="8"/>
      <c r="S4585" s="8"/>
      <c r="U4585" s="6"/>
      <c r="V4585" s="6"/>
      <c r="W4585" s="6"/>
      <c r="X4585" s="6"/>
      <c r="Y4585" s="6"/>
      <c r="Z4585" s="6"/>
    </row>
    <row r="4586" spans="14:26" ht="31.4" customHeight="1" x14ac:dyDescent="0.35">
      <c r="N4586" s="20"/>
      <c r="P4586" s="8"/>
      <c r="Q4586" s="8"/>
      <c r="R4586" s="8"/>
      <c r="S4586" s="8"/>
      <c r="U4586" s="6"/>
      <c r="V4586" s="6"/>
      <c r="W4586" s="6"/>
      <c r="X4586" s="6"/>
      <c r="Y4586" s="6"/>
      <c r="Z4586" s="6"/>
    </row>
    <row r="4587" spans="14:26" ht="31.4" customHeight="1" x14ac:dyDescent="0.35">
      <c r="N4587" s="20"/>
      <c r="P4587" s="8"/>
      <c r="Q4587" s="8"/>
      <c r="R4587" s="8"/>
      <c r="S4587" s="8"/>
      <c r="U4587" s="6"/>
      <c r="V4587" s="6"/>
      <c r="W4587" s="6"/>
      <c r="X4587" s="6"/>
      <c r="Y4587" s="6"/>
      <c r="Z4587" s="6"/>
    </row>
    <row r="4588" spans="14:26" ht="31.4" customHeight="1" x14ac:dyDescent="0.35">
      <c r="N4588" s="20"/>
      <c r="P4588" s="8"/>
      <c r="Q4588" s="8"/>
      <c r="R4588" s="8"/>
      <c r="S4588" s="8"/>
      <c r="U4588" s="6"/>
      <c r="V4588" s="6"/>
      <c r="W4588" s="6"/>
      <c r="X4588" s="6"/>
      <c r="Y4588" s="6"/>
      <c r="Z4588" s="6"/>
    </row>
    <row r="4589" spans="14:26" ht="31.4" customHeight="1" x14ac:dyDescent="0.35">
      <c r="N4589" s="20"/>
      <c r="P4589" s="8"/>
      <c r="Q4589" s="8"/>
      <c r="R4589" s="8"/>
      <c r="S4589" s="8"/>
      <c r="U4589" s="6"/>
      <c r="V4589" s="6"/>
      <c r="W4589" s="6"/>
      <c r="X4589" s="6"/>
      <c r="Y4589" s="6"/>
      <c r="Z4589" s="6"/>
    </row>
    <row r="4590" spans="14:26" ht="31.4" customHeight="1" x14ac:dyDescent="0.35">
      <c r="N4590" s="20"/>
      <c r="P4590" s="8"/>
      <c r="Q4590" s="8"/>
      <c r="R4590" s="8"/>
      <c r="S4590" s="8"/>
      <c r="U4590" s="6"/>
      <c r="V4590" s="6"/>
      <c r="W4590" s="6"/>
      <c r="X4590" s="6"/>
      <c r="Y4590" s="6"/>
      <c r="Z4590" s="6"/>
    </row>
    <row r="4591" spans="14:26" ht="31.4" customHeight="1" x14ac:dyDescent="0.35">
      <c r="N4591" s="20"/>
      <c r="P4591" s="8"/>
      <c r="Q4591" s="8"/>
      <c r="R4591" s="8"/>
      <c r="S4591" s="8"/>
      <c r="U4591" s="6"/>
      <c r="V4591" s="6"/>
      <c r="W4591" s="6"/>
      <c r="X4591" s="6"/>
      <c r="Y4591" s="6"/>
      <c r="Z4591" s="6"/>
    </row>
    <row r="4592" spans="14:26" ht="31.4" customHeight="1" x14ac:dyDescent="0.35">
      <c r="N4592" s="20"/>
      <c r="P4592" s="8"/>
      <c r="Q4592" s="8"/>
      <c r="R4592" s="8"/>
      <c r="S4592" s="8"/>
      <c r="U4592" s="6"/>
      <c r="V4592" s="6"/>
      <c r="W4592" s="6"/>
      <c r="X4592" s="6"/>
      <c r="Y4592" s="6"/>
      <c r="Z4592" s="6"/>
    </row>
    <row r="4593" spans="14:26" ht="31.4" customHeight="1" x14ac:dyDescent="0.35">
      <c r="N4593" s="20"/>
      <c r="P4593" s="8"/>
      <c r="Q4593" s="8"/>
      <c r="R4593" s="8"/>
      <c r="S4593" s="8"/>
      <c r="U4593" s="6"/>
      <c r="V4593" s="6"/>
      <c r="W4593" s="6"/>
      <c r="X4593" s="6"/>
      <c r="Y4593" s="6"/>
      <c r="Z4593" s="6"/>
    </row>
    <row r="4594" spans="14:26" ht="31.4" customHeight="1" x14ac:dyDescent="0.35">
      <c r="N4594" s="20"/>
      <c r="P4594" s="8"/>
      <c r="Q4594" s="8"/>
      <c r="R4594" s="8"/>
      <c r="S4594" s="8"/>
      <c r="U4594" s="6"/>
      <c r="V4594" s="6"/>
      <c r="W4594" s="6"/>
      <c r="X4594" s="6"/>
      <c r="Y4594" s="6"/>
      <c r="Z4594" s="6"/>
    </row>
    <row r="4595" spans="14:26" ht="31.4" customHeight="1" x14ac:dyDescent="0.35">
      <c r="N4595" s="20"/>
      <c r="P4595" s="8"/>
      <c r="Q4595" s="8"/>
      <c r="R4595" s="8"/>
      <c r="S4595" s="8"/>
      <c r="U4595" s="6"/>
      <c r="V4595" s="6"/>
      <c r="W4595" s="6"/>
      <c r="X4595" s="6"/>
      <c r="Y4595" s="6"/>
      <c r="Z4595" s="6"/>
    </row>
    <row r="4596" spans="14:26" ht="31.4" customHeight="1" x14ac:dyDescent="0.35">
      <c r="N4596" s="20"/>
      <c r="P4596" s="8"/>
      <c r="Q4596" s="8"/>
      <c r="R4596" s="8"/>
      <c r="S4596" s="8"/>
      <c r="U4596" s="6"/>
      <c r="V4596" s="6"/>
      <c r="W4596" s="6"/>
      <c r="X4596" s="6"/>
      <c r="Y4596" s="6"/>
      <c r="Z4596" s="6"/>
    </row>
    <row r="4597" spans="14:26" ht="31.4" customHeight="1" x14ac:dyDescent="0.35">
      <c r="N4597" s="20"/>
      <c r="P4597" s="8"/>
      <c r="Q4597" s="8"/>
      <c r="R4597" s="8"/>
      <c r="S4597" s="8"/>
      <c r="U4597" s="6"/>
      <c r="V4597" s="6"/>
      <c r="W4597" s="6"/>
      <c r="X4597" s="6"/>
      <c r="Y4597" s="6"/>
      <c r="Z4597" s="6"/>
    </row>
    <row r="4598" spans="14:26" ht="31.4" customHeight="1" x14ac:dyDescent="0.35">
      <c r="N4598" s="20"/>
      <c r="P4598" s="8"/>
      <c r="Q4598" s="8"/>
      <c r="R4598" s="8"/>
      <c r="S4598" s="8"/>
      <c r="U4598" s="6"/>
      <c r="V4598" s="6"/>
      <c r="W4598" s="6"/>
      <c r="X4598" s="6"/>
      <c r="Y4598" s="6"/>
      <c r="Z4598" s="6"/>
    </row>
    <row r="4599" spans="14:26" ht="31.4" customHeight="1" x14ac:dyDescent="0.35">
      <c r="N4599" s="20"/>
      <c r="P4599" s="8"/>
      <c r="Q4599" s="8"/>
      <c r="R4599" s="8"/>
      <c r="S4599" s="8"/>
      <c r="U4599" s="6"/>
      <c r="V4599" s="6"/>
      <c r="W4599" s="6"/>
      <c r="X4599" s="6"/>
      <c r="Y4599" s="6"/>
      <c r="Z4599" s="6"/>
    </row>
    <row r="4600" spans="14:26" ht="31.4" customHeight="1" x14ac:dyDescent="0.35">
      <c r="N4600" s="20"/>
      <c r="P4600" s="8"/>
      <c r="Q4600" s="8"/>
      <c r="R4600" s="8"/>
      <c r="S4600" s="8"/>
      <c r="U4600" s="6"/>
      <c r="V4600" s="6"/>
      <c r="W4600" s="6"/>
      <c r="X4600" s="6"/>
      <c r="Y4600" s="6"/>
      <c r="Z4600" s="6"/>
    </row>
    <row r="4601" spans="14:26" ht="31.4" customHeight="1" x14ac:dyDescent="0.35">
      <c r="N4601" s="20"/>
      <c r="P4601" s="8"/>
      <c r="Q4601" s="8"/>
      <c r="R4601" s="8"/>
      <c r="S4601" s="8"/>
      <c r="U4601" s="6"/>
      <c r="V4601" s="6"/>
      <c r="W4601" s="6"/>
      <c r="X4601" s="6"/>
      <c r="Y4601" s="6"/>
      <c r="Z4601" s="6"/>
    </row>
    <row r="4602" spans="14:26" ht="31.4" customHeight="1" x14ac:dyDescent="0.35">
      <c r="N4602" s="20"/>
      <c r="P4602" s="8"/>
      <c r="Q4602" s="8"/>
      <c r="R4602" s="8"/>
      <c r="S4602" s="8"/>
      <c r="U4602" s="6"/>
      <c r="V4602" s="6"/>
      <c r="W4602" s="6"/>
      <c r="X4602" s="6"/>
      <c r="Y4602" s="6"/>
      <c r="Z4602" s="6"/>
    </row>
    <row r="4603" spans="14:26" ht="31.4" customHeight="1" x14ac:dyDescent="0.35">
      <c r="N4603" s="20"/>
      <c r="P4603" s="8"/>
      <c r="Q4603" s="8"/>
      <c r="R4603" s="8"/>
      <c r="S4603" s="8"/>
      <c r="U4603" s="6"/>
      <c r="V4603" s="6"/>
      <c r="W4603" s="6"/>
      <c r="X4603" s="6"/>
      <c r="Y4603" s="6"/>
      <c r="Z4603" s="6"/>
    </row>
    <row r="4604" spans="14:26" ht="31.4" customHeight="1" x14ac:dyDescent="0.35">
      <c r="N4604" s="20"/>
      <c r="P4604" s="8"/>
      <c r="Q4604" s="8"/>
      <c r="R4604" s="8"/>
      <c r="S4604" s="8"/>
      <c r="U4604" s="6"/>
      <c r="V4604" s="6"/>
      <c r="W4604" s="6"/>
      <c r="X4604" s="6"/>
      <c r="Y4604" s="6"/>
      <c r="Z4604" s="6"/>
    </row>
    <row r="4605" spans="14:26" ht="31.4" customHeight="1" x14ac:dyDescent="0.35">
      <c r="N4605" s="20"/>
      <c r="P4605" s="8"/>
      <c r="Q4605" s="8"/>
      <c r="R4605" s="8"/>
      <c r="S4605" s="8"/>
      <c r="U4605" s="6"/>
      <c r="V4605" s="6"/>
      <c r="W4605" s="6"/>
      <c r="X4605" s="6"/>
      <c r="Y4605" s="6"/>
      <c r="Z4605" s="6"/>
    </row>
    <row r="4606" spans="14:26" ht="31.4" customHeight="1" x14ac:dyDescent="0.35">
      <c r="N4606" s="20"/>
      <c r="P4606" s="8"/>
      <c r="Q4606" s="8"/>
      <c r="R4606" s="8"/>
      <c r="S4606" s="8"/>
      <c r="U4606" s="6"/>
      <c r="V4606" s="6"/>
      <c r="W4606" s="6"/>
      <c r="X4606" s="6"/>
      <c r="Y4606" s="6"/>
      <c r="Z4606" s="6"/>
    </row>
    <row r="4607" spans="14:26" ht="31.4" customHeight="1" x14ac:dyDescent="0.35">
      <c r="N4607" s="20"/>
      <c r="P4607" s="8"/>
      <c r="Q4607" s="8"/>
      <c r="R4607" s="8"/>
      <c r="S4607" s="8"/>
      <c r="U4607" s="6"/>
      <c r="V4607" s="6"/>
      <c r="W4607" s="6"/>
      <c r="X4607" s="6"/>
      <c r="Y4607" s="6"/>
      <c r="Z4607" s="6"/>
    </row>
    <row r="4608" spans="14:26" ht="31.4" customHeight="1" x14ac:dyDescent="0.35">
      <c r="N4608" s="20"/>
      <c r="P4608" s="8"/>
      <c r="Q4608" s="8"/>
      <c r="R4608" s="8"/>
      <c r="S4608" s="8"/>
      <c r="U4608" s="6"/>
      <c r="V4608" s="6"/>
      <c r="W4608" s="6"/>
      <c r="X4608" s="6"/>
      <c r="Y4608" s="6"/>
      <c r="Z4608" s="6"/>
    </row>
    <row r="4609" spans="14:26" ht="31.4" customHeight="1" x14ac:dyDescent="0.35">
      <c r="N4609" s="20"/>
      <c r="P4609" s="8"/>
      <c r="Q4609" s="8"/>
      <c r="R4609" s="8"/>
      <c r="S4609" s="8"/>
      <c r="U4609" s="6"/>
      <c r="V4609" s="6"/>
      <c r="W4609" s="6"/>
      <c r="X4609" s="6"/>
      <c r="Y4609" s="6"/>
      <c r="Z4609" s="6"/>
    </row>
    <row r="4610" spans="14:26" ht="31.4" customHeight="1" x14ac:dyDescent="0.35">
      <c r="N4610" s="20"/>
      <c r="P4610" s="8"/>
      <c r="Q4610" s="8"/>
      <c r="R4610" s="8"/>
      <c r="S4610" s="8"/>
      <c r="U4610" s="6"/>
      <c r="V4610" s="6"/>
      <c r="W4610" s="6"/>
      <c r="X4610" s="6"/>
      <c r="Y4610" s="6"/>
      <c r="Z4610" s="6"/>
    </row>
    <row r="4611" spans="14:26" ht="31.4" customHeight="1" x14ac:dyDescent="0.35">
      <c r="N4611" s="20"/>
      <c r="P4611" s="8"/>
      <c r="Q4611" s="8"/>
      <c r="R4611" s="8"/>
      <c r="S4611" s="8"/>
      <c r="U4611" s="6"/>
      <c r="V4611" s="6"/>
      <c r="W4611" s="6"/>
      <c r="X4611" s="6"/>
      <c r="Y4611" s="6"/>
      <c r="Z4611" s="6"/>
    </row>
    <row r="4612" spans="14:26" ht="31.4" customHeight="1" x14ac:dyDescent="0.35">
      <c r="N4612" s="20"/>
      <c r="P4612" s="8"/>
      <c r="Q4612" s="8"/>
      <c r="R4612" s="8"/>
      <c r="S4612" s="8"/>
      <c r="U4612" s="6"/>
      <c r="V4612" s="6"/>
      <c r="W4612" s="6"/>
      <c r="X4612" s="6"/>
      <c r="Y4612" s="6"/>
      <c r="Z4612" s="6"/>
    </row>
    <row r="4613" spans="14:26" ht="31.4" customHeight="1" x14ac:dyDescent="0.35">
      <c r="N4613" s="20"/>
      <c r="P4613" s="8"/>
      <c r="Q4613" s="8"/>
      <c r="R4613" s="8"/>
      <c r="S4613" s="8"/>
      <c r="U4613" s="6"/>
      <c r="V4613" s="6"/>
      <c r="W4613" s="6"/>
      <c r="X4613" s="6"/>
      <c r="Y4613" s="6"/>
      <c r="Z4613" s="6"/>
    </row>
    <row r="4614" spans="14:26" ht="31.4" customHeight="1" x14ac:dyDescent="0.35">
      <c r="N4614" s="20"/>
      <c r="P4614" s="8"/>
      <c r="Q4614" s="8"/>
      <c r="R4614" s="8"/>
      <c r="S4614" s="8"/>
      <c r="U4614" s="6"/>
      <c r="V4614" s="6"/>
      <c r="W4614" s="6"/>
      <c r="X4614" s="6"/>
      <c r="Y4614" s="6"/>
      <c r="Z4614" s="6"/>
    </row>
    <row r="4615" spans="14:26" ht="31.4" customHeight="1" x14ac:dyDescent="0.35">
      <c r="N4615" s="20"/>
      <c r="P4615" s="8"/>
      <c r="Q4615" s="8"/>
      <c r="R4615" s="8"/>
      <c r="S4615" s="8"/>
      <c r="U4615" s="6"/>
      <c r="V4615" s="6"/>
      <c r="W4615" s="6"/>
      <c r="X4615" s="6"/>
      <c r="Y4615" s="6"/>
      <c r="Z4615" s="6"/>
    </row>
    <row r="4616" spans="14:26" ht="31.4" customHeight="1" x14ac:dyDescent="0.35">
      <c r="N4616" s="20"/>
      <c r="P4616" s="8"/>
      <c r="Q4616" s="8"/>
      <c r="R4616" s="8"/>
      <c r="S4616" s="8"/>
      <c r="U4616" s="6"/>
      <c r="V4616" s="6"/>
      <c r="W4616" s="6"/>
      <c r="X4616" s="6"/>
      <c r="Y4616" s="6"/>
      <c r="Z4616" s="6"/>
    </row>
    <row r="4617" spans="14:26" ht="31.4" customHeight="1" x14ac:dyDescent="0.35">
      <c r="N4617" s="20"/>
      <c r="P4617" s="8"/>
      <c r="Q4617" s="8"/>
      <c r="R4617" s="8"/>
      <c r="S4617" s="8"/>
      <c r="U4617" s="6"/>
      <c r="V4617" s="6"/>
      <c r="W4617" s="6"/>
      <c r="X4617" s="6"/>
      <c r="Y4617" s="6"/>
      <c r="Z4617" s="6"/>
    </row>
    <row r="4618" spans="14:26" ht="31.4" customHeight="1" x14ac:dyDescent="0.35">
      <c r="N4618" s="20"/>
      <c r="P4618" s="8"/>
      <c r="Q4618" s="8"/>
      <c r="R4618" s="8"/>
      <c r="S4618" s="8"/>
      <c r="U4618" s="6"/>
      <c r="V4618" s="6"/>
      <c r="W4618" s="6"/>
      <c r="X4618" s="6"/>
      <c r="Y4618" s="6"/>
      <c r="Z4618" s="6"/>
    </row>
    <row r="4619" spans="14:26" ht="31.4" customHeight="1" x14ac:dyDescent="0.35">
      <c r="N4619" s="20"/>
      <c r="P4619" s="8"/>
      <c r="Q4619" s="8"/>
      <c r="R4619" s="8"/>
      <c r="S4619" s="8"/>
      <c r="U4619" s="6"/>
      <c r="V4619" s="6"/>
      <c r="W4619" s="6"/>
      <c r="X4619" s="6"/>
      <c r="Y4619" s="6"/>
      <c r="Z4619" s="6"/>
    </row>
    <row r="4620" spans="14:26" ht="31.4" customHeight="1" x14ac:dyDescent="0.35">
      <c r="N4620" s="20"/>
      <c r="P4620" s="8"/>
      <c r="Q4620" s="8"/>
      <c r="R4620" s="8"/>
      <c r="S4620" s="8"/>
      <c r="U4620" s="6"/>
      <c r="V4620" s="6"/>
      <c r="W4620" s="6"/>
      <c r="X4620" s="6"/>
      <c r="Y4620" s="6"/>
      <c r="Z4620" s="6"/>
    </row>
    <row r="4621" spans="14:26" ht="31.4" customHeight="1" x14ac:dyDescent="0.35">
      <c r="N4621" s="20"/>
      <c r="P4621" s="8"/>
      <c r="Q4621" s="8"/>
      <c r="R4621" s="8"/>
      <c r="S4621" s="8"/>
      <c r="U4621" s="6"/>
      <c r="V4621" s="6"/>
      <c r="W4621" s="6"/>
      <c r="X4621" s="6"/>
      <c r="Y4621" s="6"/>
      <c r="Z4621" s="6"/>
    </row>
    <row r="4622" spans="14:26" ht="31.4" customHeight="1" x14ac:dyDescent="0.35">
      <c r="N4622" s="20"/>
      <c r="P4622" s="8"/>
      <c r="Q4622" s="8"/>
      <c r="R4622" s="8"/>
      <c r="S4622" s="8"/>
      <c r="U4622" s="6"/>
      <c r="V4622" s="6"/>
      <c r="W4622" s="6"/>
      <c r="X4622" s="6"/>
      <c r="Y4622" s="6"/>
      <c r="Z4622" s="6"/>
    </row>
    <row r="4623" spans="14:26" ht="31.4" customHeight="1" x14ac:dyDescent="0.35">
      <c r="N4623" s="20"/>
      <c r="P4623" s="8"/>
      <c r="Q4623" s="8"/>
      <c r="R4623" s="8"/>
      <c r="S4623" s="8"/>
      <c r="U4623" s="6"/>
      <c r="V4623" s="6"/>
      <c r="W4623" s="6"/>
      <c r="X4623" s="6"/>
      <c r="Y4623" s="6"/>
      <c r="Z4623" s="6"/>
    </row>
    <row r="4624" spans="14:26" ht="31.4" customHeight="1" x14ac:dyDescent="0.35">
      <c r="N4624" s="20"/>
      <c r="P4624" s="8"/>
      <c r="Q4624" s="8"/>
      <c r="R4624" s="8"/>
      <c r="S4624" s="8"/>
      <c r="U4624" s="6"/>
      <c r="V4624" s="6"/>
      <c r="W4624" s="6"/>
      <c r="X4624" s="6"/>
      <c r="Y4624" s="6"/>
      <c r="Z4624" s="6"/>
    </row>
    <row r="4625" spans="14:26" ht="31.4" customHeight="1" x14ac:dyDescent="0.35">
      <c r="N4625" s="20"/>
      <c r="P4625" s="8"/>
      <c r="Q4625" s="8"/>
      <c r="R4625" s="8"/>
      <c r="S4625" s="8"/>
      <c r="U4625" s="6"/>
      <c r="V4625" s="6"/>
      <c r="W4625" s="6"/>
      <c r="X4625" s="6"/>
      <c r="Y4625" s="6"/>
      <c r="Z4625" s="6"/>
    </row>
    <row r="4626" spans="14:26" ht="31.4" customHeight="1" x14ac:dyDescent="0.35">
      <c r="N4626" s="20"/>
      <c r="P4626" s="8"/>
      <c r="Q4626" s="8"/>
      <c r="R4626" s="8"/>
      <c r="S4626" s="8"/>
      <c r="U4626" s="6"/>
      <c r="V4626" s="6"/>
      <c r="W4626" s="6"/>
      <c r="X4626" s="6"/>
      <c r="Y4626" s="6"/>
      <c r="Z4626" s="6"/>
    </row>
    <row r="4627" spans="14:26" ht="31.4" customHeight="1" x14ac:dyDescent="0.35">
      <c r="N4627" s="20"/>
      <c r="P4627" s="8"/>
      <c r="Q4627" s="8"/>
      <c r="R4627" s="8"/>
      <c r="S4627" s="8"/>
      <c r="U4627" s="6"/>
      <c r="V4627" s="6"/>
      <c r="W4627" s="6"/>
      <c r="X4627" s="6"/>
      <c r="Y4627" s="6"/>
      <c r="Z4627" s="6"/>
    </row>
    <row r="4628" spans="14:26" ht="31.4" customHeight="1" x14ac:dyDescent="0.35">
      <c r="N4628" s="20"/>
      <c r="P4628" s="8"/>
      <c r="Q4628" s="8"/>
      <c r="R4628" s="8"/>
      <c r="S4628" s="8"/>
      <c r="U4628" s="6"/>
      <c r="V4628" s="6"/>
      <c r="W4628" s="6"/>
      <c r="X4628" s="6"/>
      <c r="Y4628" s="6"/>
      <c r="Z4628" s="6"/>
    </row>
    <row r="4629" spans="14:26" ht="31.4" customHeight="1" x14ac:dyDescent="0.35">
      <c r="N4629" s="20"/>
      <c r="P4629" s="8"/>
      <c r="Q4629" s="8"/>
      <c r="R4629" s="8"/>
      <c r="S4629" s="8"/>
      <c r="U4629" s="6"/>
      <c r="V4629" s="6"/>
      <c r="W4629" s="6"/>
      <c r="X4629" s="6"/>
      <c r="Y4629" s="6"/>
      <c r="Z4629" s="6"/>
    </row>
    <row r="4630" spans="14:26" ht="31.4" customHeight="1" x14ac:dyDescent="0.35">
      <c r="N4630" s="20"/>
      <c r="P4630" s="8"/>
      <c r="Q4630" s="8"/>
      <c r="R4630" s="8"/>
      <c r="S4630" s="8"/>
      <c r="U4630" s="6"/>
      <c r="V4630" s="6"/>
      <c r="W4630" s="6"/>
      <c r="X4630" s="6"/>
      <c r="Y4630" s="6"/>
      <c r="Z4630" s="6"/>
    </row>
    <row r="4631" spans="14:26" ht="31.4" customHeight="1" x14ac:dyDescent="0.35">
      <c r="N4631" s="20"/>
      <c r="P4631" s="8"/>
      <c r="Q4631" s="8"/>
      <c r="R4631" s="8"/>
      <c r="S4631" s="8"/>
      <c r="U4631" s="6"/>
      <c r="V4631" s="6"/>
      <c r="W4631" s="6"/>
      <c r="X4631" s="6"/>
      <c r="Y4631" s="6"/>
      <c r="Z4631" s="6"/>
    </row>
    <row r="4632" spans="14:26" ht="31.4" customHeight="1" x14ac:dyDescent="0.35">
      <c r="N4632" s="20"/>
      <c r="P4632" s="8"/>
      <c r="Q4632" s="8"/>
      <c r="R4632" s="8"/>
      <c r="S4632" s="8"/>
      <c r="U4632" s="6"/>
      <c r="V4632" s="6"/>
      <c r="W4632" s="6"/>
      <c r="X4632" s="6"/>
      <c r="Y4632" s="6"/>
      <c r="Z4632" s="6"/>
    </row>
    <row r="4633" spans="14:26" ht="31.4" customHeight="1" x14ac:dyDescent="0.35">
      <c r="N4633" s="20"/>
      <c r="P4633" s="8"/>
      <c r="Q4633" s="8"/>
      <c r="R4633" s="8"/>
      <c r="S4633" s="8"/>
      <c r="U4633" s="6"/>
      <c r="V4633" s="6"/>
      <c r="W4633" s="6"/>
      <c r="X4633" s="6"/>
      <c r="Y4633" s="6"/>
      <c r="Z4633" s="6"/>
    </row>
    <row r="4634" spans="14:26" ht="31.4" customHeight="1" x14ac:dyDescent="0.35">
      <c r="N4634" s="20"/>
      <c r="P4634" s="8"/>
      <c r="Q4634" s="8"/>
      <c r="R4634" s="8"/>
      <c r="S4634" s="8"/>
      <c r="U4634" s="6"/>
      <c r="V4634" s="6"/>
      <c r="W4634" s="6"/>
      <c r="X4634" s="6"/>
      <c r="Y4634" s="6"/>
      <c r="Z4634" s="6"/>
    </row>
    <row r="4635" spans="14:26" ht="31.4" customHeight="1" x14ac:dyDescent="0.35">
      <c r="N4635" s="20"/>
      <c r="P4635" s="8"/>
      <c r="Q4635" s="8"/>
      <c r="R4635" s="8"/>
      <c r="S4635" s="8"/>
      <c r="U4635" s="6"/>
      <c r="V4635" s="6"/>
      <c r="W4635" s="6"/>
      <c r="X4635" s="6"/>
      <c r="Y4635" s="6"/>
      <c r="Z4635" s="6"/>
    </row>
    <row r="4636" spans="14:26" ht="31.4" customHeight="1" x14ac:dyDescent="0.35">
      <c r="N4636" s="20"/>
      <c r="P4636" s="8"/>
      <c r="Q4636" s="8"/>
      <c r="R4636" s="8"/>
      <c r="S4636" s="8"/>
      <c r="U4636" s="6"/>
      <c r="V4636" s="6"/>
      <c r="W4636" s="6"/>
      <c r="X4636" s="6"/>
      <c r="Y4636" s="6"/>
      <c r="Z4636" s="6"/>
    </row>
    <row r="4637" spans="14:26" ht="31.4" customHeight="1" x14ac:dyDescent="0.35">
      <c r="N4637" s="20"/>
      <c r="P4637" s="8"/>
      <c r="Q4637" s="8"/>
      <c r="R4637" s="8"/>
      <c r="S4637" s="8"/>
      <c r="U4637" s="6"/>
      <c r="V4637" s="6"/>
      <c r="W4637" s="6"/>
      <c r="X4637" s="6"/>
      <c r="Y4637" s="6"/>
      <c r="Z4637" s="6"/>
    </row>
    <row r="4638" spans="14:26" ht="31.4" customHeight="1" x14ac:dyDescent="0.35">
      <c r="N4638" s="20"/>
      <c r="P4638" s="8"/>
      <c r="Q4638" s="8"/>
      <c r="R4638" s="8"/>
      <c r="S4638" s="8"/>
      <c r="U4638" s="6"/>
      <c r="V4638" s="6"/>
      <c r="W4638" s="6"/>
      <c r="X4638" s="6"/>
      <c r="Y4638" s="6"/>
      <c r="Z4638" s="6"/>
    </row>
    <row r="4639" spans="14:26" ht="31.4" customHeight="1" x14ac:dyDescent="0.35">
      <c r="N4639" s="20"/>
      <c r="P4639" s="8"/>
      <c r="Q4639" s="8"/>
      <c r="R4639" s="8"/>
      <c r="S4639" s="8"/>
      <c r="U4639" s="6"/>
      <c r="V4639" s="6"/>
      <c r="W4639" s="6"/>
      <c r="X4639" s="6"/>
      <c r="Y4639" s="6"/>
      <c r="Z4639" s="6"/>
    </row>
    <row r="4640" spans="14:26" ht="31.4" customHeight="1" x14ac:dyDescent="0.35">
      <c r="N4640" s="20"/>
      <c r="P4640" s="8"/>
      <c r="Q4640" s="8"/>
      <c r="R4640" s="8"/>
      <c r="S4640" s="8"/>
      <c r="U4640" s="6"/>
      <c r="V4640" s="6"/>
      <c r="W4640" s="6"/>
      <c r="X4640" s="6"/>
      <c r="Y4640" s="6"/>
      <c r="Z4640" s="6"/>
    </row>
    <row r="4641" spans="14:26" ht="31.4" customHeight="1" x14ac:dyDescent="0.35">
      <c r="N4641" s="20"/>
      <c r="P4641" s="8"/>
      <c r="Q4641" s="8"/>
      <c r="R4641" s="8"/>
      <c r="S4641" s="8"/>
      <c r="U4641" s="6"/>
      <c r="V4641" s="6"/>
      <c r="W4641" s="6"/>
      <c r="X4641" s="6"/>
      <c r="Y4641" s="6"/>
      <c r="Z4641" s="6"/>
    </row>
    <row r="4642" spans="14:26" ht="31.4" customHeight="1" x14ac:dyDescent="0.35">
      <c r="N4642" s="20"/>
      <c r="P4642" s="8"/>
      <c r="Q4642" s="8"/>
      <c r="R4642" s="8"/>
      <c r="S4642" s="8"/>
      <c r="U4642" s="6"/>
      <c r="V4642" s="6"/>
      <c r="W4642" s="6"/>
      <c r="X4642" s="6"/>
      <c r="Y4642" s="6"/>
      <c r="Z4642" s="6"/>
    </row>
    <row r="4643" spans="14:26" ht="31.4" customHeight="1" x14ac:dyDescent="0.35">
      <c r="N4643" s="20"/>
      <c r="P4643" s="8"/>
      <c r="Q4643" s="8"/>
      <c r="R4643" s="8"/>
      <c r="S4643" s="8"/>
      <c r="U4643" s="6"/>
      <c r="V4643" s="6"/>
      <c r="W4643" s="6"/>
      <c r="X4643" s="6"/>
      <c r="Y4643" s="6"/>
      <c r="Z4643" s="6"/>
    </row>
    <row r="4644" spans="14:26" ht="31.4" customHeight="1" x14ac:dyDescent="0.35">
      <c r="N4644" s="20"/>
      <c r="P4644" s="8"/>
      <c r="Q4644" s="8"/>
      <c r="R4644" s="8"/>
      <c r="S4644" s="8"/>
      <c r="U4644" s="6"/>
      <c r="V4644" s="6"/>
      <c r="W4644" s="6"/>
      <c r="X4644" s="6"/>
      <c r="Y4644" s="6"/>
      <c r="Z4644" s="6"/>
    </row>
    <row r="4645" spans="14:26" ht="31.4" customHeight="1" x14ac:dyDescent="0.35">
      <c r="N4645" s="20"/>
      <c r="P4645" s="8"/>
      <c r="Q4645" s="8"/>
      <c r="R4645" s="8"/>
      <c r="S4645" s="8"/>
      <c r="U4645" s="6"/>
      <c r="V4645" s="6"/>
      <c r="W4645" s="6"/>
      <c r="X4645" s="6"/>
      <c r="Y4645" s="6"/>
      <c r="Z4645" s="6"/>
    </row>
    <row r="4646" spans="14:26" ht="31.4" customHeight="1" x14ac:dyDescent="0.35">
      <c r="N4646" s="20"/>
      <c r="P4646" s="8"/>
      <c r="Q4646" s="8"/>
      <c r="R4646" s="8"/>
      <c r="S4646" s="8"/>
      <c r="U4646" s="6"/>
      <c r="V4646" s="6"/>
      <c r="W4646" s="6"/>
      <c r="X4646" s="6"/>
      <c r="Y4646" s="6"/>
      <c r="Z4646" s="6"/>
    </row>
    <row r="4647" spans="14:26" ht="31.4" customHeight="1" x14ac:dyDescent="0.35">
      <c r="N4647" s="20"/>
      <c r="P4647" s="8"/>
      <c r="Q4647" s="8"/>
      <c r="R4647" s="8"/>
      <c r="S4647" s="8"/>
      <c r="U4647" s="6"/>
      <c r="V4647" s="6"/>
      <c r="W4647" s="6"/>
      <c r="X4647" s="6"/>
      <c r="Y4647" s="6"/>
      <c r="Z4647" s="6"/>
    </row>
    <row r="4648" spans="14:26" ht="31.4" customHeight="1" x14ac:dyDescent="0.35">
      <c r="N4648" s="20"/>
      <c r="P4648" s="8"/>
      <c r="Q4648" s="8"/>
      <c r="R4648" s="8"/>
      <c r="S4648" s="8"/>
      <c r="U4648" s="6"/>
      <c r="V4648" s="6"/>
      <c r="W4648" s="6"/>
      <c r="X4648" s="6"/>
      <c r="Y4648" s="6"/>
      <c r="Z4648" s="6"/>
    </row>
    <row r="4649" spans="14:26" ht="31.4" customHeight="1" x14ac:dyDescent="0.35">
      <c r="N4649" s="20"/>
      <c r="P4649" s="8"/>
      <c r="Q4649" s="8"/>
      <c r="R4649" s="8"/>
      <c r="S4649" s="8"/>
      <c r="U4649" s="6"/>
      <c r="V4649" s="6"/>
      <c r="W4649" s="6"/>
      <c r="X4649" s="6"/>
      <c r="Y4649" s="6"/>
      <c r="Z4649" s="6"/>
    </row>
    <row r="4650" spans="14:26" ht="31.4" customHeight="1" x14ac:dyDescent="0.35">
      <c r="N4650" s="20"/>
      <c r="P4650" s="8"/>
      <c r="Q4650" s="8"/>
      <c r="R4650" s="8"/>
      <c r="S4650" s="8"/>
      <c r="U4650" s="6"/>
      <c r="V4650" s="6"/>
      <c r="W4650" s="6"/>
      <c r="X4650" s="6"/>
      <c r="Y4650" s="6"/>
      <c r="Z4650" s="6"/>
    </row>
    <row r="4651" spans="14:26" ht="31.4" customHeight="1" x14ac:dyDescent="0.35">
      <c r="N4651" s="20"/>
      <c r="P4651" s="8"/>
      <c r="Q4651" s="8"/>
      <c r="R4651" s="8"/>
      <c r="S4651" s="8"/>
      <c r="U4651" s="6"/>
      <c r="V4651" s="6"/>
      <c r="W4651" s="6"/>
      <c r="X4651" s="6"/>
      <c r="Y4651" s="6"/>
      <c r="Z4651" s="6"/>
    </row>
    <row r="4652" spans="14:26" ht="31.4" customHeight="1" x14ac:dyDescent="0.35">
      <c r="N4652" s="20"/>
      <c r="P4652" s="8"/>
      <c r="Q4652" s="8"/>
      <c r="R4652" s="8"/>
      <c r="S4652" s="8"/>
      <c r="U4652" s="6"/>
      <c r="V4652" s="6"/>
      <c r="W4652" s="6"/>
      <c r="X4652" s="6"/>
      <c r="Y4652" s="6"/>
      <c r="Z4652" s="6"/>
    </row>
    <row r="4653" spans="14:26" ht="31.4" customHeight="1" x14ac:dyDescent="0.35">
      <c r="N4653" s="20"/>
      <c r="P4653" s="8"/>
      <c r="Q4653" s="8"/>
      <c r="R4653" s="8"/>
      <c r="S4653" s="8"/>
      <c r="U4653" s="6"/>
      <c r="V4653" s="6"/>
      <c r="W4653" s="6"/>
      <c r="X4653" s="6"/>
      <c r="Y4653" s="6"/>
      <c r="Z4653" s="6"/>
    </row>
    <row r="4654" spans="14:26" ht="31.4" customHeight="1" x14ac:dyDescent="0.35">
      <c r="N4654" s="20"/>
      <c r="P4654" s="8"/>
      <c r="Q4654" s="8"/>
      <c r="R4654" s="8"/>
      <c r="S4654" s="8"/>
      <c r="U4654" s="6"/>
      <c r="V4654" s="6"/>
      <c r="W4654" s="6"/>
      <c r="X4654" s="6"/>
      <c r="Y4654" s="6"/>
      <c r="Z4654" s="6"/>
    </row>
    <row r="4655" spans="14:26" ht="31.4" customHeight="1" x14ac:dyDescent="0.35">
      <c r="N4655" s="20"/>
      <c r="P4655" s="8"/>
      <c r="Q4655" s="8"/>
      <c r="R4655" s="8"/>
      <c r="S4655" s="8"/>
      <c r="U4655" s="6"/>
      <c r="V4655" s="6"/>
      <c r="W4655" s="6"/>
      <c r="X4655" s="6"/>
      <c r="Y4655" s="6"/>
      <c r="Z4655" s="6"/>
    </row>
    <row r="4656" spans="14:26" ht="31.4" customHeight="1" x14ac:dyDescent="0.35">
      <c r="N4656" s="20"/>
      <c r="P4656" s="8"/>
      <c r="Q4656" s="8"/>
      <c r="R4656" s="8"/>
      <c r="S4656" s="8"/>
      <c r="U4656" s="6"/>
      <c r="V4656" s="6"/>
      <c r="W4656" s="6"/>
      <c r="X4656" s="6"/>
      <c r="Y4656" s="6"/>
      <c r="Z4656" s="6"/>
    </row>
    <row r="4657" spans="14:26" ht="31.4" customHeight="1" x14ac:dyDescent="0.35">
      <c r="N4657" s="20"/>
      <c r="P4657" s="8"/>
      <c r="Q4657" s="8"/>
      <c r="R4657" s="8"/>
      <c r="S4657" s="8"/>
      <c r="U4657" s="6"/>
      <c r="V4657" s="6"/>
      <c r="W4657" s="6"/>
      <c r="X4657" s="6"/>
      <c r="Y4657" s="6"/>
      <c r="Z4657" s="6"/>
    </row>
    <row r="4658" spans="14:26" ht="31.4" customHeight="1" x14ac:dyDescent="0.35">
      <c r="N4658" s="20"/>
      <c r="P4658" s="8"/>
      <c r="Q4658" s="8"/>
      <c r="R4658" s="8"/>
      <c r="S4658" s="8"/>
      <c r="U4658" s="6"/>
      <c r="V4658" s="6"/>
      <c r="W4658" s="6"/>
      <c r="X4658" s="6"/>
      <c r="Y4658" s="6"/>
      <c r="Z4658" s="6"/>
    </row>
    <row r="4659" spans="14:26" ht="31.4" customHeight="1" x14ac:dyDescent="0.35">
      <c r="N4659" s="20"/>
      <c r="P4659" s="8"/>
      <c r="Q4659" s="8"/>
      <c r="R4659" s="8"/>
      <c r="S4659" s="8"/>
      <c r="U4659" s="6"/>
      <c r="V4659" s="6"/>
      <c r="W4659" s="6"/>
      <c r="X4659" s="6"/>
      <c r="Y4659" s="6"/>
      <c r="Z4659" s="6"/>
    </row>
    <row r="4660" spans="14:26" ht="31.4" customHeight="1" x14ac:dyDescent="0.35">
      <c r="N4660" s="20"/>
      <c r="P4660" s="8"/>
      <c r="Q4660" s="8"/>
      <c r="R4660" s="8"/>
      <c r="S4660" s="8"/>
      <c r="U4660" s="6"/>
      <c r="V4660" s="6"/>
      <c r="W4660" s="6"/>
      <c r="X4660" s="6"/>
      <c r="Y4660" s="6"/>
      <c r="Z4660" s="6"/>
    </row>
    <row r="4661" spans="14:26" ht="31.4" customHeight="1" x14ac:dyDescent="0.35">
      <c r="N4661" s="20"/>
      <c r="P4661" s="8"/>
      <c r="Q4661" s="8"/>
      <c r="R4661" s="8"/>
      <c r="S4661" s="8"/>
      <c r="U4661" s="6"/>
      <c r="V4661" s="6"/>
      <c r="W4661" s="6"/>
      <c r="X4661" s="6"/>
      <c r="Y4661" s="6"/>
      <c r="Z4661" s="6"/>
    </row>
    <row r="4662" spans="14:26" ht="31.4" customHeight="1" x14ac:dyDescent="0.35">
      <c r="N4662" s="20"/>
      <c r="P4662" s="8"/>
      <c r="Q4662" s="8"/>
      <c r="R4662" s="8"/>
      <c r="S4662" s="8"/>
      <c r="U4662" s="6"/>
      <c r="V4662" s="6"/>
      <c r="W4662" s="6"/>
      <c r="X4662" s="6"/>
      <c r="Y4662" s="6"/>
      <c r="Z4662" s="6"/>
    </row>
    <row r="4663" spans="14:26" ht="31.4" customHeight="1" x14ac:dyDescent="0.35">
      <c r="N4663" s="20"/>
      <c r="P4663" s="8"/>
      <c r="Q4663" s="8"/>
      <c r="R4663" s="8"/>
      <c r="S4663" s="8"/>
      <c r="U4663" s="6"/>
      <c r="V4663" s="6"/>
      <c r="W4663" s="6"/>
      <c r="X4663" s="6"/>
      <c r="Y4663" s="6"/>
      <c r="Z4663" s="6"/>
    </row>
    <row r="4664" spans="14:26" ht="31.4" customHeight="1" x14ac:dyDescent="0.35">
      <c r="N4664" s="20"/>
      <c r="P4664" s="8"/>
      <c r="Q4664" s="8"/>
      <c r="R4664" s="8"/>
      <c r="S4664" s="8"/>
      <c r="U4664" s="6"/>
      <c r="V4664" s="6"/>
      <c r="W4664" s="6"/>
      <c r="X4664" s="6"/>
      <c r="Y4664" s="6"/>
      <c r="Z4664" s="6"/>
    </row>
    <row r="4665" spans="14:26" ht="31.4" customHeight="1" x14ac:dyDescent="0.35">
      <c r="N4665" s="20"/>
      <c r="P4665" s="8"/>
      <c r="Q4665" s="8"/>
      <c r="R4665" s="8"/>
      <c r="S4665" s="8"/>
      <c r="U4665" s="6"/>
      <c r="V4665" s="6"/>
      <c r="W4665" s="6"/>
      <c r="X4665" s="6"/>
      <c r="Y4665" s="6"/>
      <c r="Z4665" s="6"/>
    </row>
    <row r="4666" spans="14:26" ht="31.4" customHeight="1" x14ac:dyDescent="0.35">
      <c r="N4666" s="20"/>
      <c r="P4666" s="8"/>
      <c r="Q4666" s="8"/>
      <c r="R4666" s="8"/>
      <c r="S4666" s="8"/>
      <c r="U4666" s="6"/>
      <c r="V4666" s="6"/>
      <c r="W4666" s="6"/>
      <c r="X4666" s="6"/>
      <c r="Y4666" s="6"/>
      <c r="Z4666" s="6"/>
    </row>
    <row r="4667" spans="14:26" ht="31.4" customHeight="1" x14ac:dyDescent="0.35">
      <c r="N4667" s="20"/>
      <c r="P4667" s="8"/>
      <c r="Q4667" s="8"/>
      <c r="R4667" s="8"/>
      <c r="S4667" s="8"/>
      <c r="U4667" s="6"/>
      <c r="V4667" s="6"/>
      <c r="W4667" s="6"/>
      <c r="X4667" s="6"/>
      <c r="Y4667" s="6"/>
      <c r="Z4667" s="6"/>
    </row>
    <row r="4668" spans="14:26" ht="31.4" customHeight="1" x14ac:dyDescent="0.35">
      <c r="N4668" s="20"/>
      <c r="P4668" s="8"/>
      <c r="Q4668" s="8"/>
      <c r="R4668" s="8"/>
      <c r="S4668" s="8"/>
      <c r="U4668" s="6"/>
      <c r="V4668" s="6"/>
      <c r="W4668" s="6"/>
      <c r="X4668" s="6"/>
      <c r="Y4668" s="6"/>
      <c r="Z4668" s="6"/>
    </row>
    <row r="4669" spans="14:26" ht="31.4" customHeight="1" x14ac:dyDescent="0.35">
      <c r="N4669" s="20"/>
      <c r="P4669" s="8"/>
      <c r="Q4669" s="8"/>
      <c r="R4669" s="8"/>
      <c r="S4669" s="8"/>
      <c r="U4669" s="6"/>
      <c r="V4669" s="6"/>
      <c r="W4669" s="6"/>
      <c r="X4669" s="6"/>
      <c r="Y4669" s="6"/>
      <c r="Z4669" s="6"/>
    </row>
    <row r="4670" spans="14:26" ht="31.4" customHeight="1" x14ac:dyDescent="0.35">
      <c r="N4670" s="20"/>
      <c r="P4670" s="8"/>
      <c r="Q4670" s="8"/>
      <c r="R4670" s="8"/>
      <c r="S4670" s="8"/>
      <c r="U4670" s="6"/>
      <c r="V4670" s="6"/>
      <c r="W4670" s="6"/>
      <c r="X4670" s="6"/>
      <c r="Y4670" s="6"/>
      <c r="Z4670" s="6"/>
    </row>
    <row r="4671" spans="14:26" ht="31.4" customHeight="1" x14ac:dyDescent="0.35">
      <c r="N4671" s="20"/>
      <c r="P4671" s="8"/>
      <c r="Q4671" s="8"/>
      <c r="R4671" s="8"/>
      <c r="S4671" s="8"/>
      <c r="U4671" s="6"/>
      <c r="V4671" s="6"/>
      <c r="W4671" s="6"/>
      <c r="X4671" s="6"/>
      <c r="Y4671" s="6"/>
      <c r="Z4671" s="6"/>
    </row>
    <row r="4672" spans="14:26" ht="31.4" customHeight="1" x14ac:dyDescent="0.35">
      <c r="N4672" s="20"/>
      <c r="P4672" s="8"/>
      <c r="Q4672" s="8"/>
      <c r="R4672" s="8"/>
      <c r="S4672" s="8"/>
      <c r="U4672" s="6"/>
      <c r="V4672" s="6"/>
      <c r="W4672" s="6"/>
      <c r="X4672" s="6"/>
      <c r="Y4672" s="6"/>
      <c r="Z4672" s="6"/>
    </row>
    <row r="4673" spans="14:26" ht="31.4" customHeight="1" x14ac:dyDescent="0.35">
      <c r="N4673" s="20"/>
      <c r="P4673" s="8"/>
      <c r="Q4673" s="8"/>
      <c r="R4673" s="8"/>
      <c r="S4673" s="8"/>
      <c r="U4673" s="6"/>
      <c r="V4673" s="6"/>
      <c r="W4673" s="6"/>
      <c r="X4673" s="6"/>
      <c r="Y4673" s="6"/>
      <c r="Z4673" s="6"/>
    </row>
    <row r="4674" spans="14:26" ht="31.4" customHeight="1" x14ac:dyDescent="0.35">
      <c r="N4674" s="20"/>
      <c r="P4674" s="8"/>
      <c r="Q4674" s="8"/>
      <c r="R4674" s="8"/>
      <c r="S4674" s="8"/>
      <c r="U4674" s="6"/>
      <c r="V4674" s="6"/>
      <c r="W4674" s="6"/>
      <c r="X4674" s="6"/>
      <c r="Y4674" s="6"/>
      <c r="Z4674" s="6"/>
    </row>
    <row r="4675" spans="14:26" ht="31.4" customHeight="1" x14ac:dyDescent="0.35">
      <c r="N4675" s="20"/>
      <c r="P4675" s="8"/>
      <c r="Q4675" s="8"/>
      <c r="R4675" s="8"/>
      <c r="S4675" s="8"/>
      <c r="U4675" s="6"/>
      <c r="V4675" s="6"/>
      <c r="W4675" s="6"/>
      <c r="X4675" s="6"/>
      <c r="Y4675" s="6"/>
      <c r="Z4675" s="6"/>
    </row>
    <row r="4676" spans="14:26" ht="31.4" customHeight="1" x14ac:dyDescent="0.35">
      <c r="N4676" s="20"/>
      <c r="P4676" s="8"/>
      <c r="Q4676" s="8"/>
      <c r="R4676" s="8"/>
      <c r="S4676" s="8"/>
      <c r="U4676" s="6"/>
      <c r="V4676" s="6"/>
      <c r="W4676" s="6"/>
      <c r="X4676" s="6"/>
      <c r="Y4676" s="6"/>
      <c r="Z4676" s="6"/>
    </row>
    <row r="4677" spans="14:26" ht="31.4" customHeight="1" x14ac:dyDescent="0.35">
      <c r="N4677" s="20"/>
      <c r="P4677" s="8"/>
      <c r="Q4677" s="8"/>
      <c r="R4677" s="8"/>
      <c r="S4677" s="8"/>
      <c r="U4677" s="6"/>
      <c r="V4677" s="6"/>
      <c r="W4677" s="6"/>
      <c r="X4677" s="6"/>
      <c r="Y4677" s="6"/>
      <c r="Z4677" s="6"/>
    </row>
    <row r="4678" spans="14:26" ht="31.4" customHeight="1" x14ac:dyDescent="0.35">
      <c r="N4678" s="20"/>
      <c r="P4678" s="8"/>
      <c r="Q4678" s="8"/>
      <c r="R4678" s="8"/>
      <c r="S4678" s="8"/>
      <c r="U4678" s="6"/>
      <c r="V4678" s="6"/>
      <c r="W4678" s="6"/>
      <c r="X4678" s="6"/>
      <c r="Y4678" s="6"/>
      <c r="Z4678" s="6"/>
    </row>
    <row r="4679" spans="14:26" ht="31.4" customHeight="1" x14ac:dyDescent="0.35">
      <c r="N4679" s="20"/>
      <c r="P4679" s="8"/>
      <c r="Q4679" s="8"/>
      <c r="R4679" s="8"/>
      <c r="S4679" s="8"/>
      <c r="U4679" s="6"/>
      <c r="V4679" s="6"/>
      <c r="W4679" s="6"/>
      <c r="X4679" s="6"/>
      <c r="Y4679" s="6"/>
      <c r="Z4679" s="6"/>
    </row>
    <row r="4680" spans="14:26" ht="31.4" customHeight="1" x14ac:dyDescent="0.35">
      <c r="N4680" s="20"/>
      <c r="P4680" s="8"/>
      <c r="Q4680" s="8"/>
      <c r="R4680" s="8"/>
      <c r="S4680" s="8"/>
      <c r="U4680" s="6"/>
      <c r="V4680" s="6"/>
      <c r="W4680" s="6"/>
      <c r="X4680" s="6"/>
      <c r="Y4680" s="6"/>
      <c r="Z4680" s="6"/>
    </row>
    <row r="4681" spans="14:26" ht="31.4" customHeight="1" x14ac:dyDescent="0.35">
      <c r="N4681" s="20"/>
      <c r="P4681" s="8"/>
      <c r="Q4681" s="8"/>
      <c r="R4681" s="8"/>
      <c r="S4681" s="8"/>
      <c r="U4681" s="6"/>
      <c r="V4681" s="6"/>
      <c r="W4681" s="6"/>
      <c r="X4681" s="6"/>
      <c r="Y4681" s="6"/>
      <c r="Z4681" s="6"/>
    </row>
    <row r="4682" spans="14:26" ht="31.4" customHeight="1" x14ac:dyDescent="0.35">
      <c r="N4682" s="20"/>
      <c r="P4682" s="8"/>
      <c r="Q4682" s="8"/>
      <c r="R4682" s="8"/>
      <c r="S4682" s="8"/>
      <c r="U4682" s="6"/>
      <c r="V4682" s="6"/>
      <c r="W4682" s="6"/>
      <c r="X4682" s="6"/>
      <c r="Y4682" s="6"/>
      <c r="Z4682" s="6"/>
    </row>
    <row r="4683" spans="14:26" ht="31.4" customHeight="1" x14ac:dyDescent="0.35">
      <c r="N4683" s="20"/>
      <c r="P4683" s="8"/>
      <c r="Q4683" s="8"/>
      <c r="R4683" s="8"/>
      <c r="S4683" s="8"/>
      <c r="U4683" s="6"/>
      <c r="V4683" s="6"/>
      <c r="W4683" s="6"/>
      <c r="X4683" s="6"/>
      <c r="Y4683" s="6"/>
      <c r="Z4683" s="6"/>
    </row>
    <row r="4684" spans="14:26" ht="31.4" customHeight="1" x14ac:dyDescent="0.35">
      <c r="N4684" s="20"/>
      <c r="P4684" s="8"/>
      <c r="Q4684" s="8"/>
      <c r="R4684" s="8"/>
      <c r="S4684" s="8"/>
      <c r="U4684" s="6"/>
      <c r="V4684" s="6"/>
      <c r="W4684" s="6"/>
      <c r="X4684" s="6"/>
      <c r="Y4684" s="6"/>
      <c r="Z4684" s="6"/>
    </row>
    <row r="4685" spans="14:26" ht="31.4" customHeight="1" x14ac:dyDescent="0.35">
      <c r="N4685" s="20"/>
      <c r="P4685" s="8"/>
      <c r="Q4685" s="8"/>
      <c r="R4685" s="8"/>
      <c r="S4685" s="8"/>
      <c r="U4685" s="6"/>
      <c r="V4685" s="6"/>
      <c r="W4685" s="6"/>
      <c r="X4685" s="6"/>
      <c r="Y4685" s="6"/>
      <c r="Z4685" s="6"/>
    </row>
    <row r="4686" spans="14:26" ht="31.4" customHeight="1" x14ac:dyDescent="0.35">
      <c r="N4686" s="20"/>
      <c r="P4686" s="8"/>
      <c r="Q4686" s="8"/>
      <c r="R4686" s="8"/>
      <c r="S4686" s="8"/>
      <c r="U4686" s="6"/>
      <c r="V4686" s="6"/>
      <c r="W4686" s="6"/>
      <c r="X4686" s="6"/>
      <c r="Y4686" s="6"/>
      <c r="Z4686" s="6"/>
    </row>
    <row r="4687" spans="14:26" ht="31.4" customHeight="1" x14ac:dyDescent="0.35">
      <c r="N4687" s="20"/>
      <c r="P4687" s="8"/>
      <c r="Q4687" s="8"/>
      <c r="R4687" s="8"/>
      <c r="S4687" s="8"/>
      <c r="U4687" s="6"/>
      <c r="V4687" s="6"/>
      <c r="W4687" s="6"/>
      <c r="X4687" s="6"/>
      <c r="Y4687" s="6"/>
      <c r="Z4687" s="6"/>
    </row>
    <row r="4688" spans="14:26" ht="31.4" customHeight="1" x14ac:dyDescent="0.35">
      <c r="N4688" s="20"/>
      <c r="P4688" s="8"/>
      <c r="Q4688" s="8"/>
      <c r="R4688" s="8"/>
      <c r="S4688" s="8"/>
      <c r="U4688" s="6"/>
      <c r="V4688" s="6"/>
      <c r="W4688" s="6"/>
      <c r="X4688" s="6"/>
      <c r="Y4688" s="6"/>
      <c r="Z4688" s="6"/>
    </row>
    <row r="4689" spans="14:26" ht="31.4" customHeight="1" x14ac:dyDescent="0.35">
      <c r="N4689" s="20"/>
      <c r="P4689" s="8"/>
      <c r="Q4689" s="8"/>
      <c r="R4689" s="8"/>
      <c r="S4689" s="8"/>
      <c r="U4689" s="6"/>
      <c r="V4689" s="6"/>
      <c r="W4689" s="6"/>
      <c r="X4689" s="6"/>
      <c r="Y4689" s="6"/>
      <c r="Z4689" s="6"/>
    </row>
    <row r="4690" spans="14:26" ht="31.4" customHeight="1" x14ac:dyDescent="0.35">
      <c r="N4690" s="20"/>
      <c r="P4690" s="8"/>
      <c r="Q4690" s="8"/>
      <c r="R4690" s="8"/>
      <c r="S4690" s="8"/>
      <c r="U4690" s="6"/>
      <c r="V4690" s="6"/>
      <c r="W4690" s="6"/>
      <c r="X4690" s="6"/>
      <c r="Y4690" s="6"/>
      <c r="Z4690" s="6"/>
    </row>
    <row r="4691" spans="14:26" ht="31.4" customHeight="1" x14ac:dyDescent="0.35">
      <c r="N4691" s="20"/>
      <c r="P4691" s="8"/>
      <c r="Q4691" s="8"/>
      <c r="R4691" s="8"/>
      <c r="S4691" s="8"/>
      <c r="U4691" s="6"/>
      <c r="V4691" s="6"/>
      <c r="W4691" s="6"/>
      <c r="X4691" s="6"/>
      <c r="Y4691" s="6"/>
      <c r="Z4691" s="6"/>
    </row>
    <row r="4692" spans="14:26" ht="31.4" customHeight="1" x14ac:dyDescent="0.35">
      <c r="N4692" s="20"/>
      <c r="P4692" s="8"/>
      <c r="Q4692" s="8"/>
      <c r="R4692" s="8"/>
      <c r="S4692" s="8"/>
      <c r="U4692" s="6"/>
      <c r="V4692" s="6"/>
      <c r="W4692" s="6"/>
      <c r="X4692" s="6"/>
      <c r="Y4692" s="6"/>
      <c r="Z4692" s="6"/>
    </row>
    <row r="4693" spans="14:26" ht="31.4" customHeight="1" x14ac:dyDescent="0.35">
      <c r="N4693" s="20"/>
      <c r="P4693" s="8"/>
      <c r="Q4693" s="8"/>
      <c r="R4693" s="8"/>
      <c r="S4693" s="8"/>
      <c r="U4693" s="6"/>
      <c r="V4693" s="6"/>
      <c r="W4693" s="6"/>
      <c r="X4693" s="6"/>
      <c r="Y4693" s="6"/>
      <c r="Z4693" s="6"/>
    </row>
    <row r="4694" spans="14:26" ht="31.4" customHeight="1" x14ac:dyDescent="0.35">
      <c r="N4694" s="20"/>
      <c r="P4694" s="8"/>
      <c r="Q4694" s="8"/>
      <c r="R4694" s="8"/>
      <c r="S4694" s="8"/>
      <c r="U4694" s="6"/>
      <c r="V4694" s="6"/>
      <c r="W4694" s="6"/>
      <c r="X4694" s="6"/>
      <c r="Y4694" s="6"/>
      <c r="Z4694" s="6"/>
    </row>
    <row r="4695" spans="14:26" ht="31.4" customHeight="1" x14ac:dyDescent="0.35">
      <c r="N4695" s="20"/>
      <c r="P4695" s="8"/>
      <c r="Q4695" s="8"/>
      <c r="R4695" s="8"/>
      <c r="S4695" s="8"/>
      <c r="U4695" s="6"/>
      <c r="V4695" s="6"/>
      <c r="W4695" s="6"/>
      <c r="X4695" s="6"/>
      <c r="Y4695" s="6"/>
      <c r="Z4695" s="6"/>
    </row>
    <row r="4696" spans="14:26" ht="31.4" customHeight="1" x14ac:dyDescent="0.35">
      <c r="N4696" s="20"/>
      <c r="P4696" s="8"/>
      <c r="Q4696" s="8"/>
      <c r="R4696" s="8"/>
      <c r="S4696" s="8"/>
      <c r="U4696" s="6"/>
      <c r="V4696" s="6"/>
      <c r="W4696" s="6"/>
      <c r="X4696" s="6"/>
      <c r="Y4696" s="6"/>
      <c r="Z4696" s="6"/>
    </row>
    <row r="4697" spans="14:26" ht="31.4" customHeight="1" x14ac:dyDescent="0.35">
      <c r="N4697" s="20"/>
      <c r="P4697" s="8"/>
      <c r="Q4697" s="8"/>
      <c r="R4697" s="8"/>
      <c r="S4697" s="8"/>
      <c r="U4697" s="6"/>
      <c r="V4697" s="6"/>
      <c r="W4697" s="6"/>
      <c r="X4697" s="6"/>
      <c r="Y4697" s="6"/>
      <c r="Z4697" s="6"/>
    </row>
    <row r="4698" spans="14:26" ht="31.4" customHeight="1" x14ac:dyDescent="0.35">
      <c r="N4698" s="20"/>
      <c r="P4698" s="8"/>
      <c r="Q4698" s="8"/>
      <c r="R4698" s="8"/>
      <c r="S4698" s="8"/>
      <c r="U4698" s="6"/>
      <c r="V4698" s="6"/>
      <c r="W4698" s="6"/>
      <c r="X4698" s="6"/>
      <c r="Y4698" s="6"/>
      <c r="Z4698" s="6"/>
    </row>
    <row r="4699" spans="14:26" ht="31.4" customHeight="1" x14ac:dyDescent="0.35">
      <c r="N4699" s="20"/>
      <c r="P4699" s="8"/>
      <c r="Q4699" s="8"/>
      <c r="R4699" s="8"/>
      <c r="S4699" s="8"/>
      <c r="U4699" s="6"/>
      <c r="V4699" s="6"/>
      <c r="W4699" s="6"/>
      <c r="X4699" s="6"/>
      <c r="Y4699" s="6"/>
      <c r="Z4699" s="6"/>
    </row>
    <row r="4700" spans="14:26" ht="31.4" customHeight="1" x14ac:dyDescent="0.35">
      <c r="N4700" s="20"/>
      <c r="P4700" s="8"/>
      <c r="Q4700" s="8"/>
      <c r="R4700" s="8"/>
      <c r="S4700" s="8"/>
      <c r="U4700" s="6"/>
      <c r="V4700" s="6"/>
      <c r="W4700" s="6"/>
      <c r="X4700" s="6"/>
      <c r="Y4700" s="6"/>
      <c r="Z4700" s="6"/>
    </row>
    <row r="4701" spans="14:26" ht="31.4" customHeight="1" x14ac:dyDescent="0.35">
      <c r="N4701" s="20"/>
      <c r="P4701" s="8"/>
      <c r="Q4701" s="8"/>
      <c r="R4701" s="8"/>
      <c r="S4701" s="8"/>
      <c r="U4701" s="6"/>
      <c r="V4701" s="6"/>
      <c r="W4701" s="6"/>
      <c r="X4701" s="6"/>
      <c r="Y4701" s="6"/>
      <c r="Z4701" s="6"/>
    </row>
    <row r="4702" spans="14:26" ht="31.4" customHeight="1" x14ac:dyDescent="0.35">
      <c r="N4702" s="20"/>
      <c r="P4702" s="8"/>
      <c r="Q4702" s="8"/>
      <c r="R4702" s="8"/>
      <c r="S4702" s="8"/>
      <c r="U4702" s="6"/>
      <c r="V4702" s="6"/>
      <c r="W4702" s="6"/>
      <c r="X4702" s="6"/>
      <c r="Y4702" s="6"/>
      <c r="Z4702" s="6"/>
    </row>
    <row r="4703" spans="14:26" ht="31.4" customHeight="1" x14ac:dyDescent="0.35">
      <c r="N4703" s="20"/>
      <c r="P4703" s="8"/>
      <c r="Q4703" s="8"/>
      <c r="R4703" s="8"/>
      <c r="S4703" s="8"/>
      <c r="U4703" s="6"/>
      <c r="V4703" s="6"/>
      <c r="W4703" s="6"/>
      <c r="X4703" s="6"/>
      <c r="Y4703" s="6"/>
      <c r="Z4703" s="6"/>
    </row>
    <row r="4704" spans="14:26" ht="31.4" customHeight="1" x14ac:dyDescent="0.35">
      <c r="N4704" s="20"/>
      <c r="P4704" s="8"/>
      <c r="Q4704" s="8"/>
      <c r="R4704" s="8"/>
      <c r="S4704" s="8"/>
      <c r="U4704" s="6"/>
      <c r="V4704" s="6"/>
      <c r="W4704" s="6"/>
      <c r="X4704" s="6"/>
      <c r="Y4704" s="6"/>
      <c r="Z4704" s="6"/>
    </row>
    <row r="4705" spans="14:26" ht="31.4" customHeight="1" x14ac:dyDescent="0.35">
      <c r="N4705" s="20"/>
      <c r="P4705" s="8"/>
      <c r="Q4705" s="8"/>
      <c r="R4705" s="8"/>
      <c r="S4705" s="8"/>
      <c r="U4705" s="6"/>
      <c r="V4705" s="6"/>
      <c r="W4705" s="6"/>
      <c r="X4705" s="6"/>
      <c r="Y4705" s="6"/>
      <c r="Z4705" s="6"/>
    </row>
    <row r="4706" spans="14:26" ht="31.4" customHeight="1" x14ac:dyDescent="0.35">
      <c r="N4706" s="20"/>
      <c r="P4706" s="8"/>
      <c r="Q4706" s="8"/>
      <c r="R4706" s="8"/>
      <c r="S4706" s="8"/>
      <c r="U4706" s="6"/>
      <c r="V4706" s="6"/>
      <c r="W4706" s="6"/>
      <c r="X4706" s="6"/>
      <c r="Y4706" s="6"/>
      <c r="Z4706" s="6"/>
    </row>
    <row r="4707" spans="14:26" ht="31.4" customHeight="1" x14ac:dyDescent="0.35">
      <c r="N4707" s="20"/>
      <c r="P4707" s="8"/>
      <c r="Q4707" s="8"/>
      <c r="R4707" s="8"/>
      <c r="S4707" s="8"/>
      <c r="U4707" s="6"/>
      <c r="V4707" s="6"/>
      <c r="W4707" s="6"/>
      <c r="X4707" s="6"/>
      <c r="Y4707" s="6"/>
      <c r="Z4707" s="6"/>
    </row>
    <row r="4708" spans="14:26" ht="31.4" customHeight="1" x14ac:dyDescent="0.35">
      <c r="N4708" s="20"/>
      <c r="P4708" s="8"/>
      <c r="Q4708" s="8"/>
      <c r="R4708" s="8"/>
      <c r="S4708" s="8"/>
      <c r="U4708" s="6"/>
      <c r="V4708" s="6"/>
      <c r="W4708" s="6"/>
      <c r="X4708" s="6"/>
      <c r="Y4708" s="6"/>
      <c r="Z4708" s="6"/>
    </row>
    <row r="4709" spans="14:26" ht="31.4" customHeight="1" x14ac:dyDescent="0.35">
      <c r="N4709" s="20"/>
      <c r="P4709" s="8"/>
      <c r="Q4709" s="8"/>
      <c r="R4709" s="8"/>
      <c r="S4709" s="8"/>
      <c r="U4709" s="6"/>
      <c r="V4709" s="6"/>
      <c r="W4709" s="6"/>
      <c r="X4709" s="6"/>
      <c r="Y4709" s="6"/>
      <c r="Z4709" s="6"/>
    </row>
    <row r="4710" spans="14:26" ht="31.4" customHeight="1" x14ac:dyDescent="0.35">
      <c r="N4710" s="20"/>
      <c r="P4710" s="8"/>
      <c r="Q4710" s="8"/>
      <c r="R4710" s="8"/>
      <c r="S4710" s="8"/>
      <c r="U4710" s="6"/>
      <c r="V4710" s="6"/>
      <c r="W4710" s="6"/>
      <c r="X4710" s="6"/>
      <c r="Y4710" s="6"/>
      <c r="Z4710" s="6"/>
    </row>
    <row r="4711" spans="14:26" ht="31.4" customHeight="1" x14ac:dyDescent="0.35">
      <c r="N4711" s="20"/>
      <c r="P4711" s="8"/>
      <c r="Q4711" s="8"/>
      <c r="R4711" s="8"/>
      <c r="S4711" s="8"/>
      <c r="U4711" s="6"/>
      <c r="V4711" s="6"/>
      <c r="W4711" s="6"/>
      <c r="X4711" s="6"/>
      <c r="Y4711" s="6"/>
      <c r="Z4711" s="6"/>
    </row>
    <row r="4712" spans="14:26" ht="31.4" customHeight="1" x14ac:dyDescent="0.35">
      <c r="N4712" s="20"/>
      <c r="P4712" s="8"/>
      <c r="Q4712" s="8"/>
      <c r="R4712" s="8"/>
      <c r="S4712" s="8"/>
      <c r="U4712" s="6"/>
      <c r="V4712" s="6"/>
      <c r="W4712" s="6"/>
      <c r="X4712" s="6"/>
      <c r="Y4712" s="6"/>
      <c r="Z4712" s="6"/>
    </row>
    <row r="4713" spans="14:26" ht="31.4" customHeight="1" x14ac:dyDescent="0.35">
      <c r="N4713" s="20"/>
      <c r="P4713" s="8"/>
      <c r="Q4713" s="8"/>
      <c r="R4713" s="8"/>
      <c r="S4713" s="8"/>
      <c r="U4713" s="6"/>
      <c r="V4713" s="6"/>
      <c r="W4713" s="6"/>
      <c r="X4713" s="6"/>
      <c r="Y4713" s="6"/>
      <c r="Z4713" s="6"/>
    </row>
    <row r="4714" spans="14:26" ht="31.4" customHeight="1" x14ac:dyDescent="0.35">
      <c r="N4714" s="20"/>
      <c r="P4714" s="8"/>
      <c r="Q4714" s="8"/>
      <c r="R4714" s="8"/>
      <c r="S4714" s="8"/>
      <c r="U4714" s="6"/>
      <c r="V4714" s="6"/>
      <c r="W4714" s="6"/>
      <c r="X4714" s="6"/>
      <c r="Y4714" s="6"/>
      <c r="Z4714" s="6"/>
    </row>
    <row r="4715" spans="14:26" ht="31.4" customHeight="1" x14ac:dyDescent="0.35">
      <c r="N4715" s="20"/>
      <c r="P4715" s="8"/>
      <c r="Q4715" s="8"/>
      <c r="R4715" s="8"/>
      <c r="S4715" s="8"/>
      <c r="U4715" s="6"/>
      <c r="V4715" s="6"/>
      <c r="W4715" s="6"/>
      <c r="X4715" s="6"/>
      <c r="Y4715" s="6"/>
      <c r="Z4715" s="6"/>
    </row>
    <row r="4716" spans="14:26" ht="31.4" customHeight="1" x14ac:dyDescent="0.35">
      <c r="N4716" s="20"/>
      <c r="P4716" s="8"/>
      <c r="Q4716" s="8"/>
      <c r="R4716" s="8"/>
      <c r="S4716" s="8"/>
      <c r="U4716" s="6"/>
      <c r="V4716" s="6"/>
      <c r="W4716" s="6"/>
      <c r="X4716" s="6"/>
      <c r="Y4716" s="6"/>
      <c r="Z4716" s="6"/>
    </row>
    <row r="4717" spans="14:26" ht="31.4" customHeight="1" x14ac:dyDescent="0.35">
      <c r="N4717" s="20"/>
      <c r="P4717" s="8"/>
      <c r="Q4717" s="8"/>
      <c r="R4717" s="8"/>
      <c r="S4717" s="8"/>
      <c r="U4717" s="6"/>
      <c r="V4717" s="6"/>
      <c r="W4717" s="6"/>
      <c r="X4717" s="6"/>
      <c r="Y4717" s="6"/>
      <c r="Z4717" s="6"/>
    </row>
    <row r="4718" spans="14:26" ht="31.4" customHeight="1" x14ac:dyDescent="0.35">
      <c r="N4718" s="20"/>
      <c r="P4718" s="8"/>
      <c r="Q4718" s="8"/>
      <c r="R4718" s="8"/>
      <c r="S4718" s="8"/>
      <c r="U4718" s="6"/>
      <c r="V4718" s="6"/>
      <c r="W4718" s="6"/>
      <c r="X4718" s="6"/>
      <c r="Y4718" s="6"/>
      <c r="Z4718" s="6"/>
    </row>
    <row r="4719" spans="14:26" ht="31.4" customHeight="1" x14ac:dyDescent="0.35">
      <c r="N4719" s="20"/>
      <c r="P4719" s="8"/>
      <c r="Q4719" s="8"/>
      <c r="R4719" s="8"/>
      <c r="S4719" s="8"/>
      <c r="U4719" s="6"/>
      <c r="V4719" s="6"/>
      <c r="W4719" s="6"/>
      <c r="X4719" s="6"/>
      <c r="Y4719" s="6"/>
      <c r="Z4719" s="6"/>
    </row>
    <row r="4720" spans="14:26" ht="31.4" customHeight="1" x14ac:dyDescent="0.35">
      <c r="N4720" s="20"/>
      <c r="P4720" s="8"/>
      <c r="Q4720" s="8"/>
      <c r="R4720" s="8"/>
      <c r="S4720" s="8"/>
      <c r="U4720" s="6"/>
      <c r="V4720" s="6"/>
      <c r="W4720" s="6"/>
      <c r="X4720" s="6"/>
      <c r="Y4720" s="6"/>
      <c r="Z4720" s="6"/>
    </row>
    <row r="4721" spans="14:26" ht="31.4" customHeight="1" x14ac:dyDescent="0.35">
      <c r="N4721" s="20"/>
      <c r="P4721" s="8"/>
      <c r="Q4721" s="8"/>
      <c r="R4721" s="8"/>
      <c r="S4721" s="8"/>
      <c r="U4721" s="6"/>
      <c r="V4721" s="6"/>
      <c r="W4721" s="6"/>
      <c r="X4721" s="6"/>
      <c r="Y4721" s="6"/>
      <c r="Z4721" s="6"/>
    </row>
    <row r="4722" spans="14:26" ht="31.4" customHeight="1" x14ac:dyDescent="0.35">
      <c r="N4722" s="20"/>
      <c r="P4722" s="8"/>
      <c r="Q4722" s="8"/>
      <c r="R4722" s="8"/>
      <c r="S4722" s="8"/>
      <c r="U4722" s="6"/>
      <c r="V4722" s="6"/>
      <c r="W4722" s="6"/>
      <c r="X4722" s="6"/>
      <c r="Y4722" s="6"/>
      <c r="Z4722" s="6"/>
    </row>
    <row r="4723" spans="14:26" ht="31.4" customHeight="1" x14ac:dyDescent="0.35">
      <c r="N4723" s="20"/>
      <c r="P4723" s="8"/>
      <c r="Q4723" s="8"/>
      <c r="R4723" s="8"/>
      <c r="S4723" s="8"/>
      <c r="U4723" s="6"/>
      <c r="V4723" s="6"/>
      <c r="W4723" s="6"/>
      <c r="X4723" s="6"/>
      <c r="Y4723" s="6"/>
      <c r="Z4723" s="6"/>
    </row>
    <row r="4724" spans="14:26" ht="31.4" customHeight="1" x14ac:dyDescent="0.35">
      <c r="N4724" s="20"/>
      <c r="P4724" s="8"/>
      <c r="Q4724" s="8"/>
      <c r="R4724" s="8"/>
      <c r="S4724" s="8"/>
      <c r="U4724" s="6"/>
      <c r="V4724" s="6"/>
      <c r="W4724" s="6"/>
      <c r="X4724" s="6"/>
      <c r="Y4724" s="6"/>
      <c r="Z4724" s="6"/>
    </row>
    <row r="4725" spans="14:26" ht="31.4" customHeight="1" x14ac:dyDescent="0.35">
      <c r="N4725" s="20"/>
      <c r="P4725" s="8"/>
      <c r="Q4725" s="8"/>
      <c r="R4725" s="8"/>
      <c r="S4725" s="8"/>
      <c r="U4725" s="6"/>
      <c r="V4725" s="6"/>
      <c r="W4725" s="6"/>
      <c r="X4725" s="6"/>
      <c r="Y4725" s="6"/>
      <c r="Z4725" s="6"/>
    </row>
    <row r="4726" spans="14:26" ht="31.4" customHeight="1" x14ac:dyDescent="0.35">
      <c r="N4726" s="20"/>
      <c r="P4726" s="8"/>
      <c r="Q4726" s="8"/>
      <c r="R4726" s="8"/>
      <c r="S4726" s="8"/>
      <c r="U4726" s="6"/>
      <c r="V4726" s="6"/>
      <c r="W4726" s="6"/>
      <c r="X4726" s="6"/>
      <c r="Y4726" s="6"/>
      <c r="Z4726" s="6"/>
    </row>
    <row r="4727" spans="14:26" ht="31.4" customHeight="1" x14ac:dyDescent="0.35">
      <c r="N4727" s="20"/>
      <c r="P4727" s="8"/>
      <c r="Q4727" s="8"/>
      <c r="R4727" s="8"/>
      <c r="S4727" s="8"/>
      <c r="U4727" s="6"/>
      <c r="V4727" s="6"/>
      <c r="W4727" s="6"/>
      <c r="X4727" s="6"/>
      <c r="Y4727" s="6"/>
      <c r="Z4727" s="6"/>
    </row>
    <row r="4728" spans="14:26" ht="31.4" customHeight="1" x14ac:dyDescent="0.35">
      <c r="N4728" s="20"/>
      <c r="P4728" s="8"/>
      <c r="Q4728" s="8"/>
      <c r="R4728" s="8"/>
      <c r="S4728" s="8"/>
      <c r="U4728" s="6"/>
      <c r="V4728" s="6"/>
      <c r="W4728" s="6"/>
      <c r="X4728" s="6"/>
      <c r="Y4728" s="6"/>
      <c r="Z4728" s="6"/>
    </row>
    <row r="4729" spans="14:26" ht="31.4" customHeight="1" x14ac:dyDescent="0.35">
      <c r="N4729" s="20"/>
      <c r="P4729" s="8"/>
      <c r="Q4729" s="8"/>
      <c r="R4729" s="8"/>
      <c r="S4729" s="8"/>
      <c r="U4729" s="6"/>
      <c r="V4729" s="6"/>
      <c r="W4729" s="6"/>
      <c r="X4729" s="6"/>
      <c r="Y4729" s="6"/>
      <c r="Z4729" s="6"/>
    </row>
    <row r="4730" spans="14:26" ht="31.4" customHeight="1" x14ac:dyDescent="0.35">
      <c r="N4730" s="20"/>
      <c r="P4730" s="8"/>
      <c r="Q4730" s="8"/>
      <c r="R4730" s="8"/>
      <c r="S4730" s="8"/>
      <c r="U4730" s="6"/>
      <c r="V4730" s="6"/>
      <c r="W4730" s="6"/>
      <c r="X4730" s="6"/>
      <c r="Y4730" s="6"/>
      <c r="Z4730" s="6"/>
    </row>
    <row r="4731" spans="14:26" ht="31.4" customHeight="1" x14ac:dyDescent="0.35">
      <c r="N4731" s="20"/>
      <c r="P4731" s="8"/>
      <c r="Q4731" s="8"/>
      <c r="R4731" s="8"/>
      <c r="S4731" s="8"/>
      <c r="U4731" s="6"/>
      <c r="V4731" s="6"/>
      <c r="W4731" s="6"/>
      <c r="X4731" s="6"/>
      <c r="Y4731" s="6"/>
      <c r="Z4731" s="6"/>
    </row>
    <row r="4732" spans="14:26" ht="31.4" customHeight="1" x14ac:dyDescent="0.35">
      <c r="N4732" s="20"/>
      <c r="P4732" s="8"/>
      <c r="Q4732" s="8"/>
      <c r="R4732" s="8"/>
      <c r="S4732" s="8"/>
      <c r="U4732" s="6"/>
      <c r="V4732" s="6"/>
      <c r="W4732" s="6"/>
      <c r="X4732" s="6"/>
      <c r="Y4732" s="6"/>
      <c r="Z4732" s="6"/>
    </row>
    <row r="4733" spans="14:26" ht="31.4" customHeight="1" x14ac:dyDescent="0.35">
      <c r="N4733" s="20"/>
      <c r="P4733" s="8"/>
      <c r="Q4733" s="8"/>
      <c r="R4733" s="8"/>
      <c r="S4733" s="8"/>
      <c r="U4733" s="6"/>
      <c r="V4733" s="6"/>
      <c r="W4733" s="6"/>
      <c r="X4733" s="6"/>
      <c r="Y4733" s="6"/>
      <c r="Z4733" s="6"/>
    </row>
    <row r="4734" spans="14:26" ht="31.4" customHeight="1" x14ac:dyDescent="0.35">
      <c r="N4734" s="20"/>
      <c r="P4734" s="8"/>
      <c r="Q4734" s="8"/>
      <c r="R4734" s="8"/>
      <c r="S4734" s="8"/>
      <c r="U4734" s="6"/>
      <c r="V4734" s="6"/>
      <c r="W4734" s="6"/>
      <c r="X4734" s="6"/>
      <c r="Y4734" s="6"/>
      <c r="Z4734" s="6"/>
    </row>
    <row r="4735" spans="14:26" ht="31.4" customHeight="1" x14ac:dyDescent="0.35">
      <c r="N4735" s="20"/>
      <c r="P4735" s="8"/>
      <c r="Q4735" s="8"/>
      <c r="R4735" s="8"/>
      <c r="S4735" s="8"/>
      <c r="U4735" s="6"/>
      <c r="V4735" s="6"/>
      <c r="W4735" s="6"/>
      <c r="X4735" s="6"/>
      <c r="Y4735" s="6"/>
      <c r="Z4735" s="6"/>
    </row>
    <row r="4736" spans="14:26" ht="31.4" customHeight="1" x14ac:dyDescent="0.35">
      <c r="N4736" s="20"/>
      <c r="P4736" s="8"/>
      <c r="Q4736" s="8"/>
      <c r="R4736" s="8"/>
      <c r="S4736" s="8"/>
      <c r="U4736" s="6"/>
      <c r="V4736" s="6"/>
      <c r="W4736" s="6"/>
      <c r="X4736" s="6"/>
      <c r="Y4736" s="6"/>
      <c r="Z4736" s="6"/>
    </row>
    <row r="4737" spans="14:26" ht="31.4" customHeight="1" x14ac:dyDescent="0.35">
      <c r="N4737" s="20"/>
      <c r="P4737" s="8"/>
      <c r="Q4737" s="8"/>
      <c r="R4737" s="8"/>
      <c r="S4737" s="8"/>
      <c r="U4737" s="6"/>
      <c r="V4737" s="6"/>
      <c r="W4737" s="6"/>
      <c r="X4737" s="6"/>
      <c r="Y4737" s="6"/>
      <c r="Z4737" s="6"/>
    </row>
    <row r="4738" spans="14:26" ht="31.4" customHeight="1" x14ac:dyDescent="0.35">
      <c r="N4738" s="20"/>
      <c r="P4738" s="8"/>
      <c r="Q4738" s="8"/>
      <c r="R4738" s="8"/>
      <c r="S4738" s="8"/>
      <c r="U4738" s="6"/>
      <c r="V4738" s="6"/>
      <c r="W4738" s="6"/>
      <c r="X4738" s="6"/>
      <c r="Y4738" s="6"/>
      <c r="Z4738" s="6"/>
    </row>
    <row r="4739" spans="14:26" ht="31.4" customHeight="1" x14ac:dyDescent="0.35">
      <c r="N4739" s="20"/>
      <c r="P4739" s="8"/>
      <c r="Q4739" s="8"/>
      <c r="R4739" s="8"/>
      <c r="S4739" s="8"/>
      <c r="U4739" s="6"/>
      <c r="V4739" s="6"/>
      <c r="W4739" s="6"/>
      <c r="X4739" s="6"/>
      <c r="Y4739" s="6"/>
      <c r="Z4739" s="6"/>
    </row>
    <row r="4740" spans="14:26" ht="31.4" customHeight="1" x14ac:dyDescent="0.35">
      <c r="N4740" s="20"/>
      <c r="P4740" s="8"/>
      <c r="Q4740" s="8"/>
      <c r="R4740" s="8"/>
      <c r="S4740" s="8"/>
      <c r="U4740" s="6"/>
      <c r="V4740" s="6"/>
      <c r="W4740" s="6"/>
      <c r="X4740" s="6"/>
      <c r="Y4740" s="6"/>
      <c r="Z4740" s="6"/>
    </row>
    <row r="4741" spans="14:26" ht="31.4" customHeight="1" x14ac:dyDescent="0.35">
      <c r="N4741" s="20"/>
      <c r="P4741" s="8"/>
      <c r="Q4741" s="8"/>
      <c r="R4741" s="8"/>
      <c r="S4741" s="8"/>
      <c r="U4741" s="6"/>
      <c r="V4741" s="6"/>
      <c r="W4741" s="6"/>
      <c r="X4741" s="6"/>
      <c r="Y4741" s="6"/>
      <c r="Z4741" s="6"/>
    </row>
    <row r="4742" spans="14:26" ht="31.4" customHeight="1" x14ac:dyDescent="0.35">
      <c r="N4742" s="20"/>
      <c r="P4742" s="8"/>
      <c r="Q4742" s="8"/>
      <c r="R4742" s="8"/>
      <c r="S4742" s="8"/>
      <c r="U4742" s="6"/>
      <c r="V4742" s="6"/>
      <c r="W4742" s="6"/>
      <c r="X4742" s="6"/>
      <c r="Y4742" s="6"/>
      <c r="Z4742" s="6"/>
    </row>
    <row r="4743" spans="14:26" ht="31.4" customHeight="1" x14ac:dyDescent="0.35">
      <c r="N4743" s="20"/>
      <c r="P4743" s="8"/>
      <c r="Q4743" s="8"/>
      <c r="R4743" s="8"/>
      <c r="S4743" s="8"/>
      <c r="U4743" s="6"/>
      <c r="V4743" s="6"/>
      <c r="W4743" s="6"/>
      <c r="X4743" s="6"/>
      <c r="Y4743" s="6"/>
      <c r="Z4743" s="6"/>
    </row>
    <row r="4744" spans="14:26" ht="31.4" customHeight="1" x14ac:dyDescent="0.35">
      <c r="N4744" s="20"/>
      <c r="P4744" s="8"/>
      <c r="Q4744" s="8"/>
      <c r="R4744" s="8"/>
      <c r="S4744" s="8"/>
      <c r="U4744" s="6"/>
      <c r="V4744" s="6"/>
      <c r="W4744" s="6"/>
      <c r="X4744" s="6"/>
      <c r="Y4744" s="6"/>
      <c r="Z4744" s="6"/>
    </row>
    <row r="4745" spans="14:26" ht="31.4" customHeight="1" x14ac:dyDescent="0.35">
      <c r="N4745" s="20"/>
      <c r="P4745" s="8"/>
      <c r="Q4745" s="8"/>
      <c r="R4745" s="8"/>
      <c r="S4745" s="8"/>
      <c r="U4745" s="6"/>
      <c r="V4745" s="6"/>
      <c r="W4745" s="6"/>
      <c r="X4745" s="6"/>
      <c r="Y4745" s="6"/>
      <c r="Z4745" s="6"/>
    </row>
    <row r="4746" spans="14:26" ht="31.4" customHeight="1" x14ac:dyDescent="0.35">
      <c r="N4746" s="20"/>
      <c r="P4746" s="8"/>
      <c r="Q4746" s="8"/>
      <c r="R4746" s="8"/>
      <c r="S4746" s="8"/>
      <c r="U4746" s="6"/>
      <c r="V4746" s="6"/>
      <c r="W4746" s="6"/>
      <c r="X4746" s="6"/>
      <c r="Y4746" s="6"/>
      <c r="Z4746" s="6"/>
    </row>
    <row r="4747" spans="14:26" ht="31.4" customHeight="1" x14ac:dyDescent="0.35">
      <c r="N4747" s="20"/>
      <c r="P4747" s="8"/>
      <c r="Q4747" s="8"/>
      <c r="R4747" s="8"/>
      <c r="S4747" s="8"/>
      <c r="U4747" s="6"/>
      <c r="V4747" s="6"/>
      <c r="W4747" s="6"/>
      <c r="X4747" s="6"/>
      <c r="Y4747" s="6"/>
      <c r="Z4747" s="6"/>
    </row>
    <row r="4748" spans="14:26" ht="31.4" customHeight="1" x14ac:dyDescent="0.35">
      <c r="N4748" s="20"/>
      <c r="P4748" s="8"/>
      <c r="Q4748" s="8"/>
      <c r="R4748" s="8"/>
      <c r="S4748" s="8"/>
      <c r="U4748" s="6"/>
      <c r="V4748" s="6"/>
      <c r="W4748" s="6"/>
      <c r="X4748" s="6"/>
      <c r="Y4748" s="6"/>
      <c r="Z4748" s="6"/>
    </row>
    <row r="4749" spans="14:26" ht="31.4" customHeight="1" x14ac:dyDescent="0.35">
      <c r="N4749" s="20"/>
      <c r="P4749" s="8"/>
      <c r="Q4749" s="8"/>
      <c r="R4749" s="8"/>
      <c r="S4749" s="8"/>
      <c r="U4749" s="6"/>
      <c r="V4749" s="6"/>
      <c r="W4749" s="6"/>
      <c r="X4749" s="6"/>
      <c r="Y4749" s="6"/>
      <c r="Z4749" s="6"/>
    </row>
    <row r="4750" spans="14:26" ht="31.4" customHeight="1" x14ac:dyDescent="0.35">
      <c r="N4750" s="20"/>
      <c r="P4750" s="8"/>
      <c r="Q4750" s="8"/>
      <c r="R4750" s="8"/>
      <c r="S4750" s="8"/>
      <c r="U4750" s="6"/>
      <c r="V4750" s="6"/>
      <c r="W4750" s="6"/>
      <c r="X4750" s="6"/>
      <c r="Y4750" s="6"/>
      <c r="Z4750" s="6"/>
    </row>
    <row r="4751" spans="14:26" ht="31.4" customHeight="1" x14ac:dyDescent="0.35">
      <c r="N4751" s="20"/>
      <c r="P4751" s="8"/>
      <c r="Q4751" s="8"/>
      <c r="R4751" s="8"/>
      <c r="S4751" s="8"/>
      <c r="U4751" s="6"/>
      <c r="V4751" s="6"/>
      <c r="W4751" s="6"/>
      <c r="X4751" s="6"/>
      <c r="Y4751" s="6"/>
      <c r="Z4751" s="6"/>
    </row>
    <row r="4752" spans="14:26" ht="31.4" customHeight="1" x14ac:dyDescent="0.35">
      <c r="N4752" s="20"/>
      <c r="P4752" s="8"/>
      <c r="Q4752" s="8"/>
      <c r="R4752" s="8"/>
      <c r="S4752" s="8"/>
      <c r="U4752" s="6"/>
      <c r="V4752" s="6"/>
      <c r="W4752" s="6"/>
      <c r="X4752" s="6"/>
      <c r="Y4752" s="6"/>
      <c r="Z4752" s="6"/>
    </row>
    <row r="4753" spans="14:26" ht="31.4" customHeight="1" x14ac:dyDescent="0.35">
      <c r="N4753" s="20"/>
      <c r="P4753" s="8"/>
      <c r="Q4753" s="8"/>
      <c r="R4753" s="8"/>
      <c r="S4753" s="8"/>
      <c r="U4753" s="6"/>
      <c r="V4753" s="6"/>
      <c r="W4753" s="6"/>
      <c r="X4753" s="6"/>
      <c r="Y4753" s="6"/>
      <c r="Z4753" s="6"/>
    </row>
    <row r="4754" spans="14:26" ht="31.4" customHeight="1" x14ac:dyDescent="0.35">
      <c r="N4754" s="20"/>
      <c r="P4754" s="8"/>
      <c r="Q4754" s="8"/>
      <c r="R4754" s="8"/>
      <c r="S4754" s="8"/>
      <c r="U4754" s="6"/>
      <c r="V4754" s="6"/>
      <c r="W4754" s="6"/>
      <c r="X4754" s="6"/>
      <c r="Y4754" s="6"/>
      <c r="Z4754" s="6"/>
    </row>
    <row r="4755" spans="14:26" ht="31.4" customHeight="1" x14ac:dyDescent="0.35">
      <c r="N4755" s="20"/>
      <c r="P4755" s="8"/>
      <c r="Q4755" s="8"/>
      <c r="R4755" s="8"/>
      <c r="S4755" s="8"/>
      <c r="U4755" s="6"/>
      <c r="V4755" s="6"/>
      <c r="W4755" s="6"/>
      <c r="X4755" s="6"/>
      <c r="Y4755" s="6"/>
      <c r="Z4755" s="6"/>
    </row>
    <row r="4756" spans="14:26" ht="31.4" customHeight="1" x14ac:dyDescent="0.35">
      <c r="N4756" s="20"/>
      <c r="P4756" s="8"/>
      <c r="Q4756" s="8"/>
      <c r="R4756" s="8"/>
      <c r="S4756" s="8"/>
      <c r="U4756" s="6"/>
      <c r="V4756" s="6"/>
      <c r="W4756" s="6"/>
      <c r="X4756" s="6"/>
      <c r="Y4756" s="6"/>
      <c r="Z4756" s="6"/>
    </row>
    <row r="4757" spans="14:26" ht="31.4" customHeight="1" x14ac:dyDescent="0.35">
      <c r="N4757" s="20"/>
      <c r="P4757" s="8"/>
      <c r="Q4757" s="8"/>
      <c r="R4757" s="8"/>
      <c r="S4757" s="8"/>
      <c r="U4757" s="6"/>
      <c r="V4757" s="6"/>
      <c r="W4757" s="6"/>
      <c r="X4757" s="6"/>
      <c r="Y4757" s="6"/>
      <c r="Z4757" s="6"/>
    </row>
    <row r="4758" spans="14:26" ht="31.4" customHeight="1" x14ac:dyDescent="0.35">
      <c r="N4758" s="20"/>
      <c r="P4758" s="8"/>
      <c r="Q4758" s="8"/>
      <c r="R4758" s="8"/>
      <c r="S4758" s="8"/>
      <c r="U4758" s="6"/>
      <c r="V4758" s="6"/>
      <c r="W4758" s="6"/>
      <c r="X4758" s="6"/>
      <c r="Y4758" s="6"/>
      <c r="Z4758" s="6"/>
    </row>
    <row r="4759" spans="14:26" ht="31.4" customHeight="1" x14ac:dyDescent="0.35">
      <c r="N4759" s="20"/>
      <c r="P4759" s="8"/>
      <c r="Q4759" s="8"/>
      <c r="R4759" s="8"/>
      <c r="S4759" s="8"/>
      <c r="U4759" s="6"/>
      <c r="V4759" s="6"/>
      <c r="W4759" s="6"/>
      <c r="X4759" s="6"/>
      <c r="Y4759" s="6"/>
      <c r="Z4759" s="6"/>
    </row>
    <row r="4760" spans="14:26" ht="31.4" customHeight="1" x14ac:dyDescent="0.35">
      <c r="N4760" s="20"/>
      <c r="P4760" s="8"/>
      <c r="Q4760" s="8"/>
      <c r="R4760" s="8"/>
      <c r="S4760" s="8"/>
      <c r="U4760" s="6"/>
      <c r="V4760" s="6"/>
      <c r="W4760" s="6"/>
      <c r="X4760" s="6"/>
      <c r="Y4760" s="6"/>
      <c r="Z4760" s="6"/>
    </row>
    <row r="4761" spans="14:26" ht="31.4" customHeight="1" x14ac:dyDescent="0.35">
      <c r="N4761" s="20"/>
      <c r="P4761" s="8"/>
      <c r="Q4761" s="8"/>
      <c r="R4761" s="8"/>
      <c r="S4761" s="8"/>
      <c r="U4761" s="6"/>
      <c r="V4761" s="6"/>
      <c r="W4761" s="6"/>
      <c r="X4761" s="6"/>
      <c r="Y4761" s="6"/>
      <c r="Z4761" s="6"/>
    </row>
    <row r="4762" spans="14:26" ht="31.4" customHeight="1" x14ac:dyDescent="0.35">
      <c r="N4762" s="20"/>
      <c r="P4762" s="8"/>
      <c r="Q4762" s="8"/>
      <c r="R4762" s="8"/>
      <c r="S4762" s="8"/>
      <c r="U4762" s="6"/>
      <c r="V4762" s="6"/>
      <c r="W4762" s="6"/>
      <c r="X4762" s="6"/>
      <c r="Y4762" s="6"/>
      <c r="Z4762" s="6"/>
    </row>
    <row r="4763" spans="14:26" ht="31.4" customHeight="1" x14ac:dyDescent="0.35">
      <c r="N4763" s="20"/>
      <c r="P4763" s="8"/>
      <c r="Q4763" s="8"/>
      <c r="R4763" s="8"/>
      <c r="S4763" s="8"/>
      <c r="U4763" s="6"/>
      <c r="V4763" s="6"/>
      <c r="W4763" s="6"/>
      <c r="X4763" s="6"/>
      <c r="Y4763" s="6"/>
      <c r="Z4763" s="6"/>
    </row>
    <row r="4764" spans="14:26" ht="31.4" customHeight="1" x14ac:dyDescent="0.35">
      <c r="N4764" s="20"/>
      <c r="P4764" s="8"/>
      <c r="Q4764" s="8"/>
      <c r="R4764" s="8"/>
      <c r="S4764" s="8"/>
      <c r="U4764" s="6"/>
      <c r="V4764" s="6"/>
      <c r="W4764" s="6"/>
      <c r="X4764" s="6"/>
      <c r="Y4764" s="6"/>
      <c r="Z4764" s="6"/>
    </row>
    <row r="4765" spans="14:26" ht="31.4" customHeight="1" x14ac:dyDescent="0.35">
      <c r="N4765" s="20"/>
      <c r="P4765" s="8"/>
      <c r="Q4765" s="8"/>
      <c r="R4765" s="8"/>
      <c r="S4765" s="8"/>
      <c r="U4765" s="6"/>
      <c r="V4765" s="6"/>
      <c r="W4765" s="6"/>
      <c r="X4765" s="6"/>
      <c r="Y4765" s="6"/>
      <c r="Z4765" s="6"/>
    </row>
    <row r="4766" spans="14:26" ht="31.4" customHeight="1" x14ac:dyDescent="0.35">
      <c r="N4766" s="20"/>
      <c r="P4766" s="8"/>
      <c r="Q4766" s="8"/>
      <c r="R4766" s="8"/>
      <c r="S4766" s="8"/>
      <c r="U4766" s="6"/>
      <c r="V4766" s="6"/>
      <c r="W4766" s="6"/>
      <c r="X4766" s="6"/>
      <c r="Y4766" s="6"/>
      <c r="Z4766" s="6"/>
    </row>
    <row r="4767" spans="14:26" ht="31.4" customHeight="1" x14ac:dyDescent="0.35">
      <c r="N4767" s="20"/>
      <c r="P4767" s="8"/>
      <c r="Q4767" s="8"/>
      <c r="R4767" s="8"/>
      <c r="S4767" s="8"/>
      <c r="U4767" s="6"/>
      <c r="V4767" s="6"/>
      <c r="W4767" s="6"/>
      <c r="X4767" s="6"/>
      <c r="Y4767" s="6"/>
      <c r="Z4767" s="6"/>
    </row>
    <row r="4768" spans="14:26" ht="31.4" customHeight="1" x14ac:dyDescent="0.35">
      <c r="N4768" s="20"/>
      <c r="P4768" s="8"/>
      <c r="Q4768" s="8"/>
      <c r="R4768" s="8"/>
      <c r="S4768" s="8"/>
      <c r="U4768" s="6"/>
      <c r="V4768" s="6"/>
      <c r="W4768" s="6"/>
      <c r="X4768" s="6"/>
      <c r="Y4768" s="6"/>
      <c r="Z4768" s="6"/>
    </row>
    <row r="4769" spans="14:26" ht="31.4" customHeight="1" x14ac:dyDescent="0.35">
      <c r="N4769" s="20"/>
      <c r="P4769" s="8"/>
      <c r="Q4769" s="8"/>
      <c r="R4769" s="8"/>
      <c r="S4769" s="8"/>
      <c r="U4769" s="6"/>
      <c r="V4769" s="6"/>
      <c r="W4769" s="6"/>
      <c r="X4769" s="6"/>
      <c r="Y4769" s="6"/>
      <c r="Z4769" s="6"/>
    </row>
    <row r="4770" spans="14:26" ht="31.4" customHeight="1" x14ac:dyDescent="0.35">
      <c r="N4770" s="20"/>
      <c r="P4770" s="8"/>
      <c r="Q4770" s="8"/>
      <c r="R4770" s="8"/>
      <c r="S4770" s="8"/>
      <c r="U4770" s="6"/>
      <c r="V4770" s="6"/>
      <c r="W4770" s="6"/>
      <c r="X4770" s="6"/>
      <c r="Y4770" s="6"/>
      <c r="Z4770" s="6"/>
    </row>
    <row r="4771" spans="14:26" ht="31.4" customHeight="1" x14ac:dyDescent="0.35">
      <c r="N4771" s="20"/>
      <c r="P4771" s="8"/>
      <c r="Q4771" s="8"/>
      <c r="R4771" s="8"/>
      <c r="S4771" s="8"/>
      <c r="U4771" s="6"/>
      <c r="V4771" s="6"/>
      <c r="W4771" s="6"/>
      <c r="X4771" s="6"/>
      <c r="Y4771" s="6"/>
      <c r="Z4771" s="6"/>
    </row>
    <row r="4772" spans="14:26" ht="31.4" customHeight="1" x14ac:dyDescent="0.35">
      <c r="N4772" s="20"/>
      <c r="P4772" s="8"/>
      <c r="Q4772" s="8"/>
      <c r="R4772" s="8"/>
      <c r="S4772" s="8"/>
      <c r="U4772" s="6"/>
      <c r="V4772" s="6"/>
      <c r="W4772" s="6"/>
      <c r="X4772" s="6"/>
      <c r="Y4772" s="6"/>
      <c r="Z4772" s="6"/>
    </row>
    <row r="4773" spans="14:26" ht="31.4" customHeight="1" x14ac:dyDescent="0.35">
      <c r="N4773" s="20"/>
      <c r="P4773" s="8"/>
      <c r="Q4773" s="8"/>
      <c r="R4773" s="8"/>
      <c r="S4773" s="8"/>
      <c r="U4773" s="6"/>
      <c r="V4773" s="6"/>
      <c r="W4773" s="6"/>
      <c r="X4773" s="6"/>
      <c r="Y4773" s="6"/>
      <c r="Z4773" s="6"/>
    </row>
    <row r="4774" spans="14:26" ht="31.4" customHeight="1" x14ac:dyDescent="0.35">
      <c r="N4774" s="20"/>
      <c r="P4774" s="8"/>
      <c r="Q4774" s="8"/>
      <c r="R4774" s="8"/>
      <c r="S4774" s="8"/>
      <c r="U4774" s="6"/>
      <c r="V4774" s="6"/>
      <c r="W4774" s="6"/>
      <c r="X4774" s="6"/>
      <c r="Y4774" s="6"/>
      <c r="Z4774" s="6"/>
    </row>
    <row r="4775" spans="14:26" ht="31.4" customHeight="1" x14ac:dyDescent="0.35">
      <c r="N4775" s="20"/>
      <c r="P4775" s="8"/>
      <c r="Q4775" s="8"/>
      <c r="R4775" s="8"/>
      <c r="S4775" s="8"/>
      <c r="U4775" s="6"/>
      <c r="V4775" s="6"/>
      <c r="W4775" s="6"/>
      <c r="X4775" s="6"/>
      <c r="Y4775" s="6"/>
      <c r="Z4775" s="6"/>
    </row>
    <row r="4776" spans="14:26" ht="31.4" customHeight="1" x14ac:dyDescent="0.35">
      <c r="N4776" s="20"/>
      <c r="P4776" s="8"/>
      <c r="Q4776" s="8"/>
      <c r="R4776" s="8"/>
      <c r="S4776" s="8"/>
      <c r="U4776" s="6"/>
      <c r="V4776" s="6"/>
      <c r="W4776" s="6"/>
      <c r="X4776" s="6"/>
      <c r="Y4776" s="6"/>
      <c r="Z4776" s="6"/>
    </row>
    <row r="4777" spans="14:26" ht="31.4" customHeight="1" x14ac:dyDescent="0.35">
      <c r="N4777" s="20"/>
      <c r="P4777" s="8"/>
      <c r="Q4777" s="8"/>
      <c r="R4777" s="8"/>
      <c r="S4777" s="8"/>
      <c r="U4777" s="6"/>
      <c r="V4777" s="6"/>
      <c r="W4777" s="6"/>
      <c r="X4777" s="6"/>
      <c r="Y4777" s="6"/>
      <c r="Z4777" s="6"/>
    </row>
    <row r="4778" spans="14:26" ht="31.4" customHeight="1" x14ac:dyDescent="0.35">
      <c r="N4778" s="20"/>
      <c r="P4778" s="8"/>
      <c r="Q4778" s="8"/>
      <c r="R4778" s="8"/>
      <c r="S4778" s="8"/>
      <c r="U4778" s="6"/>
      <c r="V4778" s="6"/>
      <c r="W4778" s="6"/>
      <c r="X4778" s="6"/>
      <c r="Y4778" s="6"/>
      <c r="Z4778" s="6"/>
    </row>
    <row r="4779" spans="14:26" ht="31.4" customHeight="1" x14ac:dyDescent="0.35">
      <c r="N4779" s="20"/>
      <c r="P4779" s="8"/>
      <c r="Q4779" s="8"/>
      <c r="R4779" s="8"/>
      <c r="S4779" s="8"/>
      <c r="U4779" s="6"/>
      <c r="V4779" s="6"/>
      <c r="W4779" s="6"/>
      <c r="X4779" s="6"/>
      <c r="Y4779" s="6"/>
      <c r="Z4779" s="6"/>
    </row>
    <row r="4780" spans="14:26" ht="31.4" customHeight="1" x14ac:dyDescent="0.35">
      <c r="N4780" s="20"/>
      <c r="P4780" s="8"/>
      <c r="Q4780" s="8"/>
      <c r="R4780" s="8"/>
      <c r="S4780" s="8"/>
      <c r="U4780" s="6"/>
      <c r="V4780" s="6"/>
      <c r="W4780" s="6"/>
      <c r="X4780" s="6"/>
      <c r="Y4780" s="6"/>
      <c r="Z4780" s="6"/>
    </row>
    <row r="4781" spans="14:26" ht="31.4" customHeight="1" x14ac:dyDescent="0.35">
      <c r="N4781" s="20"/>
      <c r="P4781" s="8"/>
      <c r="Q4781" s="8"/>
      <c r="R4781" s="8"/>
      <c r="S4781" s="8"/>
      <c r="U4781" s="6"/>
      <c r="V4781" s="6"/>
      <c r="W4781" s="6"/>
      <c r="X4781" s="6"/>
      <c r="Y4781" s="6"/>
      <c r="Z4781" s="6"/>
    </row>
    <row r="4782" spans="14:26" ht="31.4" customHeight="1" x14ac:dyDescent="0.35">
      <c r="N4782" s="20"/>
      <c r="P4782" s="8"/>
      <c r="Q4782" s="8"/>
      <c r="R4782" s="8"/>
      <c r="S4782" s="8"/>
      <c r="U4782" s="6"/>
      <c r="V4782" s="6"/>
      <c r="W4782" s="6"/>
      <c r="X4782" s="6"/>
      <c r="Y4782" s="6"/>
      <c r="Z4782" s="6"/>
    </row>
    <row r="4783" spans="14:26" ht="31.4" customHeight="1" x14ac:dyDescent="0.35">
      <c r="N4783" s="20"/>
      <c r="P4783" s="8"/>
      <c r="Q4783" s="8"/>
      <c r="R4783" s="8"/>
      <c r="S4783" s="8"/>
      <c r="U4783" s="6"/>
      <c r="V4783" s="6"/>
      <c r="W4783" s="6"/>
      <c r="X4783" s="6"/>
      <c r="Y4783" s="6"/>
      <c r="Z4783" s="6"/>
    </row>
    <row r="4784" spans="14:26" ht="31.4" customHeight="1" x14ac:dyDescent="0.35">
      <c r="N4784" s="20"/>
      <c r="P4784" s="8"/>
      <c r="Q4784" s="8"/>
      <c r="R4784" s="8"/>
      <c r="S4784" s="8"/>
      <c r="U4784" s="6"/>
      <c r="V4784" s="6"/>
      <c r="W4784" s="6"/>
      <c r="X4784" s="6"/>
      <c r="Y4784" s="6"/>
      <c r="Z4784" s="6"/>
    </row>
    <row r="4785" spans="14:26" ht="31.4" customHeight="1" x14ac:dyDescent="0.35">
      <c r="N4785" s="20"/>
      <c r="P4785" s="8"/>
      <c r="Q4785" s="8"/>
      <c r="R4785" s="8"/>
      <c r="S4785" s="8"/>
      <c r="U4785" s="6"/>
      <c r="V4785" s="6"/>
      <c r="W4785" s="6"/>
      <c r="X4785" s="6"/>
      <c r="Y4785" s="6"/>
      <c r="Z4785" s="6"/>
    </row>
    <row r="4786" spans="14:26" ht="31.4" customHeight="1" x14ac:dyDescent="0.35">
      <c r="N4786" s="20"/>
      <c r="P4786" s="8"/>
      <c r="Q4786" s="8"/>
      <c r="R4786" s="8"/>
      <c r="S4786" s="8"/>
      <c r="U4786" s="6"/>
      <c r="V4786" s="6"/>
      <c r="W4786" s="6"/>
      <c r="X4786" s="6"/>
      <c r="Y4786" s="6"/>
      <c r="Z4786" s="6"/>
    </row>
    <row r="4787" spans="14:26" ht="31.4" customHeight="1" x14ac:dyDescent="0.35">
      <c r="N4787" s="20"/>
      <c r="P4787" s="8"/>
      <c r="Q4787" s="8"/>
      <c r="R4787" s="8"/>
      <c r="S4787" s="8"/>
      <c r="U4787" s="6"/>
      <c r="V4787" s="6"/>
      <c r="W4787" s="6"/>
      <c r="X4787" s="6"/>
      <c r="Y4787" s="6"/>
      <c r="Z4787" s="6"/>
    </row>
    <row r="4788" spans="14:26" ht="31.4" customHeight="1" x14ac:dyDescent="0.35">
      <c r="N4788" s="20"/>
      <c r="P4788" s="8"/>
      <c r="Q4788" s="8"/>
      <c r="R4788" s="8"/>
      <c r="S4788" s="8"/>
      <c r="U4788" s="6"/>
      <c r="V4788" s="6"/>
      <c r="W4788" s="6"/>
      <c r="X4788" s="6"/>
      <c r="Y4788" s="6"/>
      <c r="Z4788" s="6"/>
    </row>
    <row r="4789" spans="14:26" ht="31.4" customHeight="1" x14ac:dyDescent="0.35">
      <c r="N4789" s="20"/>
      <c r="P4789" s="8"/>
      <c r="Q4789" s="8"/>
      <c r="R4789" s="8"/>
      <c r="S4789" s="8"/>
      <c r="U4789" s="6"/>
      <c r="V4789" s="6"/>
      <c r="W4789" s="6"/>
      <c r="X4789" s="6"/>
      <c r="Y4789" s="6"/>
      <c r="Z4789" s="6"/>
    </row>
    <row r="4790" spans="14:26" ht="31.4" customHeight="1" x14ac:dyDescent="0.35">
      <c r="N4790" s="20"/>
      <c r="P4790" s="8"/>
      <c r="Q4790" s="8"/>
      <c r="R4790" s="8"/>
      <c r="S4790" s="8"/>
      <c r="U4790" s="6"/>
      <c r="V4790" s="6"/>
      <c r="W4790" s="6"/>
      <c r="X4790" s="6"/>
      <c r="Y4790" s="6"/>
      <c r="Z4790" s="6"/>
    </row>
    <row r="4791" spans="14:26" ht="31.4" customHeight="1" x14ac:dyDescent="0.35">
      <c r="N4791" s="20"/>
      <c r="P4791" s="8"/>
      <c r="Q4791" s="8"/>
      <c r="R4791" s="8"/>
      <c r="S4791" s="8"/>
      <c r="U4791" s="6"/>
      <c r="V4791" s="6"/>
      <c r="W4791" s="6"/>
      <c r="X4791" s="6"/>
      <c r="Y4791" s="6"/>
      <c r="Z4791" s="6"/>
    </row>
    <row r="4792" spans="14:26" ht="31.4" customHeight="1" x14ac:dyDescent="0.35">
      <c r="N4792" s="20"/>
      <c r="P4792" s="8"/>
      <c r="Q4792" s="8"/>
      <c r="R4792" s="8"/>
      <c r="S4792" s="8"/>
      <c r="U4792" s="6"/>
      <c r="V4792" s="6"/>
      <c r="W4792" s="6"/>
      <c r="X4792" s="6"/>
      <c r="Y4792" s="6"/>
      <c r="Z4792" s="6"/>
    </row>
    <row r="4793" spans="14:26" ht="31.4" customHeight="1" x14ac:dyDescent="0.35">
      <c r="N4793" s="20"/>
      <c r="P4793" s="8"/>
      <c r="Q4793" s="8"/>
      <c r="R4793" s="8"/>
      <c r="S4793" s="8"/>
      <c r="U4793" s="6"/>
      <c r="V4793" s="6"/>
      <c r="W4793" s="6"/>
      <c r="X4793" s="6"/>
      <c r="Y4793" s="6"/>
      <c r="Z4793" s="6"/>
    </row>
    <row r="4794" spans="14:26" ht="31.4" customHeight="1" x14ac:dyDescent="0.35">
      <c r="N4794" s="20"/>
      <c r="P4794" s="8"/>
      <c r="Q4794" s="8"/>
      <c r="R4794" s="8"/>
      <c r="S4794" s="8"/>
      <c r="U4794" s="6"/>
      <c r="V4794" s="6"/>
      <c r="W4794" s="6"/>
      <c r="X4794" s="6"/>
      <c r="Y4794" s="6"/>
      <c r="Z4794" s="6"/>
    </row>
    <row r="4795" spans="14:26" ht="31.4" customHeight="1" x14ac:dyDescent="0.35">
      <c r="N4795" s="20"/>
      <c r="P4795" s="8"/>
      <c r="Q4795" s="8"/>
      <c r="R4795" s="8"/>
      <c r="S4795" s="8"/>
      <c r="U4795" s="6"/>
      <c r="V4795" s="6"/>
      <c r="W4795" s="6"/>
      <c r="X4795" s="6"/>
      <c r="Y4795" s="6"/>
      <c r="Z4795" s="6"/>
    </row>
    <row r="4796" spans="14:26" ht="31.4" customHeight="1" x14ac:dyDescent="0.35">
      <c r="N4796" s="20"/>
      <c r="P4796" s="8"/>
      <c r="Q4796" s="8"/>
      <c r="R4796" s="8"/>
      <c r="S4796" s="8"/>
      <c r="U4796" s="6"/>
      <c r="V4796" s="6"/>
      <c r="W4796" s="6"/>
      <c r="X4796" s="6"/>
      <c r="Y4796" s="6"/>
      <c r="Z4796" s="6"/>
    </row>
    <row r="4797" spans="14:26" ht="31.4" customHeight="1" x14ac:dyDescent="0.35">
      <c r="N4797" s="20"/>
      <c r="P4797" s="8"/>
      <c r="Q4797" s="8"/>
      <c r="R4797" s="8"/>
      <c r="S4797" s="8"/>
      <c r="U4797" s="6"/>
      <c r="V4797" s="6"/>
      <c r="W4797" s="6"/>
      <c r="X4797" s="6"/>
      <c r="Y4797" s="6"/>
      <c r="Z4797" s="6"/>
    </row>
    <row r="4798" spans="14:26" ht="31.4" customHeight="1" x14ac:dyDescent="0.35">
      <c r="N4798" s="20"/>
      <c r="P4798" s="8"/>
      <c r="Q4798" s="8"/>
      <c r="R4798" s="8"/>
      <c r="S4798" s="8"/>
      <c r="U4798" s="6"/>
      <c r="V4798" s="6"/>
      <c r="W4798" s="6"/>
      <c r="X4798" s="6"/>
      <c r="Y4798" s="6"/>
      <c r="Z4798" s="6"/>
    </row>
    <row r="4799" spans="14:26" ht="31.4" customHeight="1" x14ac:dyDescent="0.35">
      <c r="N4799" s="20"/>
      <c r="P4799" s="8"/>
      <c r="Q4799" s="8"/>
      <c r="R4799" s="8"/>
      <c r="S4799" s="8"/>
      <c r="U4799" s="6"/>
      <c r="V4799" s="6"/>
      <c r="W4799" s="6"/>
      <c r="X4799" s="6"/>
      <c r="Y4799" s="6"/>
      <c r="Z4799" s="6"/>
    </row>
    <row r="4800" spans="14:26" ht="31.4" customHeight="1" x14ac:dyDescent="0.35">
      <c r="N4800" s="20"/>
      <c r="P4800" s="8"/>
      <c r="Q4800" s="8"/>
      <c r="R4800" s="8"/>
      <c r="S4800" s="8"/>
      <c r="U4800" s="6"/>
      <c r="V4800" s="6"/>
      <c r="W4800" s="6"/>
      <c r="X4800" s="6"/>
      <c r="Y4800" s="6"/>
      <c r="Z4800" s="6"/>
    </row>
    <row r="4801" spans="14:26" ht="31.4" customHeight="1" x14ac:dyDescent="0.35">
      <c r="N4801" s="20"/>
      <c r="P4801" s="8"/>
      <c r="Q4801" s="8"/>
      <c r="R4801" s="8"/>
      <c r="S4801" s="8"/>
      <c r="U4801" s="6"/>
      <c r="V4801" s="6"/>
      <c r="W4801" s="6"/>
      <c r="X4801" s="6"/>
      <c r="Y4801" s="6"/>
      <c r="Z4801" s="6"/>
    </row>
    <row r="4802" spans="14:26" ht="31.4" customHeight="1" x14ac:dyDescent="0.35">
      <c r="N4802" s="20"/>
      <c r="P4802" s="8"/>
      <c r="Q4802" s="8"/>
      <c r="R4802" s="8"/>
      <c r="S4802" s="8"/>
      <c r="U4802" s="6"/>
      <c r="V4802" s="6"/>
      <c r="W4802" s="6"/>
      <c r="X4802" s="6"/>
      <c r="Y4802" s="6"/>
      <c r="Z4802" s="6"/>
    </row>
    <row r="4803" spans="14:26" ht="31.4" customHeight="1" x14ac:dyDescent="0.35">
      <c r="N4803" s="20"/>
      <c r="P4803" s="8"/>
      <c r="Q4803" s="8"/>
      <c r="R4803" s="8"/>
      <c r="S4803" s="8"/>
      <c r="U4803" s="6"/>
      <c r="V4803" s="6"/>
      <c r="W4803" s="6"/>
      <c r="X4803" s="6"/>
      <c r="Y4803" s="6"/>
      <c r="Z4803" s="6"/>
    </row>
    <row r="4804" spans="14:26" ht="31.4" customHeight="1" x14ac:dyDescent="0.35">
      <c r="N4804" s="20"/>
      <c r="P4804" s="8"/>
      <c r="Q4804" s="8"/>
      <c r="R4804" s="8"/>
      <c r="S4804" s="8"/>
      <c r="U4804" s="6"/>
      <c r="V4804" s="6"/>
      <c r="W4804" s="6"/>
      <c r="X4804" s="6"/>
      <c r="Y4804" s="6"/>
      <c r="Z4804" s="6"/>
    </row>
    <row r="4805" spans="14:26" ht="31.4" customHeight="1" x14ac:dyDescent="0.35">
      <c r="N4805" s="20"/>
      <c r="P4805" s="8"/>
      <c r="Q4805" s="8"/>
      <c r="R4805" s="8"/>
      <c r="S4805" s="8"/>
      <c r="U4805" s="6"/>
      <c r="V4805" s="6"/>
      <c r="W4805" s="6"/>
      <c r="X4805" s="6"/>
      <c r="Y4805" s="6"/>
      <c r="Z4805" s="6"/>
    </row>
    <row r="4806" spans="14:26" ht="31.4" customHeight="1" x14ac:dyDescent="0.35">
      <c r="N4806" s="20"/>
      <c r="P4806" s="8"/>
      <c r="Q4806" s="8"/>
      <c r="R4806" s="8"/>
      <c r="S4806" s="8"/>
      <c r="U4806" s="6"/>
      <c r="V4806" s="6"/>
      <c r="W4806" s="6"/>
      <c r="X4806" s="6"/>
      <c r="Y4806" s="6"/>
      <c r="Z4806" s="6"/>
    </row>
    <row r="4807" spans="14:26" ht="31.4" customHeight="1" x14ac:dyDescent="0.35">
      <c r="N4807" s="20"/>
      <c r="P4807" s="8"/>
      <c r="Q4807" s="8"/>
      <c r="R4807" s="8"/>
      <c r="S4807" s="8"/>
      <c r="U4807" s="6"/>
      <c r="V4807" s="6"/>
      <c r="W4807" s="6"/>
      <c r="X4807" s="6"/>
      <c r="Y4807" s="6"/>
      <c r="Z4807" s="6"/>
    </row>
    <row r="4808" spans="14:26" ht="31.4" customHeight="1" x14ac:dyDescent="0.35">
      <c r="N4808" s="20"/>
      <c r="P4808" s="8"/>
      <c r="Q4808" s="8"/>
      <c r="R4808" s="8"/>
      <c r="S4808" s="8"/>
      <c r="U4808" s="6"/>
      <c r="V4808" s="6"/>
      <c r="W4808" s="6"/>
      <c r="X4808" s="6"/>
      <c r="Y4808" s="6"/>
      <c r="Z4808" s="6"/>
    </row>
    <row r="4809" spans="14:26" ht="31.4" customHeight="1" x14ac:dyDescent="0.35">
      <c r="N4809" s="20"/>
      <c r="P4809" s="8"/>
      <c r="Q4809" s="8"/>
      <c r="R4809" s="8"/>
      <c r="S4809" s="8"/>
      <c r="U4809" s="6"/>
      <c r="V4809" s="6"/>
      <c r="W4809" s="6"/>
      <c r="X4809" s="6"/>
      <c r="Y4809" s="6"/>
      <c r="Z4809" s="6"/>
    </row>
    <row r="4810" spans="14:26" ht="31.4" customHeight="1" x14ac:dyDescent="0.35">
      <c r="N4810" s="20"/>
      <c r="P4810" s="8"/>
      <c r="Q4810" s="8"/>
      <c r="R4810" s="8"/>
      <c r="S4810" s="8"/>
      <c r="U4810" s="6"/>
      <c r="V4810" s="6"/>
      <c r="W4810" s="6"/>
      <c r="X4810" s="6"/>
      <c r="Y4810" s="6"/>
      <c r="Z4810" s="6"/>
    </row>
    <row r="4811" spans="14:26" ht="31.4" customHeight="1" x14ac:dyDescent="0.35">
      <c r="N4811" s="20"/>
      <c r="P4811" s="8"/>
      <c r="Q4811" s="8"/>
      <c r="R4811" s="8"/>
      <c r="S4811" s="8"/>
      <c r="U4811" s="6"/>
      <c r="V4811" s="6"/>
      <c r="W4811" s="6"/>
      <c r="X4811" s="6"/>
      <c r="Y4811" s="6"/>
      <c r="Z4811" s="6"/>
    </row>
    <row r="4812" spans="14:26" ht="31.4" customHeight="1" x14ac:dyDescent="0.35">
      <c r="N4812" s="20"/>
      <c r="P4812" s="8"/>
      <c r="Q4812" s="8"/>
      <c r="R4812" s="8"/>
      <c r="S4812" s="8"/>
      <c r="U4812" s="6"/>
      <c r="V4812" s="6"/>
      <c r="W4812" s="6"/>
      <c r="X4812" s="6"/>
      <c r="Y4812" s="6"/>
      <c r="Z4812" s="6"/>
    </row>
    <row r="4813" spans="14:26" ht="31.4" customHeight="1" x14ac:dyDescent="0.35">
      <c r="N4813" s="20"/>
      <c r="P4813" s="8"/>
      <c r="Q4813" s="8"/>
      <c r="R4813" s="8"/>
      <c r="S4813" s="8"/>
      <c r="U4813" s="6"/>
      <c r="V4813" s="6"/>
      <c r="W4813" s="6"/>
      <c r="X4813" s="6"/>
      <c r="Y4813" s="6"/>
      <c r="Z4813" s="6"/>
    </row>
    <row r="4814" spans="14:26" ht="31.4" customHeight="1" x14ac:dyDescent="0.35">
      <c r="N4814" s="20"/>
      <c r="P4814" s="8"/>
      <c r="Q4814" s="8"/>
      <c r="R4814" s="8"/>
      <c r="S4814" s="8"/>
      <c r="U4814" s="6"/>
      <c r="V4814" s="6"/>
      <c r="W4814" s="6"/>
      <c r="X4814" s="6"/>
      <c r="Y4814" s="6"/>
      <c r="Z4814" s="6"/>
    </row>
    <row r="4815" spans="14:26" ht="31.4" customHeight="1" x14ac:dyDescent="0.35">
      <c r="N4815" s="20"/>
      <c r="P4815" s="8"/>
      <c r="Q4815" s="8"/>
      <c r="R4815" s="8"/>
      <c r="S4815" s="8"/>
      <c r="U4815" s="6"/>
      <c r="V4815" s="6"/>
      <c r="W4815" s="6"/>
      <c r="X4815" s="6"/>
      <c r="Y4815" s="6"/>
      <c r="Z4815" s="6"/>
    </row>
    <row r="4816" spans="14:26" ht="31.4" customHeight="1" x14ac:dyDescent="0.35">
      <c r="N4816" s="20"/>
      <c r="P4816" s="8"/>
      <c r="Q4816" s="8"/>
      <c r="R4816" s="8"/>
      <c r="S4816" s="8"/>
      <c r="U4816" s="6"/>
      <c r="V4816" s="6"/>
      <c r="W4816" s="6"/>
      <c r="X4816" s="6"/>
      <c r="Y4816" s="6"/>
      <c r="Z4816" s="6"/>
    </row>
    <row r="4817" spans="14:26" ht="31.4" customHeight="1" x14ac:dyDescent="0.35">
      <c r="N4817" s="20"/>
      <c r="P4817" s="8"/>
      <c r="Q4817" s="8"/>
      <c r="R4817" s="8"/>
      <c r="S4817" s="8"/>
      <c r="U4817" s="6"/>
      <c r="V4817" s="6"/>
      <c r="W4817" s="6"/>
      <c r="X4817" s="6"/>
      <c r="Y4817" s="6"/>
      <c r="Z4817" s="6"/>
    </row>
    <row r="4818" spans="14:26" ht="31.4" customHeight="1" x14ac:dyDescent="0.35">
      <c r="N4818" s="20"/>
      <c r="P4818" s="8"/>
      <c r="Q4818" s="8"/>
      <c r="R4818" s="8"/>
      <c r="S4818" s="8"/>
      <c r="U4818" s="6"/>
      <c r="V4818" s="6"/>
      <c r="W4818" s="6"/>
      <c r="X4818" s="6"/>
      <c r="Y4818" s="6"/>
      <c r="Z4818" s="6"/>
    </row>
    <row r="4819" spans="14:26" ht="31.4" customHeight="1" x14ac:dyDescent="0.35">
      <c r="N4819" s="20"/>
      <c r="P4819" s="8"/>
      <c r="Q4819" s="8"/>
      <c r="R4819" s="8"/>
      <c r="S4819" s="8"/>
      <c r="U4819" s="6"/>
      <c r="V4819" s="6"/>
      <c r="W4819" s="6"/>
      <c r="X4819" s="6"/>
      <c r="Y4819" s="6"/>
      <c r="Z4819" s="6"/>
    </row>
    <row r="4820" spans="14:26" ht="31.4" customHeight="1" x14ac:dyDescent="0.35">
      <c r="N4820" s="20"/>
      <c r="P4820" s="8"/>
      <c r="Q4820" s="8"/>
      <c r="R4820" s="8"/>
      <c r="S4820" s="8"/>
      <c r="U4820" s="6"/>
      <c r="V4820" s="6"/>
      <c r="W4820" s="6"/>
      <c r="X4820" s="6"/>
      <c r="Y4820" s="6"/>
      <c r="Z4820" s="6"/>
    </row>
    <row r="4821" spans="14:26" ht="31.4" customHeight="1" x14ac:dyDescent="0.35">
      <c r="N4821" s="20"/>
      <c r="P4821" s="8"/>
      <c r="Q4821" s="8"/>
      <c r="R4821" s="8"/>
      <c r="S4821" s="8"/>
      <c r="U4821" s="6"/>
      <c r="V4821" s="6"/>
      <c r="W4821" s="6"/>
      <c r="X4821" s="6"/>
      <c r="Y4821" s="6"/>
      <c r="Z4821" s="6"/>
    </row>
    <row r="4822" spans="14:26" ht="31.4" customHeight="1" x14ac:dyDescent="0.35">
      <c r="N4822" s="20"/>
      <c r="P4822" s="8"/>
      <c r="Q4822" s="8"/>
      <c r="R4822" s="8"/>
      <c r="S4822" s="8"/>
      <c r="U4822" s="6"/>
      <c r="V4822" s="6"/>
      <c r="W4822" s="6"/>
      <c r="X4822" s="6"/>
      <c r="Y4822" s="6"/>
      <c r="Z4822" s="6"/>
    </row>
    <row r="4823" spans="14:26" ht="31.4" customHeight="1" x14ac:dyDescent="0.35">
      <c r="N4823" s="20"/>
      <c r="P4823" s="8"/>
      <c r="Q4823" s="8"/>
      <c r="R4823" s="8"/>
      <c r="S4823" s="8"/>
      <c r="U4823" s="6"/>
      <c r="V4823" s="6"/>
      <c r="W4823" s="6"/>
      <c r="X4823" s="6"/>
      <c r="Y4823" s="6"/>
      <c r="Z4823" s="6"/>
    </row>
    <row r="4824" spans="14:26" ht="31.4" customHeight="1" x14ac:dyDescent="0.35">
      <c r="N4824" s="20"/>
      <c r="P4824" s="8"/>
      <c r="Q4824" s="8"/>
      <c r="R4824" s="8"/>
      <c r="S4824" s="8"/>
      <c r="U4824" s="6"/>
      <c r="V4824" s="6"/>
      <c r="W4824" s="6"/>
      <c r="X4824" s="6"/>
      <c r="Y4824" s="6"/>
      <c r="Z4824" s="6"/>
    </row>
    <row r="4825" spans="14:26" ht="31.4" customHeight="1" x14ac:dyDescent="0.35">
      <c r="N4825" s="20"/>
      <c r="P4825" s="8"/>
      <c r="Q4825" s="8"/>
      <c r="R4825" s="8"/>
      <c r="S4825" s="8"/>
      <c r="U4825" s="6"/>
      <c r="V4825" s="6"/>
      <c r="W4825" s="6"/>
      <c r="X4825" s="6"/>
      <c r="Y4825" s="6"/>
      <c r="Z4825" s="6"/>
    </row>
    <row r="4826" spans="14:26" ht="31.4" customHeight="1" x14ac:dyDescent="0.35">
      <c r="N4826" s="20"/>
      <c r="P4826" s="8"/>
      <c r="Q4826" s="8"/>
      <c r="R4826" s="8"/>
      <c r="S4826" s="8"/>
      <c r="U4826" s="6"/>
      <c r="V4826" s="6"/>
      <c r="W4826" s="6"/>
      <c r="X4826" s="6"/>
      <c r="Y4826" s="6"/>
      <c r="Z4826" s="6"/>
    </row>
    <row r="4827" spans="14:26" ht="31.4" customHeight="1" x14ac:dyDescent="0.35">
      <c r="N4827" s="20"/>
      <c r="P4827" s="8"/>
      <c r="Q4827" s="8"/>
      <c r="R4827" s="8"/>
      <c r="S4827" s="8"/>
      <c r="U4827" s="6"/>
      <c r="V4827" s="6"/>
      <c r="W4827" s="6"/>
      <c r="X4827" s="6"/>
      <c r="Y4827" s="6"/>
      <c r="Z4827" s="6"/>
    </row>
    <row r="4828" spans="14:26" ht="31.4" customHeight="1" x14ac:dyDescent="0.35">
      <c r="N4828" s="20"/>
      <c r="P4828" s="8"/>
      <c r="Q4828" s="8"/>
      <c r="R4828" s="8"/>
      <c r="S4828" s="8"/>
      <c r="U4828" s="6"/>
      <c r="V4828" s="6"/>
      <c r="W4828" s="6"/>
      <c r="X4828" s="6"/>
      <c r="Y4828" s="6"/>
      <c r="Z4828" s="6"/>
    </row>
    <row r="4829" spans="14:26" ht="31.4" customHeight="1" x14ac:dyDescent="0.35">
      <c r="N4829" s="20"/>
      <c r="P4829" s="8"/>
      <c r="Q4829" s="8"/>
      <c r="R4829" s="8"/>
      <c r="S4829" s="8"/>
      <c r="U4829" s="6"/>
      <c r="V4829" s="6"/>
      <c r="W4829" s="6"/>
      <c r="X4829" s="6"/>
      <c r="Y4829" s="6"/>
      <c r="Z4829" s="6"/>
    </row>
    <row r="4830" spans="14:26" ht="31.4" customHeight="1" x14ac:dyDescent="0.35">
      <c r="N4830" s="20"/>
      <c r="P4830" s="8"/>
      <c r="Q4830" s="8"/>
      <c r="R4830" s="8"/>
      <c r="S4830" s="8"/>
      <c r="U4830" s="6"/>
      <c r="V4830" s="6"/>
      <c r="W4830" s="6"/>
      <c r="X4830" s="6"/>
      <c r="Y4830" s="6"/>
      <c r="Z4830" s="6"/>
    </row>
    <row r="4831" spans="14:26" ht="31.4" customHeight="1" x14ac:dyDescent="0.35">
      <c r="N4831" s="20"/>
      <c r="P4831" s="8"/>
      <c r="Q4831" s="8"/>
      <c r="R4831" s="8"/>
      <c r="S4831" s="8"/>
      <c r="U4831" s="6"/>
      <c r="V4831" s="6"/>
      <c r="W4831" s="6"/>
      <c r="X4831" s="6"/>
      <c r="Y4831" s="6"/>
      <c r="Z4831" s="6"/>
    </row>
    <row r="4832" spans="14:26" ht="31.4" customHeight="1" x14ac:dyDescent="0.35">
      <c r="N4832" s="20"/>
      <c r="P4832" s="8"/>
      <c r="Q4832" s="8"/>
      <c r="R4832" s="8"/>
      <c r="S4832" s="8"/>
      <c r="U4832" s="6"/>
      <c r="V4832" s="6"/>
      <c r="W4832" s="6"/>
      <c r="X4832" s="6"/>
      <c r="Y4832" s="6"/>
      <c r="Z4832" s="6"/>
    </row>
    <row r="4833" spans="14:26" ht="31.4" customHeight="1" x14ac:dyDescent="0.35">
      <c r="N4833" s="20"/>
      <c r="P4833" s="8"/>
      <c r="Q4833" s="8"/>
      <c r="R4833" s="8"/>
      <c r="S4833" s="8"/>
      <c r="U4833" s="6"/>
      <c r="V4833" s="6"/>
      <c r="W4833" s="6"/>
      <c r="X4833" s="6"/>
      <c r="Y4833" s="6"/>
      <c r="Z4833" s="6"/>
    </row>
    <row r="4834" spans="14:26" ht="31.4" customHeight="1" x14ac:dyDescent="0.35">
      <c r="N4834" s="20"/>
      <c r="P4834" s="8"/>
      <c r="Q4834" s="8"/>
      <c r="R4834" s="8"/>
      <c r="S4834" s="8"/>
      <c r="U4834" s="6"/>
      <c r="V4834" s="6"/>
      <c r="W4834" s="6"/>
      <c r="X4834" s="6"/>
      <c r="Y4834" s="6"/>
      <c r="Z4834" s="6"/>
    </row>
    <row r="4835" spans="14:26" ht="31.4" customHeight="1" x14ac:dyDescent="0.35">
      <c r="N4835" s="20"/>
      <c r="P4835" s="8"/>
      <c r="Q4835" s="8"/>
      <c r="R4835" s="8"/>
      <c r="S4835" s="8"/>
      <c r="U4835" s="6"/>
      <c r="V4835" s="6"/>
      <c r="W4835" s="6"/>
      <c r="X4835" s="6"/>
      <c r="Y4835" s="6"/>
      <c r="Z4835" s="6"/>
    </row>
    <row r="4836" spans="14:26" ht="31.4" customHeight="1" x14ac:dyDescent="0.35">
      <c r="N4836" s="20"/>
      <c r="P4836" s="8"/>
      <c r="Q4836" s="8"/>
      <c r="R4836" s="8"/>
      <c r="S4836" s="8"/>
      <c r="U4836" s="6"/>
      <c r="V4836" s="6"/>
      <c r="W4836" s="6"/>
      <c r="X4836" s="6"/>
      <c r="Y4836" s="6"/>
      <c r="Z4836" s="6"/>
    </row>
    <row r="4837" spans="14:26" ht="31.4" customHeight="1" x14ac:dyDescent="0.35">
      <c r="N4837" s="20"/>
      <c r="P4837" s="8"/>
      <c r="Q4837" s="8"/>
      <c r="R4837" s="8"/>
      <c r="S4837" s="8"/>
      <c r="U4837" s="6"/>
      <c r="V4837" s="6"/>
      <c r="W4837" s="6"/>
      <c r="X4837" s="6"/>
      <c r="Y4837" s="6"/>
      <c r="Z4837" s="6"/>
    </row>
    <row r="4838" spans="14:26" ht="31.4" customHeight="1" x14ac:dyDescent="0.35">
      <c r="N4838" s="20"/>
      <c r="P4838" s="8"/>
      <c r="Q4838" s="8"/>
      <c r="R4838" s="8"/>
      <c r="S4838" s="8"/>
      <c r="U4838" s="6"/>
      <c r="V4838" s="6"/>
      <c r="W4838" s="6"/>
      <c r="X4838" s="6"/>
      <c r="Y4838" s="6"/>
      <c r="Z4838" s="6"/>
    </row>
    <row r="4839" spans="14:26" ht="31.4" customHeight="1" x14ac:dyDescent="0.35">
      <c r="N4839" s="20"/>
      <c r="P4839" s="8"/>
      <c r="Q4839" s="8"/>
      <c r="R4839" s="8"/>
      <c r="S4839" s="8"/>
      <c r="U4839" s="6"/>
      <c r="V4839" s="6"/>
      <c r="W4839" s="6"/>
      <c r="X4839" s="6"/>
      <c r="Y4839" s="6"/>
      <c r="Z4839" s="6"/>
    </row>
    <row r="4840" spans="14:26" ht="31.4" customHeight="1" x14ac:dyDescent="0.35">
      <c r="N4840" s="20"/>
      <c r="P4840" s="8"/>
      <c r="Q4840" s="8"/>
      <c r="R4840" s="8"/>
      <c r="S4840" s="8"/>
      <c r="U4840" s="6"/>
      <c r="V4840" s="6"/>
      <c r="W4840" s="6"/>
      <c r="X4840" s="6"/>
      <c r="Y4840" s="6"/>
      <c r="Z4840" s="6"/>
    </row>
    <row r="4841" spans="14:26" ht="31.4" customHeight="1" x14ac:dyDescent="0.35">
      <c r="N4841" s="20"/>
      <c r="P4841" s="8"/>
      <c r="Q4841" s="8"/>
      <c r="R4841" s="8"/>
      <c r="S4841" s="8"/>
      <c r="U4841" s="6"/>
      <c r="V4841" s="6"/>
      <c r="W4841" s="6"/>
      <c r="X4841" s="6"/>
      <c r="Y4841" s="6"/>
      <c r="Z4841" s="6"/>
    </row>
    <row r="4842" spans="14:26" ht="31.4" customHeight="1" x14ac:dyDescent="0.35">
      <c r="N4842" s="20"/>
      <c r="P4842" s="8"/>
      <c r="Q4842" s="8"/>
      <c r="R4842" s="8"/>
      <c r="S4842" s="8"/>
      <c r="U4842" s="6"/>
      <c r="V4842" s="6"/>
      <c r="W4842" s="6"/>
      <c r="X4842" s="6"/>
      <c r="Y4842" s="6"/>
      <c r="Z4842" s="6"/>
    </row>
    <row r="4843" spans="14:26" ht="31.4" customHeight="1" x14ac:dyDescent="0.35">
      <c r="N4843" s="20"/>
      <c r="P4843" s="8"/>
      <c r="Q4843" s="8"/>
      <c r="R4843" s="8"/>
      <c r="S4843" s="8"/>
      <c r="U4843" s="6"/>
      <c r="V4843" s="6"/>
      <c r="W4843" s="6"/>
      <c r="X4843" s="6"/>
      <c r="Y4843" s="6"/>
      <c r="Z4843" s="6"/>
    </row>
    <row r="4844" spans="14:26" ht="31.4" customHeight="1" x14ac:dyDescent="0.35">
      <c r="N4844" s="20"/>
      <c r="P4844" s="8"/>
      <c r="Q4844" s="8"/>
      <c r="R4844" s="8"/>
      <c r="S4844" s="8"/>
      <c r="U4844" s="6"/>
      <c r="V4844" s="6"/>
      <c r="W4844" s="6"/>
      <c r="X4844" s="6"/>
      <c r="Y4844" s="6"/>
      <c r="Z4844" s="6"/>
    </row>
    <row r="4845" spans="14:26" ht="31.4" customHeight="1" x14ac:dyDescent="0.35">
      <c r="N4845" s="20"/>
      <c r="P4845" s="8"/>
      <c r="Q4845" s="8"/>
      <c r="R4845" s="8"/>
      <c r="S4845" s="8"/>
      <c r="U4845" s="6"/>
      <c r="V4845" s="6"/>
      <c r="W4845" s="6"/>
      <c r="X4845" s="6"/>
      <c r="Y4845" s="6"/>
      <c r="Z4845" s="6"/>
    </row>
    <row r="4846" spans="14:26" ht="31.4" customHeight="1" x14ac:dyDescent="0.35">
      <c r="N4846" s="20"/>
      <c r="P4846" s="8"/>
      <c r="Q4846" s="8"/>
      <c r="R4846" s="8"/>
      <c r="S4846" s="8"/>
      <c r="U4846" s="6"/>
      <c r="V4846" s="6"/>
      <c r="W4846" s="6"/>
      <c r="X4846" s="6"/>
      <c r="Y4846" s="6"/>
      <c r="Z4846" s="6"/>
    </row>
    <row r="4847" spans="14:26" ht="31.4" customHeight="1" x14ac:dyDescent="0.35">
      <c r="N4847" s="20"/>
      <c r="P4847" s="8"/>
      <c r="Q4847" s="8"/>
      <c r="R4847" s="8"/>
      <c r="S4847" s="8"/>
      <c r="U4847" s="6"/>
      <c r="V4847" s="6"/>
      <c r="W4847" s="6"/>
      <c r="X4847" s="6"/>
      <c r="Y4847" s="6"/>
      <c r="Z4847" s="6"/>
    </row>
    <row r="4848" spans="14:26" ht="31.4" customHeight="1" x14ac:dyDescent="0.35">
      <c r="N4848" s="20"/>
      <c r="P4848" s="8"/>
      <c r="Q4848" s="8"/>
      <c r="R4848" s="8"/>
      <c r="S4848" s="8"/>
      <c r="U4848" s="6"/>
      <c r="V4848" s="6"/>
      <c r="W4848" s="6"/>
      <c r="X4848" s="6"/>
      <c r="Y4848" s="6"/>
      <c r="Z4848" s="6"/>
    </row>
    <row r="4849" spans="14:26" ht="31.4" customHeight="1" x14ac:dyDescent="0.35">
      <c r="N4849" s="20"/>
      <c r="P4849" s="8"/>
      <c r="Q4849" s="8"/>
      <c r="R4849" s="8"/>
      <c r="S4849" s="8"/>
      <c r="U4849" s="6"/>
      <c r="V4849" s="6"/>
      <c r="W4849" s="6"/>
      <c r="X4849" s="6"/>
      <c r="Y4849" s="6"/>
      <c r="Z4849" s="6"/>
    </row>
    <row r="4850" spans="14:26" ht="31.4" customHeight="1" x14ac:dyDescent="0.35">
      <c r="N4850" s="20"/>
      <c r="P4850" s="8"/>
      <c r="Q4850" s="8"/>
      <c r="R4850" s="8"/>
      <c r="S4850" s="8"/>
      <c r="U4850" s="6"/>
      <c r="V4850" s="6"/>
      <c r="W4850" s="6"/>
      <c r="X4850" s="6"/>
      <c r="Y4850" s="6"/>
      <c r="Z4850" s="6"/>
    </row>
    <row r="4851" spans="14:26" ht="31.4" customHeight="1" x14ac:dyDescent="0.35">
      <c r="N4851" s="20"/>
      <c r="P4851" s="8"/>
      <c r="Q4851" s="8"/>
      <c r="R4851" s="8"/>
      <c r="S4851" s="8"/>
      <c r="U4851" s="6"/>
      <c r="V4851" s="6"/>
      <c r="W4851" s="6"/>
      <c r="X4851" s="6"/>
      <c r="Y4851" s="6"/>
      <c r="Z4851" s="6"/>
    </row>
    <row r="4852" spans="14:26" ht="31.4" customHeight="1" x14ac:dyDescent="0.35">
      <c r="N4852" s="20"/>
      <c r="P4852" s="8"/>
      <c r="Q4852" s="8"/>
      <c r="R4852" s="8"/>
      <c r="S4852" s="8"/>
      <c r="U4852" s="6"/>
      <c r="V4852" s="6"/>
      <c r="W4852" s="6"/>
      <c r="X4852" s="6"/>
      <c r="Y4852" s="6"/>
      <c r="Z4852" s="6"/>
    </row>
    <row r="4853" spans="14:26" ht="31.4" customHeight="1" x14ac:dyDescent="0.35">
      <c r="N4853" s="20"/>
      <c r="P4853" s="8"/>
      <c r="Q4853" s="8"/>
      <c r="R4853" s="8"/>
      <c r="S4853" s="8"/>
      <c r="U4853" s="6"/>
      <c r="V4853" s="6"/>
      <c r="W4853" s="6"/>
      <c r="X4853" s="6"/>
      <c r="Y4853" s="6"/>
      <c r="Z4853" s="6"/>
    </row>
    <row r="4854" spans="14:26" ht="31.4" customHeight="1" x14ac:dyDescent="0.35">
      <c r="N4854" s="20"/>
      <c r="P4854" s="8"/>
      <c r="Q4854" s="8"/>
      <c r="R4854" s="8"/>
      <c r="S4854" s="8"/>
      <c r="U4854" s="6"/>
      <c r="V4854" s="6"/>
      <c r="W4854" s="6"/>
      <c r="X4854" s="6"/>
      <c r="Y4854" s="6"/>
      <c r="Z4854" s="6"/>
    </row>
    <row r="4855" spans="14:26" ht="31.4" customHeight="1" x14ac:dyDescent="0.35">
      <c r="N4855" s="20"/>
      <c r="P4855" s="8"/>
      <c r="Q4855" s="8"/>
      <c r="R4855" s="8"/>
      <c r="S4855" s="8"/>
      <c r="U4855" s="6"/>
      <c r="V4855" s="6"/>
      <c r="W4855" s="6"/>
      <c r="X4855" s="6"/>
      <c r="Y4855" s="6"/>
      <c r="Z4855" s="6"/>
    </row>
    <row r="4856" spans="14:26" ht="31.4" customHeight="1" x14ac:dyDescent="0.35">
      <c r="N4856" s="20"/>
      <c r="P4856" s="8"/>
      <c r="Q4856" s="8"/>
      <c r="R4856" s="8"/>
      <c r="S4856" s="8"/>
      <c r="U4856" s="6"/>
      <c r="V4856" s="6"/>
      <c r="W4856" s="6"/>
      <c r="X4856" s="6"/>
      <c r="Y4856" s="6"/>
      <c r="Z4856" s="6"/>
    </row>
    <row r="4857" spans="14:26" ht="31.4" customHeight="1" x14ac:dyDescent="0.35">
      <c r="N4857" s="20"/>
      <c r="P4857" s="8"/>
      <c r="Q4857" s="8"/>
      <c r="R4857" s="8"/>
      <c r="S4857" s="8"/>
      <c r="U4857" s="6"/>
      <c r="V4857" s="6"/>
      <c r="W4857" s="6"/>
      <c r="X4857" s="6"/>
      <c r="Y4857" s="6"/>
      <c r="Z4857" s="6"/>
    </row>
    <row r="4858" spans="14:26" ht="31.4" customHeight="1" x14ac:dyDescent="0.35">
      <c r="N4858" s="20"/>
      <c r="P4858" s="8"/>
      <c r="Q4858" s="8"/>
      <c r="R4858" s="8"/>
      <c r="S4858" s="8"/>
      <c r="U4858" s="6"/>
      <c r="V4858" s="6"/>
      <c r="W4858" s="6"/>
      <c r="X4858" s="6"/>
      <c r="Y4858" s="6"/>
      <c r="Z4858" s="6"/>
    </row>
    <row r="4859" spans="14:26" ht="31.4" customHeight="1" x14ac:dyDescent="0.35">
      <c r="N4859" s="20"/>
      <c r="P4859" s="8"/>
      <c r="Q4859" s="8"/>
      <c r="R4859" s="8"/>
      <c r="S4859" s="8"/>
      <c r="U4859" s="6"/>
      <c r="V4859" s="6"/>
      <c r="W4859" s="6"/>
      <c r="X4859" s="6"/>
      <c r="Y4859" s="6"/>
      <c r="Z4859" s="6"/>
    </row>
    <row r="4860" spans="14:26" ht="31.4" customHeight="1" x14ac:dyDescent="0.35">
      <c r="N4860" s="20"/>
      <c r="P4860" s="8"/>
      <c r="Q4860" s="8"/>
      <c r="R4860" s="8"/>
      <c r="S4860" s="8"/>
      <c r="U4860" s="6"/>
      <c r="V4860" s="6"/>
      <c r="W4860" s="6"/>
      <c r="X4860" s="6"/>
      <c r="Y4860" s="6"/>
      <c r="Z4860" s="6"/>
    </row>
    <row r="4861" spans="14:26" ht="31.4" customHeight="1" x14ac:dyDescent="0.35">
      <c r="N4861" s="20"/>
      <c r="P4861" s="8"/>
      <c r="Q4861" s="8"/>
      <c r="R4861" s="8"/>
      <c r="S4861" s="8"/>
      <c r="U4861" s="6"/>
      <c r="V4861" s="6"/>
      <c r="W4861" s="6"/>
      <c r="X4861" s="6"/>
      <c r="Y4861" s="6"/>
      <c r="Z4861" s="6"/>
    </row>
    <row r="4862" spans="14:26" ht="31.4" customHeight="1" x14ac:dyDescent="0.35">
      <c r="N4862" s="20"/>
      <c r="P4862" s="8"/>
      <c r="Q4862" s="8"/>
      <c r="R4862" s="8"/>
      <c r="S4862" s="8"/>
      <c r="U4862" s="6"/>
      <c r="V4862" s="6"/>
      <c r="W4862" s="6"/>
      <c r="X4862" s="6"/>
      <c r="Y4862" s="6"/>
      <c r="Z4862" s="6"/>
    </row>
    <row r="4863" spans="14:26" ht="31.4" customHeight="1" x14ac:dyDescent="0.35">
      <c r="N4863" s="20"/>
      <c r="P4863" s="8"/>
      <c r="Q4863" s="8"/>
      <c r="R4863" s="8"/>
      <c r="S4863" s="8"/>
      <c r="U4863" s="6"/>
      <c r="V4863" s="6"/>
      <c r="W4863" s="6"/>
      <c r="X4863" s="6"/>
      <c r="Y4863" s="6"/>
      <c r="Z4863" s="6"/>
    </row>
    <row r="4864" spans="14:26" ht="31.4" customHeight="1" x14ac:dyDescent="0.35">
      <c r="N4864" s="20"/>
      <c r="P4864" s="8"/>
      <c r="Q4864" s="8"/>
      <c r="R4864" s="8"/>
      <c r="S4864" s="8"/>
      <c r="U4864" s="6"/>
      <c r="V4864" s="6"/>
      <c r="W4864" s="6"/>
      <c r="X4864" s="6"/>
      <c r="Y4864" s="6"/>
      <c r="Z4864" s="6"/>
    </row>
    <row r="4865" spans="14:26" ht="31.4" customHeight="1" x14ac:dyDescent="0.35">
      <c r="N4865" s="20"/>
      <c r="P4865" s="8"/>
      <c r="Q4865" s="8"/>
      <c r="R4865" s="8"/>
      <c r="S4865" s="8"/>
      <c r="U4865" s="6"/>
      <c r="V4865" s="6"/>
      <c r="W4865" s="6"/>
      <c r="X4865" s="6"/>
      <c r="Y4865" s="6"/>
      <c r="Z4865" s="6"/>
    </row>
    <row r="4866" spans="14:26" ht="31.4" customHeight="1" x14ac:dyDescent="0.35">
      <c r="N4866" s="20"/>
      <c r="P4866" s="8"/>
      <c r="Q4866" s="8"/>
      <c r="R4866" s="8"/>
      <c r="S4866" s="8"/>
      <c r="U4866" s="6"/>
      <c r="V4866" s="6"/>
      <c r="W4866" s="6"/>
      <c r="X4866" s="6"/>
      <c r="Y4866" s="6"/>
      <c r="Z4866" s="6"/>
    </row>
    <row r="4867" spans="14:26" ht="31.4" customHeight="1" x14ac:dyDescent="0.35">
      <c r="N4867" s="20"/>
      <c r="P4867" s="8"/>
      <c r="Q4867" s="8"/>
      <c r="R4867" s="8"/>
      <c r="S4867" s="8"/>
      <c r="U4867" s="6"/>
      <c r="V4867" s="6"/>
      <c r="W4867" s="6"/>
      <c r="X4867" s="6"/>
      <c r="Y4867" s="6"/>
      <c r="Z4867" s="6"/>
    </row>
    <row r="4868" spans="14:26" ht="31.4" customHeight="1" x14ac:dyDescent="0.35">
      <c r="N4868" s="20"/>
      <c r="P4868" s="8"/>
      <c r="Q4868" s="8"/>
      <c r="R4868" s="8"/>
      <c r="S4868" s="8"/>
      <c r="U4868" s="6"/>
      <c r="V4868" s="6"/>
      <c r="W4868" s="6"/>
      <c r="X4868" s="6"/>
      <c r="Y4868" s="6"/>
      <c r="Z4868" s="6"/>
    </row>
    <row r="4869" spans="14:26" ht="31.4" customHeight="1" x14ac:dyDescent="0.35">
      <c r="N4869" s="20"/>
      <c r="P4869" s="8"/>
      <c r="Q4869" s="8"/>
      <c r="R4869" s="8"/>
      <c r="S4869" s="8"/>
      <c r="U4869" s="6"/>
      <c r="V4869" s="6"/>
      <c r="W4869" s="6"/>
      <c r="X4869" s="6"/>
      <c r="Y4869" s="6"/>
      <c r="Z4869" s="6"/>
    </row>
    <row r="4870" spans="14:26" ht="31.4" customHeight="1" x14ac:dyDescent="0.35">
      <c r="N4870" s="20"/>
      <c r="P4870" s="8"/>
      <c r="Q4870" s="8"/>
      <c r="R4870" s="8"/>
      <c r="S4870" s="8"/>
      <c r="U4870" s="6"/>
      <c r="V4870" s="6"/>
      <c r="W4870" s="6"/>
      <c r="X4870" s="6"/>
      <c r="Y4870" s="6"/>
      <c r="Z4870" s="6"/>
    </row>
    <row r="4871" spans="14:26" ht="31.4" customHeight="1" x14ac:dyDescent="0.35">
      <c r="N4871" s="20"/>
      <c r="P4871" s="8"/>
      <c r="Q4871" s="8"/>
      <c r="R4871" s="8"/>
      <c r="S4871" s="8"/>
      <c r="U4871" s="6"/>
      <c r="V4871" s="6"/>
      <c r="W4871" s="6"/>
      <c r="X4871" s="6"/>
      <c r="Y4871" s="6"/>
      <c r="Z4871" s="6"/>
    </row>
    <row r="4872" spans="14:26" ht="31.4" customHeight="1" x14ac:dyDescent="0.35">
      <c r="N4872" s="20"/>
      <c r="P4872" s="8"/>
      <c r="Q4872" s="8"/>
      <c r="R4872" s="8"/>
      <c r="S4872" s="8"/>
      <c r="U4872" s="6"/>
      <c r="V4872" s="6"/>
      <c r="W4872" s="6"/>
      <c r="X4872" s="6"/>
      <c r="Y4872" s="6"/>
      <c r="Z4872" s="6"/>
    </row>
    <row r="4873" spans="14:26" ht="31.4" customHeight="1" x14ac:dyDescent="0.35">
      <c r="N4873" s="20"/>
      <c r="P4873" s="8"/>
      <c r="Q4873" s="8"/>
      <c r="R4873" s="8"/>
      <c r="S4873" s="8"/>
      <c r="U4873" s="6"/>
      <c r="V4873" s="6"/>
      <c r="W4873" s="6"/>
      <c r="X4873" s="6"/>
      <c r="Y4873" s="6"/>
      <c r="Z4873" s="6"/>
    </row>
    <row r="4874" spans="14:26" ht="31.4" customHeight="1" x14ac:dyDescent="0.35">
      <c r="N4874" s="20"/>
      <c r="P4874" s="8"/>
      <c r="Q4874" s="8"/>
      <c r="R4874" s="8"/>
      <c r="S4874" s="8"/>
      <c r="U4874" s="6"/>
      <c r="V4874" s="6"/>
      <c r="W4874" s="6"/>
      <c r="X4874" s="6"/>
      <c r="Y4874" s="6"/>
      <c r="Z4874" s="6"/>
    </row>
    <row r="4875" spans="14:26" ht="31.4" customHeight="1" x14ac:dyDescent="0.35">
      <c r="N4875" s="20"/>
      <c r="P4875" s="8"/>
      <c r="Q4875" s="8"/>
      <c r="R4875" s="8"/>
      <c r="S4875" s="8"/>
      <c r="U4875" s="6"/>
      <c r="V4875" s="6"/>
      <c r="W4875" s="6"/>
      <c r="X4875" s="6"/>
      <c r="Y4875" s="6"/>
      <c r="Z4875" s="6"/>
    </row>
    <row r="4876" spans="14:26" ht="31.4" customHeight="1" x14ac:dyDescent="0.35">
      <c r="N4876" s="20"/>
      <c r="P4876" s="8"/>
      <c r="Q4876" s="8"/>
      <c r="R4876" s="8"/>
      <c r="S4876" s="8"/>
      <c r="U4876" s="6"/>
      <c r="V4876" s="6"/>
      <c r="W4876" s="6"/>
      <c r="X4876" s="6"/>
      <c r="Y4876" s="6"/>
      <c r="Z4876" s="6"/>
    </row>
    <row r="4877" spans="14:26" ht="31.4" customHeight="1" x14ac:dyDescent="0.35">
      <c r="N4877" s="20"/>
      <c r="P4877" s="8"/>
      <c r="Q4877" s="8"/>
      <c r="R4877" s="8"/>
      <c r="S4877" s="8"/>
      <c r="U4877" s="6"/>
      <c r="V4877" s="6"/>
      <c r="W4877" s="6"/>
      <c r="X4877" s="6"/>
      <c r="Y4877" s="6"/>
      <c r="Z4877" s="6"/>
    </row>
    <row r="4878" spans="14:26" ht="31.4" customHeight="1" x14ac:dyDescent="0.35">
      <c r="N4878" s="20"/>
      <c r="P4878" s="8"/>
      <c r="Q4878" s="8"/>
      <c r="R4878" s="8"/>
      <c r="S4878" s="8"/>
      <c r="U4878" s="6"/>
      <c r="V4878" s="6"/>
      <c r="W4878" s="6"/>
      <c r="X4878" s="6"/>
      <c r="Y4878" s="6"/>
      <c r="Z4878" s="6"/>
    </row>
    <row r="4879" spans="14:26" ht="31.4" customHeight="1" x14ac:dyDescent="0.35">
      <c r="N4879" s="20"/>
      <c r="P4879" s="8"/>
      <c r="Q4879" s="8"/>
      <c r="R4879" s="8"/>
      <c r="S4879" s="8"/>
      <c r="U4879" s="6"/>
      <c r="V4879" s="6"/>
      <c r="W4879" s="6"/>
      <c r="X4879" s="6"/>
      <c r="Y4879" s="6"/>
      <c r="Z4879" s="6"/>
    </row>
    <row r="4880" spans="14:26" ht="31.4" customHeight="1" x14ac:dyDescent="0.35">
      <c r="N4880" s="20"/>
      <c r="P4880" s="8"/>
      <c r="Q4880" s="8"/>
      <c r="R4880" s="8"/>
      <c r="S4880" s="8"/>
      <c r="U4880" s="6"/>
      <c r="V4880" s="6"/>
      <c r="W4880" s="6"/>
      <c r="X4880" s="6"/>
      <c r="Y4880" s="6"/>
      <c r="Z4880" s="6"/>
    </row>
    <row r="4881" spans="14:26" ht="31.4" customHeight="1" x14ac:dyDescent="0.35">
      <c r="N4881" s="20"/>
      <c r="P4881" s="8"/>
      <c r="Q4881" s="8"/>
      <c r="R4881" s="8"/>
      <c r="S4881" s="8"/>
      <c r="U4881" s="6"/>
      <c r="V4881" s="6"/>
      <c r="W4881" s="6"/>
      <c r="X4881" s="6"/>
      <c r="Y4881" s="6"/>
      <c r="Z4881" s="6"/>
    </row>
    <row r="4882" spans="14:26" ht="31.4" customHeight="1" x14ac:dyDescent="0.35">
      <c r="N4882" s="20"/>
      <c r="P4882" s="8"/>
      <c r="Q4882" s="8"/>
      <c r="R4882" s="8"/>
      <c r="S4882" s="8"/>
      <c r="U4882" s="6"/>
      <c r="V4882" s="6"/>
      <c r="W4882" s="6"/>
      <c r="X4882" s="6"/>
      <c r="Y4882" s="6"/>
      <c r="Z4882" s="6"/>
    </row>
    <row r="4883" spans="14:26" ht="31.4" customHeight="1" x14ac:dyDescent="0.35">
      <c r="N4883" s="20"/>
      <c r="P4883" s="8"/>
      <c r="Q4883" s="8"/>
      <c r="R4883" s="8"/>
      <c r="S4883" s="8"/>
      <c r="U4883" s="6"/>
      <c r="V4883" s="6"/>
      <c r="W4883" s="6"/>
      <c r="X4883" s="6"/>
      <c r="Y4883" s="6"/>
      <c r="Z4883" s="6"/>
    </row>
    <row r="4884" spans="14:26" ht="31.4" customHeight="1" x14ac:dyDescent="0.35">
      <c r="N4884" s="20"/>
      <c r="P4884" s="8"/>
      <c r="Q4884" s="8"/>
      <c r="R4884" s="8"/>
      <c r="S4884" s="8"/>
      <c r="U4884" s="6"/>
      <c r="V4884" s="6"/>
      <c r="W4884" s="6"/>
      <c r="X4884" s="6"/>
      <c r="Y4884" s="6"/>
      <c r="Z4884" s="6"/>
    </row>
    <row r="4885" spans="14:26" ht="31.4" customHeight="1" x14ac:dyDescent="0.35">
      <c r="N4885" s="20"/>
      <c r="P4885" s="8"/>
      <c r="Q4885" s="8"/>
      <c r="R4885" s="8"/>
      <c r="S4885" s="8"/>
      <c r="U4885" s="6"/>
      <c r="V4885" s="6"/>
      <c r="W4885" s="6"/>
      <c r="X4885" s="6"/>
      <c r="Y4885" s="6"/>
      <c r="Z4885" s="6"/>
    </row>
    <row r="4886" spans="14:26" ht="31.4" customHeight="1" x14ac:dyDescent="0.35">
      <c r="N4886" s="20"/>
      <c r="P4886" s="8"/>
      <c r="Q4886" s="8"/>
      <c r="R4886" s="8"/>
      <c r="S4886" s="8"/>
      <c r="U4886" s="6"/>
      <c r="V4886" s="6"/>
      <c r="W4886" s="6"/>
      <c r="X4886" s="6"/>
      <c r="Y4886" s="6"/>
      <c r="Z4886" s="6"/>
    </row>
    <row r="4887" spans="14:26" ht="31.4" customHeight="1" x14ac:dyDescent="0.35">
      <c r="N4887" s="20"/>
      <c r="P4887" s="8"/>
      <c r="Q4887" s="8"/>
      <c r="R4887" s="8"/>
      <c r="S4887" s="8"/>
      <c r="U4887" s="6"/>
      <c r="V4887" s="6"/>
      <c r="W4887" s="6"/>
      <c r="X4887" s="6"/>
      <c r="Y4887" s="6"/>
      <c r="Z4887" s="6"/>
    </row>
    <row r="4888" spans="14:26" ht="31.4" customHeight="1" x14ac:dyDescent="0.35">
      <c r="N4888" s="20"/>
      <c r="P4888" s="8"/>
      <c r="Q4888" s="8"/>
      <c r="R4888" s="8"/>
      <c r="S4888" s="8"/>
      <c r="U4888" s="6"/>
      <c r="V4888" s="6"/>
      <c r="W4888" s="6"/>
      <c r="X4888" s="6"/>
      <c r="Y4888" s="6"/>
      <c r="Z4888" s="6"/>
    </row>
    <row r="4889" spans="14:26" ht="31.4" customHeight="1" x14ac:dyDescent="0.35">
      <c r="N4889" s="20"/>
      <c r="P4889" s="8"/>
      <c r="Q4889" s="8"/>
      <c r="R4889" s="8"/>
      <c r="S4889" s="8"/>
      <c r="U4889" s="6"/>
      <c r="V4889" s="6"/>
      <c r="W4889" s="6"/>
      <c r="X4889" s="6"/>
      <c r="Y4889" s="6"/>
      <c r="Z4889" s="6"/>
    </row>
    <row r="4890" spans="14:26" ht="31.4" customHeight="1" x14ac:dyDescent="0.35">
      <c r="N4890" s="20"/>
      <c r="P4890" s="8"/>
      <c r="Q4890" s="8"/>
      <c r="R4890" s="8"/>
      <c r="S4890" s="8"/>
      <c r="U4890" s="6"/>
      <c r="V4890" s="6"/>
      <c r="W4890" s="6"/>
      <c r="X4890" s="6"/>
      <c r="Y4890" s="6"/>
      <c r="Z4890" s="6"/>
    </row>
    <row r="4891" spans="14:26" ht="31.4" customHeight="1" x14ac:dyDescent="0.35">
      <c r="N4891" s="20"/>
      <c r="P4891" s="8"/>
      <c r="Q4891" s="8"/>
      <c r="R4891" s="8"/>
      <c r="S4891" s="8"/>
      <c r="U4891" s="6"/>
      <c r="V4891" s="6"/>
      <c r="W4891" s="6"/>
      <c r="X4891" s="6"/>
      <c r="Y4891" s="6"/>
      <c r="Z4891" s="6"/>
    </row>
    <row r="4892" spans="14:26" ht="31.4" customHeight="1" x14ac:dyDescent="0.35">
      <c r="N4892" s="20"/>
      <c r="P4892" s="8"/>
      <c r="Q4892" s="8"/>
      <c r="R4892" s="8"/>
      <c r="S4892" s="8"/>
      <c r="U4892" s="6"/>
      <c r="V4892" s="6"/>
      <c r="W4892" s="6"/>
      <c r="X4892" s="6"/>
      <c r="Y4892" s="6"/>
      <c r="Z4892" s="6"/>
    </row>
    <row r="4893" spans="14:26" ht="31.4" customHeight="1" x14ac:dyDescent="0.35">
      <c r="N4893" s="20"/>
      <c r="P4893" s="8"/>
      <c r="Q4893" s="8"/>
      <c r="R4893" s="8"/>
      <c r="S4893" s="8"/>
      <c r="U4893" s="6"/>
      <c r="V4893" s="6"/>
      <c r="W4893" s="6"/>
      <c r="X4893" s="6"/>
      <c r="Y4893" s="6"/>
      <c r="Z4893" s="6"/>
    </row>
    <row r="4894" spans="14:26" ht="31.4" customHeight="1" x14ac:dyDescent="0.35">
      <c r="N4894" s="20"/>
      <c r="P4894" s="8"/>
      <c r="Q4894" s="8"/>
      <c r="R4894" s="8"/>
      <c r="S4894" s="8"/>
      <c r="U4894" s="6"/>
      <c r="V4894" s="6"/>
      <c r="W4894" s="6"/>
      <c r="X4894" s="6"/>
      <c r="Y4894" s="6"/>
      <c r="Z4894" s="6"/>
    </row>
    <row r="4895" spans="14:26" ht="31.4" customHeight="1" x14ac:dyDescent="0.35">
      <c r="N4895" s="20"/>
      <c r="P4895" s="8"/>
      <c r="Q4895" s="8"/>
      <c r="R4895" s="8"/>
      <c r="S4895" s="8"/>
      <c r="U4895" s="6"/>
      <c r="V4895" s="6"/>
      <c r="W4895" s="6"/>
      <c r="X4895" s="6"/>
      <c r="Y4895" s="6"/>
      <c r="Z4895" s="6"/>
    </row>
    <row r="4896" spans="14:26" ht="31.4" customHeight="1" x14ac:dyDescent="0.35">
      <c r="N4896" s="20"/>
      <c r="P4896" s="8"/>
      <c r="Q4896" s="8"/>
      <c r="R4896" s="8"/>
      <c r="S4896" s="8"/>
      <c r="U4896" s="6"/>
      <c r="V4896" s="6"/>
      <c r="W4896" s="6"/>
      <c r="X4896" s="6"/>
      <c r="Y4896" s="6"/>
      <c r="Z4896" s="6"/>
    </row>
    <row r="4897" spans="14:26" ht="31.4" customHeight="1" x14ac:dyDescent="0.35">
      <c r="N4897" s="20"/>
      <c r="P4897" s="8"/>
      <c r="Q4897" s="8"/>
      <c r="R4897" s="8"/>
      <c r="S4897" s="8"/>
      <c r="U4897" s="6"/>
      <c r="V4897" s="6"/>
      <c r="W4897" s="6"/>
      <c r="X4897" s="6"/>
      <c r="Y4897" s="6"/>
      <c r="Z4897" s="6"/>
    </row>
    <row r="4898" spans="14:26" ht="31.4" customHeight="1" x14ac:dyDescent="0.35">
      <c r="N4898" s="20"/>
      <c r="P4898" s="8"/>
      <c r="Q4898" s="8"/>
      <c r="R4898" s="8"/>
      <c r="S4898" s="8"/>
      <c r="U4898" s="6"/>
      <c r="V4898" s="6"/>
      <c r="W4898" s="6"/>
      <c r="X4898" s="6"/>
      <c r="Y4898" s="6"/>
      <c r="Z4898" s="6"/>
    </row>
    <row r="4899" spans="14:26" ht="31.4" customHeight="1" x14ac:dyDescent="0.35">
      <c r="N4899" s="20"/>
      <c r="P4899" s="8"/>
      <c r="Q4899" s="8"/>
      <c r="R4899" s="8"/>
      <c r="S4899" s="8"/>
      <c r="U4899" s="6"/>
      <c r="V4899" s="6"/>
      <c r="W4899" s="6"/>
      <c r="X4899" s="6"/>
      <c r="Y4899" s="6"/>
      <c r="Z4899" s="6"/>
    </row>
    <row r="4900" spans="14:26" ht="31.4" customHeight="1" x14ac:dyDescent="0.35">
      <c r="N4900" s="20"/>
      <c r="P4900" s="8"/>
      <c r="Q4900" s="8"/>
      <c r="R4900" s="8"/>
      <c r="S4900" s="8"/>
      <c r="U4900" s="6"/>
      <c r="V4900" s="6"/>
      <c r="W4900" s="6"/>
      <c r="X4900" s="6"/>
      <c r="Y4900" s="6"/>
      <c r="Z4900" s="6"/>
    </row>
    <row r="4901" spans="14:26" ht="31.4" customHeight="1" x14ac:dyDescent="0.35">
      <c r="N4901" s="20"/>
      <c r="P4901" s="8"/>
      <c r="Q4901" s="8"/>
      <c r="R4901" s="8"/>
      <c r="S4901" s="8"/>
      <c r="U4901" s="6"/>
      <c r="V4901" s="6"/>
      <c r="W4901" s="6"/>
      <c r="X4901" s="6"/>
      <c r="Y4901" s="6"/>
      <c r="Z4901" s="6"/>
    </row>
    <row r="4902" spans="14:26" ht="31.4" customHeight="1" x14ac:dyDescent="0.35">
      <c r="N4902" s="20"/>
      <c r="P4902" s="8"/>
      <c r="Q4902" s="8"/>
      <c r="R4902" s="8"/>
      <c r="S4902" s="8"/>
      <c r="U4902" s="6"/>
      <c r="V4902" s="6"/>
      <c r="W4902" s="6"/>
      <c r="X4902" s="6"/>
      <c r="Y4902" s="6"/>
      <c r="Z4902" s="6"/>
    </row>
    <row r="4903" spans="14:26" ht="31.4" customHeight="1" x14ac:dyDescent="0.35">
      <c r="N4903" s="20"/>
      <c r="P4903" s="8"/>
      <c r="Q4903" s="8"/>
      <c r="R4903" s="8"/>
      <c r="S4903" s="8"/>
      <c r="U4903" s="6"/>
      <c r="V4903" s="6"/>
      <c r="W4903" s="6"/>
      <c r="X4903" s="6"/>
      <c r="Y4903" s="6"/>
      <c r="Z4903" s="6"/>
    </row>
    <row r="4904" spans="14:26" ht="31.4" customHeight="1" x14ac:dyDescent="0.35">
      <c r="N4904" s="20"/>
      <c r="P4904" s="8"/>
      <c r="Q4904" s="8"/>
      <c r="R4904" s="8"/>
      <c r="S4904" s="8"/>
      <c r="U4904" s="6"/>
      <c r="V4904" s="6"/>
      <c r="W4904" s="6"/>
      <c r="X4904" s="6"/>
      <c r="Y4904" s="6"/>
      <c r="Z4904" s="6"/>
    </row>
    <row r="4905" spans="14:26" ht="31.4" customHeight="1" x14ac:dyDescent="0.35">
      <c r="N4905" s="20"/>
      <c r="P4905" s="8"/>
      <c r="Q4905" s="8"/>
      <c r="R4905" s="8"/>
      <c r="S4905" s="8"/>
      <c r="U4905" s="6"/>
      <c r="V4905" s="6"/>
      <c r="W4905" s="6"/>
      <c r="X4905" s="6"/>
      <c r="Y4905" s="6"/>
      <c r="Z4905" s="6"/>
    </row>
    <row r="4906" spans="14:26" ht="31.4" customHeight="1" x14ac:dyDescent="0.35">
      <c r="N4906" s="20"/>
      <c r="P4906" s="8"/>
      <c r="Q4906" s="8"/>
      <c r="R4906" s="8"/>
      <c r="S4906" s="8"/>
      <c r="U4906" s="6"/>
      <c r="V4906" s="6"/>
      <c r="W4906" s="6"/>
      <c r="X4906" s="6"/>
      <c r="Y4906" s="6"/>
      <c r="Z4906" s="6"/>
    </row>
    <row r="4907" spans="14:26" ht="31.4" customHeight="1" x14ac:dyDescent="0.35">
      <c r="N4907" s="20"/>
      <c r="P4907" s="8"/>
      <c r="Q4907" s="8"/>
      <c r="R4907" s="8"/>
      <c r="S4907" s="8"/>
      <c r="U4907" s="6"/>
      <c r="V4907" s="6"/>
      <c r="W4907" s="6"/>
      <c r="X4907" s="6"/>
      <c r="Y4907" s="6"/>
      <c r="Z4907" s="6"/>
    </row>
    <row r="4908" spans="14:26" ht="31.4" customHeight="1" x14ac:dyDescent="0.35">
      <c r="N4908" s="20"/>
      <c r="P4908" s="8"/>
      <c r="Q4908" s="8"/>
      <c r="R4908" s="8"/>
      <c r="S4908" s="8"/>
      <c r="U4908" s="6"/>
      <c r="V4908" s="6"/>
      <c r="W4908" s="6"/>
      <c r="X4908" s="6"/>
      <c r="Y4908" s="6"/>
      <c r="Z4908" s="6"/>
    </row>
    <row r="4909" spans="14:26" ht="31.4" customHeight="1" x14ac:dyDescent="0.35">
      <c r="N4909" s="20"/>
      <c r="P4909" s="8"/>
      <c r="Q4909" s="8"/>
      <c r="R4909" s="8"/>
      <c r="S4909" s="8"/>
      <c r="U4909" s="6"/>
      <c r="V4909" s="6"/>
      <c r="W4909" s="6"/>
      <c r="X4909" s="6"/>
      <c r="Y4909" s="6"/>
      <c r="Z4909" s="6"/>
    </row>
    <row r="4910" spans="14:26" ht="31.4" customHeight="1" x14ac:dyDescent="0.35">
      <c r="N4910" s="20"/>
      <c r="P4910" s="8"/>
      <c r="Q4910" s="8"/>
      <c r="R4910" s="8"/>
      <c r="S4910" s="8"/>
      <c r="U4910" s="6"/>
      <c r="V4910" s="6"/>
      <c r="W4910" s="6"/>
      <c r="X4910" s="6"/>
      <c r="Y4910" s="6"/>
      <c r="Z4910" s="6"/>
    </row>
    <row r="4911" spans="14:26" ht="31.4" customHeight="1" x14ac:dyDescent="0.35">
      <c r="N4911" s="20"/>
      <c r="P4911" s="8"/>
      <c r="Q4911" s="8"/>
      <c r="R4911" s="8"/>
      <c r="S4911" s="8"/>
      <c r="U4911" s="6"/>
      <c r="V4911" s="6"/>
      <c r="W4911" s="6"/>
      <c r="X4911" s="6"/>
      <c r="Y4911" s="6"/>
      <c r="Z4911" s="6"/>
    </row>
    <row r="4912" spans="14:26" ht="31.4" customHeight="1" x14ac:dyDescent="0.35">
      <c r="N4912" s="20"/>
      <c r="P4912" s="8"/>
      <c r="Q4912" s="8"/>
      <c r="R4912" s="8"/>
      <c r="S4912" s="8"/>
      <c r="U4912" s="6"/>
      <c r="V4912" s="6"/>
      <c r="W4912" s="6"/>
      <c r="X4912" s="6"/>
      <c r="Y4912" s="6"/>
      <c r="Z4912" s="6"/>
    </row>
    <row r="4913" spans="14:26" ht="31.4" customHeight="1" x14ac:dyDescent="0.35">
      <c r="N4913" s="20"/>
      <c r="P4913" s="8"/>
      <c r="Q4913" s="8"/>
      <c r="R4913" s="8"/>
      <c r="S4913" s="8"/>
      <c r="U4913" s="6"/>
      <c r="V4913" s="6"/>
      <c r="W4913" s="6"/>
      <c r="X4913" s="6"/>
      <c r="Y4913" s="6"/>
      <c r="Z4913" s="6"/>
    </row>
    <row r="4914" spans="14:26" ht="31.4" customHeight="1" x14ac:dyDescent="0.35">
      <c r="N4914" s="20"/>
      <c r="P4914" s="8"/>
      <c r="Q4914" s="8"/>
      <c r="R4914" s="8"/>
      <c r="S4914" s="8"/>
      <c r="U4914" s="6"/>
      <c r="V4914" s="6"/>
      <c r="W4914" s="6"/>
      <c r="X4914" s="6"/>
      <c r="Y4914" s="6"/>
      <c r="Z4914" s="6"/>
    </row>
    <row r="4915" spans="14:26" ht="31.4" customHeight="1" x14ac:dyDescent="0.35">
      <c r="N4915" s="20"/>
      <c r="P4915" s="8"/>
      <c r="Q4915" s="8"/>
      <c r="R4915" s="8"/>
      <c r="S4915" s="8"/>
      <c r="U4915" s="6"/>
      <c r="V4915" s="6"/>
      <c r="W4915" s="6"/>
      <c r="X4915" s="6"/>
      <c r="Y4915" s="6"/>
      <c r="Z4915" s="6"/>
    </row>
    <row r="4916" spans="14:26" ht="31.4" customHeight="1" x14ac:dyDescent="0.35">
      <c r="N4916" s="20"/>
      <c r="P4916" s="8"/>
      <c r="Q4916" s="8"/>
      <c r="R4916" s="8"/>
      <c r="S4916" s="8"/>
      <c r="U4916" s="6"/>
      <c r="V4916" s="6"/>
      <c r="W4916" s="6"/>
      <c r="X4916" s="6"/>
      <c r="Y4916" s="6"/>
      <c r="Z4916" s="6"/>
    </row>
    <row r="4917" spans="14:26" ht="31.4" customHeight="1" x14ac:dyDescent="0.35">
      <c r="N4917" s="20"/>
      <c r="P4917" s="8"/>
      <c r="Q4917" s="8"/>
      <c r="R4917" s="8"/>
      <c r="S4917" s="8"/>
      <c r="U4917" s="6"/>
      <c r="V4917" s="6"/>
      <c r="W4917" s="6"/>
      <c r="X4917" s="6"/>
      <c r="Y4917" s="6"/>
      <c r="Z4917" s="6"/>
    </row>
    <row r="4918" spans="14:26" ht="31.4" customHeight="1" x14ac:dyDescent="0.35">
      <c r="N4918" s="20"/>
      <c r="P4918" s="8"/>
      <c r="Q4918" s="8"/>
      <c r="R4918" s="8"/>
      <c r="S4918" s="8"/>
      <c r="U4918" s="6"/>
      <c r="V4918" s="6"/>
      <c r="W4918" s="6"/>
      <c r="X4918" s="6"/>
      <c r="Y4918" s="6"/>
      <c r="Z4918" s="6"/>
    </row>
    <row r="4919" spans="14:26" ht="31.4" customHeight="1" x14ac:dyDescent="0.35">
      <c r="N4919" s="20"/>
      <c r="P4919" s="8"/>
      <c r="Q4919" s="8"/>
      <c r="R4919" s="8"/>
      <c r="S4919" s="8"/>
      <c r="U4919" s="6"/>
      <c r="V4919" s="6"/>
      <c r="W4919" s="6"/>
      <c r="X4919" s="6"/>
      <c r="Y4919" s="6"/>
      <c r="Z4919" s="6"/>
    </row>
    <row r="4920" spans="14:26" ht="31.4" customHeight="1" x14ac:dyDescent="0.35">
      <c r="N4920" s="20"/>
      <c r="P4920" s="8"/>
      <c r="Q4920" s="8"/>
      <c r="R4920" s="8"/>
      <c r="S4920" s="8"/>
      <c r="U4920" s="6"/>
      <c r="V4920" s="6"/>
      <c r="W4920" s="6"/>
      <c r="X4920" s="6"/>
      <c r="Y4920" s="6"/>
      <c r="Z4920" s="6"/>
    </row>
    <row r="4921" spans="14:26" ht="31.4" customHeight="1" x14ac:dyDescent="0.35">
      <c r="N4921" s="20"/>
      <c r="P4921" s="8"/>
      <c r="Q4921" s="8"/>
      <c r="R4921" s="8"/>
      <c r="S4921" s="8"/>
      <c r="U4921" s="6"/>
      <c r="V4921" s="6"/>
      <c r="W4921" s="6"/>
      <c r="X4921" s="6"/>
      <c r="Y4921" s="6"/>
      <c r="Z4921" s="6"/>
    </row>
    <row r="4922" spans="14:26" ht="31.4" customHeight="1" x14ac:dyDescent="0.35">
      <c r="N4922" s="20"/>
      <c r="P4922" s="8"/>
      <c r="Q4922" s="8"/>
      <c r="R4922" s="8"/>
      <c r="S4922" s="8"/>
      <c r="U4922" s="6"/>
      <c r="V4922" s="6"/>
      <c r="W4922" s="6"/>
      <c r="X4922" s="6"/>
      <c r="Y4922" s="6"/>
      <c r="Z4922" s="6"/>
    </row>
    <row r="4923" spans="14:26" ht="31.4" customHeight="1" x14ac:dyDescent="0.35">
      <c r="N4923" s="20"/>
      <c r="P4923" s="8"/>
      <c r="Q4923" s="8"/>
      <c r="R4923" s="8"/>
      <c r="S4923" s="8"/>
      <c r="U4923" s="6"/>
      <c r="V4923" s="6"/>
      <c r="W4923" s="6"/>
      <c r="X4923" s="6"/>
      <c r="Y4923" s="6"/>
      <c r="Z4923" s="6"/>
    </row>
    <row r="4924" spans="14:26" ht="31.4" customHeight="1" x14ac:dyDescent="0.35">
      <c r="N4924" s="20"/>
      <c r="P4924" s="8"/>
      <c r="Q4924" s="8"/>
      <c r="R4924" s="8"/>
      <c r="S4924" s="8"/>
      <c r="U4924" s="6"/>
      <c r="V4924" s="6"/>
      <c r="W4924" s="6"/>
      <c r="X4924" s="6"/>
      <c r="Y4924" s="6"/>
      <c r="Z4924" s="6"/>
    </row>
    <row r="4925" spans="14:26" ht="31.4" customHeight="1" x14ac:dyDescent="0.35">
      <c r="N4925" s="20"/>
      <c r="P4925" s="8"/>
      <c r="Q4925" s="8"/>
      <c r="R4925" s="8"/>
      <c r="S4925" s="8"/>
      <c r="U4925" s="6"/>
      <c r="V4925" s="6"/>
      <c r="W4925" s="6"/>
      <c r="X4925" s="6"/>
      <c r="Y4925" s="6"/>
      <c r="Z4925" s="6"/>
    </row>
    <row r="4926" spans="14:26" ht="31.4" customHeight="1" x14ac:dyDescent="0.35">
      <c r="N4926" s="20"/>
      <c r="P4926" s="8"/>
      <c r="Q4926" s="8"/>
      <c r="R4926" s="8"/>
      <c r="S4926" s="8"/>
      <c r="U4926" s="6"/>
      <c r="V4926" s="6"/>
      <c r="W4926" s="6"/>
      <c r="X4926" s="6"/>
      <c r="Y4926" s="6"/>
      <c r="Z4926" s="6"/>
    </row>
    <row r="4927" spans="14:26" ht="31.4" customHeight="1" x14ac:dyDescent="0.35">
      <c r="N4927" s="20"/>
      <c r="P4927" s="8"/>
      <c r="Q4927" s="8"/>
      <c r="R4927" s="8"/>
      <c r="S4927" s="8"/>
      <c r="U4927" s="6"/>
      <c r="V4927" s="6"/>
      <c r="W4927" s="6"/>
      <c r="X4927" s="6"/>
      <c r="Y4927" s="6"/>
      <c r="Z4927" s="6"/>
    </row>
    <row r="4928" spans="14:26" ht="31.4" customHeight="1" x14ac:dyDescent="0.35">
      <c r="N4928" s="20"/>
      <c r="P4928" s="8"/>
      <c r="Q4928" s="8"/>
      <c r="R4928" s="8"/>
      <c r="S4928" s="8"/>
      <c r="U4928" s="6"/>
      <c r="V4928" s="6"/>
      <c r="W4928" s="6"/>
      <c r="X4928" s="6"/>
      <c r="Y4928" s="6"/>
      <c r="Z4928" s="6"/>
    </row>
    <row r="4929" spans="14:26" ht="31.4" customHeight="1" x14ac:dyDescent="0.35">
      <c r="N4929" s="20"/>
      <c r="P4929" s="8"/>
      <c r="Q4929" s="8"/>
      <c r="R4929" s="8"/>
      <c r="S4929" s="8"/>
      <c r="U4929" s="6"/>
      <c r="V4929" s="6"/>
      <c r="W4929" s="6"/>
      <c r="X4929" s="6"/>
      <c r="Y4929" s="6"/>
      <c r="Z4929" s="6"/>
    </row>
    <row r="4930" spans="14:26" ht="31.4" customHeight="1" x14ac:dyDescent="0.35">
      <c r="N4930" s="20"/>
      <c r="P4930" s="8"/>
      <c r="Q4930" s="8"/>
      <c r="R4930" s="8"/>
      <c r="S4930" s="8"/>
      <c r="U4930" s="6"/>
      <c r="V4930" s="6"/>
      <c r="W4930" s="6"/>
      <c r="X4930" s="6"/>
      <c r="Y4930" s="6"/>
      <c r="Z4930" s="6"/>
    </row>
    <row r="4931" spans="14:26" ht="31.4" customHeight="1" x14ac:dyDescent="0.35">
      <c r="N4931" s="20"/>
      <c r="P4931" s="8"/>
      <c r="Q4931" s="8"/>
      <c r="R4931" s="8"/>
      <c r="S4931" s="8"/>
      <c r="U4931" s="6"/>
      <c r="V4931" s="6"/>
      <c r="W4931" s="6"/>
      <c r="X4931" s="6"/>
      <c r="Y4931" s="6"/>
      <c r="Z4931" s="6"/>
    </row>
    <row r="4932" spans="14:26" ht="31.4" customHeight="1" x14ac:dyDescent="0.35">
      <c r="N4932" s="20"/>
      <c r="P4932" s="8"/>
      <c r="Q4932" s="8"/>
      <c r="R4932" s="8"/>
      <c r="S4932" s="8"/>
      <c r="U4932" s="6"/>
      <c r="V4932" s="6"/>
      <c r="W4932" s="6"/>
      <c r="X4932" s="6"/>
      <c r="Y4932" s="6"/>
      <c r="Z4932" s="6"/>
    </row>
    <row r="4933" spans="14:26" ht="31.4" customHeight="1" x14ac:dyDescent="0.35">
      <c r="N4933" s="20"/>
      <c r="P4933" s="8"/>
      <c r="Q4933" s="8"/>
      <c r="R4933" s="8"/>
      <c r="S4933" s="8"/>
      <c r="U4933" s="6"/>
      <c r="V4933" s="6"/>
      <c r="W4933" s="6"/>
      <c r="X4933" s="6"/>
      <c r="Y4933" s="6"/>
      <c r="Z4933" s="6"/>
    </row>
    <row r="4934" spans="14:26" ht="31.4" customHeight="1" x14ac:dyDescent="0.35">
      <c r="N4934" s="20"/>
      <c r="P4934" s="8"/>
      <c r="Q4934" s="8"/>
      <c r="R4934" s="8"/>
      <c r="S4934" s="8"/>
      <c r="U4934" s="6"/>
      <c r="V4934" s="6"/>
      <c r="W4934" s="6"/>
      <c r="X4934" s="6"/>
      <c r="Y4934" s="6"/>
      <c r="Z4934" s="6"/>
    </row>
    <row r="4935" spans="14:26" ht="31.4" customHeight="1" x14ac:dyDescent="0.35">
      <c r="N4935" s="20"/>
      <c r="P4935" s="8"/>
      <c r="Q4935" s="8"/>
      <c r="R4935" s="8"/>
      <c r="S4935" s="8"/>
      <c r="U4935" s="6"/>
      <c r="V4935" s="6"/>
      <c r="W4935" s="6"/>
      <c r="X4935" s="6"/>
      <c r="Y4935" s="6"/>
      <c r="Z4935" s="6"/>
    </row>
    <row r="4936" spans="14:26" ht="31.4" customHeight="1" x14ac:dyDescent="0.35">
      <c r="N4936" s="20"/>
      <c r="P4936" s="8"/>
      <c r="Q4936" s="8"/>
      <c r="R4936" s="8"/>
      <c r="S4936" s="8"/>
      <c r="U4936" s="6"/>
      <c r="V4936" s="6"/>
      <c r="W4936" s="6"/>
      <c r="X4936" s="6"/>
      <c r="Y4936" s="6"/>
      <c r="Z4936" s="6"/>
    </row>
    <row r="4937" spans="14:26" ht="31.4" customHeight="1" x14ac:dyDescent="0.35">
      <c r="N4937" s="20"/>
      <c r="P4937" s="8"/>
      <c r="Q4937" s="8"/>
      <c r="R4937" s="8"/>
      <c r="S4937" s="8"/>
      <c r="U4937" s="6"/>
      <c r="V4937" s="6"/>
      <c r="W4937" s="6"/>
      <c r="X4937" s="6"/>
      <c r="Y4937" s="6"/>
      <c r="Z4937" s="6"/>
    </row>
    <row r="4938" spans="14:26" ht="31.4" customHeight="1" x14ac:dyDescent="0.35">
      <c r="N4938" s="20"/>
      <c r="P4938" s="8"/>
      <c r="Q4938" s="8"/>
      <c r="R4938" s="8"/>
      <c r="S4938" s="8"/>
      <c r="U4938" s="6"/>
      <c r="V4938" s="6"/>
      <c r="W4938" s="6"/>
      <c r="X4938" s="6"/>
      <c r="Y4938" s="6"/>
      <c r="Z4938" s="6"/>
    </row>
    <row r="4939" spans="14:26" ht="31.4" customHeight="1" x14ac:dyDescent="0.35">
      <c r="N4939" s="20"/>
      <c r="P4939" s="8"/>
      <c r="Q4939" s="8"/>
      <c r="R4939" s="8"/>
      <c r="S4939" s="8"/>
      <c r="U4939" s="6"/>
      <c r="V4939" s="6"/>
      <c r="W4939" s="6"/>
      <c r="X4939" s="6"/>
      <c r="Y4939" s="6"/>
      <c r="Z4939" s="6"/>
    </row>
    <row r="4940" spans="14:26" ht="31.4" customHeight="1" x14ac:dyDescent="0.35">
      <c r="N4940" s="20"/>
      <c r="P4940" s="8"/>
      <c r="Q4940" s="8"/>
      <c r="R4940" s="8"/>
      <c r="S4940" s="8"/>
      <c r="U4940" s="6"/>
      <c r="V4940" s="6"/>
      <c r="W4940" s="6"/>
      <c r="X4940" s="6"/>
      <c r="Y4940" s="6"/>
      <c r="Z4940" s="6"/>
    </row>
    <row r="4941" spans="14:26" ht="31.4" customHeight="1" x14ac:dyDescent="0.35">
      <c r="N4941" s="20"/>
      <c r="P4941" s="8"/>
      <c r="Q4941" s="8"/>
      <c r="R4941" s="8"/>
      <c r="S4941" s="8"/>
      <c r="U4941" s="6"/>
      <c r="V4941" s="6"/>
      <c r="W4941" s="6"/>
      <c r="X4941" s="6"/>
      <c r="Y4941" s="6"/>
      <c r="Z4941" s="6"/>
    </row>
    <row r="4942" spans="14:26" ht="31.4" customHeight="1" x14ac:dyDescent="0.35">
      <c r="N4942" s="20"/>
      <c r="P4942" s="8"/>
      <c r="Q4942" s="8"/>
      <c r="R4942" s="8"/>
      <c r="S4942" s="8"/>
      <c r="U4942" s="6"/>
      <c r="V4942" s="6"/>
      <c r="W4942" s="6"/>
      <c r="X4942" s="6"/>
      <c r="Y4942" s="6"/>
      <c r="Z4942" s="6"/>
    </row>
    <row r="4943" spans="14:26" ht="31.4" customHeight="1" x14ac:dyDescent="0.35">
      <c r="N4943" s="20"/>
      <c r="P4943" s="8"/>
      <c r="Q4943" s="8"/>
      <c r="R4943" s="8"/>
      <c r="S4943" s="8"/>
      <c r="U4943" s="6"/>
      <c r="V4943" s="6"/>
      <c r="W4943" s="6"/>
      <c r="X4943" s="6"/>
      <c r="Y4943" s="6"/>
      <c r="Z4943" s="6"/>
    </row>
    <row r="4944" spans="14:26" ht="31.4" customHeight="1" x14ac:dyDescent="0.35">
      <c r="N4944" s="20"/>
      <c r="P4944" s="8"/>
      <c r="Q4944" s="8"/>
      <c r="R4944" s="8"/>
      <c r="S4944" s="8"/>
      <c r="U4944" s="6"/>
      <c r="V4944" s="6"/>
      <c r="W4944" s="6"/>
      <c r="X4944" s="6"/>
      <c r="Y4944" s="6"/>
      <c r="Z4944" s="6"/>
    </row>
    <row r="4945" spans="14:26" ht="31.4" customHeight="1" x14ac:dyDescent="0.35">
      <c r="N4945" s="20"/>
      <c r="P4945" s="8"/>
      <c r="Q4945" s="8"/>
      <c r="R4945" s="8"/>
      <c r="S4945" s="8"/>
      <c r="U4945" s="6"/>
      <c r="V4945" s="6"/>
      <c r="W4945" s="6"/>
      <c r="X4945" s="6"/>
      <c r="Y4945" s="6"/>
      <c r="Z4945" s="6"/>
    </row>
    <row r="4946" spans="14:26" ht="31.4" customHeight="1" x14ac:dyDescent="0.35">
      <c r="N4946" s="20"/>
      <c r="P4946" s="8"/>
      <c r="Q4946" s="8"/>
      <c r="R4946" s="8"/>
      <c r="S4946" s="8"/>
      <c r="U4946" s="6"/>
      <c r="V4946" s="6"/>
      <c r="W4946" s="6"/>
      <c r="X4946" s="6"/>
      <c r="Y4946" s="6"/>
      <c r="Z4946" s="6"/>
    </row>
    <row r="4947" spans="14:26" ht="31.4" customHeight="1" x14ac:dyDescent="0.35">
      <c r="N4947" s="20"/>
      <c r="P4947" s="8"/>
      <c r="Q4947" s="8"/>
      <c r="R4947" s="8"/>
      <c r="S4947" s="8"/>
      <c r="U4947" s="6"/>
      <c r="V4947" s="6"/>
      <c r="W4947" s="6"/>
      <c r="X4947" s="6"/>
      <c r="Y4947" s="6"/>
      <c r="Z4947" s="6"/>
    </row>
    <row r="4948" spans="14:26" ht="31.4" customHeight="1" x14ac:dyDescent="0.35">
      <c r="N4948" s="20"/>
      <c r="P4948" s="8"/>
      <c r="Q4948" s="8"/>
      <c r="R4948" s="8"/>
      <c r="S4948" s="8"/>
      <c r="U4948" s="6"/>
      <c r="V4948" s="6"/>
      <c r="W4948" s="6"/>
      <c r="X4948" s="6"/>
      <c r="Y4948" s="6"/>
      <c r="Z4948" s="6"/>
    </row>
    <row r="4949" spans="14:26" ht="31.4" customHeight="1" x14ac:dyDescent="0.35">
      <c r="N4949" s="20"/>
      <c r="P4949" s="8"/>
      <c r="Q4949" s="8"/>
      <c r="R4949" s="8"/>
      <c r="S4949" s="8"/>
      <c r="U4949" s="6"/>
      <c r="V4949" s="6"/>
      <c r="W4949" s="6"/>
      <c r="X4949" s="6"/>
      <c r="Y4949" s="6"/>
      <c r="Z4949" s="6"/>
    </row>
    <row r="4950" spans="14:26" ht="31.4" customHeight="1" x14ac:dyDescent="0.35">
      <c r="N4950" s="20"/>
      <c r="P4950" s="8"/>
      <c r="Q4950" s="8"/>
      <c r="R4950" s="8"/>
      <c r="S4950" s="8"/>
      <c r="U4950" s="6"/>
      <c r="V4950" s="6"/>
      <c r="W4950" s="6"/>
      <c r="X4950" s="6"/>
      <c r="Y4950" s="6"/>
      <c r="Z4950" s="6"/>
    </row>
    <row r="4951" spans="14:26" ht="31.4" customHeight="1" x14ac:dyDescent="0.35">
      <c r="N4951" s="20"/>
      <c r="P4951" s="8"/>
      <c r="Q4951" s="8"/>
      <c r="R4951" s="8"/>
      <c r="S4951" s="8"/>
      <c r="U4951" s="6"/>
      <c r="V4951" s="6"/>
      <c r="W4951" s="6"/>
      <c r="X4951" s="6"/>
      <c r="Y4951" s="6"/>
      <c r="Z4951" s="6"/>
    </row>
    <row r="4952" spans="14:26" ht="31.4" customHeight="1" x14ac:dyDescent="0.35">
      <c r="N4952" s="20"/>
      <c r="P4952" s="8"/>
      <c r="Q4952" s="8"/>
      <c r="R4952" s="8"/>
      <c r="S4952" s="8"/>
      <c r="U4952" s="6"/>
      <c r="V4952" s="6"/>
      <c r="W4952" s="6"/>
      <c r="X4952" s="6"/>
      <c r="Y4952" s="6"/>
      <c r="Z4952" s="6"/>
    </row>
    <row r="4953" spans="14:26" ht="31.4" customHeight="1" x14ac:dyDescent="0.35">
      <c r="N4953" s="20"/>
      <c r="P4953" s="8"/>
      <c r="Q4953" s="8"/>
      <c r="R4953" s="8"/>
      <c r="S4953" s="8"/>
      <c r="U4953" s="6"/>
      <c r="V4953" s="6"/>
      <c r="W4953" s="6"/>
      <c r="X4953" s="6"/>
      <c r="Y4953" s="6"/>
      <c r="Z4953" s="6"/>
    </row>
    <row r="4954" spans="14:26" ht="31.4" customHeight="1" x14ac:dyDescent="0.35">
      <c r="N4954" s="20"/>
      <c r="P4954" s="8"/>
      <c r="Q4954" s="8"/>
      <c r="R4954" s="8"/>
      <c r="S4954" s="8"/>
      <c r="U4954" s="6"/>
      <c r="V4954" s="6"/>
      <c r="W4954" s="6"/>
      <c r="X4954" s="6"/>
      <c r="Y4954" s="6"/>
      <c r="Z4954" s="6"/>
    </row>
    <row r="4955" spans="14:26" ht="31.4" customHeight="1" x14ac:dyDescent="0.35">
      <c r="N4955" s="20"/>
      <c r="P4955" s="8"/>
      <c r="Q4955" s="8"/>
      <c r="R4955" s="8"/>
      <c r="S4955" s="8"/>
      <c r="U4955" s="6"/>
      <c r="V4955" s="6"/>
      <c r="W4955" s="6"/>
      <c r="X4955" s="6"/>
      <c r="Y4955" s="6"/>
      <c r="Z4955" s="6"/>
    </row>
    <row r="4956" spans="14:26" ht="31.4" customHeight="1" x14ac:dyDescent="0.35">
      <c r="N4956" s="20"/>
      <c r="P4956" s="8"/>
      <c r="Q4956" s="8"/>
      <c r="R4956" s="8"/>
      <c r="S4956" s="8"/>
      <c r="U4956" s="6"/>
      <c r="V4956" s="6"/>
      <c r="W4956" s="6"/>
      <c r="X4956" s="6"/>
      <c r="Y4956" s="6"/>
      <c r="Z4956" s="6"/>
    </row>
    <row r="4957" spans="14:26" ht="31.4" customHeight="1" x14ac:dyDescent="0.35">
      <c r="N4957" s="20"/>
      <c r="P4957" s="8"/>
      <c r="Q4957" s="8"/>
      <c r="R4957" s="8"/>
      <c r="S4957" s="8"/>
      <c r="U4957" s="6"/>
      <c r="V4957" s="6"/>
      <c r="W4957" s="6"/>
      <c r="X4957" s="6"/>
      <c r="Y4957" s="6"/>
      <c r="Z4957" s="6"/>
    </row>
    <row r="4958" spans="14:26" ht="31.4" customHeight="1" x14ac:dyDescent="0.35">
      <c r="N4958" s="20"/>
      <c r="P4958" s="8"/>
      <c r="Q4958" s="8"/>
      <c r="R4958" s="8"/>
      <c r="S4958" s="8"/>
      <c r="U4958" s="6"/>
      <c r="V4958" s="6"/>
      <c r="W4958" s="6"/>
      <c r="X4958" s="6"/>
      <c r="Y4958" s="6"/>
      <c r="Z4958" s="6"/>
    </row>
    <row r="4959" spans="14:26" ht="31.4" customHeight="1" x14ac:dyDescent="0.35">
      <c r="N4959" s="20"/>
      <c r="P4959" s="8"/>
      <c r="Q4959" s="8"/>
      <c r="R4959" s="8"/>
      <c r="S4959" s="8"/>
      <c r="U4959" s="6"/>
      <c r="V4959" s="6"/>
      <c r="W4959" s="6"/>
      <c r="X4959" s="6"/>
      <c r="Y4959" s="6"/>
      <c r="Z4959" s="6"/>
    </row>
    <row r="4960" spans="14:26" ht="31.4" customHeight="1" x14ac:dyDescent="0.35">
      <c r="N4960" s="20"/>
      <c r="P4960" s="8"/>
      <c r="Q4960" s="8"/>
      <c r="R4960" s="8"/>
      <c r="S4960" s="8"/>
      <c r="U4960" s="6"/>
      <c r="V4960" s="6"/>
      <c r="W4960" s="6"/>
      <c r="X4960" s="6"/>
      <c r="Y4960" s="6"/>
      <c r="Z4960" s="6"/>
    </row>
    <row r="4961" spans="14:26" ht="31.4" customHeight="1" x14ac:dyDescent="0.35">
      <c r="N4961" s="20"/>
      <c r="P4961" s="8"/>
      <c r="Q4961" s="8"/>
      <c r="R4961" s="8"/>
      <c r="S4961" s="8"/>
      <c r="U4961" s="6"/>
      <c r="V4961" s="6"/>
      <c r="W4961" s="6"/>
      <c r="X4961" s="6"/>
      <c r="Y4961" s="6"/>
      <c r="Z4961" s="6"/>
    </row>
    <row r="4962" spans="14:26" ht="31.4" customHeight="1" x14ac:dyDescent="0.35">
      <c r="N4962" s="20"/>
      <c r="P4962" s="8"/>
      <c r="Q4962" s="8"/>
      <c r="R4962" s="8"/>
      <c r="S4962" s="8"/>
      <c r="U4962" s="6"/>
      <c r="V4962" s="6"/>
      <c r="W4962" s="6"/>
      <c r="X4962" s="6"/>
      <c r="Y4962" s="6"/>
      <c r="Z4962" s="6"/>
    </row>
    <row r="4963" spans="14:26" ht="31.4" customHeight="1" x14ac:dyDescent="0.35">
      <c r="N4963" s="20"/>
      <c r="P4963" s="8"/>
      <c r="Q4963" s="8"/>
      <c r="R4963" s="8"/>
      <c r="S4963" s="8"/>
      <c r="U4963" s="6"/>
      <c r="V4963" s="6"/>
      <c r="W4963" s="6"/>
      <c r="X4963" s="6"/>
      <c r="Y4963" s="6"/>
      <c r="Z4963" s="6"/>
    </row>
    <row r="4964" spans="14:26" ht="31.4" customHeight="1" x14ac:dyDescent="0.35">
      <c r="N4964" s="20"/>
      <c r="P4964" s="8"/>
      <c r="Q4964" s="8"/>
      <c r="R4964" s="8"/>
      <c r="S4964" s="8"/>
      <c r="U4964" s="6"/>
      <c r="V4964" s="6"/>
      <c r="W4964" s="6"/>
      <c r="X4964" s="6"/>
      <c r="Y4964" s="6"/>
      <c r="Z4964" s="6"/>
    </row>
    <row r="4965" spans="14:26" ht="31.4" customHeight="1" x14ac:dyDescent="0.35">
      <c r="N4965" s="20"/>
      <c r="P4965" s="8"/>
      <c r="Q4965" s="8"/>
      <c r="R4965" s="8"/>
      <c r="S4965" s="8"/>
      <c r="U4965" s="6"/>
      <c r="V4965" s="6"/>
      <c r="W4965" s="6"/>
      <c r="X4965" s="6"/>
      <c r="Y4965" s="6"/>
      <c r="Z4965" s="6"/>
    </row>
    <row r="4966" spans="14:26" ht="31.4" customHeight="1" x14ac:dyDescent="0.35">
      <c r="N4966" s="20"/>
      <c r="P4966" s="8"/>
      <c r="Q4966" s="8"/>
      <c r="R4966" s="8"/>
      <c r="S4966" s="8"/>
      <c r="U4966" s="6"/>
      <c r="V4966" s="6"/>
      <c r="W4966" s="6"/>
      <c r="X4966" s="6"/>
      <c r="Y4966" s="6"/>
      <c r="Z4966" s="6"/>
    </row>
    <row r="4967" spans="14:26" ht="31.4" customHeight="1" x14ac:dyDescent="0.35">
      <c r="N4967" s="20"/>
      <c r="P4967" s="8"/>
      <c r="Q4967" s="8"/>
      <c r="R4967" s="8"/>
      <c r="S4967" s="8"/>
      <c r="U4967" s="6"/>
      <c r="V4967" s="6"/>
      <c r="W4967" s="6"/>
      <c r="X4967" s="6"/>
      <c r="Y4967" s="6"/>
      <c r="Z4967" s="6"/>
    </row>
    <row r="4968" spans="14:26" ht="31.4" customHeight="1" x14ac:dyDescent="0.35">
      <c r="N4968" s="20"/>
      <c r="P4968" s="8"/>
      <c r="Q4968" s="8"/>
      <c r="R4968" s="8"/>
      <c r="S4968" s="8"/>
      <c r="U4968" s="6"/>
      <c r="V4968" s="6"/>
      <c r="W4968" s="6"/>
      <c r="X4968" s="6"/>
      <c r="Y4968" s="6"/>
      <c r="Z4968" s="6"/>
    </row>
    <row r="4969" spans="14:26" ht="31.4" customHeight="1" x14ac:dyDescent="0.35">
      <c r="N4969" s="20"/>
      <c r="P4969" s="8"/>
      <c r="Q4969" s="8"/>
      <c r="R4969" s="8"/>
      <c r="S4969" s="8"/>
      <c r="U4969" s="6"/>
      <c r="V4969" s="6"/>
      <c r="W4969" s="6"/>
      <c r="X4969" s="6"/>
      <c r="Y4969" s="6"/>
      <c r="Z4969" s="6"/>
    </row>
    <row r="4970" spans="14:26" ht="31.4" customHeight="1" x14ac:dyDescent="0.35">
      <c r="N4970" s="20"/>
      <c r="P4970" s="8"/>
      <c r="Q4970" s="8"/>
      <c r="R4970" s="8"/>
      <c r="S4970" s="8"/>
      <c r="U4970" s="6"/>
      <c r="V4970" s="6"/>
      <c r="W4970" s="6"/>
      <c r="X4970" s="6"/>
      <c r="Y4970" s="6"/>
      <c r="Z4970" s="6"/>
    </row>
    <row r="4971" spans="14:26" ht="31.4" customHeight="1" x14ac:dyDescent="0.35">
      <c r="N4971" s="20"/>
      <c r="P4971" s="8"/>
      <c r="Q4971" s="8"/>
      <c r="R4971" s="8"/>
      <c r="S4971" s="8"/>
      <c r="U4971" s="6"/>
      <c r="V4971" s="6"/>
      <c r="W4971" s="6"/>
      <c r="X4971" s="6"/>
      <c r="Y4971" s="6"/>
      <c r="Z4971" s="6"/>
    </row>
    <row r="4972" spans="14:26" ht="31.4" customHeight="1" x14ac:dyDescent="0.35">
      <c r="N4972" s="20"/>
      <c r="P4972" s="8"/>
      <c r="Q4972" s="8"/>
      <c r="R4972" s="8"/>
      <c r="S4972" s="8"/>
      <c r="U4972" s="6"/>
      <c r="V4972" s="6"/>
      <c r="W4972" s="6"/>
      <c r="X4972" s="6"/>
      <c r="Y4972" s="6"/>
      <c r="Z4972" s="6"/>
    </row>
    <row r="4973" spans="14:26" ht="31.4" customHeight="1" x14ac:dyDescent="0.35">
      <c r="N4973" s="20"/>
      <c r="P4973" s="8"/>
      <c r="Q4973" s="8"/>
      <c r="R4973" s="8"/>
      <c r="S4973" s="8"/>
      <c r="U4973" s="6"/>
      <c r="V4973" s="6"/>
      <c r="W4973" s="6"/>
      <c r="X4973" s="6"/>
      <c r="Y4973" s="6"/>
      <c r="Z4973" s="6"/>
    </row>
    <row r="4974" spans="14:26" ht="31.4" customHeight="1" x14ac:dyDescent="0.35">
      <c r="N4974" s="20"/>
      <c r="P4974" s="8"/>
      <c r="Q4974" s="8"/>
      <c r="R4974" s="8"/>
      <c r="S4974" s="8"/>
      <c r="U4974" s="6"/>
      <c r="V4974" s="6"/>
      <c r="W4974" s="6"/>
      <c r="X4974" s="6"/>
      <c r="Y4974" s="6"/>
      <c r="Z4974" s="6"/>
    </row>
    <row r="4975" spans="14:26" ht="31.4" customHeight="1" x14ac:dyDescent="0.35">
      <c r="N4975" s="20"/>
      <c r="P4975" s="8"/>
      <c r="Q4975" s="8"/>
      <c r="R4975" s="8"/>
      <c r="S4975" s="8"/>
      <c r="U4975" s="6"/>
      <c r="V4975" s="6"/>
      <c r="W4975" s="6"/>
      <c r="X4975" s="6"/>
      <c r="Y4975" s="6"/>
      <c r="Z4975" s="6"/>
    </row>
    <row r="4976" spans="14:26" ht="31.4" customHeight="1" x14ac:dyDescent="0.35">
      <c r="N4976" s="20"/>
      <c r="P4976" s="8"/>
      <c r="Q4976" s="8"/>
      <c r="R4976" s="8"/>
      <c r="S4976" s="8"/>
      <c r="U4976" s="6"/>
      <c r="V4976" s="6"/>
      <c r="W4976" s="6"/>
      <c r="X4976" s="6"/>
      <c r="Y4976" s="6"/>
      <c r="Z4976" s="6"/>
    </row>
    <row r="4977" spans="14:26" ht="31.4" customHeight="1" x14ac:dyDescent="0.35">
      <c r="N4977" s="20"/>
      <c r="P4977" s="8"/>
      <c r="Q4977" s="8"/>
      <c r="R4977" s="8"/>
      <c r="S4977" s="8"/>
      <c r="U4977" s="6"/>
      <c r="V4977" s="6"/>
      <c r="W4977" s="6"/>
      <c r="X4977" s="6"/>
      <c r="Y4977" s="6"/>
      <c r="Z4977" s="6"/>
    </row>
    <row r="4978" spans="14:26" ht="31.4" customHeight="1" x14ac:dyDescent="0.35">
      <c r="N4978" s="20"/>
      <c r="P4978" s="8"/>
      <c r="Q4978" s="8"/>
      <c r="R4978" s="8"/>
      <c r="S4978" s="8"/>
      <c r="U4978" s="6"/>
      <c r="V4978" s="6"/>
      <c r="W4978" s="6"/>
      <c r="X4978" s="6"/>
      <c r="Y4978" s="6"/>
      <c r="Z4978" s="6"/>
    </row>
    <row r="4979" spans="14:26" ht="31.4" customHeight="1" x14ac:dyDescent="0.35">
      <c r="N4979" s="20"/>
      <c r="P4979" s="8"/>
      <c r="Q4979" s="8"/>
      <c r="R4979" s="8"/>
      <c r="S4979" s="8"/>
      <c r="U4979" s="6"/>
      <c r="V4979" s="6"/>
      <c r="W4979" s="6"/>
      <c r="X4979" s="6"/>
      <c r="Y4979" s="6"/>
      <c r="Z4979" s="6"/>
    </row>
    <row r="4980" spans="14:26" ht="31.4" customHeight="1" x14ac:dyDescent="0.35">
      <c r="N4980" s="20"/>
      <c r="P4980" s="8"/>
      <c r="Q4980" s="8"/>
      <c r="R4980" s="8"/>
      <c r="S4980" s="8"/>
      <c r="U4980" s="6"/>
      <c r="V4980" s="6"/>
      <c r="W4980" s="6"/>
      <c r="X4980" s="6"/>
      <c r="Y4980" s="6"/>
      <c r="Z4980" s="6"/>
    </row>
    <row r="4981" spans="14:26" ht="31.4" customHeight="1" x14ac:dyDescent="0.35">
      <c r="N4981" s="20"/>
      <c r="P4981" s="8"/>
      <c r="Q4981" s="8"/>
      <c r="R4981" s="8"/>
      <c r="S4981" s="8"/>
      <c r="U4981" s="6"/>
      <c r="V4981" s="6"/>
      <c r="W4981" s="6"/>
      <c r="X4981" s="6"/>
      <c r="Y4981" s="6"/>
      <c r="Z4981" s="6"/>
    </row>
    <row r="4982" spans="14:26" ht="31.4" customHeight="1" x14ac:dyDescent="0.35">
      <c r="N4982" s="20"/>
      <c r="P4982" s="8"/>
      <c r="Q4982" s="8"/>
      <c r="R4982" s="8"/>
      <c r="S4982" s="8"/>
      <c r="U4982" s="6"/>
      <c r="V4982" s="6"/>
      <c r="W4982" s="6"/>
      <c r="X4982" s="6"/>
      <c r="Y4982" s="6"/>
      <c r="Z4982" s="6"/>
    </row>
    <row r="4983" spans="14:26" ht="31.4" customHeight="1" x14ac:dyDescent="0.35">
      <c r="N4983" s="20"/>
      <c r="P4983" s="8"/>
      <c r="Q4983" s="8"/>
      <c r="R4983" s="8"/>
      <c r="S4983" s="8"/>
      <c r="U4983" s="6"/>
      <c r="V4983" s="6"/>
      <c r="W4983" s="6"/>
      <c r="X4983" s="6"/>
      <c r="Y4983" s="6"/>
      <c r="Z4983" s="6"/>
    </row>
    <row r="4984" spans="14:26" ht="31.4" customHeight="1" x14ac:dyDescent="0.35">
      <c r="N4984" s="20"/>
      <c r="P4984" s="8"/>
      <c r="Q4984" s="8"/>
      <c r="R4984" s="8"/>
      <c r="S4984" s="8"/>
      <c r="U4984" s="6"/>
      <c r="V4984" s="6"/>
      <c r="W4984" s="6"/>
      <c r="X4984" s="6"/>
      <c r="Y4984" s="6"/>
      <c r="Z4984" s="6"/>
    </row>
    <row r="4985" spans="14:26" ht="31.4" customHeight="1" x14ac:dyDescent="0.35">
      <c r="N4985" s="20"/>
      <c r="P4985" s="8"/>
      <c r="Q4985" s="8"/>
      <c r="R4985" s="8"/>
      <c r="S4985" s="8"/>
      <c r="U4985" s="6"/>
      <c r="V4985" s="6"/>
      <c r="W4985" s="6"/>
      <c r="X4985" s="6"/>
      <c r="Y4985" s="6"/>
      <c r="Z4985" s="6"/>
    </row>
    <row r="4986" spans="14:26" ht="31.4" customHeight="1" x14ac:dyDescent="0.35">
      <c r="N4986" s="20"/>
      <c r="P4986" s="8"/>
      <c r="Q4986" s="8"/>
      <c r="R4986" s="8"/>
      <c r="S4986" s="8"/>
      <c r="U4986" s="6"/>
      <c r="V4986" s="6"/>
      <c r="W4986" s="6"/>
      <c r="X4986" s="6"/>
      <c r="Y4986" s="6"/>
      <c r="Z4986" s="6"/>
    </row>
    <row r="4987" spans="14:26" ht="31.4" customHeight="1" x14ac:dyDescent="0.35">
      <c r="N4987" s="20"/>
      <c r="P4987" s="8"/>
      <c r="Q4987" s="8"/>
      <c r="R4987" s="8"/>
      <c r="S4987" s="8"/>
      <c r="U4987" s="6"/>
      <c r="V4987" s="6"/>
      <c r="W4987" s="6"/>
      <c r="X4987" s="6"/>
      <c r="Y4987" s="6"/>
      <c r="Z4987" s="6"/>
    </row>
    <row r="4988" spans="14:26" ht="31.4" customHeight="1" x14ac:dyDescent="0.35">
      <c r="N4988" s="20"/>
      <c r="P4988" s="8"/>
      <c r="Q4988" s="8"/>
      <c r="R4988" s="8"/>
      <c r="S4988" s="8"/>
      <c r="U4988" s="6"/>
      <c r="V4988" s="6"/>
      <c r="W4988" s="6"/>
      <c r="X4988" s="6"/>
      <c r="Y4988" s="6"/>
      <c r="Z4988" s="6"/>
    </row>
    <row r="4989" spans="14:26" ht="31.4" customHeight="1" x14ac:dyDescent="0.35">
      <c r="N4989" s="20"/>
      <c r="P4989" s="8"/>
      <c r="Q4989" s="8"/>
      <c r="R4989" s="8"/>
      <c r="S4989" s="8"/>
      <c r="U4989" s="6"/>
      <c r="V4989" s="6"/>
      <c r="W4989" s="6"/>
      <c r="X4989" s="6"/>
      <c r="Y4989" s="6"/>
      <c r="Z4989" s="6"/>
    </row>
    <row r="4990" spans="14:26" ht="31.4" customHeight="1" x14ac:dyDescent="0.35">
      <c r="N4990" s="20"/>
      <c r="P4990" s="8"/>
      <c r="Q4990" s="8"/>
      <c r="R4990" s="8"/>
      <c r="S4990" s="8"/>
      <c r="U4990" s="6"/>
      <c r="V4990" s="6"/>
      <c r="W4990" s="6"/>
      <c r="X4990" s="6"/>
      <c r="Y4990" s="6"/>
      <c r="Z4990" s="6"/>
    </row>
    <row r="4991" spans="14:26" ht="31.4" customHeight="1" x14ac:dyDescent="0.35">
      <c r="N4991" s="20"/>
      <c r="P4991" s="8"/>
      <c r="Q4991" s="8"/>
      <c r="R4991" s="8"/>
      <c r="S4991" s="8"/>
      <c r="U4991" s="6"/>
      <c r="V4991" s="6"/>
      <c r="W4991" s="6"/>
      <c r="X4991" s="6"/>
      <c r="Y4991" s="6"/>
      <c r="Z4991" s="6"/>
    </row>
    <row r="4992" spans="14:26" ht="31.4" customHeight="1" x14ac:dyDescent="0.35">
      <c r="N4992" s="20"/>
      <c r="P4992" s="8"/>
      <c r="Q4992" s="8"/>
      <c r="R4992" s="8"/>
      <c r="S4992" s="8"/>
      <c r="U4992" s="6"/>
      <c r="V4992" s="6"/>
      <c r="W4992" s="6"/>
      <c r="X4992" s="6"/>
      <c r="Y4992" s="6"/>
      <c r="Z4992" s="6"/>
    </row>
    <row r="4993" spans="14:26" ht="31.4" customHeight="1" x14ac:dyDescent="0.35">
      <c r="N4993" s="20"/>
      <c r="P4993" s="8"/>
      <c r="Q4993" s="8"/>
      <c r="R4993" s="8"/>
      <c r="S4993" s="8"/>
      <c r="U4993" s="6"/>
      <c r="V4993" s="6"/>
      <c r="W4993" s="6"/>
      <c r="X4993" s="6"/>
      <c r="Y4993" s="6"/>
      <c r="Z4993" s="6"/>
    </row>
    <row r="4994" spans="14:26" ht="31.4" customHeight="1" x14ac:dyDescent="0.35">
      <c r="N4994" s="20"/>
      <c r="P4994" s="8"/>
      <c r="Q4994" s="8"/>
      <c r="R4994" s="8"/>
      <c r="S4994" s="8"/>
      <c r="U4994" s="6"/>
      <c r="V4994" s="6"/>
      <c r="W4994" s="6"/>
      <c r="X4994" s="6"/>
      <c r="Y4994" s="6"/>
      <c r="Z4994" s="6"/>
    </row>
    <row r="4995" spans="14:26" ht="31.4" customHeight="1" x14ac:dyDescent="0.35">
      <c r="N4995" s="20"/>
      <c r="P4995" s="8"/>
      <c r="Q4995" s="8"/>
      <c r="R4995" s="8"/>
      <c r="S4995" s="8"/>
      <c r="U4995" s="6"/>
      <c r="V4995" s="6"/>
      <c r="W4995" s="6"/>
      <c r="X4995" s="6"/>
      <c r="Y4995" s="6"/>
      <c r="Z4995" s="6"/>
    </row>
    <row r="4996" spans="14:26" ht="31.4" customHeight="1" x14ac:dyDescent="0.35">
      <c r="N4996" s="20"/>
      <c r="P4996" s="8"/>
      <c r="Q4996" s="8"/>
      <c r="R4996" s="8"/>
      <c r="S4996" s="8"/>
      <c r="U4996" s="6"/>
      <c r="V4996" s="6"/>
      <c r="W4996" s="6"/>
      <c r="X4996" s="6"/>
      <c r="Y4996" s="6"/>
      <c r="Z4996" s="6"/>
    </row>
    <row r="4997" spans="14:26" ht="31.4" customHeight="1" x14ac:dyDescent="0.35">
      <c r="N4997" s="20"/>
      <c r="P4997" s="8"/>
      <c r="Q4997" s="8"/>
      <c r="R4997" s="8"/>
      <c r="S4997" s="8"/>
      <c r="U4997" s="6"/>
      <c r="V4997" s="6"/>
      <c r="W4997" s="6"/>
      <c r="X4997" s="6"/>
      <c r="Y4997" s="6"/>
      <c r="Z4997" s="6"/>
    </row>
    <row r="4998" spans="14:26" ht="31.4" customHeight="1" x14ac:dyDescent="0.35">
      <c r="N4998" s="20"/>
      <c r="P4998" s="8"/>
      <c r="Q4998" s="8"/>
      <c r="R4998" s="8"/>
      <c r="S4998" s="8"/>
      <c r="U4998" s="6"/>
      <c r="V4998" s="6"/>
      <c r="W4998" s="6"/>
      <c r="X4998" s="6"/>
      <c r="Y4998" s="6"/>
      <c r="Z4998" s="6"/>
    </row>
    <row r="4999" spans="14:26" ht="31.4" customHeight="1" x14ac:dyDescent="0.35">
      <c r="N4999" s="20"/>
      <c r="P4999" s="8"/>
      <c r="Q4999" s="8"/>
      <c r="R4999" s="8"/>
      <c r="S4999" s="8"/>
      <c r="U4999" s="6"/>
      <c r="V4999" s="6"/>
      <c r="W4999" s="6"/>
      <c r="X4999" s="6"/>
      <c r="Y4999" s="6"/>
      <c r="Z4999" s="6"/>
    </row>
    <row r="5000" spans="14:26" ht="31.4" customHeight="1" x14ac:dyDescent="0.35">
      <c r="N5000" s="20"/>
      <c r="P5000" s="8"/>
      <c r="Q5000" s="8"/>
      <c r="R5000" s="8"/>
      <c r="S5000" s="8"/>
      <c r="U5000" s="6"/>
      <c r="V5000" s="6"/>
      <c r="W5000" s="6"/>
      <c r="X5000" s="6"/>
      <c r="Y5000" s="6"/>
      <c r="Z5000" s="6"/>
    </row>
    <row r="5001" spans="14:26" ht="31.4" customHeight="1" x14ac:dyDescent="0.35">
      <c r="N5001" s="20"/>
      <c r="P5001" s="8"/>
      <c r="Q5001" s="8"/>
      <c r="R5001" s="8"/>
      <c r="S5001" s="8"/>
      <c r="U5001" s="6"/>
      <c r="V5001" s="6"/>
      <c r="W5001" s="6"/>
      <c r="X5001" s="6"/>
      <c r="Y5001" s="6"/>
      <c r="Z5001" s="6"/>
    </row>
    <row r="5002" spans="14:26" ht="31.4" customHeight="1" x14ac:dyDescent="0.35">
      <c r="N5002" s="20"/>
      <c r="P5002" s="8"/>
      <c r="Q5002" s="8"/>
      <c r="R5002" s="8"/>
      <c r="S5002" s="8"/>
      <c r="U5002" s="6"/>
      <c r="V5002" s="6"/>
      <c r="W5002" s="6"/>
      <c r="X5002" s="6"/>
      <c r="Y5002" s="6"/>
      <c r="Z5002" s="6"/>
    </row>
    <row r="5003" spans="14:26" ht="31.4" customHeight="1" x14ac:dyDescent="0.35">
      <c r="N5003" s="20"/>
      <c r="P5003" s="8"/>
      <c r="Q5003" s="8"/>
      <c r="R5003" s="8"/>
      <c r="S5003" s="8"/>
      <c r="U5003" s="6"/>
      <c r="V5003" s="6"/>
      <c r="W5003" s="6"/>
      <c r="X5003" s="6"/>
      <c r="Y5003" s="6"/>
      <c r="Z5003" s="6"/>
    </row>
    <row r="5004" spans="14:26" ht="31.4" customHeight="1" x14ac:dyDescent="0.35">
      <c r="N5004" s="20"/>
      <c r="P5004" s="8"/>
      <c r="Q5004" s="8"/>
      <c r="R5004" s="8"/>
      <c r="S5004" s="8"/>
      <c r="U5004" s="6"/>
      <c r="V5004" s="6"/>
      <c r="W5004" s="6"/>
      <c r="X5004" s="6"/>
      <c r="Y5004" s="6"/>
      <c r="Z5004" s="6"/>
    </row>
    <row r="5005" spans="14:26" ht="31.4" customHeight="1" x14ac:dyDescent="0.35">
      <c r="N5005" s="20"/>
      <c r="P5005" s="8"/>
      <c r="Q5005" s="8"/>
      <c r="R5005" s="8"/>
      <c r="S5005" s="8"/>
      <c r="U5005" s="6"/>
      <c r="V5005" s="6"/>
      <c r="W5005" s="6"/>
      <c r="X5005" s="6"/>
      <c r="Y5005" s="6"/>
      <c r="Z5005" s="6"/>
    </row>
    <row r="5006" spans="14:26" ht="31.4" customHeight="1" x14ac:dyDescent="0.35">
      <c r="N5006" s="20"/>
      <c r="P5006" s="8"/>
      <c r="Q5006" s="8"/>
      <c r="R5006" s="8"/>
      <c r="S5006" s="8"/>
      <c r="U5006" s="6"/>
      <c r="V5006" s="6"/>
      <c r="W5006" s="6"/>
      <c r="X5006" s="6"/>
      <c r="Y5006" s="6"/>
      <c r="Z5006" s="6"/>
    </row>
    <row r="5007" spans="14:26" ht="31.4" customHeight="1" x14ac:dyDescent="0.35">
      <c r="N5007" s="20"/>
      <c r="P5007" s="8"/>
      <c r="Q5007" s="8"/>
      <c r="R5007" s="8"/>
      <c r="S5007" s="8"/>
      <c r="U5007" s="6"/>
      <c r="V5007" s="6"/>
      <c r="W5007" s="6"/>
      <c r="X5007" s="6"/>
      <c r="Y5007" s="6"/>
      <c r="Z5007" s="6"/>
    </row>
    <row r="5008" spans="14:26" ht="31.4" customHeight="1" x14ac:dyDescent="0.35">
      <c r="N5008" s="20"/>
      <c r="P5008" s="8"/>
      <c r="Q5008" s="8"/>
      <c r="R5008" s="8"/>
      <c r="S5008" s="8"/>
      <c r="U5008" s="6"/>
      <c r="V5008" s="6"/>
      <c r="W5008" s="6"/>
      <c r="X5008" s="6"/>
      <c r="Y5008" s="6"/>
      <c r="Z5008" s="6"/>
    </row>
    <row r="5009" spans="14:26" ht="31.4" customHeight="1" x14ac:dyDescent="0.35">
      <c r="N5009" s="20"/>
      <c r="P5009" s="8"/>
      <c r="Q5009" s="8"/>
      <c r="R5009" s="8"/>
      <c r="S5009" s="8"/>
      <c r="U5009" s="6"/>
      <c r="V5009" s="6"/>
      <c r="W5009" s="6"/>
      <c r="X5009" s="6"/>
      <c r="Y5009" s="6"/>
      <c r="Z5009" s="6"/>
    </row>
    <row r="5010" spans="14:26" ht="31.4" customHeight="1" x14ac:dyDescent="0.35">
      <c r="N5010" s="20"/>
      <c r="P5010" s="8"/>
      <c r="Q5010" s="8"/>
      <c r="R5010" s="8"/>
      <c r="S5010" s="8"/>
      <c r="U5010" s="6"/>
      <c r="V5010" s="6"/>
      <c r="W5010" s="6"/>
      <c r="X5010" s="6"/>
      <c r="Y5010" s="6"/>
      <c r="Z5010" s="6"/>
    </row>
    <row r="5011" spans="14:26" ht="31.4" customHeight="1" x14ac:dyDescent="0.35">
      <c r="N5011" s="20"/>
      <c r="P5011" s="8"/>
      <c r="Q5011" s="8"/>
      <c r="R5011" s="8"/>
      <c r="S5011" s="8"/>
      <c r="U5011" s="6"/>
      <c r="V5011" s="6"/>
      <c r="W5011" s="6"/>
      <c r="X5011" s="6"/>
      <c r="Y5011" s="6"/>
      <c r="Z5011" s="6"/>
    </row>
    <row r="5012" spans="14:26" ht="31.4" customHeight="1" x14ac:dyDescent="0.35">
      <c r="N5012" s="20"/>
      <c r="P5012" s="8"/>
      <c r="Q5012" s="8"/>
      <c r="R5012" s="8"/>
      <c r="S5012" s="8"/>
      <c r="U5012" s="6"/>
      <c r="V5012" s="6"/>
      <c r="W5012" s="6"/>
      <c r="X5012" s="6"/>
      <c r="Y5012" s="6"/>
      <c r="Z5012" s="6"/>
    </row>
    <row r="5013" spans="14:26" ht="31.4" customHeight="1" x14ac:dyDescent="0.35">
      <c r="N5013" s="20"/>
      <c r="P5013" s="8"/>
      <c r="Q5013" s="8"/>
      <c r="R5013" s="8"/>
      <c r="S5013" s="8"/>
      <c r="U5013" s="6"/>
      <c r="V5013" s="6"/>
      <c r="W5013" s="6"/>
      <c r="X5013" s="6"/>
      <c r="Y5013" s="6"/>
      <c r="Z5013" s="6"/>
    </row>
    <row r="5014" spans="14:26" ht="31.4" customHeight="1" x14ac:dyDescent="0.35">
      <c r="N5014" s="20"/>
      <c r="P5014" s="8"/>
      <c r="Q5014" s="8"/>
      <c r="R5014" s="8"/>
      <c r="S5014" s="8"/>
      <c r="U5014" s="6"/>
      <c r="V5014" s="6"/>
      <c r="W5014" s="6"/>
      <c r="X5014" s="6"/>
      <c r="Y5014" s="6"/>
      <c r="Z5014" s="6"/>
    </row>
    <row r="5015" spans="14:26" ht="31.4" customHeight="1" x14ac:dyDescent="0.35">
      <c r="N5015" s="20"/>
      <c r="P5015" s="8"/>
      <c r="Q5015" s="8"/>
      <c r="R5015" s="8"/>
      <c r="S5015" s="8"/>
      <c r="U5015" s="6"/>
      <c r="V5015" s="6"/>
      <c r="W5015" s="6"/>
      <c r="X5015" s="6"/>
      <c r="Y5015" s="6"/>
      <c r="Z5015" s="6"/>
    </row>
    <row r="5016" spans="14:26" ht="31.4" customHeight="1" x14ac:dyDescent="0.35">
      <c r="N5016" s="20"/>
      <c r="P5016" s="8"/>
      <c r="Q5016" s="8"/>
      <c r="R5016" s="8"/>
      <c r="S5016" s="8"/>
      <c r="U5016" s="6"/>
      <c r="V5016" s="6"/>
      <c r="W5016" s="6"/>
      <c r="X5016" s="6"/>
      <c r="Y5016" s="6"/>
      <c r="Z5016" s="6"/>
    </row>
    <row r="5017" spans="14:26" ht="31.4" customHeight="1" x14ac:dyDescent="0.35">
      <c r="N5017" s="20"/>
      <c r="P5017" s="8"/>
      <c r="Q5017" s="8"/>
      <c r="R5017" s="8"/>
      <c r="S5017" s="8"/>
      <c r="U5017" s="6"/>
      <c r="V5017" s="6"/>
      <c r="W5017" s="6"/>
      <c r="X5017" s="6"/>
      <c r="Y5017" s="6"/>
      <c r="Z5017" s="6"/>
    </row>
    <row r="5018" spans="14:26" ht="31.4" customHeight="1" x14ac:dyDescent="0.35">
      <c r="N5018" s="20"/>
      <c r="P5018" s="8"/>
      <c r="Q5018" s="8"/>
      <c r="R5018" s="8"/>
      <c r="S5018" s="8"/>
      <c r="U5018" s="6"/>
      <c r="V5018" s="6"/>
      <c r="W5018" s="6"/>
      <c r="X5018" s="6"/>
      <c r="Y5018" s="6"/>
      <c r="Z5018" s="6"/>
    </row>
    <row r="5019" spans="14:26" ht="31.4" customHeight="1" x14ac:dyDescent="0.35">
      <c r="N5019" s="20"/>
      <c r="P5019" s="8"/>
      <c r="Q5019" s="8"/>
      <c r="R5019" s="8"/>
      <c r="S5019" s="8"/>
      <c r="U5019" s="6"/>
      <c r="V5019" s="6"/>
      <c r="W5019" s="6"/>
      <c r="X5019" s="6"/>
      <c r="Y5019" s="6"/>
      <c r="Z5019" s="6"/>
    </row>
    <row r="5020" spans="14:26" ht="31.4" customHeight="1" x14ac:dyDescent="0.35">
      <c r="N5020" s="20"/>
      <c r="P5020" s="8"/>
      <c r="Q5020" s="8"/>
      <c r="R5020" s="8"/>
      <c r="S5020" s="8"/>
      <c r="U5020" s="6"/>
      <c r="V5020" s="6"/>
      <c r="W5020" s="6"/>
      <c r="X5020" s="6"/>
      <c r="Y5020" s="6"/>
      <c r="Z5020" s="6"/>
    </row>
    <row r="5021" spans="14:26" ht="31.4" customHeight="1" x14ac:dyDescent="0.35">
      <c r="N5021" s="20"/>
      <c r="P5021" s="8"/>
      <c r="Q5021" s="8"/>
      <c r="R5021" s="8"/>
      <c r="S5021" s="8"/>
      <c r="U5021" s="6"/>
      <c r="V5021" s="6"/>
      <c r="W5021" s="6"/>
      <c r="X5021" s="6"/>
      <c r="Y5021" s="6"/>
      <c r="Z5021" s="6"/>
    </row>
    <row r="5022" spans="14:26" ht="31.4" customHeight="1" x14ac:dyDescent="0.35">
      <c r="N5022" s="20"/>
      <c r="P5022" s="8"/>
      <c r="Q5022" s="8"/>
      <c r="R5022" s="8"/>
      <c r="S5022" s="8"/>
      <c r="U5022" s="6"/>
      <c r="V5022" s="6"/>
      <c r="W5022" s="6"/>
      <c r="X5022" s="6"/>
      <c r="Y5022" s="6"/>
      <c r="Z5022" s="6"/>
    </row>
    <row r="5023" spans="14:26" ht="31.4" customHeight="1" x14ac:dyDescent="0.35">
      <c r="N5023" s="20"/>
      <c r="P5023" s="8"/>
      <c r="Q5023" s="8"/>
      <c r="R5023" s="8"/>
      <c r="S5023" s="8"/>
      <c r="U5023" s="6"/>
      <c r="V5023" s="6"/>
      <c r="W5023" s="6"/>
      <c r="X5023" s="6"/>
      <c r="Y5023" s="6"/>
      <c r="Z5023" s="6"/>
    </row>
    <row r="5024" spans="14:26" ht="31.4" customHeight="1" x14ac:dyDescent="0.35">
      <c r="N5024" s="20"/>
      <c r="P5024" s="8"/>
      <c r="Q5024" s="8"/>
      <c r="R5024" s="8"/>
      <c r="S5024" s="8"/>
      <c r="U5024" s="6"/>
      <c r="V5024" s="6"/>
      <c r="W5024" s="6"/>
      <c r="X5024" s="6"/>
      <c r="Y5024" s="6"/>
      <c r="Z5024" s="6"/>
    </row>
    <row r="5025" spans="14:26" ht="31.4" customHeight="1" x14ac:dyDescent="0.35">
      <c r="N5025" s="20"/>
      <c r="P5025" s="8"/>
      <c r="Q5025" s="8"/>
      <c r="R5025" s="8"/>
      <c r="S5025" s="8"/>
      <c r="U5025" s="6"/>
      <c r="V5025" s="6"/>
      <c r="W5025" s="6"/>
      <c r="X5025" s="6"/>
      <c r="Y5025" s="6"/>
      <c r="Z5025" s="6"/>
    </row>
    <row r="5026" spans="14:26" ht="31.4" customHeight="1" x14ac:dyDescent="0.35">
      <c r="N5026" s="20"/>
      <c r="P5026" s="8"/>
      <c r="Q5026" s="8"/>
      <c r="R5026" s="8"/>
      <c r="S5026" s="8"/>
      <c r="U5026" s="6"/>
      <c r="V5026" s="6"/>
      <c r="W5026" s="6"/>
      <c r="X5026" s="6"/>
      <c r="Y5026" s="6"/>
      <c r="Z5026" s="6"/>
    </row>
    <row r="5027" spans="14:26" ht="31.4" customHeight="1" x14ac:dyDescent="0.35">
      <c r="N5027" s="20"/>
      <c r="P5027" s="8"/>
      <c r="Q5027" s="8"/>
      <c r="R5027" s="8"/>
      <c r="S5027" s="8"/>
      <c r="U5027" s="6"/>
      <c r="V5027" s="6"/>
      <c r="W5027" s="6"/>
      <c r="X5027" s="6"/>
      <c r="Y5027" s="6"/>
      <c r="Z5027" s="6"/>
    </row>
    <row r="5028" spans="14:26" ht="31.4" customHeight="1" x14ac:dyDescent="0.35">
      <c r="N5028" s="20"/>
      <c r="P5028" s="8"/>
      <c r="Q5028" s="8"/>
      <c r="R5028" s="8"/>
      <c r="S5028" s="8"/>
      <c r="U5028" s="6"/>
      <c r="V5028" s="6"/>
      <c r="W5028" s="6"/>
      <c r="X5028" s="6"/>
      <c r="Y5028" s="6"/>
      <c r="Z5028" s="6"/>
    </row>
    <row r="5029" spans="14:26" ht="31.4" customHeight="1" x14ac:dyDescent="0.35">
      <c r="N5029" s="20"/>
      <c r="P5029" s="8"/>
      <c r="Q5029" s="8"/>
      <c r="R5029" s="8"/>
      <c r="S5029" s="8"/>
      <c r="U5029" s="6"/>
      <c r="V5029" s="6"/>
      <c r="W5029" s="6"/>
      <c r="X5029" s="6"/>
      <c r="Y5029" s="6"/>
      <c r="Z5029" s="6"/>
    </row>
    <row r="5030" spans="14:26" ht="31.4" customHeight="1" x14ac:dyDescent="0.35">
      <c r="N5030" s="20"/>
      <c r="P5030" s="8"/>
      <c r="Q5030" s="8"/>
      <c r="R5030" s="8"/>
      <c r="S5030" s="8"/>
      <c r="U5030" s="6"/>
      <c r="V5030" s="6"/>
      <c r="W5030" s="6"/>
      <c r="X5030" s="6"/>
      <c r="Y5030" s="6"/>
      <c r="Z5030" s="6"/>
    </row>
    <row r="5031" spans="14:26" ht="31.4" customHeight="1" x14ac:dyDescent="0.35">
      <c r="N5031" s="20"/>
      <c r="P5031" s="8"/>
      <c r="Q5031" s="8"/>
      <c r="R5031" s="8"/>
      <c r="S5031" s="8"/>
      <c r="U5031" s="6"/>
      <c r="V5031" s="6"/>
      <c r="W5031" s="6"/>
      <c r="X5031" s="6"/>
      <c r="Y5031" s="6"/>
      <c r="Z5031" s="6"/>
    </row>
    <row r="5032" spans="14:26" ht="31.4" customHeight="1" x14ac:dyDescent="0.35">
      <c r="N5032" s="20"/>
      <c r="P5032" s="8"/>
      <c r="Q5032" s="8"/>
      <c r="R5032" s="8"/>
      <c r="S5032" s="8"/>
      <c r="U5032" s="6"/>
      <c r="V5032" s="6"/>
      <c r="W5032" s="6"/>
      <c r="X5032" s="6"/>
      <c r="Y5032" s="6"/>
      <c r="Z5032" s="6"/>
    </row>
    <row r="5033" spans="14:26" ht="31.4" customHeight="1" x14ac:dyDescent="0.35">
      <c r="N5033" s="20"/>
      <c r="P5033" s="8"/>
      <c r="Q5033" s="8"/>
      <c r="R5033" s="8"/>
      <c r="S5033" s="8"/>
      <c r="U5033" s="6"/>
      <c r="V5033" s="6"/>
      <c r="W5033" s="6"/>
      <c r="X5033" s="6"/>
      <c r="Y5033" s="6"/>
      <c r="Z5033" s="6"/>
    </row>
    <row r="5034" spans="14:26" ht="31.4" customHeight="1" x14ac:dyDescent="0.35">
      <c r="N5034" s="20"/>
      <c r="P5034" s="8"/>
      <c r="Q5034" s="8"/>
      <c r="R5034" s="8"/>
      <c r="S5034" s="8"/>
      <c r="U5034" s="6"/>
      <c r="V5034" s="6"/>
      <c r="W5034" s="6"/>
      <c r="X5034" s="6"/>
      <c r="Y5034" s="6"/>
      <c r="Z5034" s="6"/>
    </row>
    <row r="5035" spans="14:26" ht="31.4" customHeight="1" x14ac:dyDescent="0.35">
      <c r="N5035" s="20"/>
      <c r="P5035" s="8"/>
      <c r="Q5035" s="8"/>
      <c r="R5035" s="8"/>
      <c r="S5035" s="8"/>
      <c r="U5035" s="6"/>
      <c r="V5035" s="6"/>
      <c r="W5035" s="6"/>
      <c r="X5035" s="6"/>
      <c r="Y5035" s="6"/>
      <c r="Z5035" s="6"/>
    </row>
    <row r="5036" spans="14:26" ht="31.4" customHeight="1" x14ac:dyDescent="0.35">
      <c r="N5036" s="20"/>
      <c r="P5036" s="8"/>
      <c r="Q5036" s="8"/>
      <c r="R5036" s="8"/>
      <c r="S5036" s="8"/>
      <c r="U5036" s="6"/>
      <c r="V5036" s="6"/>
      <c r="W5036" s="6"/>
      <c r="X5036" s="6"/>
      <c r="Y5036" s="6"/>
      <c r="Z5036" s="6"/>
    </row>
    <row r="5037" spans="14:26" ht="31.4" customHeight="1" x14ac:dyDescent="0.35">
      <c r="N5037" s="20"/>
      <c r="P5037" s="8"/>
      <c r="Q5037" s="8"/>
      <c r="R5037" s="8"/>
      <c r="S5037" s="8"/>
      <c r="U5037" s="6"/>
      <c r="V5037" s="6"/>
      <c r="W5037" s="6"/>
      <c r="X5037" s="6"/>
      <c r="Y5037" s="6"/>
      <c r="Z5037" s="6"/>
    </row>
    <row r="5038" spans="14:26" ht="31.4" customHeight="1" x14ac:dyDescent="0.35">
      <c r="N5038" s="20"/>
      <c r="P5038" s="8"/>
      <c r="Q5038" s="8"/>
      <c r="R5038" s="8"/>
      <c r="S5038" s="8"/>
      <c r="U5038" s="6"/>
      <c r="V5038" s="6"/>
      <c r="W5038" s="6"/>
      <c r="X5038" s="6"/>
      <c r="Y5038" s="6"/>
      <c r="Z5038" s="6"/>
    </row>
    <row r="5039" spans="14:26" ht="31.4" customHeight="1" x14ac:dyDescent="0.35">
      <c r="N5039" s="20"/>
      <c r="P5039" s="8"/>
      <c r="Q5039" s="8"/>
      <c r="R5039" s="8"/>
      <c r="S5039" s="8"/>
      <c r="U5039" s="6"/>
      <c r="V5039" s="6"/>
      <c r="W5039" s="6"/>
      <c r="X5039" s="6"/>
      <c r="Y5039" s="6"/>
      <c r="Z5039" s="6"/>
    </row>
    <row r="5040" spans="14:26" ht="31.4" customHeight="1" x14ac:dyDescent="0.35">
      <c r="N5040" s="20"/>
      <c r="P5040" s="8"/>
      <c r="Q5040" s="8"/>
      <c r="R5040" s="8"/>
      <c r="S5040" s="8"/>
      <c r="U5040" s="6"/>
      <c r="V5040" s="6"/>
      <c r="W5040" s="6"/>
      <c r="X5040" s="6"/>
      <c r="Y5040" s="6"/>
      <c r="Z5040" s="6"/>
    </row>
    <row r="5041" spans="14:26" ht="31.4" customHeight="1" x14ac:dyDescent="0.35">
      <c r="N5041" s="20"/>
      <c r="P5041" s="8"/>
      <c r="Q5041" s="8"/>
      <c r="R5041" s="8"/>
      <c r="S5041" s="8"/>
      <c r="U5041" s="6"/>
      <c r="V5041" s="6"/>
      <c r="W5041" s="6"/>
      <c r="X5041" s="6"/>
      <c r="Y5041" s="6"/>
      <c r="Z5041" s="6"/>
    </row>
    <row r="5042" spans="14:26" ht="31.4" customHeight="1" x14ac:dyDescent="0.35">
      <c r="N5042" s="20"/>
      <c r="P5042" s="8"/>
      <c r="Q5042" s="8"/>
      <c r="R5042" s="8"/>
      <c r="S5042" s="8"/>
      <c r="U5042" s="6"/>
      <c r="V5042" s="6"/>
      <c r="W5042" s="6"/>
      <c r="X5042" s="6"/>
      <c r="Y5042" s="6"/>
      <c r="Z5042" s="6"/>
    </row>
    <row r="5043" spans="14:26" ht="31.4" customHeight="1" x14ac:dyDescent="0.35">
      <c r="N5043" s="20"/>
      <c r="P5043" s="8"/>
      <c r="Q5043" s="8"/>
      <c r="R5043" s="8"/>
      <c r="S5043" s="8"/>
      <c r="U5043" s="6"/>
      <c r="V5043" s="6"/>
      <c r="W5043" s="6"/>
      <c r="X5043" s="6"/>
      <c r="Y5043" s="6"/>
      <c r="Z5043" s="6"/>
    </row>
    <row r="5044" spans="14:26" ht="31.4" customHeight="1" x14ac:dyDescent="0.35">
      <c r="N5044" s="20"/>
      <c r="P5044" s="8"/>
      <c r="Q5044" s="8"/>
      <c r="R5044" s="8"/>
      <c r="S5044" s="8"/>
      <c r="U5044" s="6"/>
      <c r="V5044" s="6"/>
      <c r="W5044" s="6"/>
      <c r="X5044" s="6"/>
      <c r="Y5044" s="6"/>
      <c r="Z5044" s="6"/>
    </row>
    <row r="5045" spans="14:26" ht="31.4" customHeight="1" x14ac:dyDescent="0.35">
      <c r="N5045" s="20"/>
      <c r="P5045" s="8"/>
      <c r="Q5045" s="8"/>
      <c r="R5045" s="8"/>
      <c r="S5045" s="8"/>
      <c r="U5045" s="6"/>
      <c r="V5045" s="6"/>
      <c r="W5045" s="6"/>
      <c r="X5045" s="6"/>
      <c r="Y5045" s="6"/>
      <c r="Z5045" s="6"/>
    </row>
    <row r="5046" spans="14:26" ht="31.4" customHeight="1" x14ac:dyDescent="0.35">
      <c r="N5046" s="20"/>
      <c r="P5046" s="8"/>
      <c r="Q5046" s="8"/>
      <c r="R5046" s="8"/>
      <c r="S5046" s="8"/>
      <c r="U5046" s="6"/>
      <c r="V5046" s="6"/>
      <c r="W5046" s="6"/>
      <c r="X5046" s="6"/>
      <c r="Y5046" s="6"/>
      <c r="Z5046" s="6"/>
    </row>
    <row r="5047" spans="14:26" ht="31.4" customHeight="1" x14ac:dyDescent="0.35">
      <c r="N5047" s="20"/>
      <c r="P5047" s="8"/>
      <c r="Q5047" s="8"/>
      <c r="R5047" s="8"/>
      <c r="S5047" s="8"/>
      <c r="U5047" s="6"/>
      <c r="V5047" s="6"/>
      <c r="W5047" s="6"/>
      <c r="X5047" s="6"/>
      <c r="Y5047" s="6"/>
      <c r="Z5047" s="6"/>
    </row>
    <row r="5048" spans="14:26" ht="31.4" customHeight="1" x14ac:dyDescent="0.35">
      <c r="N5048" s="20"/>
      <c r="P5048" s="8"/>
      <c r="Q5048" s="8"/>
      <c r="R5048" s="8"/>
      <c r="S5048" s="8"/>
      <c r="U5048" s="6"/>
      <c r="V5048" s="6"/>
      <c r="W5048" s="6"/>
      <c r="X5048" s="6"/>
      <c r="Y5048" s="6"/>
      <c r="Z5048" s="6"/>
    </row>
    <row r="5049" spans="14:26" ht="31.4" customHeight="1" x14ac:dyDescent="0.35">
      <c r="N5049" s="20"/>
      <c r="P5049" s="8"/>
      <c r="Q5049" s="8"/>
      <c r="R5049" s="8"/>
      <c r="S5049" s="8"/>
      <c r="U5049" s="6"/>
      <c r="V5049" s="6"/>
      <c r="W5049" s="6"/>
      <c r="X5049" s="6"/>
      <c r="Y5049" s="6"/>
      <c r="Z5049" s="6"/>
    </row>
    <row r="5050" spans="14:26" ht="31.4" customHeight="1" x14ac:dyDescent="0.35">
      <c r="N5050" s="20"/>
      <c r="P5050" s="8"/>
      <c r="Q5050" s="8"/>
      <c r="R5050" s="8"/>
      <c r="S5050" s="8"/>
      <c r="U5050" s="6"/>
      <c r="V5050" s="6"/>
      <c r="W5050" s="6"/>
      <c r="X5050" s="6"/>
      <c r="Y5050" s="6"/>
      <c r="Z5050" s="6"/>
    </row>
    <row r="5051" spans="14:26" ht="31.4" customHeight="1" x14ac:dyDescent="0.35">
      <c r="N5051" s="20"/>
      <c r="P5051" s="8"/>
      <c r="Q5051" s="8"/>
      <c r="R5051" s="8"/>
      <c r="S5051" s="8"/>
      <c r="U5051" s="6"/>
      <c r="V5051" s="6"/>
      <c r="W5051" s="6"/>
      <c r="X5051" s="6"/>
      <c r="Y5051" s="6"/>
      <c r="Z5051" s="6"/>
    </row>
    <row r="5052" spans="14:26" ht="31.4" customHeight="1" x14ac:dyDescent="0.35">
      <c r="N5052" s="20"/>
      <c r="P5052" s="8"/>
      <c r="Q5052" s="8"/>
      <c r="R5052" s="8"/>
      <c r="S5052" s="8"/>
      <c r="U5052" s="6"/>
      <c r="V5052" s="6"/>
      <c r="W5052" s="6"/>
      <c r="X5052" s="6"/>
      <c r="Y5052" s="6"/>
      <c r="Z5052" s="6"/>
    </row>
    <row r="5053" spans="14:26" ht="31.4" customHeight="1" x14ac:dyDescent="0.35">
      <c r="N5053" s="20"/>
      <c r="P5053" s="8"/>
      <c r="Q5053" s="8"/>
      <c r="R5053" s="8"/>
      <c r="S5053" s="8"/>
      <c r="U5053" s="6"/>
      <c r="V5053" s="6"/>
      <c r="W5053" s="6"/>
      <c r="X5053" s="6"/>
      <c r="Y5053" s="6"/>
      <c r="Z5053" s="6"/>
    </row>
    <row r="5054" spans="14:26" ht="31.4" customHeight="1" x14ac:dyDescent="0.35">
      <c r="N5054" s="20"/>
      <c r="P5054" s="8"/>
      <c r="Q5054" s="8"/>
      <c r="R5054" s="8"/>
      <c r="S5054" s="8"/>
      <c r="U5054" s="6"/>
      <c r="V5054" s="6"/>
      <c r="W5054" s="6"/>
      <c r="X5054" s="6"/>
      <c r="Y5054" s="6"/>
      <c r="Z5054" s="6"/>
    </row>
    <row r="5055" spans="14:26" ht="31.4" customHeight="1" x14ac:dyDescent="0.35">
      <c r="N5055" s="20"/>
      <c r="P5055" s="8"/>
      <c r="Q5055" s="8"/>
      <c r="R5055" s="8"/>
      <c r="S5055" s="8"/>
      <c r="U5055" s="6"/>
      <c r="V5055" s="6"/>
      <c r="W5055" s="6"/>
      <c r="X5055" s="6"/>
      <c r="Y5055" s="6"/>
      <c r="Z5055" s="6"/>
    </row>
    <row r="5056" spans="14:26" ht="31.4" customHeight="1" x14ac:dyDescent="0.35">
      <c r="N5056" s="20"/>
      <c r="P5056" s="8"/>
      <c r="Q5056" s="8"/>
      <c r="R5056" s="8"/>
      <c r="S5056" s="8"/>
      <c r="U5056" s="6"/>
      <c r="V5056" s="6"/>
      <c r="W5056" s="6"/>
      <c r="X5056" s="6"/>
      <c r="Y5056" s="6"/>
      <c r="Z5056" s="6"/>
    </row>
    <row r="5057" spans="14:26" ht="31.4" customHeight="1" x14ac:dyDescent="0.35">
      <c r="N5057" s="20"/>
      <c r="P5057" s="8"/>
      <c r="Q5057" s="8"/>
      <c r="R5057" s="8"/>
      <c r="S5057" s="8"/>
      <c r="U5057" s="6"/>
      <c r="V5057" s="6"/>
      <c r="W5057" s="6"/>
      <c r="X5057" s="6"/>
      <c r="Y5057" s="6"/>
      <c r="Z5057" s="6"/>
    </row>
    <row r="5058" spans="14:26" ht="31.4" customHeight="1" x14ac:dyDescent="0.35">
      <c r="N5058" s="20"/>
      <c r="P5058" s="8"/>
      <c r="Q5058" s="8"/>
      <c r="R5058" s="8"/>
      <c r="S5058" s="8"/>
      <c r="U5058" s="6"/>
      <c r="V5058" s="6"/>
      <c r="W5058" s="6"/>
      <c r="X5058" s="6"/>
      <c r="Y5058" s="6"/>
      <c r="Z5058" s="6"/>
    </row>
    <row r="5059" spans="14:26" ht="31.4" customHeight="1" x14ac:dyDescent="0.35">
      <c r="N5059" s="20"/>
      <c r="P5059" s="8"/>
      <c r="Q5059" s="8"/>
      <c r="R5059" s="8"/>
      <c r="S5059" s="8"/>
      <c r="U5059" s="6"/>
      <c r="V5059" s="6"/>
      <c r="W5059" s="6"/>
      <c r="X5059" s="6"/>
      <c r="Y5059" s="6"/>
      <c r="Z5059" s="6"/>
    </row>
    <row r="5060" spans="14:26" ht="31.4" customHeight="1" x14ac:dyDescent="0.35">
      <c r="N5060" s="20"/>
      <c r="P5060" s="8"/>
      <c r="Q5060" s="8"/>
      <c r="R5060" s="8"/>
      <c r="S5060" s="8"/>
      <c r="U5060" s="6"/>
      <c r="V5060" s="6"/>
      <c r="W5060" s="6"/>
      <c r="X5060" s="6"/>
      <c r="Y5060" s="6"/>
      <c r="Z5060" s="6"/>
    </row>
    <row r="5061" spans="14:26" ht="31.4" customHeight="1" x14ac:dyDescent="0.35">
      <c r="N5061" s="20"/>
      <c r="P5061" s="8"/>
      <c r="Q5061" s="8"/>
      <c r="R5061" s="8"/>
      <c r="S5061" s="8"/>
      <c r="U5061" s="6"/>
      <c r="V5061" s="6"/>
      <c r="W5061" s="6"/>
      <c r="X5061" s="6"/>
      <c r="Y5061" s="6"/>
      <c r="Z5061" s="6"/>
    </row>
    <row r="5062" spans="14:26" ht="31.4" customHeight="1" x14ac:dyDescent="0.35">
      <c r="N5062" s="20"/>
      <c r="P5062" s="8"/>
      <c r="Q5062" s="8"/>
      <c r="R5062" s="8"/>
      <c r="S5062" s="8"/>
      <c r="U5062" s="6"/>
      <c r="V5062" s="6"/>
      <c r="W5062" s="6"/>
      <c r="X5062" s="6"/>
      <c r="Y5062" s="6"/>
      <c r="Z5062" s="6"/>
    </row>
    <row r="5063" spans="14:26" ht="31.4" customHeight="1" x14ac:dyDescent="0.35">
      <c r="N5063" s="20"/>
      <c r="P5063" s="8"/>
      <c r="Q5063" s="8"/>
      <c r="R5063" s="8"/>
      <c r="S5063" s="8"/>
      <c r="U5063" s="6"/>
      <c r="V5063" s="6"/>
      <c r="W5063" s="6"/>
      <c r="X5063" s="6"/>
      <c r="Y5063" s="6"/>
      <c r="Z5063" s="6"/>
    </row>
    <row r="5064" spans="14:26" ht="31.4" customHeight="1" x14ac:dyDescent="0.35">
      <c r="N5064" s="20"/>
      <c r="P5064" s="8"/>
      <c r="Q5064" s="8"/>
      <c r="R5064" s="8"/>
      <c r="S5064" s="8"/>
      <c r="U5064" s="6"/>
      <c r="V5064" s="6"/>
      <c r="W5064" s="6"/>
      <c r="X5064" s="6"/>
      <c r="Y5064" s="6"/>
      <c r="Z5064" s="6"/>
    </row>
    <row r="5065" spans="14:26" ht="31.4" customHeight="1" x14ac:dyDescent="0.35">
      <c r="N5065" s="20"/>
      <c r="P5065" s="8"/>
      <c r="Q5065" s="8"/>
      <c r="R5065" s="8"/>
      <c r="S5065" s="8"/>
      <c r="U5065" s="6"/>
      <c r="V5065" s="6"/>
      <c r="W5065" s="6"/>
      <c r="X5065" s="6"/>
      <c r="Y5065" s="6"/>
      <c r="Z5065" s="6"/>
    </row>
    <row r="5066" spans="14:26" ht="31.4" customHeight="1" x14ac:dyDescent="0.35">
      <c r="N5066" s="20"/>
      <c r="P5066" s="8"/>
      <c r="Q5066" s="8"/>
      <c r="R5066" s="8"/>
      <c r="S5066" s="8"/>
      <c r="U5066" s="6"/>
      <c r="V5066" s="6"/>
      <c r="W5066" s="6"/>
      <c r="X5066" s="6"/>
      <c r="Y5066" s="6"/>
      <c r="Z5066" s="6"/>
    </row>
    <row r="5067" spans="14:26" ht="31.4" customHeight="1" x14ac:dyDescent="0.35">
      <c r="N5067" s="20"/>
      <c r="P5067" s="8"/>
      <c r="Q5067" s="8"/>
      <c r="R5067" s="8"/>
      <c r="S5067" s="8"/>
      <c r="U5067" s="6"/>
      <c r="V5067" s="6"/>
      <c r="W5067" s="6"/>
      <c r="X5067" s="6"/>
      <c r="Y5067" s="6"/>
      <c r="Z5067" s="6"/>
    </row>
    <row r="5068" spans="14:26" ht="31.4" customHeight="1" x14ac:dyDescent="0.35">
      <c r="N5068" s="20"/>
      <c r="P5068" s="8"/>
      <c r="Q5068" s="8"/>
      <c r="R5068" s="8"/>
      <c r="S5068" s="8"/>
      <c r="U5068" s="6"/>
      <c r="V5068" s="6"/>
      <c r="W5068" s="6"/>
      <c r="X5068" s="6"/>
      <c r="Y5068" s="6"/>
      <c r="Z5068" s="6"/>
    </row>
    <row r="5069" spans="14:26" ht="31.4" customHeight="1" x14ac:dyDescent="0.35">
      <c r="N5069" s="20"/>
      <c r="P5069" s="8"/>
      <c r="Q5069" s="8"/>
      <c r="R5069" s="8"/>
      <c r="S5069" s="8"/>
      <c r="U5069" s="6"/>
      <c r="V5069" s="6"/>
      <c r="W5069" s="6"/>
      <c r="X5069" s="6"/>
      <c r="Y5069" s="6"/>
      <c r="Z5069" s="6"/>
    </row>
    <row r="5070" spans="14:26" ht="31.4" customHeight="1" x14ac:dyDescent="0.35">
      <c r="N5070" s="20"/>
      <c r="P5070" s="8"/>
      <c r="Q5070" s="8"/>
      <c r="R5070" s="8"/>
      <c r="S5070" s="8"/>
      <c r="U5070" s="6"/>
      <c r="V5070" s="6"/>
      <c r="W5070" s="6"/>
      <c r="X5070" s="6"/>
      <c r="Y5070" s="6"/>
      <c r="Z5070" s="6"/>
    </row>
    <row r="5071" spans="14:26" ht="31.4" customHeight="1" x14ac:dyDescent="0.35">
      <c r="N5071" s="20"/>
      <c r="P5071" s="8"/>
      <c r="Q5071" s="8"/>
      <c r="R5071" s="8"/>
      <c r="S5071" s="8"/>
      <c r="U5071" s="6"/>
      <c r="V5071" s="6"/>
      <c r="W5071" s="6"/>
      <c r="X5071" s="6"/>
      <c r="Y5071" s="6"/>
      <c r="Z5071" s="6"/>
    </row>
    <row r="5072" spans="14:26" ht="31.4" customHeight="1" x14ac:dyDescent="0.35">
      <c r="N5072" s="20"/>
      <c r="P5072" s="8"/>
      <c r="Q5072" s="8"/>
      <c r="R5072" s="8"/>
      <c r="S5072" s="8"/>
      <c r="U5072" s="6"/>
      <c r="V5072" s="6"/>
      <c r="W5072" s="6"/>
      <c r="X5072" s="6"/>
      <c r="Y5072" s="6"/>
      <c r="Z5072" s="6"/>
    </row>
    <row r="5073" spans="14:26" ht="31.4" customHeight="1" x14ac:dyDescent="0.35">
      <c r="N5073" s="20"/>
      <c r="P5073" s="8"/>
      <c r="Q5073" s="8"/>
      <c r="R5073" s="8"/>
      <c r="S5073" s="8"/>
      <c r="U5073" s="6"/>
      <c r="V5073" s="6"/>
      <c r="W5073" s="6"/>
      <c r="X5073" s="6"/>
      <c r="Y5073" s="6"/>
      <c r="Z5073" s="6"/>
    </row>
    <row r="5074" spans="14:26" ht="31.4" customHeight="1" x14ac:dyDescent="0.35">
      <c r="N5074" s="20"/>
      <c r="P5074" s="8"/>
      <c r="Q5074" s="8"/>
      <c r="R5074" s="8"/>
      <c r="S5074" s="8"/>
      <c r="U5074" s="6"/>
      <c r="V5074" s="6"/>
      <c r="W5074" s="6"/>
      <c r="X5074" s="6"/>
      <c r="Y5074" s="6"/>
      <c r="Z5074" s="6"/>
    </row>
    <row r="5075" spans="14:26" ht="31.4" customHeight="1" x14ac:dyDescent="0.35">
      <c r="N5075" s="20"/>
      <c r="P5075" s="8"/>
      <c r="Q5075" s="8"/>
      <c r="R5075" s="8"/>
      <c r="S5075" s="8"/>
      <c r="U5075" s="6"/>
      <c r="V5075" s="6"/>
      <c r="W5075" s="6"/>
      <c r="X5075" s="6"/>
      <c r="Y5075" s="6"/>
      <c r="Z5075" s="6"/>
    </row>
    <row r="5076" spans="14:26" ht="31.4" customHeight="1" x14ac:dyDescent="0.35">
      <c r="N5076" s="20"/>
      <c r="P5076" s="8"/>
      <c r="Q5076" s="8"/>
      <c r="R5076" s="8"/>
      <c r="S5076" s="8"/>
      <c r="U5076" s="6"/>
      <c r="V5076" s="6"/>
      <c r="W5076" s="6"/>
      <c r="X5076" s="6"/>
      <c r="Y5076" s="6"/>
      <c r="Z5076" s="6"/>
    </row>
    <row r="5077" spans="14:26" ht="31.4" customHeight="1" x14ac:dyDescent="0.35">
      <c r="N5077" s="20"/>
      <c r="P5077" s="8"/>
      <c r="Q5077" s="8"/>
      <c r="R5077" s="8"/>
      <c r="S5077" s="8"/>
      <c r="U5077" s="6"/>
      <c r="V5077" s="6"/>
      <c r="W5077" s="6"/>
      <c r="X5077" s="6"/>
      <c r="Y5077" s="6"/>
      <c r="Z5077" s="6"/>
    </row>
    <row r="5078" spans="14:26" ht="31.4" customHeight="1" x14ac:dyDescent="0.35">
      <c r="N5078" s="20"/>
      <c r="P5078" s="8"/>
      <c r="Q5078" s="8"/>
      <c r="R5078" s="8"/>
      <c r="S5078" s="8"/>
      <c r="U5078" s="6"/>
      <c r="V5078" s="6"/>
      <c r="W5078" s="6"/>
      <c r="X5078" s="6"/>
      <c r="Y5078" s="6"/>
      <c r="Z5078" s="6"/>
    </row>
    <row r="5079" spans="14:26" ht="31.4" customHeight="1" x14ac:dyDescent="0.35">
      <c r="N5079" s="20"/>
      <c r="P5079" s="8"/>
      <c r="Q5079" s="8"/>
      <c r="R5079" s="8"/>
      <c r="S5079" s="8"/>
      <c r="U5079" s="6"/>
      <c r="V5079" s="6"/>
      <c r="W5079" s="6"/>
      <c r="X5079" s="6"/>
      <c r="Y5079" s="6"/>
      <c r="Z5079" s="6"/>
    </row>
    <row r="5080" spans="14:26" ht="31.4" customHeight="1" x14ac:dyDescent="0.35">
      <c r="N5080" s="20"/>
      <c r="P5080" s="8"/>
      <c r="Q5080" s="8"/>
      <c r="R5080" s="8"/>
      <c r="S5080" s="8"/>
      <c r="U5080" s="6"/>
      <c r="V5080" s="6"/>
      <c r="W5080" s="6"/>
      <c r="X5080" s="6"/>
      <c r="Y5080" s="6"/>
      <c r="Z5080" s="6"/>
    </row>
    <row r="5081" spans="14:26" ht="31.4" customHeight="1" x14ac:dyDescent="0.35">
      <c r="N5081" s="20"/>
      <c r="P5081" s="8"/>
      <c r="Q5081" s="8"/>
      <c r="R5081" s="8"/>
      <c r="S5081" s="8"/>
      <c r="U5081" s="6"/>
      <c r="V5081" s="6"/>
      <c r="W5081" s="6"/>
      <c r="X5081" s="6"/>
      <c r="Y5081" s="6"/>
      <c r="Z5081" s="6"/>
    </row>
    <row r="5082" spans="14:26" ht="31.4" customHeight="1" x14ac:dyDescent="0.35">
      <c r="N5082" s="20"/>
      <c r="P5082" s="8"/>
      <c r="Q5082" s="8"/>
      <c r="R5082" s="8"/>
      <c r="S5082" s="8"/>
      <c r="U5082" s="6"/>
      <c r="V5082" s="6"/>
      <c r="W5082" s="6"/>
      <c r="X5082" s="6"/>
      <c r="Y5082" s="6"/>
      <c r="Z5082" s="6"/>
    </row>
    <row r="5083" spans="14:26" ht="31.4" customHeight="1" x14ac:dyDescent="0.35">
      <c r="N5083" s="20"/>
      <c r="P5083" s="8"/>
      <c r="Q5083" s="8"/>
      <c r="R5083" s="8"/>
      <c r="S5083" s="8"/>
      <c r="U5083" s="6"/>
      <c r="V5083" s="6"/>
      <c r="W5083" s="6"/>
      <c r="X5083" s="6"/>
      <c r="Y5083" s="6"/>
      <c r="Z5083" s="6"/>
    </row>
    <row r="5084" spans="14:26" ht="31.4" customHeight="1" x14ac:dyDescent="0.35">
      <c r="N5084" s="20"/>
      <c r="P5084" s="8"/>
      <c r="Q5084" s="8"/>
      <c r="R5084" s="8"/>
      <c r="S5084" s="8"/>
      <c r="U5084" s="6"/>
      <c r="V5084" s="6"/>
      <c r="W5084" s="6"/>
      <c r="X5084" s="6"/>
      <c r="Y5084" s="6"/>
      <c r="Z5084" s="6"/>
    </row>
    <row r="5085" spans="14:26" ht="31.4" customHeight="1" x14ac:dyDescent="0.35">
      <c r="N5085" s="20"/>
      <c r="P5085" s="8"/>
      <c r="Q5085" s="8"/>
      <c r="R5085" s="8"/>
      <c r="S5085" s="8"/>
      <c r="U5085" s="6"/>
      <c r="V5085" s="6"/>
      <c r="W5085" s="6"/>
      <c r="X5085" s="6"/>
      <c r="Y5085" s="6"/>
      <c r="Z5085" s="6"/>
    </row>
    <row r="5086" spans="14:26" ht="31.4" customHeight="1" x14ac:dyDescent="0.35">
      <c r="N5086" s="20"/>
      <c r="P5086" s="8"/>
      <c r="Q5086" s="8"/>
      <c r="R5086" s="8"/>
      <c r="S5086" s="8"/>
      <c r="U5086" s="6"/>
      <c r="V5086" s="6"/>
      <c r="W5086" s="6"/>
      <c r="X5086" s="6"/>
      <c r="Y5086" s="6"/>
      <c r="Z5086" s="6"/>
    </row>
    <row r="5087" spans="14:26" ht="31.4" customHeight="1" x14ac:dyDescent="0.35">
      <c r="N5087" s="20"/>
      <c r="P5087" s="8"/>
      <c r="Q5087" s="8"/>
      <c r="R5087" s="8"/>
      <c r="S5087" s="8"/>
      <c r="U5087" s="6"/>
      <c r="V5087" s="6"/>
      <c r="W5087" s="6"/>
      <c r="X5087" s="6"/>
      <c r="Y5087" s="6"/>
      <c r="Z5087" s="6"/>
    </row>
    <row r="5088" spans="14:26" ht="31.4" customHeight="1" x14ac:dyDescent="0.35">
      <c r="N5088" s="20"/>
      <c r="P5088" s="8"/>
      <c r="Q5088" s="8"/>
      <c r="R5088" s="8"/>
      <c r="S5088" s="8"/>
      <c r="U5088" s="6"/>
      <c r="V5088" s="6"/>
      <c r="W5088" s="6"/>
      <c r="X5088" s="6"/>
      <c r="Y5088" s="6"/>
      <c r="Z5088" s="6"/>
    </row>
    <row r="5089" spans="14:26" ht="31.4" customHeight="1" x14ac:dyDescent="0.35">
      <c r="N5089" s="20"/>
      <c r="P5089" s="8"/>
      <c r="Q5089" s="8"/>
      <c r="R5089" s="8"/>
      <c r="S5089" s="8"/>
      <c r="U5089" s="6"/>
      <c r="V5089" s="6"/>
      <c r="W5089" s="6"/>
      <c r="X5089" s="6"/>
      <c r="Y5089" s="6"/>
      <c r="Z5089" s="6"/>
    </row>
    <row r="5090" spans="14:26" ht="31.4" customHeight="1" x14ac:dyDescent="0.35">
      <c r="N5090" s="20"/>
      <c r="P5090" s="8"/>
      <c r="Q5090" s="8"/>
      <c r="R5090" s="8"/>
      <c r="S5090" s="8"/>
      <c r="U5090" s="6"/>
      <c r="V5090" s="6"/>
      <c r="W5090" s="6"/>
      <c r="X5090" s="6"/>
      <c r="Y5090" s="6"/>
      <c r="Z5090" s="6"/>
    </row>
    <row r="5091" spans="14:26" ht="31.4" customHeight="1" x14ac:dyDescent="0.35">
      <c r="N5091" s="20"/>
      <c r="P5091" s="8"/>
      <c r="Q5091" s="8"/>
      <c r="R5091" s="8"/>
      <c r="S5091" s="8"/>
      <c r="U5091" s="6"/>
      <c r="V5091" s="6"/>
      <c r="W5091" s="6"/>
      <c r="X5091" s="6"/>
      <c r="Y5091" s="6"/>
      <c r="Z5091" s="6"/>
    </row>
    <row r="5092" spans="14:26" ht="31.4" customHeight="1" x14ac:dyDescent="0.35">
      <c r="N5092" s="20"/>
      <c r="P5092" s="8"/>
      <c r="Q5092" s="8"/>
      <c r="R5092" s="8"/>
      <c r="S5092" s="8"/>
      <c r="U5092" s="6"/>
      <c r="V5092" s="6"/>
      <c r="W5092" s="6"/>
      <c r="X5092" s="6"/>
      <c r="Y5092" s="6"/>
      <c r="Z5092" s="6"/>
    </row>
    <row r="5093" spans="14:26" ht="31.4" customHeight="1" x14ac:dyDescent="0.35">
      <c r="N5093" s="20"/>
      <c r="P5093" s="8"/>
      <c r="Q5093" s="8"/>
      <c r="R5093" s="8"/>
      <c r="S5093" s="8"/>
      <c r="U5093" s="6"/>
      <c r="V5093" s="6"/>
      <c r="W5093" s="6"/>
      <c r="X5093" s="6"/>
      <c r="Y5093" s="6"/>
      <c r="Z5093" s="6"/>
    </row>
    <row r="5094" spans="14:26" ht="31.4" customHeight="1" x14ac:dyDescent="0.35">
      <c r="N5094" s="20"/>
      <c r="P5094" s="8"/>
      <c r="Q5094" s="8"/>
      <c r="R5094" s="8"/>
      <c r="S5094" s="8"/>
      <c r="U5094" s="6"/>
      <c r="V5094" s="6"/>
      <c r="W5094" s="6"/>
      <c r="X5094" s="6"/>
      <c r="Y5094" s="6"/>
      <c r="Z5094" s="6"/>
    </row>
    <row r="5095" spans="14:26" ht="31.4" customHeight="1" x14ac:dyDescent="0.35">
      <c r="N5095" s="20"/>
      <c r="P5095" s="8"/>
      <c r="Q5095" s="8"/>
      <c r="R5095" s="8"/>
      <c r="S5095" s="8"/>
      <c r="U5095" s="6"/>
      <c r="V5095" s="6"/>
      <c r="W5095" s="6"/>
      <c r="X5095" s="6"/>
      <c r="Y5095" s="6"/>
      <c r="Z5095" s="6"/>
    </row>
    <row r="5096" spans="14:26" ht="31.4" customHeight="1" x14ac:dyDescent="0.35">
      <c r="N5096" s="20"/>
      <c r="P5096" s="8"/>
      <c r="Q5096" s="8"/>
      <c r="R5096" s="8"/>
      <c r="S5096" s="8"/>
      <c r="U5096" s="6"/>
      <c r="V5096" s="6"/>
      <c r="W5096" s="6"/>
      <c r="X5096" s="6"/>
      <c r="Y5096" s="6"/>
      <c r="Z5096" s="6"/>
    </row>
    <row r="5097" spans="14:26" ht="31.4" customHeight="1" x14ac:dyDescent="0.35">
      <c r="N5097" s="20"/>
      <c r="P5097" s="8"/>
      <c r="Q5097" s="8"/>
      <c r="R5097" s="8"/>
      <c r="S5097" s="8"/>
      <c r="U5097" s="6"/>
      <c r="V5097" s="6"/>
      <c r="W5097" s="6"/>
      <c r="X5097" s="6"/>
      <c r="Y5097" s="6"/>
      <c r="Z5097" s="6"/>
    </row>
    <row r="5098" spans="14:26" ht="31.4" customHeight="1" x14ac:dyDescent="0.35">
      <c r="N5098" s="20"/>
      <c r="P5098" s="8"/>
      <c r="Q5098" s="8"/>
      <c r="R5098" s="8"/>
      <c r="S5098" s="8"/>
      <c r="U5098" s="6"/>
      <c r="V5098" s="6"/>
      <c r="W5098" s="6"/>
      <c r="X5098" s="6"/>
      <c r="Y5098" s="6"/>
      <c r="Z5098" s="6"/>
    </row>
    <row r="5099" spans="14:26" ht="31.4" customHeight="1" x14ac:dyDescent="0.35">
      <c r="N5099" s="20"/>
      <c r="P5099" s="8"/>
      <c r="Q5099" s="8"/>
      <c r="R5099" s="8"/>
      <c r="S5099" s="8"/>
      <c r="U5099" s="6"/>
      <c r="V5099" s="6"/>
      <c r="W5099" s="6"/>
      <c r="X5099" s="6"/>
      <c r="Y5099" s="6"/>
      <c r="Z5099" s="6"/>
    </row>
    <row r="5100" spans="14:26" ht="31.4" customHeight="1" x14ac:dyDescent="0.35">
      <c r="N5100" s="20"/>
      <c r="P5100" s="8"/>
      <c r="Q5100" s="8"/>
      <c r="R5100" s="8"/>
      <c r="S5100" s="8"/>
      <c r="U5100" s="6"/>
      <c r="V5100" s="6"/>
      <c r="W5100" s="6"/>
      <c r="X5100" s="6"/>
      <c r="Y5100" s="6"/>
      <c r="Z5100" s="6"/>
    </row>
    <row r="5101" spans="14:26" ht="31.4" customHeight="1" x14ac:dyDescent="0.35">
      <c r="N5101" s="20"/>
      <c r="P5101" s="8"/>
      <c r="Q5101" s="8"/>
      <c r="R5101" s="8"/>
      <c r="S5101" s="8"/>
      <c r="U5101" s="6"/>
      <c r="V5101" s="6"/>
      <c r="W5101" s="6"/>
      <c r="X5101" s="6"/>
      <c r="Y5101" s="6"/>
      <c r="Z5101" s="6"/>
    </row>
    <row r="5102" spans="14:26" ht="31.4" customHeight="1" x14ac:dyDescent="0.35">
      <c r="N5102" s="20"/>
      <c r="P5102" s="8"/>
      <c r="Q5102" s="8"/>
      <c r="R5102" s="8"/>
      <c r="S5102" s="8"/>
      <c r="U5102" s="6"/>
      <c r="V5102" s="6"/>
      <c r="W5102" s="6"/>
      <c r="X5102" s="6"/>
      <c r="Y5102" s="6"/>
      <c r="Z5102" s="6"/>
    </row>
    <row r="5103" spans="14:26" ht="31.4" customHeight="1" x14ac:dyDescent="0.35">
      <c r="N5103" s="20"/>
      <c r="P5103" s="8"/>
      <c r="Q5103" s="8"/>
      <c r="R5103" s="8"/>
      <c r="S5103" s="8"/>
      <c r="U5103" s="6"/>
      <c r="V5103" s="6"/>
      <c r="W5103" s="6"/>
      <c r="X5103" s="6"/>
      <c r="Y5103" s="6"/>
      <c r="Z5103" s="6"/>
    </row>
    <row r="5104" spans="14:26" ht="31.4" customHeight="1" x14ac:dyDescent="0.35">
      <c r="N5104" s="20"/>
      <c r="P5104" s="8"/>
      <c r="Q5104" s="8"/>
      <c r="R5104" s="8"/>
      <c r="S5104" s="8"/>
      <c r="U5104" s="6"/>
      <c r="V5104" s="6"/>
      <c r="W5104" s="6"/>
      <c r="X5104" s="6"/>
      <c r="Y5104" s="6"/>
      <c r="Z5104" s="6"/>
    </row>
    <row r="5105" spans="14:26" ht="31.4" customHeight="1" x14ac:dyDescent="0.35">
      <c r="N5105" s="20"/>
      <c r="P5105" s="8"/>
      <c r="Q5105" s="8"/>
      <c r="R5105" s="8"/>
      <c r="S5105" s="8"/>
      <c r="U5105" s="6"/>
      <c r="V5105" s="6"/>
      <c r="W5105" s="6"/>
      <c r="X5105" s="6"/>
      <c r="Y5105" s="6"/>
      <c r="Z5105" s="6"/>
    </row>
    <row r="5106" spans="14:26" ht="31.4" customHeight="1" x14ac:dyDescent="0.35">
      <c r="N5106" s="20"/>
      <c r="P5106" s="8"/>
      <c r="Q5106" s="8"/>
      <c r="R5106" s="8"/>
      <c r="S5106" s="8"/>
      <c r="U5106" s="6"/>
      <c r="V5106" s="6"/>
      <c r="W5106" s="6"/>
      <c r="X5106" s="6"/>
      <c r="Y5106" s="6"/>
      <c r="Z5106" s="6"/>
    </row>
    <row r="5107" spans="14:26" ht="31.4" customHeight="1" x14ac:dyDescent="0.35">
      <c r="N5107" s="20"/>
      <c r="P5107" s="8"/>
      <c r="Q5107" s="8"/>
      <c r="R5107" s="8"/>
      <c r="S5107" s="8"/>
      <c r="U5107" s="6"/>
      <c r="V5107" s="6"/>
      <c r="W5107" s="6"/>
      <c r="X5107" s="6"/>
      <c r="Y5107" s="6"/>
      <c r="Z5107" s="6"/>
    </row>
    <row r="5108" spans="14:26" ht="31.4" customHeight="1" x14ac:dyDescent="0.35">
      <c r="N5108" s="20"/>
      <c r="P5108" s="8"/>
      <c r="Q5108" s="8"/>
      <c r="R5108" s="8"/>
      <c r="S5108" s="8"/>
      <c r="U5108" s="6"/>
      <c r="V5108" s="6"/>
      <c r="W5108" s="6"/>
      <c r="X5108" s="6"/>
      <c r="Y5108" s="6"/>
      <c r="Z5108" s="6"/>
    </row>
    <row r="5109" spans="14:26" ht="31.4" customHeight="1" x14ac:dyDescent="0.35">
      <c r="N5109" s="20"/>
      <c r="P5109" s="8"/>
      <c r="Q5109" s="8"/>
      <c r="R5109" s="8"/>
      <c r="S5109" s="8"/>
      <c r="U5109" s="6"/>
      <c r="V5109" s="6"/>
      <c r="W5109" s="6"/>
      <c r="X5109" s="6"/>
      <c r="Y5109" s="6"/>
      <c r="Z5109" s="6"/>
    </row>
    <row r="5110" spans="14:26" ht="31.4" customHeight="1" x14ac:dyDescent="0.35">
      <c r="N5110" s="20"/>
      <c r="P5110" s="8"/>
      <c r="Q5110" s="8"/>
      <c r="R5110" s="8"/>
      <c r="S5110" s="8"/>
      <c r="U5110" s="6"/>
      <c r="V5110" s="6"/>
      <c r="W5110" s="6"/>
      <c r="X5110" s="6"/>
      <c r="Y5110" s="6"/>
      <c r="Z5110" s="6"/>
    </row>
    <row r="5111" spans="14:26" ht="31.4" customHeight="1" x14ac:dyDescent="0.35">
      <c r="N5111" s="20"/>
      <c r="P5111" s="8"/>
      <c r="Q5111" s="8"/>
      <c r="R5111" s="8"/>
      <c r="S5111" s="8"/>
      <c r="U5111" s="6"/>
      <c r="V5111" s="6"/>
      <c r="W5111" s="6"/>
      <c r="X5111" s="6"/>
      <c r="Y5111" s="6"/>
      <c r="Z5111" s="6"/>
    </row>
    <row r="5112" spans="14:26" ht="31.4" customHeight="1" x14ac:dyDescent="0.35">
      <c r="N5112" s="20"/>
      <c r="P5112" s="8"/>
      <c r="Q5112" s="8"/>
      <c r="R5112" s="8"/>
      <c r="S5112" s="8"/>
      <c r="U5112" s="6"/>
      <c r="V5112" s="6"/>
      <c r="W5112" s="6"/>
      <c r="X5112" s="6"/>
      <c r="Y5112" s="6"/>
      <c r="Z5112" s="6"/>
    </row>
    <row r="5113" spans="14:26" ht="31.4" customHeight="1" x14ac:dyDescent="0.35">
      <c r="N5113" s="20"/>
      <c r="P5113" s="8"/>
      <c r="Q5113" s="8"/>
      <c r="R5113" s="8"/>
      <c r="S5113" s="8"/>
      <c r="U5113" s="6"/>
      <c r="V5113" s="6"/>
      <c r="W5113" s="6"/>
      <c r="X5113" s="6"/>
      <c r="Y5113" s="6"/>
      <c r="Z5113" s="6"/>
    </row>
    <row r="5114" spans="14:26" ht="31.4" customHeight="1" x14ac:dyDescent="0.35">
      <c r="N5114" s="20"/>
      <c r="P5114" s="8"/>
      <c r="Q5114" s="8"/>
      <c r="R5114" s="8"/>
      <c r="S5114" s="8"/>
      <c r="U5114" s="6"/>
      <c r="V5114" s="6"/>
      <c r="W5114" s="6"/>
      <c r="X5114" s="6"/>
      <c r="Y5114" s="6"/>
      <c r="Z5114" s="6"/>
    </row>
    <row r="5115" spans="14:26" ht="31.4" customHeight="1" x14ac:dyDescent="0.35">
      <c r="N5115" s="20"/>
      <c r="P5115" s="8"/>
      <c r="Q5115" s="8"/>
      <c r="R5115" s="8"/>
      <c r="S5115" s="8"/>
      <c r="U5115" s="6"/>
      <c r="V5115" s="6"/>
      <c r="W5115" s="6"/>
      <c r="X5115" s="6"/>
      <c r="Y5115" s="6"/>
      <c r="Z5115" s="6"/>
    </row>
    <row r="5116" spans="14:26" ht="31.4" customHeight="1" x14ac:dyDescent="0.35">
      <c r="N5116" s="20"/>
      <c r="P5116" s="8"/>
      <c r="Q5116" s="8"/>
      <c r="R5116" s="8"/>
      <c r="S5116" s="8"/>
      <c r="U5116" s="6"/>
      <c r="V5116" s="6"/>
      <c r="W5116" s="6"/>
      <c r="X5116" s="6"/>
      <c r="Y5116" s="6"/>
      <c r="Z5116" s="6"/>
    </row>
    <row r="5117" spans="14:26" ht="31.4" customHeight="1" x14ac:dyDescent="0.35">
      <c r="N5117" s="20"/>
      <c r="P5117" s="8"/>
      <c r="Q5117" s="8"/>
      <c r="R5117" s="8"/>
      <c r="S5117" s="8"/>
      <c r="U5117" s="6"/>
      <c r="V5117" s="6"/>
      <c r="W5117" s="6"/>
      <c r="X5117" s="6"/>
      <c r="Y5117" s="6"/>
      <c r="Z5117" s="6"/>
    </row>
    <row r="5118" spans="14:26" ht="31.4" customHeight="1" x14ac:dyDescent="0.35">
      <c r="N5118" s="20"/>
      <c r="P5118" s="8"/>
      <c r="Q5118" s="8"/>
      <c r="R5118" s="8"/>
      <c r="S5118" s="8"/>
      <c r="U5118" s="6"/>
      <c r="V5118" s="6"/>
      <c r="W5118" s="6"/>
      <c r="X5118" s="6"/>
      <c r="Y5118" s="6"/>
      <c r="Z5118" s="6"/>
    </row>
    <row r="5119" spans="14:26" ht="31.4" customHeight="1" x14ac:dyDescent="0.35">
      <c r="N5119" s="20"/>
      <c r="P5119" s="8"/>
      <c r="Q5119" s="8"/>
      <c r="R5119" s="8"/>
      <c r="S5119" s="8"/>
      <c r="U5119" s="6"/>
      <c r="V5119" s="6"/>
      <c r="W5119" s="6"/>
      <c r="X5119" s="6"/>
      <c r="Y5119" s="6"/>
      <c r="Z5119" s="6"/>
    </row>
    <row r="5120" spans="14:26" ht="31.4" customHeight="1" x14ac:dyDescent="0.35">
      <c r="N5120" s="20"/>
      <c r="P5120" s="8"/>
      <c r="Q5120" s="8"/>
      <c r="R5120" s="8"/>
      <c r="S5120" s="8"/>
      <c r="U5120" s="6"/>
      <c r="V5120" s="6"/>
      <c r="W5120" s="6"/>
      <c r="X5120" s="6"/>
      <c r="Y5120" s="6"/>
      <c r="Z5120" s="6"/>
    </row>
    <row r="5121" spans="14:26" ht="31.4" customHeight="1" x14ac:dyDescent="0.35">
      <c r="N5121" s="20"/>
      <c r="P5121" s="8"/>
      <c r="Q5121" s="8"/>
      <c r="R5121" s="8"/>
      <c r="S5121" s="8"/>
      <c r="U5121" s="6"/>
      <c r="V5121" s="6"/>
      <c r="W5121" s="6"/>
      <c r="X5121" s="6"/>
      <c r="Y5121" s="6"/>
      <c r="Z5121" s="6"/>
    </row>
    <row r="5122" spans="14:26" ht="31.4" customHeight="1" x14ac:dyDescent="0.35">
      <c r="N5122" s="20"/>
      <c r="P5122" s="8"/>
      <c r="Q5122" s="8"/>
      <c r="R5122" s="8"/>
      <c r="S5122" s="8"/>
      <c r="U5122" s="6"/>
      <c r="V5122" s="6"/>
      <c r="W5122" s="6"/>
      <c r="X5122" s="6"/>
      <c r="Y5122" s="6"/>
      <c r="Z5122" s="6"/>
    </row>
    <row r="5123" spans="14:26" ht="31.4" customHeight="1" x14ac:dyDescent="0.35">
      <c r="N5123" s="20"/>
      <c r="P5123" s="8"/>
      <c r="Q5123" s="8"/>
      <c r="R5123" s="8"/>
      <c r="S5123" s="8"/>
      <c r="U5123" s="6"/>
      <c r="V5123" s="6"/>
      <c r="W5123" s="6"/>
      <c r="X5123" s="6"/>
      <c r="Y5123" s="6"/>
      <c r="Z5123" s="6"/>
    </row>
    <row r="5124" spans="14:26" ht="31.4" customHeight="1" x14ac:dyDescent="0.35">
      <c r="N5124" s="20"/>
      <c r="P5124" s="8"/>
      <c r="Q5124" s="8"/>
      <c r="R5124" s="8"/>
      <c r="S5124" s="8"/>
      <c r="U5124" s="6"/>
      <c r="V5124" s="6"/>
      <c r="W5124" s="6"/>
      <c r="X5124" s="6"/>
      <c r="Y5124" s="6"/>
      <c r="Z5124" s="6"/>
    </row>
    <row r="5125" spans="14:26" ht="31.4" customHeight="1" x14ac:dyDescent="0.35">
      <c r="N5125" s="20"/>
      <c r="P5125" s="8"/>
      <c r="Q5125" s="8"/>
      <c r="R5125" s="8"/>
      <c r="S5125" s="8"/>
      <c r="U5125" s="6"/>
      <c r="V5125" s="6"/>
      <c r="W5125" s="6"/>
      <c r="X5125" s="6"/>
      <c r="Y5125" s="6"/>
      <c r="Z5125" s="6"/>
    </row>
    <row r="5126" spans="14:26" ht="31.4" customHeight="1" x14ac:dyDescent="0.35">
      <c r="N5126" s="20"/>
      <c r="P5126" s="8"/>
      <c r="Q5126" s="8"/>
      <c r="R5126" s="8"/>
      <c r="S5126" s="8"/>
      <c r="U5126" s="6"/>
      <c r="V5126" s="6"/>
      <c r="W5126" s="6"/>
      <c r="X5126" s="6"/>
      <c r="Y5126" s="6"/>
      <c r="Z5126" s="6"/>
    </row>
    <row r="5127" spans="14:26" ht="31.4" customHeight="1" x14ac:dyDescent="0.35">
      <c r="N5127" s="20"/>
      <c r="P5127" s="8"/>
      <c r="Q5127" s="8"/>
      <c r="R5127" s="8"/>
      <c r="S5127" s="8"/>
      <c r="U5127" s="6"/>
      <c r="V5127" s="6"/>
      <c r="W5127" s="6"/>
      <c r="X5127" s="6"/>
      <c r="Y5127" s="6"/>
      <c r="Z5127" s="6"/>
    </row>
    <row r="5128" spans="14:26" ht="31.4" customHeight="1" x14ac:dyDescent="0.35">
      <c r="N5128" s="20"/>
      <c r="P5128" s="8"/>
      <c r="Q5128" s="8"/>
      <c r="R5128" s="8"/>
      <c r="S5128" s="8"/>
      <c r="U5128" s="6"/>
      <c r="V5128" s="6"/>
      <c r="W5128" s="6"/>
      <c r="X5128" s="6"/>
      <c r="Y5128" s="6"/>
      <c r="Z5128" s="6"/>
    </row>
    <row r="5129" spans="14:26" ht="31.4" customHeight="1" x14ac:dyDescent="0.35">
      <c r="N5129" s="20"/>
      <c r="P5129" s="8"/>
      <c r="Q5129" s="8"/>
      <c r="R5129" s="8"/>
      <c r="S5129" s="8"/>
      <c r="U5129" s="6"/>
      <c r="V5129" s="6"/>
      <c r="W5129" s="6"/>
      <c r="X5129" s="6"/>
      <c r="Y5129" s="6"/>
      <c r="Z5129" s="6"/>
    </row>
    <row r="5130" spans="14:26" ht="31.4" customHeight="1" x14ac:dyDescent="0.35">
      <c r="N5130" s="20"/>
      <c r="P5130" s="8"/>
      <c r="Q5130" s="8"/>
      <c r="R5130" s="8"/>
      <c r="S5130" s="8"/>
      <c r="U5130" s="6"/>
      <c r="V5130" s="6"/>
      <c r="W5130" s="6"/>
      <c r="X5130" s="6"/>
      <c r="Y5130" s="6"/>
      <c r="Z5130" s="6"/>
    </row>
    <row r="5131" spans="14:26" ht="31.4" customHeight="1" x14ac:dyDescent="0.35">
      <c r="N5131" s="20"/>
      <c r="P5131" s="8"/>
      <c r="Q5131" s="8"/>
      <c r="R5131" s="8"/>
      <c r="S5131" s="8"/>
      <c r="U5131" s="6"/>
      <c r="V5131" s="6"/>
      <c r="W5131" s="6"/>
      <c r="X5131" s="6"/>
      <c r="Y5131" s="6"/>
      <c r="Z5131" s="6"/>
    </row>
    <row r="5132" spans="14:26" ht="31.4" customHeight="1" x14ac:dyDescent="0.35">
      <c r="N5132" s="20"/>
      <c r="P5132" s="8"/>
      <c r="Q5132" s="8"/>
      <c r="R5132" s="8"/>
      <c r="S5132" s="8"/>
      <c r="U5132" s="6"/>
      <c r="V5132" s="6"/>
      <c r="W5132" s="6"/>
      <c r="X5132" s="6"/>
      <c r="Y5132" s="6"/>
      <c r="Z5132" s="6"/>
    </row>
    <row r="5133" spans="14:26" ht="31.4" customHeight="1" x14ac:dyDescent="0.35">
      <c r="N5133" s="20"/>
      <c r="P5133" s="8"/>
      <c r="Q5133" s="8"/>
      <c r="R5133" s="8"/>
      <c r="S5133" s="8"/>
      <c r="U5133" s="6"/>
      <c r="V5133" s="6"/>
      <c r="W5133" s="6"/>
      <c r="X5133" s="6"/>
      <c r="Y5133" s="6"/>
      <c r="Z5133" s="6"/>
    </row>
    <row r="5134" spans="14:26" ht="31.4" customHeight="1" x14ac:dyDescent="0.35">
      <c r="N5134" s="20"/>
      <c r="P5134" s="8"/>
      <c r="Q5134" s="8"/>
      <c r="R5134" s="8"/>
      <c r="S5134" s="8"/>
      <c r="U5134" s="6"/>
      <c r="V5134" s="6"/>
      <c r="W5134" s="6"/>
      <c r="X5134" s="6"/>
      <c r="Y5134" s="6"/>
      <c r="Z5134" s="6"/>
    </row>
    <row r="5135" spans="14:26" ht="31.4" customHeight="1" x14ac:dyDescent="0.35">
      <c r="N5135" s="20"/>
      <c r="P5135" s="8"/>
      <c r="Q5135" s="8"/>
      <c r="R5135" s="8"/>
      <c r="S5135" s="8"/>
      <c r="U5135" s="6"/>
      <c r="V5135" s="6"/>
      <c r="W5135" s="6"/>
      <c r="X5135" s="6"/>
      <c r="Y5135" s="6"/>
      <c r="Z5135" s="6"/>
    </row>
    <row r="5136" spans="14:26" ht="31.4" customHeight="1" x14ac:dyDescent="0.35">
      <c r="N5136" s="20"/>
      <c r="P5136" s="8"/>
      <c r="Q5136" s="8"/>
      <c r="R5136" s="8"/>
      <c r="S5136" s="8"/>
      <c r="U5136" s="6"/>
      <c r="V5136" s="6"/>
      <c r="W5136" s="6"/>
      <c r="X5136" s="6"/>
      <c r="Y5136" s="6"/>
      <c r="Z5136" s="6"/>
    </row>
    <row r="5137" spans="14:26" ht="31.4" customHeight="1" x14ac:dyDescent="0.35">
      <c r="N5137" s="20"/>
      <c r="P5137" s="8"/>
      <c r="Q5137" s="8"/>
      <c r="R5137" s="8"/>
      <c r="S5137" s="8"/>
      <c r="U5137" s="6"/>
      <c r="V5137" s="6"/>
      <c r="W5137" s="6"/>
      <c r="X5137" s="6"/>
      <c r="Y5137" s="6"/>
      <c r="Z5137" s="6"/>
    </row>
    <row r="5138" spans="14:26" ht="31.4" customHeight="1" x14ac:dyDescent="0.35">
      <c r="N5138" s="20"/>
      <c r="P5138" s="8"/>
      <c r="Q5138" s="8"/>
      <c r="R5138" s="8"/>
      <c r="S5138" s="8"/>
      <c r="U5138" s="6"/>
      <c r="V5138" s="6"/>
      <c r="W5138" s="6"/>
      <c r="X5138" s="6"/>
      <c r="Y5138" s="6"/>
      <c r="Z5138" s="6"/>
    </row>
    <row r="5139" spans="14:26" ht="31.4" customHeight="1" x14ac:dyDescent="0.35">
      <c r="N5139" s="20"/>
      <c r="P5139" s="8"/>
      <c r="Q5139" s="8"/>
      <c r="R5139" s="8"/>
      <c r="S5139" s="8"/>
      <c r="U5139" s="6"/>
      <c r="V5139" s="6"/>
      <c r="W5139" s="6"/>
      <c r="X5139" s="6"/>
      <c r="Y5139" s="6"/>
      <c r="Z5139" s="6"/>
    </row>
    <row r="5140" spans="14:26" ht="31.4" customHeight="1" x14ac:dyDescent="0.35">
      <c r="N5140" s="20"/>
      <c r="P5140" s="8"/>
      <c r="Q5140" s="8"/>
      <c r="R5140" s="8"/>
      <c r="S5140" s="8"/>
      <c r="U5140" s="6"/>
      <c r="V5140" s="6"/>
      <c r="W5140" s="6"/>
      <c r="X5140" s="6"/>
      <c r="Y5140" s="6"/>
      <c r="Z5140" s="6"/>
    </row>
    <row r="5141" spans="14:26" ht="31.4" customHeight="1" x14ac:dyDescent="0.35">
      <c r="N5141" s="20"/>
      <c r="P5141" s="8"/>
      <c r="Q5141" s="8"/>
      <c r="R5141" s="8"/>
      <c r="S5141" s="8"/>
      <c r="U5141" s="6"/>
      <c r="V5141" s="6"/>
      <c r="W5141" s="6"/>
      <c r="X5141" s="6"/>
      <c r="Y5141" s="6"/>
      <c r="Z5141" s="6"/>
    </row>
    <row r="5142" spans="14:26" ht="31.4" customHeight="1" x14ac:dyDescent="0.35">
      <c r="N5142" s="20"/>
      <c r="P5142" s="8"/>
      <c r="Q5142" s="8"/>
      <c r="R5142" s="8"/>
      <c r="S5142" s="8"/>
      <c r="U5142" s="6"/>
      <c r="V5142" s="6"/>
      <c r="W5142" s="6"/>
      <c r="X5142" s="6"/>
      <c r="Y5142" s="6"/>
      <c r="Z5142" s="6"/>
    </row>
    <row r="5143" spans="14:26" ht="31.4" customHeight="1" x14ac:dyDescent="0.35">
      <c r="N5143" s="20"/>
      <c r="P5143" s="8"/>
      <c r="Q5143" s="8"/>
      <c r="R5143" s="8"/>
      <c r="S5143" s="8"/>
      <c r="U5143" s="6"/>
      <c r="V5143" s="6"/>
      <c r="W5143" s="6"/>
      <c r="X5143" s="6"/>
      <c r="Y5143" s="6"/>
      <c r="Z5143" s="6"/>
    </row>
    <row r="5144" spans="14:26" ht="31.4" customHeight="1" x14ac:dyDescent="0.35">
      <c r="N5144" s="20"/>
      <c r="P5144" s="8"/>
      <c r="Q5144" s="8"/>
      <c r="R5144" s="8"/>
      <c r="S5144" s="8"/>
      <c r="U5144" s="6"/>
      <c r="V5144" s="6"/>
      <c r="W5144" s="6"/>
      <c r="X5144" s="6"/>
      <c r="Y5144" s="6"/>
      <c r="Z5144" s="6"/>
    </row>
    <row r="5145" spans="14:26" ht="31.4" customHeight="1" x14ac:dyDescent="0.35">
      <c r="N5145" s="20"/>
      <c r="P5145" s="8"/>
      <c r="Q5145" s="8"/>
      <c r="R5145" s="8"/>
      <c r="S5145" s="8"/>
      <c r="U5145" s="6"/>
      <c r="V5145" s="6"/>
      <c r="W5145" s="6"/>
      <c r="X5145" s="6"/>
      <c r="Y5145" s="6"/>
      <c r="Z5145" s="6"/>
    </row>
    <row r="5146" spans="14:26" ht="31.4" customHeight="1" x14ac:dyDescent="0.35">
      <c r="N5146" s="20"/>
      <c r="P5146" s="8"/>
      <c r="Q5146" s="8"/>
      <c r="R5146" s="8"/>
      <c r="S5146" s="8"/>
      <c r="U5146" s="6"/>
      <c r="V5146" s="6"/>
      <c r="W5146" s="6"/>
      <c r="X5146" s="6"/>
      <c r="Y5146" s="6"/>
      <c r="Z5146" s="6"/>
    </row>
    <row r="5147" spans="14:26" ht="31.4" customHeight="1" x14ac:dyDescent="0.35">
      <c r="N5147" s="20"/>
      <c r="P5147" s="8"/>
      <c r="Q5147" s="8"/>
      <c r="R5147" s="8"/>
      <c r="S5147" s="8"/>
      <c r="U5147" s="6"/>
      <c r="V5147" s="6"/>
      <c r="W5147" s="6"/>
      <c r="X5147" s="6"/>
      <c r="Y5147" s="6"/>
      <c r="Z5147" s="6"/>
    </row>
    <row r="5148" spans="14:26" ht="31.4" customHeight="1" x14ac:dyDescent="0.35">
      <c r="N5148" s="20"/>
      <c r="P5148" s="8"/>
      <c r="Q5148" s="8"/>
      <c r="R5148" s="8"/>
      <c r="S5148" s="8"/>
      <c r="U5148" s="6"/>
      <c r="V5148" s="6"/>
      <c r="W5148" s="6"/>
      <c r="X5148" s="6"/>
      <c r="Y5148" s="6"/>
      <c r="Z5148" s="6"/>
    </row>
    <row r="5149" spans="14:26" ht="31.4" customHeight="1" x14ac:dyDescent="0.35">
      <c r="N5149" s="20"/>
      <c r="P5149" s="8"/>
      <c r="Q5149" s="8"/>
      <c r="R5149" s="8"/>
      <c r="S5149" s="8"/>
      <c r="U5149" s="6"/>
      <c r="V5149" s="6"/>
      <c r="W5149" s="6"/>
      <c r="X5149" s="6"/>
      <c r="Y5149" s="6"/>
      <c r="Z5149" s="6"/>
    </row>
    <row r="5150" spans="14:26" ht="31.4" customHeight="1" x14ac:dyDescent="0.35">
      <c r="N5150" s="20"/>
      <c r="P5150" s="8"/>
      <c r="Q5150" s="8"/>
      <c r="R5150" s="8"/>
      <c r="S5150" s="8"/>
      <c r="U5150" s="6"/>
      <c r="V5150" s="6"/>
      <c r="W5150" s="6"/>
      <c r="X5150" s="6"/>
      <c r="Y5150" s="6"/>
      <c r="Z5150" s="6"/>
    </row>
    <row r="5151" spans="14:26" ht="31.4" customHeight="1" x14ac:dyDescent="0.35">
      <c r="N5151" s="20"/>
      <c r="P5151" s="8"/>
      <c r="Q5151" s="8"/>
      <c r="R5151" s="8"/>
      <c r="S5151" s="8"/>
      <c r="U5151" s="6"/>
      <c r="V5151" s="6"/>
      <c r="W5151" s="6"/>
      <c r="X5151" s="6"/>
      <c r="Y5151" s="6"/>
      <c r="Z5151" s="6"/>
    </row>
    <row r="5152" spans="14:26" ht="31.4" customHeight="1" x14ac:dyDescent="0.35">
      <c r="N5152" s="20"/>
      <c r="P5152" s="8"/>
      <c r="Q5152" s="8"/>
      <c r="R5152" s="8"/>
      <c r="S5152" s="8"/>
      <c r="U5152" s="6"/>
      <c r="V5152" s="6"/>
      <c r="W5152" s="6"/>
      <c r="X5152" s="6"/>
      <c r="Y5152" s="6"/>
      <c r="Z5152" s="6"/>
    </row>
    <row r="5153" spans="14:26" ht="31.4" customHeight="1" x14ac:dyDescent="0.35">
      <c r="N5153" s="20"/>
      <c r="P5153" s="8"/>
      <c r="Q5153" s="8"/>
      <c r="R5153" s="8"/>
      <c r="S5153" s="8"/>
      <c r="U5153" s="6"/>
      <c r="V5153" s="6"/>
      <c r="W5153" s="6"/>
      <c r="X5153" s="6"/>
      <c r="Y5153" s="6"/>
      <c r="Z5153" s="6"/>
    </row>
    <row r="5154" spans="14:26" ht="31.4" customHeight="1" x14ac:dyDescent="0.35">
      <c r="N5154" s="20"/>
      <c r="P5154" s="8"/>
      <c r="Q5154" s="8"/>
      <c r="R5154" s="8"/>
      <c r="S5154" s="8"/>
      <c r="U5154" s="6"/>
      <c r="V5154" s="6"/>
      <c r="W5154" s="6"/>
      <c r="X5154" s="6"/>
      <c r="Y5154" s="6"/>
      <c r="Z5154" s="6"/>
    </row>
    <row r="5155" spans="14:26" ht="31.4" customHeight="1" x14ac:dyDescent="0.35">
      <c r="N5155" s="20"/>
      <c r="P5155" s="8"/>
      <c r="Q5155" s="8"/>
      <c r="R5155" s="8"/>
      <c r="S5155" s="8"/>
      <c r="U5155" s="6"/>
      <c r="V5155" s="6"/>
      <c r="W5155" s="6"/>
      <c r="X5155" s="6"/>
      <c r="Y5155" s="6"/>
      <c r="Z5155" s="6"/>
    </row>
    <row r="5156" spans="14:26" ht="31.4" customHeight="1" x14ac:dyDescent="0.35">
      <c r="N5156" s="20"/>
      <c r="P5156" s="8"/>
      <c r="Q5156" s="8"/>
      <c r="R5156" s="8"/>
      <c r="S5156" s="8"/>
      <c r="U5156" s="6"/>
      <c r="V5156" s="6"/>
      <c r="W5156" s="6"/>
      <c r="X5156" s="6"/>
      <c r="Y5156" s="6"/>
      <c r="Z5156" s="6"/>
    </row>
    <row r="5157" spans="14:26" ht="31.4" customHeight="1" x14ac:dyDescent="0.35">
      <c r="N5157" s="20"/>
      <c r="P5157" s="8"/>
      <c r="Q5157" s="8"/>
      <c r="R5157" s="8"/>
      <c r="S5157" s="8"/>
      <c r="U5157" s="6"/>
      <c r="V5157" s="6"/>
      <c r="W5157" s="6"/>
      <c r="X5157" s="6"/>
      <c r="Y5157" s="6"/>
      <c r="Z5157" s="6"/>
    </row>
    <row r="5158" spans="14:26" ht="31.4" customHeight="1" x14ac:dyDescent="0.35">
      <c r="N5158" s="20"/>
      <c r="P5158" s="8"/>
      <c r="Q5158" s="8"/>
      <c r="R5158" s="8"/>
      <c r="S5158" s="8"/>
      <c r="U5158" s="6"/>
      <c r="V5158" s="6"/>
      <c r="W5158" s="6"/>
      <c r="X5158" s="6"/>
      <c r="Y5158" s="6"/>
      <c r="Z5158" s="6"/>
    </row>
    <row r="5159" spans="14:26" ht="31.4" customHeight="1" x14ac:dyDescent="0.35">
      <c r="N5159" s="20"/>
      <c r="P5159" s="8"/>
      <c r="Q5159" s="8"/>
      <c r="R5159" s="8"/>
      <c r="S5159" s="8"/>
      <c r="U5159" s="6"/>
      <c r="V5159" s="6"/>
      <c r="W5159" s="6"/>
      <c r="X5159" s="6"/>
      <c r="Y5159" s="6"/>
      <c r="Z5159" s="6"/>
    </row>
    <row r="5160" spans="14:26" ht="31.4" customHeight="1" x14ac:dyDescent="0.35">
      <c r="N5160" s="20"/>
      <c r="P5160" s="8"/>
      <c r="Q5160" s="8"/>
      <c r="R5160" s="8"/>
      <c r="S5160" s="8"/>
      <c r="U5160" s="6"/>
      <c r="V5160" s="6"/>
      <c r="W5160" s="6"/>
      <c r="X5160" s="6"/>
      <c r="Y5160" s="6"/>
      <c r="Z5160" s="6"/>
    </row>
    <row r="5161" spans="14:26" ht="31.4" customHeight="1" x14ac:dyDescent="0.35">
      <c r="N5161" s="20"/>
      <c r="P5161" s="8"/>
      <c r="Q5161" s="8"/>
      <c r="R5161" s="8"/>
      <c r="S5161" s="8"/>
      <c r="U5161" s="6"/>
      <c r="V5161" s="6"/>
      <c r="W5161" s="6"/>
      <c r="X5161" s="6"/>
      <c r="Y5161" s="6"/>
      <c r="Z5161" s="6"/>
    </row>
    <row r="5162" spans="14:26" ht="31.4" customHeight="1" x14ac:dyDescent="0.35">
      <c r="N5162" s="20"/>
      <c r="P5162" s="8"/>
      <c r="Q5162" s="8"/>
      <c r="R5162" s="8"/>
      <c r="S5162" s="8"/>
      <c r="U5162" s="6"/>
      <c r="V5162" s="6"/>
      <c r="W5162" s="6"/>
      <c r="X5162" s="6"/>
      <c r="Y5162" s="6"/>
      <c r="Z5162" s="6"/>
    </row>
    <row r="5163" spans="14:26" ht="31.4" customHeight="1" x14ac:dyDescent="0.35">
      <c r="N5163" s="20"/>
      <c r="P5163" s="8"/>
      <c r="Q5163" s="8"/>
      <c r="R5163" s="8"/>
      <c r="S5163" s="8"/>
      <c r="U5163" s="6"/>
      <c r="V5163" s="6"/>
      <c r="W5163" s="6"/>
      <c r="X5163" s="6"/>
      <c r="Y5163" s="6"/>
      <c r="Z5163" s="6"/>
    </row>
    <row r="5164" spans="14:26" ht="31.4" customHeight="1" x14ac:dyDescent="0.35">
      <c r="N5164" s="20"/>
      <c r="P5164" s="8"/>
      <c r="Q5164" s="8"/>
      <c r="R5164" s="8"/>
      <c r="S5164" s="8"/>
      <c r="U5164" s="6"/>
      <c r="V5164" s="6"/>
      <c r="W5164" s="6"/>
      <c r="X5164" s="6"/>
      <c r="Y5164" s="6"/>
      <c r="Z5164" s="6"/>
    </row>
    <row r="5165" spans="14:26" ht="31.4" customHeight="1" x14ac:dyDescent="0.35">
      <c r="N5165" s="20"/>
      <c r="P5165" s="8"/>
      <c r="Q5165" s="8"/>
      <c r="R5165" s="8"/>
      <c r="S5165" s="8"/>
      <c r="U5165" s="6"/>
      <c r="V5165" s="6"/>
      <c r="W5165" s="6"/>
      <c r="X5165" s="6"/>
      <c r="Y5165" s="6"/>
      <c r="Z5165" s="6"/>
    </row>
    <row r="5166" spans="14:26" ht="31.4" customHeight="1" x14ac:dyDescent="0.35">
      <c r="N5166" s="20"/>
      <c r="P5166" s="8"/>
      <c r="Q5166" s="8"/>
      <c r="R5166" s="8"/>
      <c r="S5166" s="8"/>
      <c r="U5166" s="6"/>
      <c r="V5166" s="6"/>
      <c r="W5166" s="6"/>
      <c r="X5166" s="6"/>
      <c r="Y5166" s="6"/>
      <c r="Z5166" s="6"/>
    </row>
    <row r="5167" spans="14:26" ht="31.4" customHeight="1" x14ac:dyDescent="0.35">
      <c r="N5167" s="20"/>
      <c r="P5167" s="8"/>
      <c r="Q5167" s="8"/>
      <c r="R5167" s="8"/>
      <c r="S5167" s="8"/>
      <c r="U5167" s="6"/>
      <c r="V5167" s="6"/>
      <c r="W5167" s="6"/>
      <c r="X5167" s="6"/>
      <c r="Y5167" s="6"/>
      <c r="Z5167" s="6"/>
    </row>
    <row r="5168" spans="14:26" ht="31.4" customHeight="1" x14ac:dyDescent="0.35">
      <c r="N5168" s="20"/>
      <c r="P5168" s="8"/>
      <c r="Q5168" s="8"/>
      <c r="R5168" s="8"/>
      <c r="S5168" s="8"/>
      <c r="U5168" s="6"/>
      <c r="V5168" s="6"/>
      <c r="W5168" s="6"/>
      <c r="X5168" s="6"/>
      <c r="Y5168" s="6"/>
      <c r="Z5168" s="6"/>
    </row>
    <row r="5169" spans="14:26" ht="31.4" customHeight="1" x14ac:dyDescent="0.35">
      <c r="N5169" s="20"/>
      <c r="P5169" s="8"/>
      <c r="Q5169" s="8"/>
      <c r="R5169" s="8"/>
      <c r="S5169" s="8"/>
      <c r="U5169" s="6"/>
      <c r="V5169" s="6"/>
      <c r="W5169" s="6"/>
      <c r="X5169" s="6"/>
      <c r="Y5169" s="6"/>
      <c r="Z5169" s="6"/>
    </row>
    <row r="5170" spans="14:26" ht="31.4" customHeight="1" x14ac:dyDescent="0.35">
      <c r="N5170" s="20"/>
      <c r="P5170" s="8"/>
      <c r="Q5170" s="8"/>
      <c r="R5170" s="8"/>
      <c r="S5170" s="8"/>
      <c r="U5170" s="6"/>
      <c r="V5170" s="6"/>
      <c r="W5170" s="6"/>
      <c r="X5170" s="6"/>
      <c r="Y5170" s="6"/>
      <c r="Z5170" s="6"/>
    </row>
    <row r="5171" spans="14:26" ht="31.4" customHeight="1" x14ac:dyDescent="0.35">
      <c r="N5171" s="20"/>
      <c r="P5171" s="8"/>
      <c r="Q5171" s="8"/>
      <c r="R5171" s="8"/>
      <c r="S5171" s="8"/>
      <c r="U5171" s="6"/>
      <c r="V5171" s="6"/>
      <c r="W5171" s="6"/>
      <c r="X5171" s="6"/>
      <c r="Y5171" s="6"/>
      <c r="Z5171" s="6"/>
    </row>
    <row r="5172" spans="14:26" ht="31.4" customHeight="1" x14ac:dyDescent="0.35">
      <c r="N5172" s="20"/>
      <c r="P5172" s="8"/>
      <c r="Q5172" s="8"/>
      <c r="R5172" s="8"/>
      <c r="S5172" s="8"/>
      <c r="U5172" s="6"/>
      <c r="V5172" s="6"/>
      <c r="W5172" s="6"/>
      <c r="X5172" s="6"/>
      <c r="Y5172" s="6"/>
      <c r="Z5172" s="6"/>
    </row>
    <row r="5173" spans="14:26" ht="31.4" customHeight="1" x14ac:dyDescent="0.35">
      <c r="N5173" s="20"/>
      <c r="P5173" s="8"/>
      <c r="Q5173" s="8"/>
      <c r="R5173" s="8"/>
      <c r="S5173" s="8"/>
      <c r="U5173" s="6"/>
      <c r="V5173" s="6"/>
      <c r="W5173" s="6"/>
      <c r="X5173" s="6"/>
      <c r="Y5173" s="6"/>
      <c r="Z5173" s="6"/>
    </row>
    <row r="5174" spans="14:26" ht="31.4" customHeight="1" x14ac:dyDescent="0.35">
      <c r="N5174" s="20"/>
      <c r="P5174" s="8"/>
      <c r="Q5174" s="8"/>
      <c r="R5174" s="8"/>
      <c r="S5174" s="8"/>
      <c r="U5174" s="6"/>
      <c r="V5174" s="6"/>
      <c r="W5174" s="6"/>
      <c r="X5174" s="6"/>
      <c r="Y5174" s="6"/>
      <c r="Z5174" s="6"/>
    </row>
    <row r="5175" spans="14:26" ht="31.4" customHeight="1" x14ac:dyDescent="0.35">
      <c r="N5175" s="20"/>
      <c r="P5175" s="8"/>
      <c r="Q5175" s="8"/>
      <c r="R5175" s="8"/>
      <c r="S5175" s="8"/>
      <c r="U5175" s="6"/>
      <c r="V5175" s="6"/>
      <c r="W5175" s="6"/>
      <c r="X5175" s="6"/>
      <c r="Y5175" s="6"/>
      <c r="Z5175" s="6"/>
    </row>
    <row r="5176" spans="14:26" ht="31.4" customHeight="1" x14ac:dyDescent="0.35">
      <c r="N5176" s="20"/>
      <c r="P5176" s="8"/>
      <c r="Q5176" s="8"/>
      <c r="R5176" s="8"/>
      <c r="S5176" s="8"/>
      <c r="U5176" s="6"/>
      <c r="V5176" s="6"/>
      <c r="W5176" s="6"/>
      <c r="X5176" s="6"/>
      <c r="Y5176" s="6"/>
      <c r="Z5176" s="6"/>
    </row>
    <row r="5177" spans="14:26" ht="31.4" customHeight="1" x14ac:dyDescent="0.35">
      <c r="N5177" s="20"/>
      <c r="P5177" s="8"/>
      <c r="Q5177" s="8"/>
      <c r="R5177" s="8"/>
      <c r="S5177" s="8"/>
      <c r="U5177" s="6"/>
      <c r="V5177" s="6"/>
      <c r="W5177" s="6"/>
      <c r="X5177" s="6"/>
      <c r="Y5177" s="6"/>
      <c r="Z5177" s="6"/>
    </row>
    <row r="5178" spans="14:26" ht="31.4" customHeight="1" x14ac:dyDescent="0.35">
      <c r="N5178" s="20"/>
      <c r="P5178" s="8"/>
      <c r="Q5178" s="8"/>
      <c r="R5178" s="8"/>
      <c r="S5178" s="8"/>
      <c r="U5178" s="6"/>
      <c r="V5178" s="6"/>
      <c r="W5178" s="6"/>
      <c r="X5178" s="6"/>
      <c r="Y5178" s="6"/>
      <c r="Z5178" s="6"/>
    </row>
    <row r="5179" spans="14:26" ht="31.4" customHeight="1" x14ac:dyDescent="0.35">
      <c r="N5179" s="20"/>
      <c r="P5179" s="8"/>
      <c r="Q5179" s="8"/>
      <c r="R5179" s="8"/>
      <c r="S5179" s="8"/>
      <c r="U5179" s="6"/>
      <c r="V5179" s="6"/>
      <c r="W5179" s="6"/>
      <c r="X5179" s="6"/>
      <c r="Y5179" s="6"/>
      <c r="Z5179" s="6"/>
    </row>
    <row r="5180" spans="14:26" ht="31.4" customHeight="1" x14ac:dyDescent="0.35">
      <c r="N5180" s="20"/>
      <c r="P5180" s="8"/>
      <c r="Q5180" s="8"/>
      <c r="R5180" s="8"/>
      <c r="S5180" s="8"/>
      <c r="U5180" s="6"/>
      <c r="V5180" s="6"/>
      <c r="W5180" s="6"/>
      <c r="X5180" s="6"/>
      <c r="Y5180" s="6"/>
      <c r="Z5180" s="6"/>
    </row>
    <row r="5181" spans="14:26" ht="31.4" customHeight="1" x14ac:dyDescent="0.35">
      <c r="N5181" s="20"/>
      <c r="P5181" s="8"/>
      <c r="Q5181" s="8"/>
      <c r="R5181" s="8"/>
      <c r="S5181" s="8"/>
      <c r="U5181" s="6"/>
      <c r="V5181" s="6"/>
      <c r="W5181" s="6"/>
      <c r="X5181" s="6"/>
      <c r="Y5181" s="6"/>
      <c r="Z5181" s="6"/>
    </row>
    <row r="5182" spans="14:26" ht="31.4" customHeight="1" x14ac:dyDescent="0.35">
      <c r="N5182" s="20"/>
      <c r="P5182" s="8"/>
      <c r="Q5182" s="8"/>
      <c r="R5182" s="8"/>
      <c r="S5182" s="8"/>
      <c r="U5182" s="6"/>
      <c r="V5182" s="6"/>
      <c r="W5182" s="6"/>
      <c r="X5182" s="6"/>
      <c r="Y5182" s="6"/>
      <c r="Z5182" s="6"/>
    </row>
    <row r="5183" spans="14:26" ht="31.4" customHeight="1" x14ac:dyDescent="0.35">
      <c r="N5183" s="20"/>
      <c r="P5183" s="8"/>
      <c r="Q5183" s="8"/>
      <c r="R5183" s="8"/>
      <c r="S5183" s="8"/>
      <c r="U5183" s="6"/>
      <c r="V5183" s="6"/>
      <c r="W5183" s="6"/>
      <c r="X5183" s="6"/>
      <c r="Y5183" s="6"/>
      <c r="Z5183" s="6"/>
    </row>
    <row r="5184" spans="14:26" ht="31.4" customHeight="1" x14ac:dyDescent="0.35">
      <c r="N5184" s="20"/>
      <c r="P5184" s="8"/>
      <c r="Q5184" s="8"/>
      <c r="R5184" s="8"/>
      <c r="S5184" s="8"/>
      <c r="U5184" s="6"/>
      <c r="V5184" s="6"/>
      <c r="W5184" s="6"/>
      <c r="X5184" s="6"/>
      <c r="Y5184" s="6"/>
      <c r="Z5184" s="6"/>
    </row>
    <row r="5185" spans="14:26" ht="31.4" customHeight="1" x14ac:dyDescent="0.35">
      <c r="N5185" s="20"/>
      <c r="P5185" s="8"/>
      <c r="Q5185" s="8"/>
      <c r="R5185" s="8"/>
      <c r="S5185" s="8"/>
      <c r="U5185" s="6"/>
      <c r="V5185" s="6"/>
      <c r="W5185" s="6"/>
      <c r="X5185" s="6"/>
      <c r="Y5185" s="6"/>
      <c r="Z5185" s="6"/>
    </row>
    <row r="5186" spans="14:26" ht="31.4" customHeight="1" x14ac:dyDescent="0.35">
      <c r="N5186" s="20"/>
      <c r="P5186" s="8"/>
      <c r="Q5186" s="8"/>
      <c r="R5186" s="8"/>
      <c r="S5186" s="8"/>
      <c r="U5186" s="6"/>
      <c r="V5186" s="6"/>
      <c r="W5186" s="6"/>
      <c r="X5186" s="6"/>
      <c r="Y5186" s="6"/>
      <c r="Z5186" s="6"/>
    </row>
    <row r="5187" spans="14:26" ht="31.4" customHeight="1" x14ac:dyDescent="0.35">
      <c r="N5187" s="20"/>
      <c r="P5187" s="8"/>
      <c r="Q5187" s="8"/>
      <c r="R5187" s="8"/>
      <c r="S5187" s="8"/>
      <c r="U5187" s="6"/>
      <c r="V5187" s="6"/>
      <c r="W5187" s="6"/>
      <c r="X5187" s="6"/>
      <c r="Y5187" s="6"/>
      <c r="Z5187" s="6"/>
    </row>
    <row r="5188" spans="14:26" ht="31.4" customHeight="1" x14ac:dyDescent="0.35">
      <c r="N5188" s="20"/>
      <c r="P5188" s="8"/>
      <c r="Q5188" s="8"/>
      <c r="R5188" s="8"/>
      <c r="S5188" s="8"/>
      <c r="U5188" s="6"/>
      <c r="V5188" s="6"/>
      <c r="W5188" s="6"/>
      <c r="X5188" s="6"/>
      <c r="Y5188" s="6"/>
      <c r="Z5188" s="6"/>
    </row>
    <row r="5189" spans="14:26" ht="31.4" customHeight="1" x14ac:dyDescent="0.35">
      <c r="N5189" s="20"/>
      <c r="P5189" s="8"/>
      <c r="Q5189" s="8"/>
      <c r="R5189" s="8"/>
      <c r="S5189" s="8"/>
      <c r="U5189" s="6"/>
      <c r="V5189" s="6"/>
      <c r="W5189" s="6"/>
      <c r="X5189" s="6"/>
      <c r="Y5189" s="6"/>
      <c r="Z5189" s="6"/>
    </row>
    <row r="5190" spans="14:26" ht="31.4" customHeight="1" x14ac:dyDescent="0.35">
      <c r="N5190" s="20"/>
      <c r="P5190" s="8"/>
      <c r="Q5190" s="8"/>
      <c r="R5190" s="8"/>
      <c r="S5190" s="8"/>
      <c r="U5190" s="6"/>
      <c r="V5190" s="6"/>
      <c r="W5190" s="6"/>
      <c r="X5190" s="6"/>
      <c r="Y5190" s="6"/>
      <c r="Z5190" s="6"/>
    </row>
    <row r="5191" spans="14:26" ht="31.4" customHeight="1" x14ac:dyDescent="0.35">
      <c r="N5191" s="20"/>
      <c r="P5191" s="8"/>
      <c r="Q5191" s="8"/>
      <c r="R5191" s="8"/>
      <c r="S5191" s="8"/>
      <c r="U5191" s="6"/>
      <c r="V5191" s="6"/>
      <c r="W5191" s="6"/>
      <c r="X5191" s="6"/>
      <c r="Y5191" s="6"/>
      <c r="Z5191" s="6"/>
    </row>
    <row r="5192" spans="14:26" ht="31.4" customHeight="1" x14ac:dyDescent="0.35">
      <c r="N5192" s="20"/>
      <c r="P5192" s="8"/>
      <c r="Q5192" s="8"/>
      <c r="R5192" s="8"/>
      <c r="S5192" s="8"/>
      <c r="U5192" s="6"/>
      <c r="V5192" s="6"/>
      <c r="W5192" s="6"/>
      <c r="X5192" s="6"/>
      <c r="Y5192" s="6"/>
      <c r="Z5192" s="6"/>
    </row>
    <row r="5193" spans="14:26" ht="31.4" customHeight="1" x14ac:dyDescent="0.35">
      <c r="N5193" s="20"/>
      <c r="P5193" s="8"/>
      <c r="Q5193" s="8"/>
      <c r="R5193" s="8"/>
      <c r="S5193" s="8"/>
      <c r="U5193" s="6"/>
      <c r="V5193" s="6"/>
      <c r="W5193" s="6"/>
      <c r="X5193" s="6"/>
      <c r="Y5193" s="6"/>
      <c r="Z5193" s="6"/>
    </row>
    <row r="5194" spans="14:26" ht="31.4" customHeight="1" x14ac:dyDescent="0.35">
      <c r="N5194" s="20"/>
      <c r="P5194" s="8"/>
      <c r="Q5194" s="8"/>
      <c r="R5194" s="8"/>
      <c r="S5194" s="8"/>
      <c r="U5194" s="6"/>
      <c r="V5194" s="6"/>
      <c r="W5194" s="6"/>
      <c r="X5194" s="6"/>
      <c r="Y5194" s="6"/>
      <c r="Z5194" s="6"/>
    </row>
    <row r="5195" spans="14:26" ht="31.4" customHeight="1" x14ac:dyDescent="0.35">
      <c r="N5195" s="20"/>
      <c r="P5195" s="8"/>
      <c r="Q5195" s="8"/>
      <c r="R5195" s="8"/>
      <c r="S5195" s="8"/>
      <c r="U5195" s="6"/>
      <c r="V5195" s="6"/>
      <c r="W5195" s="6"/>
      <c r="X5195" s="6"/>
      <c r="Y5195" s="6"/>
      <c r="Z5195" s="6"/>
    </row>
    <row r="5196" spans="14:26" ht="31.4" customHeight="1" x14ac:dyDescent="0.35">
      <c r="N5196" s="20"/>
      <c r="P5196" s="8"/>
      <c r="Q5196" s="8"/>
      <c r="R5196" s="8"/>
      <c r="S5196" s="8"/>
      <c r="U5196" s="6"/>
      <c r="V5196" s="6"/>
      <c r="W5196" s="6"/>
      <c r="X5196" s="6"/>
      <c r="Y5196" s="6"/>
      <c r="Z5196" s="6"/>
    </row>
    <row r="5197" spans="14:26" ht="31.4" customHeight="1" x14ac:dyDescent="0.35">
      <c r="N5197" s="20"/>
      <c r="P5197" s="8"/>
      <c r="Q5197" s="8"/>
      <c r="R5197" s="8"/>
      <c r="S5197" s="8"/>
      <c r="U5197" s="6"/>
      <c r="V5197" s="6"/>
      <c r="W5197" s="6"/>
      <c r="X5197" s="6"/>
      <c r="Y5197" s="6"/>
      <c r="Z5197" s="6"/>
    </row>
    <row r="5198" spans="14:26" ht="31.4" customHeight="1" x14ac:dyDescent="0.35">
      <c r="N5198" s="20"/>
      <c r="P5198" s="8"/>
      <c r="Q5198" s="8"/>
      <c r="R5198" s="8"/>
      <c r="S5198" s="8"/>
      <c r="U5198" s="6"/>
      <c r="V5198" s="6"/>
      <c r="W5198" s="6"/>
      <c r="X5198" s="6"/>
      <c r="Y5198" s="6"/>
      <c r="Z5198" s="6"/>
    </row>
    <row r="5199" spans="14:26" ht="31.4" customHeight="1" x14ac:dyDescent="0.35">
      <c r="N5199" s="20"/>
      <c r="P5199" s="8"/>
      <c r="Q5199" s="8"/>
      <c r="R5199" s="8"/>
      <c r="S5199" s="8"/>
      <c r="U5199" s="6"/>
      <c r="V5199" s="6"/>
      <c r="W5199" s="6"/>
      <c r="X5199" s="6"/>
      <c r="Y5199" s="6"/>
      <c r="Z5199" s="6"/>
    </row>
    <row r="5200" spans="14:26" ht="31.4" customHeight="1" x14ac:dyDescent="0.35">
      <c r="N5200" s="20"/>
      <c r="P5200" s="8"/>
      <c r="Q5200" s="8"/>
      <c r="R5200" s="8"/>
      <c r="S5200" s="8"/>
      <c r="U5200" s="6"/>
      <c r="V5200" s="6"/>
      <c r="W5200" s="6"/>
      <c r="X5200" s="6"/>
      <c r="Y5200" s="6"/>
      <c r="Z5200" s="6"/>
    </row>
    <row r="5201" spans="14:26" ht="31.4" customHeight="1" x14ac:dyDescent="0.35">
      <c r="N5201" s="20"/>
      <c r="P5201" s="8"/>
      <c r="Q5201" s="8"/>
      <c r="R5201" s="8"/>
      <c r="S5201" s="8"/>
      <c r="U5201" s="6"/>
      <c r="V5201" s="6"/>
      <c r="W5201" s="6"/>
      <c r="X5201" s="6"/>
      <c r="Y5201" s="6"/>
      <c r="Z5201" s="6"/>
    </row>
    <row r="5202" spans="14:26" ht="31.4" customHeight="1" x14ac:dyDescent="0.35">
      <c r="N5202" s="20"/>
      <c r="P5202" s="8"/>
      <c r="Q5202" s="8"/>
      <c r="R5202" s="8"/>
      <c r="S5202" s="8"/>
      <c r="U5202" s="6"/>
      <c r="V5202" s="6"/>
      <c r="W5202" s="6"/>
      <c r="X5202" s="6"/>
      <c r="Y5202" s="6"/>
      <c r="Z5202" s="6"/>
    </row>
    <row r="5203" spans="14:26" ht="31.4" customHeight="1" x14ac:dyDescent="0.35">
      <c r="N5203" s="20"/>
      <c r="P5203" s="8"/>
      <c r="Q5203" s="8"/>
      <c r="R5203" s="8"/>
      <c r="S5203" s="8"/>
      <c r="U5203" s="6"/>
      <c r="V5203" s="6"/>
      <c r="W5203" s="6"/>
      <c r="X5203" s="6"/>
      <c r="Y5203" s="6"/>
      <c r="Z5203" s="6"/>
    </row>
    <row r="5204" spans="14:26" ht="31.4" customHeight="1" x14ac:dyDescent="0.35">
      <c r="N5204" s="20"/>
      <c r="P5204" s="8"/>
      <c r="Q5204" s="8"/>
      <c r="R5204" s="8"/>
      <c r="S5204" s="8"/>
      <c r="U5204" s="6"/>
      <c r="V5204" s="6"/>
      <c r="W5204" s="6"/>
      <c r="X5204" s="6"/>
      <c r="Y5204" s="6"/>
      <c r="Z5204" s="6"/>
    </row>
    <row r="5205" spans="14:26" ht="31.4" customHeight="1" x14ac:dyDescent="0.35">
      <c r="N5205" s="20"/>
      <c r="P5205" s="8"/>
      <c r="Q5205" s="8"/>
      <c r="R5205" s="8"/>
      <c r="S5205" s="8"/>
      <c r="U5205" s="6"/>
      <c r="V5205" s="6"/>
      <c r="W5205" s="6"/>
      <c r="X5205" s="6"/>
      <c r="Y5205" s="6"/>
      <c r="Z5205" s="6"/>
    </row>
    <row r="5206" spans="14:26" ht="31.4" customHeight="1" x14ac:dyDescent="0.35">
      <c r="N5206" s="20"/>
      <c r="P5206" s="8"/>
      <c r="Q5206" s="8"/>
      <c r="R5206" s="8"/>
      <c r="S5206" s="8"/>
      <c r="U5206" s="6"/>
      <c r="V5206" s="6"/>
      <c r="W5206" s="6"/>
      <c r="X5206" s="6"/>
      <c r="Y5206" s="6"/>
      <c r="Z5206" s="6"/>
    </row>
    <row r="5207" spans="14:26" ht="31.4" customHeight="1" x14ac:dyDescent="0.35">
      <c r="N5207" s="20"/>
      <c r="P5207" s="8"/>
      <c r="Q5207" s="8"/>
      <c r="R5207" s="8"/>
      <c r="S5207" s="8"/>
      <c r="U5207" s="6"/>
      <c r="V5207" s="6"/>
      <c r="W5207" s="6"/>
      <c r="X5207" s="6"/>
      <c r="Y5207" s="6"/>
      <c r="Z5207" s="6"/>
    </row>
    <row r="5208" spans="14:26" ht="31.4" customHeight="1" x14ac:dyDescent="0.35">
      <c r="N5208" s="20"/>
      <c r="P5208" s="8"/>
      <c r="Q5208" s="8"/>
      <c r="R5208" s="8"/>
      <c r="S5208" s="8"/>
      <c r="U5208" s="6"/>
      <c r="V5208" s="6"/>
      <c r="W5208" s="6"/>
      <c r="X5208" s="6"/>
      <c r="Y5208" s="6"/>
      <c r="Z5208" s="6"/>
    </row>
    <row r="5209" spans="14:26" ht="31.4" customHeight="1" x14ac:dyDescent="0.35">
      <c r="N5209" s="20"/>
      <c r="P5209" s="8"/>
      <c r="Q5209" s="8"/>
      <c r="R5209" s="8"/>
      <c r="S5209" s="8"/>
      <c r="U5209" s="6"/>
      <c r="V5209" s="6"/>
      <c r="W5209" s="6"/>
      <c r="X5209" s="6"/>
      <c r="Y5209" s="6"/>
      <c r="Z5209" s="6"/>
    </row>
    <row r="5210" spans="14:26" ht="31.4" customHeight="1" x14ac:dyDescent="0.35">
      <c r="N5210" s="20"/>
      <c r="P5210" s="8"/>
      <c r="Q5210" s="8"/>
      <c r="R5210" s="8"/>
      <c r="S5210" s="8"/>
      <c r="U5210" s="6"/>
      <c r="V5210" s="6"/>
      <c r="W5210" s="6"/>
      <c r="X5210" s="6"/>
      <c r="Y5210" s="6"/>
      <c r="Z5210" s="6"/>
    </row>
    <row r="5211" spans="14:26" ht="31.4" customHeight="1" x14ac:dyDescent="0.35">
      <c r="N5211" s="20"/>
      <c r="P5211" s="8"/>
      <c r="Q5211" s="8"/>
      <c r="R5211" s="8"/>
      <c r="S5211" s="8"/>
      <c r="U5211" s="6"/>
      <c r="V5211" s="6"/>
      <c r="W5211" s="6"/>
      <c r="X5211" s="6"/>
      <c r="Y5211" s="6"/>
      <c r="Z5211" s="6"/>
    </row>
    <row r="5212" spans="14:26" ht="31.4" customHeight="1" x14ac:dyDescent="0.35">
      <c r="N5212" s="20"/>
      <c r="P5212" s="8"/>
      <c r="Q5212" s="8"/>
      <c r="R5212" s="8"/>
      <c r="S5212" s="8"/>
      <c r="U5212" s="6"/>
      <c r="V5212" s="6"/>
      <c r="W5212" s="6"/>
      <c r="X5212" s="6"/>
      <c r="Y5212" s="6"/>
      <c r="Z5212" s="6"/>
    </row>
    <row r="5213" spans="14:26" ht="31.4" customHeight="1" x14ac:dyDescent="0.35">
      <c r="N5213" s="20"/>
      <c r="P5213" s="8"/>
      <c r="Q5213" s="8"/>
      <c r="R5213" s="8"/>
      <c r="S5213" s="8"/>
      <c r="U5213" s="6"/>
      <c r="V5213" s="6"/>
      <c r="W5213" s="6"/>
      <c r="X5213" s="6"/>
      <c r="Y5213" s="6"/>
      <c r="Z5213" s="6"/>
    </row>
    <row r="5214" spans="14:26" ht="31.4" customHeight="1" x14ac:dyDescent="0.35">
      <c r="N5214" s="20"/>
      <c r="P5214" s="8"/>
      <c r="Q5214" s="8"/>
      <c r="R5214" s="8"/>
      <c r="S5214" s="8"/>
      <c r="U5214" s="6"/>
      <c r="V5214" s="6"/>
      <c r="W5214" s="6"/>
      <c r="X5214" s="6"/>
      <c r="Y5214" s="6"/>
      <c r="Z5214" s="6"/>
    </row>
    <row r="5215" spans="14:26" ht="31.4" customHeight="1" x14ac:dyDescent="0.35">
      <c r="N5215" s="20"/>
      <c r="P5215" s="8"/>
      <c r="Q5215" s="8"/>
      <c r="R5215" s="8"/>
      <c r="S5215" s="8"/>
      <c r="U5215" s="6"/>
      <c r="V5215" s="6"/>
      <c r="W5215" s="6"/>
      <c r="X5215" s="6"/>
      <c r="Y5215" s="6"/>
      <c r="Z5215" s="6"/>
    </row>
    <row r="5216" spans="14:26" ht="31.4" customHeight="1" x14ac:dyDescent="0.35">
      <c r="N5216" s="20"/>
      <c r="P5216" s="8"/>
      <c r="Q5216" s="8"/>
      <c r="R5216" s="8"/>
      <c r="S5216" s="8"/>
      <c r="U5216" s="6"/>
      <c r="V5216" s="6"/>
      <c r="W5216" s="6"/>
      <c r="X5216" s="6"/>
      <c r="Y5216" s="6"/>
      <c r="Z5216" s="6"/>
    </row>
    <row r="5217" spans="14:26" ht="31.4" customHeight="1" x14ac:dyDescent="0.35">
      <c r="N5217" s="20"/>
      <c r="P5217" s="8"/>
      <c r="Q5217" s="8"/>
      <c r="R5217" s="8"/>
      <c r="S5217" s="8"/>
      <c r="U5217" s="6"/>
      <c r="V5217" s="6"/>
      <c r="W5217" s="6"/>
      <c r="X5217" s="6"/>
      <c r="Y5217" s="6"/>
      <c r="Z5217" s="6"/>
    </row>
    <row r="5218" spans="14:26" ht="31.4" customHeight="1" x14ac:dyDescent="0.35">
      <c r="N5218" s="20"/>
      <c r="P5218" s="8"/>
      <c r="Q5218" s="8"/>
      <c r="R5218" s="8"/>
      <c r="S5218" s="8"/>
      <c r="U5218" s="6"/>
      <c r="V5218" s="6"/>
      <c r="W5218" s="6"/>
      <c r="X5218" s="6"/>
      <c r="Y5218" s="6"/>
      <c r="Z5218" s="6"/>
    </row>
    <row r="5219" spans="14:26" ht="31.4" customHeight="1" x14ac:dyDescent="0.35">
      <c r="N5219" s="20"/>
      <c r="P5219" s="8"/>
      <c r="Q5219" s="8"/>
      <c r="R5219" s="8"/>
      <c r="S5219" s="8"/>
      <c r="U5219" s="6"/>
      <c r="V5219" s="6"/>
      <c r="W5219" s="6"/>
      <c r="X5219" s="6"/>
      <c r="Y5219" s="6"/>
      <c r="Z5219" s="6"/>
    </row>
    <row r="5220" spans="14:26" ht="31.4" customHeight="1" x14ac:dyDescent="0.35">
      <c r="N5220" s="20"/>
      <c r="P5220" s="8"/>
      <c r="Q5220" s="8"/>
      <c r="R5220" s="8"/>
      <c r="S5220" s="8"/>
      <c r="U5220" s="6"/>
      <c r="V5220" s="6"/>
      <c r="W5220" s="6"/>
      <c r="X5220" s="6"/>
      <c r="Y5220" s="6"/>
      <c r="Z5220" s="6"/>
    </row>
    <row r="5221" spans="14:26" ht="31.4" customHeight="1" x14ac:dyDescent="0.35">
      <c r="N5221" s="20"/>
      <c r="P5221" s="8"/>
      <c r="Q5221" s="8"/>
      <c r="R5221" s="8"/>
      <c r="S5221" s="8"/>
      <c r="U5221" s="6"/>
      <c r="V5221" s="6"/>
      <c r="W5221" s="6"/>
      <c r="X5221" s="6"/>
      <c r="Y5221" s="6"/>
      <c r="Z5221" s="6"/>
    </row>
    <row r="5222" spans="14:26" ht="31.4" customHeight="1" x14ac:dyDescent="0.35">
      <c r="N5222" s="20"/>
      <c r="P5222" s="8"/>
      <c r="Q5222" s="8"/>
      <c r="R5222" s="8"/>
      <c r="S5222" s="8"/>
      <c r="U5222" s="6"/>
      <c r="V5222" s="6"/>
      <c r="W5222" s="6"/>
      <c r="X5222" s="6"/>
      <c r="Y5222" s="6"/>
      <c r="Z5222" s="6"/>
    </row>
    <row r="5223" spans="14:26" ht="31.4" customHeight="1" x14ac:dyDescent="0.35">
      <c r="N5223" s="20"/>
      <c r="P5223" s="8"/>
      <c r="Q5223" s="8"/>
      <c r="R5223" s="8"/>
      <c r="S5223" s="8"/>
      <c r="U5223" s="6"/>
      <c r="V5223" s="6"/>
      <c r="W5223" s="6"/>
      <c r="X5223" s="6"/>
      <c r="Y5223" s="6"/>
      <c r="Z5223" s="6"/>
    </row>
    <row r="5224" spans="14:26" ht="31.4" customHeight="1" x14ac:dyDescent="0.35">
      <c r="N5224" s="20"/>
      <c r="P5224" s="8"/>
      <c r="Q5224" s="8"/>
      <c r="R5224" s="8"/>
      <c r="S5224" s="8"/>
      <c r="U5224" s="6"/>
      <c r="V5224" s="6"/>
      <c r="W5224" s="6"/>
      <c r="X5224" s="6"/>
      <c r="Y5224" s="6"/>
      <c r="Z5224" s="6"/>
    </row>
    <row r="5225" spans="14:26" ht="31.4" customHeight="1" x14ac:dyDescent="0.35">
      <c r="N5225" s="20"/>
      <c r="P5225" s="8"/>
      <c r="Q5225" s="8"/>
      <c r="R5225" s="8"/>
      <c r="S5225" s="8"/>
      <c r="U5225" s="6"/>
      <c r="V5225" s="6"/>
      <c r="W5225" s="6"/>
      <c r="X5225" s="6"/>
      <c r="Y5225" s="6"/>
      <c r="Z5225" s="6"/>
    </row>
    <row r="5226" spans="14:26" ht="31.4" customHeight="1" x14ac:dyDescent="0.35">
      <c r="N5226" s="20"/>
      <c r="P5226" s="8"/>
      <c r="Q5226" s="8"/>
      <c r="R5226" s="8"/>
      <c r="S5226" s="8"/>
      <c r="U5226" s="6"/>
      <c r="V5226" s="6"/>
      <c r="W5226" s="6"/>
      <c r="X5226" s="6"/>
      <c r="Y5226" s="6"/>
      <c r="Z5226" s="6"/>
    </row>
    <row r="5227" spans="14:26" ht="31.4" customHeight="1" x14ac:dyDescent="0.35">
      <c r="N5227" s="20"/>
      <c r="P5227" s="8"/>
      <c r="Q5227" s="8"/>
      <c r="R5227" s="8"/>
      <c r="S5227" s="8"/>
      <c r="U5227" s="6"/>
      <c r="V5227" s="6"/>
      <c r="W5227" s="6"/>
      <c r="X5227" s="6"/>
      <c r="Y5227" s="6"/>
      <c r="Z5227" s="6"/>
    </row>
    <row r="5228" spans="14:26" ht="31.4" customHeight="1" x14ac:dyDescent="0.35">
      <c r="N5228" s="20"/>
      <c r="P5228" s="8"/>
      <c r="Q5228" s="8"/>
      <c r="R5228" s="8"/>
      <c r="S5228" s="8"/>
      <c r="U5228" s="6"/>
      <c r="V5228" s="6"/>
      <c r="W5228" s="6"/>
      <c r="X5228" s="6"/>
      <c r="Y5228" s="6"/>
      <c r="Z5228" s="6"/>
    </row>
    <row r="5229" spans="14:26" ht="31.4" customHeight="1" x14ac:dyDescent="0.35">
      <c r="N5229" s="20"/>
      <c r="P5229" s="8"/>
      <c r="Q5229" s="8"/>
      <c r="R5229" s="8"/>
      <c r="S5229" s="8"/>
      <c r="U5229" s="6"/>
      <c r="V5229" s="6"/>
      <c r="W5229" s="6"/>
      <c r="X5229" s="6"/>
      <c r="Y5229" s="6"/>
      <c r="Z5229" s="6"/>
    </row>
    <row r="5230" spans="14:26" ht="31.4" customHeight="1" x14ac:dyDescent="0.35">
      <c r="N5230" s="20"/>
      <c r="P5230" s="8"/>
      <c r="Q5230" s="8"/>
      <c r="R5230" s="8"/>
      <c r="S5230" s="8"/>
      <c r="U5230" s="6"/>
      <c r="V5230" s="6"/>
      <c r="W5230" s="6"/>
      <c r="X5230" s="6"/>
      <c r="Y5230" s="6"/>
      <c r="Z5230" s="6"/>
    </row>
    <row r="5231" spans="14:26" ht="31.4" customHeight="1" x14ac:dyDescent="0.35">
      <c r="N5231" s="20"/>
      <c r="P5231" s="8"/>
      <c r="Q5231" s="8"/>
      <c r="R5231" s="8"/>
      <c r="S5231" s="8"/>
      <c r="U5231" s="6"/>
      <c r="V5231" s="6"/>
      <c r="W5231" s="6"/>
      <c r="X5231" s="6"/>
      <c r="Y5231" s="6"/>
      <c r="Z5231" s="6"/>
    </row>
    <row r="5232" spans="14:26" ht="31.4" customHeight="1" x14ac:dyDescent="0.35">
      <c r="N5232" s="20"/>
      <c r="P5232" s="8"/>
      <c r="Q5232" s="8"/>
      <c r="R5232" s="8"/>
      <c r="S5232" s="8"/>
      <c r="U5232" s="6"/>
      <c r="V5232" s="6"/>
      <c r="W5232" s="6"/>
      <c r="X5232" s="6"/>
      <c r="Y5232" s="6"/>
      <c r="Z5232" s="6"/>
    </row>
    <row r="5233" spans="14:26" ht="31.4" customHeight="1" x14ac:dyDescent="0.35">
      <c r="N5233" s="20"/>
      <c r="P5233" s="8"/>
      <c r="Q5233" s="8"/>
      <c r="R5233" s="8"/>
      <c r="S5233" s="8"/>
      <c r="U5233" s="6"/>
      <c r="V5233" s="6"/>
      <c r="W5233" s="6"/>
      <c r="X5233" s="6"/>
      <c r="Y5233" s="6"/>
      <c r="Z5233" s="6"/>
    </row>
    <row r="5234" spans="14:26" ht="31.4" customHeight="1" x14ac:dyDescent="0.35">
      <c r="N5234" s="20"/>
      <c r="P5234" s="8"/>
      <c r="Q5234" s="8"/>
      <c r="R5234" s="8"/>
      <c r="S5234" s="8"/>
      <c r="U5234" s="6"/>
      <c r="V5234" s="6"/>
      <c r="W5234" s="6"/>
      <c r="X5234" s="6"/>
      <c r="Y5234" s="6"/>
      <c r="Z5234" s="6"/>
    </row>
    <row r="5235" spans="14:26" ht="31.4" customHeight="1" x14ac:dyDescent="0.35">
      <c r="N5235" s="20"/>
      <c r="P5235" s="8"/>
      <c r="Q5235" s="8"/>
      <c r="R5235" s="8"/>
      <c r="S5235" s="8"/>
      <c r="U5235" s="6"/>
      <c r="V5235" s="6"/>
      <c r="W5235" s="6"/>
      <c r="X5235" s="6"/>
      <c r="Y5235" s="6"/>
      <c r="Z5235" s="6"/>
    </row>
    <row r="5236" spans="14:26" ht="31.4" customHeight="1" x14ac:dyDescent="0.35">
      <c r="N5236" s="20"/>
      <c r="P5236" s="8"/>
      <c r="Q5236" s="8"/>
      <c r="R5236" s="8"/>
      <c r="S5236" s="8"/>
      <c r="U5236" s="6"/>
      <c r="V5236" s="6"/>
      <c r="W5236" s="6"/>
      <c r="X5236" s="6"/>
      <c r="Y5236" s="6"/>
      <c r="Z5236" s="6"/>
    </row>
    <row r="5237" spans="14:26" ht="31.4" customHeight="1" x14ac:dyDescent="0.35">
      <c r="N5237" s="20"/>
      <c r="P5237" s="8"/>
      <c r="Q5237" s="8"/>
      <c r="R5237" s="8"/>
      <c r="S5237" s="8"/>
      <c r="U5237" s="6"/>
      <c r="V5237" s="6"/>
      <c r="W5237" s="6"/>
      <c r="X5237" s="6"/>
      <c r="Y5237" s="6"/>
      <c r="Z5237" s="6"/>
    </row>
    <row r="5238" spans="14:26" ht="31.4" customHeight="1" x14ac:dyDescent="0.35">
      <c r="N5238" s="20"/>
      <c r="P5238" s="8"/>
      <c r="Q5238" s="8"/>
      <c r="R5238" s="8"/>
      <c r="S5238" s="8"/>
      <c r="U5238" s="6"/>
      <c r="V5238" s="6"/>
      <c r="W5238" s="6"/>
      <c r="X5238" s="6"/>
      <c r="Y5238" s="6"/>
      <c r="Z5238" s="6"/>
    </row>
    <row r="5239" spans="14:26" ht="31.4" customHeight="1" x14ac:dyDescent="0.35">
      <c r="N5239" s="20"/>
      <c r="P5239" s="8"/>
      <c r="Q5239" s="8"/>
      <c r="R5239" s="8"/>
      <c r="S5239" s="8"/>
      <c r="U5239" s="6"/>
      <c r="V5239" s="6"/>
      <c r="W5239" s="6"/>
      <c r="X5239" s="6"/>
      <c r="Y5239" s="6"/>
      <c r="Z5239" s="6"/>
    </row>
    <row r="5240" spans="14:26" ht="31.4" customHeight="1" x14ac:dyDescent="0.35">
      <c r="N5240" s="20"/>
      <c r="P5240" s="8"/>
      <c r="Q5240" s="8"/>
      <c r="R5240" s="8"/>
      <c r="S5240" s="8"/>
      <c r="U5240" s="6"/>
      <c r="V5240" s="6"/>
      <c r="W5240" s="6"/>
      <c r="X5240" s="6"/>
      <c r="Y5240" s="6"/>
      <c r="Z5240" s="6"/>
    </row>
    <row r="5241" spans="14:26" ht="31.4" customHeight="1" x14ac:dyDescent="0.35">
      <c r="N5241" s="20"/>
      <c r="P5241" s="8"/>
      <c r="Q5241" s="8"/>
      <c r="R5241" s="8"/>
      <c r="S5241" s="8"/>
      <c r="U5241" s="6"/>
      <c r="V5241" s="6"/>
      <c r="W5241" s="6"/>
      <c r="X5241" s="6"/>
      <c r="Y5241" s="6"/>
      <c r="Z5241" s="6"/>
    </row>
    <row r="5242" spans="14:26" ht="31.4" customHeight="1" x14ac:dyDescent="0.35">
      <c r="N5242" s="20"/>
      <c r="P5242" s="8"/>
      <c r="Q5242" s="8"/>
      <c r="R5242" s="8"/>
      <c r="S5242" s="8"/>
      <c r="U5242" s="6"/>
      <c r="V5242" s="6"/>
      <c r="W5242" s="6"/>
      <c r="X5242" s="6"/>
      <c r="Y5242" s="6"/>
      <c r="Z5242" s="6"/>
    </row>
    <row r="5243" spans="14:26" ht="31.4" customHeight="1" x14ac:dyDescent="0.35">
      <c r="N5243" s="20"/>
      <c r="P5243" s="8"/>
      <c r="Q5243" s="8"/>
      <c r="R5243" s="8"/>
      <c r="S5243" s="8"/>
      <c r="U5243" s="6"/>
      <c r="V5243" s="6"/>
      <c r="W5243" s="6"/>
      <c r="X5243" s="6"/>
      <c r="Y5243" s="6"/>
      <c r="Z5243" s="6"/>
    </row>
    <row r="5244" spans="14:26" ht="31.4" customHeight="1" x14ac:dyDescent="0.35">
      <c r="N5244" s="20"/>
      <c r="P5244" s="8"/>
      <c r="Q5244" s="8"/>
      <c r="R5244" s="8"/>
      <c r="S5244" s="8"/>
      <c r="U5244" s="6"/>
      <c r="V5244" s="6"/>
      <c r="W5244" s="6"/>
      <c r="X5244" s="6"/>
      <c r="Y5244" s="6"/>
      <c r="Z5244" s="6"/>
    </row>
    <row r="5245" spans="14:26" ht="31.4" customHeight="1" x14ac:dyDescent="0.35">
      <c r="N5245" s="20"/>
      <c r="P5245" s="8"/>
      <c r="Q5245" s="8"/>
      <c r="R5245" s="8"/>
      <c r="S5245" s="8"/>
      <c r="U5245" s="6"/>
      <c r="V5245" s="6"/>
      <c r="W5245" s="6"/>
      <c r="X5245" s="6"/>
      <c r="Y5245" s="6"/>
      <c r="Z5245" s="6"/>
    </row>
    <row r="5246" spans="14:26" ht="31.4" customHeight="1" x14ac:dyDescent="0.35">
      <c r="N5246" s="20"/>
      <c r="P5246" s="8"/>
      <c r="Q5246" s="8"/>
      <c r="R5246" s="8"/>
      <c r="S5246" s="8"/>
      <c r="U5246" s="6"/>
      <c r="V5246" s="6"/>
      <c r="W5246" s="6"/>
      <c r="X5246" s="6"/>
      <c r="Y5246" s="6"/>
      <c r="Z5246" s="6"/>
    </row>
    <row r="5247" spans="14:26" ht="31.4" customHeight="1" x14ac:dyDescent="0.35">
      <c r="N5247" s="20"/>
      <c r="P5247" s="8"/>
      <c r="Q5247" s="8"/>
      <c r="R5247" s="8"/>
      <c r="S5247" s="8"/>
      <c r="U5247" s="6"/>
      <c r="V5247" s="6"/>
      <c r="W5247" s="6"/>
      <c r="X5247" s="6"/>
      <c r="Y5247" s="6"/>
      <c r="Z5247" s="6"/>
    </row>
    <row r="5248" spans="14:26" ht="31.4" customHeight="1" x14ac:dyDescent="0.35">
      <c r="N5248" s="20"/>
      <c r="P5248" s="8"/>
      <c r="Q5248" s="8"/>
      <c r="R5248" s="8"/>
      <c r="S5248" s="8"/>
      <c r="U5248" s="6"/>
      <c r="V5248" s="6"/>
      <c r="W5248" s="6"/>
      <c r="X5248" s="6"/>
      <c r="Y5248" s="6"/>
      <c r="Z5248" s="6"/>
    </row>
    <row r="5249" spans="1:26" ht="31.4" customHeight="1" x14ac:dyDescent="0.35">
      <c r="N5249" s="20"/>
      <c r="P5249" s="8"/>
      <c r="Q5249" s="8"/>
      <c r="R5249" s="8"/>
      <c r="S5249" s="8"/>
      <c r="U5249" s="6"/>
      <c r="V5249" s="6"/>
      <c r="W5249" s="6"/>
      <c r="X5249" s="6"/>
      <c r="Y5249" s="6"/>
      <c r="Z5249" s="6"/>
    </row>
    <row r="5250" spans="1:26" ht="31.4" customHeight="1" x14ac:dyDescent="0.35">
      <c r="N5250" s="20"/>
      <c r="P5250" s="8"/>
      <c r="Q5250" s="8"/>
      <c r="R5250" s="8"/>
      <c r="S5250" s="8"/>
      <c r="U5250" s="6"/>
      <c r="V5250" s="6"/>
      <c r="W5250" s="6"/>
      <c r="X5250" s="6"/>
      <c r="Y5250" s="6"/>
      <c r="Z5250" s="6"/>
    </row>
    <row r="5251" spans="1:26" ht="31.4" customHeight="1" x14ac:dyDescent="0.35">
      <c r="N5251" s="20"/>
      <c r="P5251" s="8"/>
      <c r="Q5251" s="8"/>
      <c r="R5251" s="8"/>
      <c r="S5251" s="8"/>
      <c r="U5251" s="6"/>
      <c r="V5251" s="6"/>
      <c r="W5251" s="6"/>
      <c r="X5251" s="6"/>
      <c r="Y5251" s="6"/>
      <c r="Z5251" s="6"/>
    </row>
    <row r="5252" spans="1:26" ht="31.4" customHeight="1" x14ac:dyDescent="0.35">
      <c r="N5252" s="20"/>
      <c r="P5252" s="8"/>
      <c r="Q5252" s="8"/>
      <c r="R5252" s="8"/>
      <c r="S5252" s="8"/>
      <c r="U5252" s="6"/>
      <c r="V5252" s="6"/>
      <c r="W5252" s="6"/>
      <c r="X5252" s="6"/>
      <c r="Y5252" s="6"/>
      <c r="Z5252" s="6"/>
    </row>
    <row r="5253" spans="1:26" ht="31.4" customHeight="1" x14ac:dyDescent="0.35">
      <c r="N5253" s="20"/>
      <c r="P5253" s="8"/>
      <c r="Q5253" s="8"/>
      <c r="R5253" s="8"/>
      <c r="S5253" s="8"/>
      <c r="U5253" s="6"/>
      <c r="V5253" s="6"/>
      <c r="W5253" s="6"/>
      <c r="X5253" s="6"/>
      <c r="Y5253" s="6"/>
      <c r="Z5253" s="6"/>
    </row>
    <row r="5254" spans="1:26" ht="31.4" customHeight="1" x14ac:dyDescent="0.35">
      <c r="N5254" s="20"/>
      <c r="P5254" s="8"/>
      <c r="Q5254" s="8"/>
      <c r="R5254" s="8"/>
      <c r="S5254" s="8"/>
      <c r="U5254" s="6"/>
      <c r="V5254" s="6"/>
      <c r="W5254" s="6"/>
      <c r="X5254" s="6"/>
      <c r="Y5254" s="6"/>
      <c r="Z5254" s="6"/>
    </row>
    <row r="5255" spans="1:26" ht="31.4" customHeight="1" x14ac:dyDescent="0.35">
      <c r="N5255" s="20"/>
      <c r="P5255" s="8"/>
      <c r="Q5255" s="8"/>
      <c r="R5255" s="8"/>
      <c r="S5255" s="8"/>
      <c r="U5255" s="6"/>
      <c r="V5255" s="6"/>
      <c r="W5255" s="6"/>
      <c r="X5255" s="6"/>
      <c r="Y5255" s="6"/>
      <c r="Z5255" s="6"/>
    </row>
    <row r="5256" spans="1:26" ht="31.4" customHeight="1" x14ac:dyDescent="0.35">
      <c r="N5256" s="20"/>
      <c r="P5256" s="8"/>
      <c r="Q5256" s="8"/>
      <c r="R5256" s="8"/>
      <c r="S5256" s="8"/>
      <c r="U5256" s="6"/>
      <c r="V5256" s="6"/>
      <c r="W5256" s="6"/>
      <c r="X5256" s="6"/>
      <c r="Y5256" s="6"/>
      <c r="Z5256" s="6"/>
    </row>
    <row r="5257" spans="1:26" ht="31.4" customHeight="1" x14ac:dyDescent="0.35">
      <c r="N5257" s="20"/>
      <c r="P5257" s="8"/>
      <c r="Q5257" s="8"/>
      <c r="R5257" s="8"/>
      <c r="S5257" s="8"/>
      <c r="U5257" s="6"/>
      <c r="V5257" s="6"/>
      <c r="W5257" s="6"/>
      <c r="X5257" s="6"/>
      <c r="Y5257" s="6"/>
      <c r="Z5257" s="6"/>
    </row>
    <row r="5258" spans="1:26" ht="31.4" customHeight="1" x14ac:dyDescent="0.35">
      <c r="N5258" s="20"/>
      <c r="P5258" s="8"/>
      <c r="Q5258" s="8"/>
      <c r="R5258" s="8"/>
      <c r="S5258" s="8"/>
      <c r="U5258" s="6"/>
      <c r="V5258" s="6"/>
      <c r="W5258" s="6"/>
      <c r="X5258" s="6"/>
      <c r="Y5258" s="6"/>
      <c r="Z5258" s="6"/>
    </row>
    <row r="5259" spans="1:26" ht="31.4" customHeight="1" x14ac:dyDescent="0.35">
      <c r="N5259" s="20"/>
      <c r="P5259" s="8"/>
      <c r="Q5259" s="8"/>
      <c r="R5259" s="8"/>
      <c r="S5259" s="8"/>
      <c r="U5259" s="6"/>
      <c r="V5259" s="6"/>
      <c r="W5259" s="6"/>
      <c r="X5259" s="6"/>
      <c r="Y5259" s="6"/>
      <c r="Z5259" s="6"/>
    </row>
    <row r="5260" spans="1:26" ht="31.4" customHeight="1" x14ac:dyDescent="0.35">
      <c r="N5260" s="20"/>
      <c r="P5260" s="7"/>
      <c r="Q5260" s="8"/>
      <c r="R5260" s="8"/>
      <c r="S5260" s="18"/>
      <c r="T5260" s="18"/>
      <c r="U5260" s="6"/>
      <c r="V5260" s="6"/>
      <c r="W5260" s="6"/>
      <c r="X5260" s="6"/>
      <c r="Y5260" s="6"/>
      <c r="Z5260" s="6"/>
    </row>
    <row r="5261" spans="1:26" ht="31.4" customHeight="1" x14ac:dyDescent="0.35">
      <c r="N5261" s="20"/>
      <c r="P5261" s="7"/>
      <c r="Q5261" s="8"/>
      <c r="R5261" s="8"/>
      <c r="S5261" s="18"/>
      <c r="T5261" s="18"/>
      <c r="U5261" s="6"/>
      <c r="V5261" s="6"/>
      <c r="W5261" s="6"/>
      <c r="X5261" s="6"/>
      <c r="Y5261" s="6"/>
      <c r="Z5261" s="6"/>
    </row>
    <row r="5262" spans="1:26" ht="31.4" customHeight="1" x14ac:dyDescent="0.35">
      <c r="A5262" s="162"/>
      <c r="B5262" s="4"/>
      <c r="C5262" s="4"/>
      <c r="D5262" s="4"/>
      <c r="E5262" s="157"/>
      <c r="F5262" s="9" t="str">
        <f>IF($E5262="","",WORKDAY($E5262,1,$V$33:$V$41))</f>
        <v/>
      </c>
      <c r="G5262" s="9" t="str">
        <f>IF($E5262="","",WORKDAY($E5262,10,$V$33:$V$41))</f>
        <v/>
      </c>
      <c r="H5262" s="9" t="str">
        <f>IF($E5262="","",WORKDAY($E5262,20,$V$33:$V$41))</f>
        <v/>
      </c>
      <c r="I5262" s="157" t="str">
        <f>IF(ISBLANK(E5262),"",TEXT(E5262,"mmm"))</f>
        <v/>
      </c>
      <c r="J5262" s="17"/>
      <c r="K5262" s="157"/>
      <c r="N5262" s="9"/>
      <c r="O5262" s="9"/>
      <c r="P5262" s="10" t="str">
        <f>IF(ISBLANK(N5262),"",IF(N5262&gt;H5262,"No","Yes"))</f>
        <v/>
      </c>
      <c r="Q5262" s="9"/>
      <c r="R5262" s="4"/>
      <c r="S5262" s="18"/>
      <c r="T5262" s="18"/>
      <c r="U5262" s="6"/>
      <c r="V5262" s="6"/>
      <c r="W5262" s="6"/>
      <c r="X5262" s="6"/>
      <c r="Y5262" s="6"/>
      <c r="Z5262" s="6"/>
    </row>
    <row r="5263" spans="1:26" ht="31.4" customHeight="1" x14ac:dyDescent="0.35">
      <c r="N5263" s="20"/>
      <c r="P5263" s="8"/>
      <c r="Q5263" s="8"/>
      <c r="R5263" s="8"/>
      <c r="S5263" s="18"/>
      <c r="T5263" s="18"/>
      <c r="U5263" s="6"/>
      <c r="V5263" s="6"/>
      <c r="W5263" s="6"/>
      <c r="X5263" s="6"/>
      <c r="Y5263" s="6"/>
      <c r="Z5263" s="6"/>
    </row>
    <row r="5264" spans="1:26" ht="31.4" customHeight="1" x14ac:dyDescent="0.35">
      <c r="N5264" s="20"/>
      <c r="P5264" s="8"/>
      <c r="Q5264" s="8"/>
      <c r="R5264" s="8"/>
      <c r="S5264" s="18"/>
      <c r="T5264" s="18"/>
      <c r="U5264" s="6"/>
      <c r="V5264" s="6"/>
      <c r="W5264" s="6"/>
      <c r="X5264" s="6"/>
      <c r="Y5264" s="6"/>
      <c r="Z5264" s="6"/>
    </row>
    <row r="5265" spans="14:26" ht="31.4" customHeight="1" x14ac:dyDescent="0.35">
      <c r="N5265" s="20"/>
      <c r="P5265" s="8"/>
      <c r="Q5265" s="8"/>
      <c r="R5265" s="8"/>
      <c r="S5265" s="18"/>
      <c r="T5265" s="18"/>
      <c r="U5265" s="6"/>
      <c r="V5265" s="6"/>
      <c r="W5265" s="6"/>
      <c r="X5265" s="6"/>
      <c r="Y5265" s="6"/>
      <c r="Z5265" s="6"/>
    </row>
    <row r="5266" spans="14:26" ht="31.4" customHeight="1" x14ac:dyDescent="0.35">
      <c r="N5266" s="20"/>
      <c r="P5266" s="8"/>
      <c r="Q5266" s="8"/>
      <c r="R5266" s="8"/>
      <c r="S5266" s="18"/>
      <c r="T5266" s="18"/>
      <c r="U5266" s="6"/>
      <c r="V5266" s="6"/>
      <c r="W5266" s="6"/>
      <c r="X5266" s="6"/>
      <c r="Y5266" s="6"/>
      <c r="Z5266" s="6"/>
    </row>
    <row r="5267" spans="14:26" ht="31.4" customHeight="1" x14ac:dyDescent="0.35">
      <c r="N5267" s="20"/>
      <c r="P5267" s="8"/>
      <c r="Q5267" s="8"/>
      <c r="R5267" s="8"/>
      <c r="S5267" s="18"/>
      <c r="T5267" s="18"/>
      <c r="U5267" s="6"/>
      <c r="V5267" s="6"/>
      <c r="W5267" s="6"/>
      <c r="X5267" s="6"/>
      <c r="Y5267" s="6"/>
      <c r="Z5267" s="6"/>
    </row>
    <row r="5268" spans="14:26" ht="31.4" customHeight="1" x14ac:dyDescent="0.35">
      <c r="N5268" s="20"/>
      <c r="P5268" s="8"/>
      <c r="Q5268" s="8"/>
      <c r="R5268" s="8"/>
      <c r="S5268" s="18"/>
      <c r="T5268" s="18"/>
      <c r="U5268" s="6"/>
      <c r="V5268" s="6"/>
      <c r="W5268" s="6"/>
      <c r="X5268" s="6"/>
      <c r="Y5268" s="6"/>
      <c r="Z5268" s="6"/>
    </row>
    <row r="5269" spans="14:26" ht="31.4" customHeight="1" x14ac:dyDescent="0.35">
      <c r="N5269" s="20"/>
      <c r="P5269" s="8"/>
      <c r="Q5269" s="8"/>
      <c r="R5269" s="8"/>
      <c r="S5269" s="18"/>
      <c r="T5269" s="18"/>
      <c r="U5269" s="6"/>
      <c r="V5269" s="6"/>
      <c r="W5269" s="6"/>
      <c r="X5269" s="6"/>
      <c r="Y5269" s="6"/>
      <c r="Z5269" s="6"/>
    </row>
    <row r="5270" spans="14:26" ht="31.4" customHeight="1" x14ac:dyDescent="0.35">
      <c r="N5270" s="20"/>
      <c r="P5270" s="8"/>
      <c r="Q5270" s="8"/>
      <c r="R5270" s="8"/>
      <c r="S5270" s="18"/>
      <c r="T5270" s="18"/>
      <c r="U5270" s="6"/>
      <c r="V5270" s="6"/>
      <c r="W5270" s="6"/>
      <c r="X5270" s="6"/>
      <c r="Y5270" s="6"/>
      <c r="Z5270" s="6"/>
    </row>
    <row r="5271" spans="14:26" ht="31.4" customHeight="1" x14ac:dyDescent="0.35">
      <c r="N5271" s="20"/>
      <c r="P5271" s="8"/>
      <c r="Q5271" s="8"/>
      <c r="R5271" s="8"/>
      <c r="S5271" s="18"/>
      <c r="T5271" s="18"/>
      <c r="U5271" s="6"/>
      <c r="V5271" s="6"/>
      <c r="W5271" s="6"/>
      <c r="X5271" s="6"/>
      <c r="Y5271" s="6"/>
      <c r="Z5271" s="6"/>
    </row>
    <row r="5272" spans="14:26" ht="31.4" customHeight="1" x14ac:dyDescent="0.35">
      <c r="N5272" s="20"/>
      <c r="P5272" s="8"/>
      <c r="Q5272" s="8"/>
      <c r="R5272" s="8"/>
      <c r="S5272" s="18"/>
      <c r="T5272" s="18"/>
      <c r="U5272" s="6"/>
      <c r="V5272" s="6"/>
      <c r="W5272" s="6"/>
      <c r="X5272" s="6"/>
      <c r="Y5272" s="6"/>
      <c r="Z5272" s="6"/>
    </row>
    <row r="5273" spans="14:26" ht="31.4" customHeight="1" x14ac:dyDescent="0.35">
      <c r="N5273" s="20"/>
      <c r="P5273" s="8"/>
      <c r="Q5273" s="8"/>
      <c r="R5273" s="8"/>
      <c r="S5273" s="18"/>
      <c r="T5273" s="18"/>
      <c r="U5273" s="6"/>
      <c r="V5273" s="6"/>
      <c r="W5273" s="6"/>
      <c r="X5273" s="6"/>
      <c r="Y5273" s="6"/>
      <c r="Z5273" s="6"/>
    </row>
    <row r="5274" spans="14:26" ht="31.4" customHeight="1" x14ac:dyDescent="0.35">
      <c r="N5274" s="20"/>
      <c r="P5274" s="8"/>
      <c r="Q5274" s="8"/>
      <c r="R5274" s="8"/>
      <c r="S5274" s="18"/>
      <c r="T5274" s="18"/>
      <c r="U5274" s="6"/>
      <c r="V5274" s="6"/>
      <c r="W5274" s="6"/>
      <c r="X5274" s="6"/>
      <c r="Y5274" s="6"/>
      <c r="Z5274" s="6"/>
    </row>
    <row r="5275" spans="14:26" ht="31.4" customHeight="1" x14ac:dyDescent="0.35">
      <c r="N5275" s="20"/>
      <c r="P5275" s="8"/>
      <c r="Q5275" s="8"/>
      <c r="R5275" s="8"/>
      <c r="S5275" s="18"/>
      <c r="T5275" s="18"/>
      <c r="U5275" s="6"/>
      <c r="V5275" s="6"/>
      <c r="W5275" s="6"/>
      <c r="X5275" s="6"/>
      <c r="Y5275" s="6"/>
      <c r="Z5275" s="6"/>
    </row>
    <row r="5276" spans="14:26" ht="31.4" customHeight="1" x14ac:dyDescent="0.35">
      <c r="N5276" s="20"/>
      <c r="P5276" s="8"/>
      <c r="Q5276" s="8"/>
      <c r="R5276" s="8"/>
      <c r="S5276" s="18"/>
      <c r="T5276" s="18"/>
      <c r="U5276" s="6"/>
      <c r="V5276" s="6"/>
      <c r="W5276" s="6"/>
      <c r="X5276" s="6"/>
      <c r="Y5276" s="6"/>
      <c r="Z5276" s="6"/>
    </row>
    <row r="5277" spans="14:26" ht="31.4" customHeight="1" x14ac:dyDescent="0.35">
      <c r="N5277" s="20"/>
      <c r="P5277" s="8"/>
      <c r="Q5277" s="8"/>
      <c r="R5277" s="8"/>
      <c r="S5277" s="18"/>
      <c r="T5277" s="18"/>
      <c r="U5277" s="6"/>
      <c r="V5277" s="6"/>
      <c r="W5277" s="6"/>
      <c r="X5277" s="6"/>
      <c r="Y5277" s="6"/>
      <c r="Z5277" s="6"/>
    </row>
    <row r="5278" spans="14:26" ht="31.4" customHeight="1" x14ac:dyDescent="0.35">
      <c r="N5278" s="20"/>
      <c r="P5278" s="8"/>
      <c r="Q5278" s="8"/>
      <c r="R5278" s="8"/>
      <c r="S5278" s="18"/>
      <c r="T5278" s="18"/>
      <c r="U5278" s="6"/>
      <c r="V5278" s="6"/>
      <c r="W5278" s="6"/>
      <c r="X5278" s="6"/>
      <c r="Y5278" s="6"/>
      <c r="Z5278" s="6"/>
    </row>
    <row r="5279" spans="14:26" ht="31.4" customHeight="1" x14ac:dyDescent="0.35">
      <c r="N5279" s="20"/>
      <c r="P5279" s="8"/>
      <c r="Q5279" s="8"/>
      <c r="R5279" s="8"/>
      <c r="S5279" s="18"/>
      <c r="T5279" s="18"/>
      <c r="U5279" s="6"/>
      <c r="V5279" s="6"/>
      <c r="W5279" s="6"/>
      <c r="X5279" s="6"/>
      <c r="Y5279" s="6"/>
      <c r="Z5279" s="6"/>
    </row>
    <row r="5280" spans="14:26" ht="31.4" customHeight="1" x14ac:dyDescent="0.35">
      <c r="N5280" s="20"/>
      <c r="P5280" s="8"/>
      <c r="Q5280" s="8"/>
      <c r="R5280" s="8"/>
      <c r="S5280" s="18"/>
      <c r="T5280" s="18"/>
      <c r="U5280" s="6"/>
      <c r="V5280" s="6"/>
      <c r="W5280" s="6"/>
      <c r="X5280" s="6"/>
      <c r="Y5280" s="6"/>
      <c r="Z5280" s="6"/>
    </row>
    <row r="5281" spans="14:26" ht="31.4" customHeight="1" x14ac:dyDescent="0.35">
      <c r="N5281" s="20"/>
      <c r="P5281" s="8"/>
      <c r="Q5281" s="8"/>
      <c r="R5281" s="8"/>
      <c r="S5281" s="18"/>
      <c r="T5281" s="18"/>
      <c r="U5281" s="6"/>
      <c r="V5281" s="6"/>
      <c r="W5281" s="6"/>
      <c r="X5281" s="6"/>
      <c r="Y5281" s="6"/>
      <c r="Z5281" s="6"/>
    </row>
    <row r="5282" spans="14:26" ht="31.4" customHeight="1" x14ac:dyDescent="0.35">
      <c r="N5282" s="20"/>
      <c r="P5282" s="8"/>
      <c r="Q5282" s="8"/>
      <c r="R5282" s="8"/>
      <c r="S5282" s="18"/>
      <c r="T5282" s="18"/>
      <c r="U5282" s="6"/>
      <c r="V5282" s="6"/>
      <c r="W5282" s="6"/>
      <c r="X5282" s="6"/>
      <c r="Y5282" s="6"/>
      <c r="Z5282" s="6"/>
    </row>
    <row r="5283" spans="14:26" ht="31.4" customHeight="1" x14ac:dyDescent="0.35">
      <c r="N5283" s="20"/>
      <c r="P5283" s="8"/>
      <c r="Q5283" s="8"/>
      <c r="R5283" s="8"/>
      <c r="S5283" s="18"/>
      <c r="T5283" s="18"/>
      <c r="U5283" s="6"/>
      <c r="V5283" s="6"/>
      <c r="W5283" s="6"/>
      <c r="X5283" s="6"/>
      <c r="Y5283" s="6"/>
      <c r="Z5283" s="6"/>
    </row>
    <row r="5284" spans="14:26" ht="31.4" customHeight="1" x14ac:dyDescent="0.35">
      <c r="N5284" s="20"/>
      <c r="P5284" s="8"/>
      <c r="Q5284" s="8"/>
      <c r="R5284" s="8"/>
      <c r="S5284" s="18"/>
      <c r="T5284" s="18"/>
      <c r="U5284" s="6"/>
      <c r="V5284" s="6"/>
      <c r="W5284" s="6"/>
      <c r="X5284" s="6"/>
      <c r="Y5284" s="6"/>
      <c r="Z5284" s="6"/>
    </row>
    <row r="5285" spans="14:26" ht="31.4" customHeight="1" x14ac:dyDescent="0.35">
      <c r="N5285" s="20"/>
      <c r="P5285" s="8"/>
      <c r="Q5285" s="8"/>
      <c r="R5285" s="8"/>
      <c r="S5285" s="18"/>
      <c r="T5285" s="18"/>
      <c r="U5285" s="6"/>
      <c r="V5285" s="6"/>
      <c r="W5285" s="6"/>
      <c r="X5285" s="6"/>
      <c r="Y5285" s="6"/>
      <c r="Z5285" s="6"/>
    </row>
    <row r="5286" spans="14:26" ht="31.4" customHeight="1" x14ac:dyDescent="0.35">
      <c r="N5286" s="20"/>
      <c r="P5286" s="8"/>
      <c r="Q5286" s="8"/>
      <c r="R5286" s="8"/>
      <c r="S5286" s="18"/>
      <c r="T5286" s="18"/>
      <c r="U5286" s="6"/>
      <c r="V5286" s="6"/>
      <c r="W5286" s="6"/>
      <c r="X5286" s="6"/>
      <c r="Y5286" s="6"/>
      <c r="Z5286" s="6"/>
    </row>
    <row r="5287" spans="14:26" ht="31.4" customHeight="1" x14ac:dyDescent="0.35">
      <c r="N5287" s="20"/>
      <c r="P5287" s="8"/>
      <c r="Q5287" s="8"/>
      <c r="R5287" s="8"/>
      <c r="S5287" s="18"/>
      <c r="T5287" s="18"/>
      <c r="U5287" s="6"/>
      <c r="V5287" s="6"/>
      <c r="W5287" s="6"/>
      <c r="X5287" s="6"/>
      <c r="Y5287" s="6"/>
      <c r="Z5287" s="6"/>
    </row>
    <row r="5288" spans="14:26" ht="31.4" customHeight="1" x14ac:dyDescent="0.35">
      <c r="N5288" s="20"/>
      <c r="P5288" s="8"/>
      <c r="Q5288" s="8"/>
      <c r="R5288" s="8"/>
      <c r="S5288" s="18"/>
      <c r="T5288" s="18"/>
      <c r="U5288" s="6"/>
      <c r="V5288" s="6"/>
      <c r="W5288" s="6"/>
      <c r="X5288" s="6"/>
      <c r="Y5288" s="6"/>
      <c r="Z5288" s="6"/>
    </row>
    <row r="5289" spans="14:26" ht="31.4" customHeight="1" x14ac:dyDescent="0.35">
      <c r="N5289" s="20"/>
      <c r="P5289" s="8"/>
      <c r="Q5289" s="8"/>
      <c r="R5289" s="8"/>
      <c r="S5289" s="18"/>
      <c r="T5289" s="18"/>
      <c r="U5289" s="6"/>
      <c r="V5289" s="6"/>
      <c r="W5289" s="6"/>
      <c r="X5289" s="6"/>
      <c r="Y5289" s="6"/>
      <c r="Z5289" s="6"/>
    </row>
    <row r="5290" spans="14:26" ht="31.4" customHeight="1" x14ac:dyDescent="0.35">
      <c r="N5290" s="20"/>
      <c r="P5290" s="8"/>
      <c r="Q5290" s="8"/>
      <c r="R5290" s="8"/>
      <c r="S5290" s="18"/>
      <c r="T5290" s="18"/>
      <c r="U5290" s="6"/>
      <c r="V5290" s="6"/>
      <c r="W5290" s="6"/>
      <c r="X5290" s="6"/>
      <c r="Y5290" s="6"/>
      <c r="Z5290" s="6"/>
    </row>
    <row r="5291" spans="14:26" ht="31.4" customHeight="1" x14ac:dyDescent="0.35">
      <c r="N5291" s="20"/>
      <c r="P5291" s="8"/>
      <c r="Q5291" s="8"/>
      <c r="R5291" s="8"/>
      <c r="S5291" s="18"/>
      <c r="T5291" s="18"/>
      <c r="U5291" s="6"/>
      <c r="V5291" s="6"/>
      <c r="W5291" s="6"/>
      <c r="X5291" s="6"/>
      <c r="Y5291" s="6"/>
      <c r="Z5291" s="6"/>
    </row>
    <row r="5292" spans="14:26" ht="31.4" customHeight="1" x14ac:dyDescent="0.35">
      <c r="N5292" s="20"/>
      <c r="P5292" s="8"/>
      <c r="Q5292" s="8"/>
      <c r="R5292" s="8"/>
      <c r="S5292" s="18"/>
      <c r="T5292" s="18"/>
      <c r="U5292" s="6"/>
      <c r="V5292" s="6"/>
      <c r="W5292" s="6"/>
      <c r="X5292" s="6"/>
      <c r="Y5292" s="6"/>
      <c r="Z5292" s="6"/>
    </row>
    <row r="5293" spans="14:26" ht="31.4" customHeight="1" x14ac:dyDescent="0.35">
      <c r="N5293" s="20"/>
      <c r="P5293" s="8"/>
      <c r="Q5293" s="8"/>
      <c r="R5293" s="8"/>
      <c r="S5293" s="18"/>
      <c r="T5293" s="18"/>
      <c r="U5293" s="6"/>
      <c r="V5293" s="6"/>
      <c r="W5293" s="6"/>
      <c r="X5293" s="6"/>
      <c r="Y5293" s="6"/>
      <c r="Z5293" s="6"/>
    </row>
    <row r="5294" spans="14:26" ht="31.4" customHeight="1" x14ac:dyDescent="0.35">
      <c r="N5294" s="20"/>
      <c r="P5294" s="8"/>
      <c r="Q5294" s="8"/>
      <c r="R5294" s="8"/>
      <c r="S5294" s="18"/>
      <c r="T5294" s="18"/>
      <c r="U5294" s="6"/>
      <c r="V5294" s="6"/>
      <c r="W5294" s="6"/>
      <c r="X5294" s="6"/>
      <c r="Y5294" s="6"/>
      <c r="Z5294" s="6"/>
    </row>
    <row r="5295" spans="14:26" ht="31.4" customHeight="1" x14ac:dyDescent="0.35">
      <c r="N5295" s="20"/>
      <c r="P5295" s="8"/>
      <c r="Q5295" s="8"/>
      <c r="R5295" s="8"/>
      <c r="S5295" s="18"/>
      <c r="T5295" s="18"/>
      <c r="U5295" s="6"/>
      <c r="V5295" s="6"/>
      <c r="W5295" s="6"/>
      <c r="X5295" s="6"/>
      <c r="Y5295" s="6"/>
      <c r="Z5295" s="6"/>
    </row>
    <row r="5296" spans="14:26" ht="31.4" customHeight="1" x14ac:dyDescent="0.35">
      <c r="N5296" s="20"/>
      <c r="P5296" s="8"/>
      <c r="Q5296" s="8"/>
      <c r="R5296" s="8"/>
      <c r="S5296" s="18"/>
      <c r="T5296" s="18"/>
      <c r="U5296" s="6"/>
      <c r="V5296" s="6"/>
      <c r="W5296" s="6"/>
      <c r="X5296" s="6"/>
      <c r="Y5296" s="6"/>
      <c r="Z5296" s="6"/>
    </row>
    <row r="5297" spans="14:26" ht="31.4" customHeight="1" x14ac:dyDescent="0.35">
      <c r="N5297" s="20"/>
      <c r="P5297" s="8"/>
      <c r="Q5297" s="8"/>
      <c r="R5297" s="8"/>
      <c r="S5297" s="18"/>
      <c r="T5297" s="18"/>
      <c r="U5297" s="6"/>
      <c r="V5297" s="6"/>
      <c r="W5297" s="6"/>
      <c r="X5297" s="6"/>
      <c r="Y5297" s="6"/>
      <c r="Z5297" s="6"/>
    </row>
    <row r="5298" spans="14:26" ht="31.4" customHeight="1" x14ac:dyDescent="0.35">
      <c r="N5298" s="20"/>
      <c r="P5298" s="8"/>
      <c r="Q5298" s="8"/>
      <c r="R5298" s="8"/>
      <c r="S5298" s="18"/>
      <c r="T5298" s="18"/>
      <c r="U5298" s="6"/>
      <c r="V5298" s="6"/>
      <c r="W5298" s="6"/>
      <c r="X5298" s="6"/>
      <c r="Y5298" s="6"/>
      <c r="Z5298" s="6"/>
    </row>
    <row r="5299" spans="14:26" ht="31.4" customHeight="1" x14ac:dyDescent="0.35">
      <c r="N5299" s="20"/>
      <c r="P5299" s="8"/>
      <c r="Q5299" s="8"/>
      <c r="R5299" s="8"/>
      <c r="S5299" s="18"/>
      <c r="T5299" s="18"/>
      <c r="U5299" s="6"/>
      <c r="V5299" s="6"/>
      <c r="W5299" s="6"/>
      <c r="X5299" s="6"/>
      <c r="Y5299" s="6"/>
      <c r="Z5299" s="6"/>
    </row>
    <row r="5300" spans="14:26" ht="31.4" customHeight="1" x14ac:dyDescent="0.35">
      <c r="N5300" s="20"/>
      <c r="P5300" s="8"/>
      <c r="Q5300" s="8"/>
      <c r="R5300" s="8"/>
      <c r="S5300" s="18"/>
      <c r="T5300" s="18"/>
      <c r="U5300" s="6"/>
      <c r="V5300" s="6"/>
      <c r="W5300" s="6"/>
      <c r="X5300" s="6"/>
      <c r="Y5300" s="6"/>
      <c r="Z5300" s="6"/>
    </row>
    <row r="5301" spans="14:26" ht="31.4" customHeight="1" x14ac:dyDescent="0.35">
      <c r="N5301" s="20"/>
      <c r="P5301" s="8"/>
      <c r="Q5301" s="8"/>
      <c r="R5301" s="8"/>
      <c r="S5301" s="18"/>
      <c r="T5301" s="18"/>
      <c r="U5301" s="6"/>
      <c r="V5301" s="6"/>
      <c r="W5301" s="6"/>
      <c r="X5301" s="6"/>
      <c r="Y5301" s="6"/>
      <c r="Z5301" s="6"/>
    </row>
    <row r="5302" spans="14:26" ht="31.4" customHeight="1" x14ac:dyDescent="0.35">
      <c r="N5302" s="20"/>
      <c r="P5302" s="8"/>
      <c r="Q5302" s="8"/>
      <c r="R5302" s="8"/>
      <c r="S5302" s="18"/>
      <c r="T5302" s="18"/>
      <c r="U5302" s="6"/>
      <c r="V5302" s="6"/>
      <c r="W5302" s="6"/>
      <c r="X5302" s="6"/>
      <c r="Y5302" s="6"/>
      <c r="Z5302" s="6"/>
    </row>
    <row r="5303" spans="14:26" ht="31.4" customHeight="1" x14ac:dyDescent="0.35">
      <c r="N5303" s="20"/>
      <c r="P5303" s="8"/>
      <c r="Q5303" s="8"/>
      <c r="R5303" s="8"/>
      <c r="S5303" s="18"/>
      <c r="T5303" s="18"/>
      <c r="U5303" s="6"/>
      <c r="V5303" s="6"/>
      <c r="W5303" s="6"/>
      <c r="X5303" s="6"/>
      <c r="Y5303" s="6"/>
      <c r="Z5303" s="6"/>
    </row>
    <row r="5304" spans="14:26" ht="31.4" customHeight="1" x14ac:dyDescent="0.35">
      <c r="N5304" s="20"/>
      <c r="P5304" s="8"/>
      <c r="Q5304" s="8"/>
      <c r="R5304" s="8"/>
      <c r="S5304" s="18"/>
      <c r="T5304" s="18"/>
      <c r="U5304" s="6"/>
      <c r="V5304" s="6"/>
      <c r="W5304" s="6"/>
      <c r="X5304" s="6"/>
      <c r="Y5304" s="6"/>
      <c r="Z5304" s="6"/>
    </row>
    <row r="5305" spans="14:26" ht="31.4" customHeight="1" x14ac:dyDescent="0.35">
      <c r="N5305" s="20"/>
      <c r="P5305" s="8"/>
      <c r="Q5305" s="8"/>
      <c r="R5305" s="8"/>
      <c r="S5305" s="18"/>
      <c r="T5305" s="18"/>
      <c r="U5305" s="6"/>
      <c r="V5305" s="6"/>
      <c r="W5305" s="6"/>
      <c r="X5305" s="6"/>
      <c r="Y5305" s="6"/>
      <c r="Z5305" s="6"/>
    </row>
    <row r="5306" spans="14:26" ht="31.4" customHeight="1" x14ac:dyDescent="0.35">
      <c r="N5306" s="20"/>
      <c r="P5306" s="8"/>
      <c r="Q5306" s="8"/>
      <c r="R5306" s="8"/>
      <c r="S5306" s="18"/>
      <c r="T5306" s="18"/>
      <c r="U5306" s="6"/>
      <c r="V5306" s="6"/>
      <c r="W5306" s="6"/>
      <c r="X5306" s="6"/>
      <c r="Y5306" s="6"/>
      <c r="Z5306" s="6"/>
    </row>
    <row r="5307" spans="14:26" ht="31.4" customHeight="1" x14ac:dyDescent="0.35">
      <c r="N5307" s="20"/>
      <c r="P5307" s="8"/>
      <c r="Q5307" s="8"/>
      <c r="R5307" s="8"/>
      <c r="S5307" s="18"/>
      <c r="T5307" s="18"/>
      <c r="U5307" s="6"/>
      <c r="V5307" s="6"/>
      <c r="W5307" s="6"/>
      <c r="X5307" s="6"/>
      <c r="Y5307" s="6"/>
      <c r="Z5307" s="6"/>
    </row>
    <row r="5308" spans="14:26" ht="31.4" customHeight="1" x14ac:dyDescent="0.35">
      <c r="N5308" s="20"/>
      <c r="P5308" s="8"/>
      <c r="Q5308" s="8"/>
      <c r="R5308" s="8"/>
      <c r="S5308" s="18"/>
      <c r="T5308" s="18"/>
      <c r="U5308" s="6"/>
      <c r="V5308" s="6"/>
      <c r="W5308" s="6"/>
      <c r="X5308" s="6"/>
      <c r="Y5308" s="6"/>
      <c r="Z5308" s="6"/>
    </row>
    <row r="5309" spans="14:26" ht="31.4" customHeight="1" x14ac:dyDescent="0.35">
      <c r="N5309" s="20"/>
      <c r="P5309" s="8"/>
      <c r="Q5309" s="8"/>
      <c r="R5309" s="8"/>
      <c r="S5309" s="18"/>
      <c r="T5309" s="18"/>
      <c r="U5309" s="6"/>
      <c r="V5309" s="6"/>
      <c r="W5309" s="6"/>
      <c r="X5309" s="6"/>
      <c r="Y5309" s="6"/>
      <c r="Z5309" s="6"/>
    </row>
    <row r="5310" spans="14:26" ht="31.4" customHeight="1" x14ac:dyDescent="0.35">
      <c r="N5310" s="20"/>
      <c r="P5310" s="8"/>
      <c r="Q5310" s="8"/>
      <c r="R5310" s="8"/>
      <c r="S5310" s="18"/>
      <c r="T5310" s="18"/>
      <c r="U5310" s="6"/>
      <c r="V5310" s="6"/>
      <c r="W5310" s="6"/>
      <c r="X5310" s="6"/>
      <c r="Y5310" s="6"/>
      <c r="Z5310" s="6"/>
    </row>
    <row r="5311" spans="14:26" ht="31.4" customHeight="1" x14ac:dyDescent="0.35">
      <c r="N5311" s="20"/>
      <c r="P5311" s="8"/>
      <c r="Q5311" s="8"/>
      <c r="R5311" s="8"/>
      <c r="S5311" s="18"/>
      <c r="T5311" s="18"/>
      <c r="U5311" s="6"/>
      <c r="V5311" s="6"/>
      <c r="W5311" s="6"/>
      <c r="X5311" s="6"/>
      <c r="Y5311" s="6"/>
      <c r="Z5311" s="6"/>
    </row>
    <row r="5312" spans="14:26" ht="31.4" customHeight="1" x14ac:dyDescent="0.35">
      <c r="N5312" s="20"/>
      <c r="P5312" s="8"/>
      <c r="Q5312" s="8"/>
      <c r="R5312" s="8"/>
      <c r="S5312" s="18"/>
      <c r="T5312" s="18"/>
      <c r="U5312" s="6"/>
      <c r="V5312" s="6"/>
      <c r="W5312" s="6"/>
      <c r="X5312" s="6"/>
      <c r="Y5312" s="6"/>
      <c r="Z5312" s="6"/>
    </row>
    <row r="5313" spans="14:26" ht="31.4" customHeight="1" x14ac:dyDescent="0.35">
      <c r="N5313" s="20"/>
      <c r="P5313" s="8"/>
      <c r="Q5313" s="8"/>
      <c r="R5313" s="8"/>
      <c r="S5313" s="18"/>
      <c r="T5313" s="18"/>
      <c r="U5313" s="6"/>
      <c r="V5313" s="6"/>
      <c r="W5313" s="6"/>
      <c r="X5313" s="6"/>
      <c r="Y5313" s="6"/>
      <c r="Z5313" s="6"/>
    </row>
    <row r="5314" spans="14:26" ht="31.4" customHeight="1" x14ac:dyDescent="0.35">
      <c r="N5314" s="20"/>
      <c r="P5314" s="8"/>
      <c r="Q5314" s="8"/>
      <c r="R5314" s="8"/>
      <c r="S5314" s="18"/>
      <c r="T5314" s="18"/>
      <c r="U5314" s="6"/>
      <c r="V5314" s="6"/>
      <c r="W5314" s="6"/>
      <c r="X5314" s="6"/>
      <c r="Y5314" s="6"/>
      <c r="Z5314" s="6"/>
    </row>
    <row r="5315" spans="14:26" ht="31.4" customHeight="1" x14ac:dyDescent="0.35">
      <c r="N5315" s="20"/>
      <c r="P5315" s="8"/>
      <c r="Q5315" s="8"/>
      <c r="R5315" s="8"/>
      <c r="S5315" s="18"/>
      <c r="T5315" s="18"/>
      <c r="U5315" s="6"/>
      <c r="V5315" s="6"/>
      <c r="W5315" s="6"/>
      <c r="X5315" s="6"/>
      <c r="Y5315" s="6"/>
      <c r="Z5315" s="6"/>
    </row>
    <row r="5316" spans="14:26" ht="31.4" customHeight="1" x14ac:dyDescent="0.35">
      <c r="N5316" s="20"/>
      <c r="P5316" s="8"/>
      <c r="Q5316" s="8"/>
      <c r="R5316" s="8"/>
      <c r="S5316" s="18"/>
      <c r="T5316" s="18"/>
      <c r="U5316" s="6"/>
      <c r="V5316" s="6"/>
      <c r="W5316" s="6"/>
      <c r="X5316" s="6"/>
      <c r="Y5316" s="6"/>
      <c r="Z5316" s="6"/>
    </row>
    <row r="5317" spans="14:26" ht="31.4" customHeight="1" x14ac:dyDescent="0.35">
      <c r="N5317" s="20"/>
      <c r="P5317" s="8"/>
      <c r="Q5317" s="8"/>
      <c r="R5317" s="8"/>
      <c r="S5317" s="18"/>
      <c r="T5317" s="18"/>
      <c r="U5317" s="6"/>
      <c r="V5317" s="6"/>
      <c r="W5317" s="6"/>
      <c r="X5317" s="6"/>
      <c r="Y5317" s="6"/>
      <c r="Z5317" s="6"/>
    </row>
    <row r="5318" spans="14:26" ht="31.4" customHeight="1" x14ac:dyDescent="0.35">
      <c r="N5318" s="20"/>
      <c r="P5318" s="8"/>
      <c r="Q5318" s="8"/>
      <c r="R5318" s="8"/>
      <c r="S5318" s="18"/>
      <c r="T5318" s="18"/>
      <c r="U5318" s="6"/>
      <c r="V5318" s="6"/>
      <c r="W5318" s="6"/>
      <c r="X5318" s="6"/>
      <c r="Y5318" s="6"/>
      <c r="Z5318" s="6"/>
    </row>
    <row r="5319" spans="14:26" ht="31.4" customHeight="1" x14ac:dyDescent="0.35">
      <c r="N5319" s="20"/>
      <c r="P5319" s="8"/>
      <c r="Q5319" s="8"/>
      <c r="R5319" s="8"/>
      <c r="S5319" s="18"/>
      <c r="T5319" s="18"/>
      <c r="U5319" s="6"/>
      <c r="V5319" s="6"/>
      <c r="W5319" s="6"/>
      <c r="X5319" s="6"/>
      <c r="Y5319" s="6"/>
      <c r="Z5319" s="6"/>
    </row>
    <row r="5320" spans="14:26" ht="31.4" customHeight="1" x14ac:dyDescent="0.35">
      <c r="N5320" s="20"/>
      <c r="P5320" s="8"/>
      <c r="Q5320" s="8"/>
      <c r="R5320" s="8"/>
      <c r="S5320" s="18"/>
      <c r="T5320" s="18"/>
      <c r="U5320" s="6"/>
      <c r="V5320" s="6"/>
      <c r="W5320" s="6"/>
      <c r="X5320" s="6"/>
      <c r="Y5320" s="6"/>
      <c r="Z5320" s="6"/>
    </row>
    <row r="5321" spans="14:26" ht="31.4" customHeight="1" x14ac:dyDescent="0.35">
      <c r="N5321" s="20"/>
      <c r="P5321" s="8"/>
      <c r="Q5321" s="8"/>
      <c r="R5321" s="8"/>
      <c r="S5321" s="18"/>
      <c r="T5321" s="18"/>
      <c r="U5321" s="6"/>
      <c r="V5321" s="6"/>
      <c r="W5321" s="6"/>
      <c r="X5321" s="6"/>
      <c r="Y5321" s="6"/>
      <c r="Z5321" s="6"/>
    </row>
    <row r="5322" spans="14:26" ht="31.4" customHeight="1" x14ac:dyDescent="0.35">
      <c r="N5322" s="20"/>
      <c r="P5322" s="8"/>
      <c r="Q5322" s="8"/>
      <c r="R5322" s="8"/>
      <c r="S5322" s="18"/>
      <c r="T5322" s="18"/>
      <c r="U5322" s="6"/>
      <c r="V5322" s="6"/>
      <c r="W5322" s="6"/>
      <c r="X5322" s="6"/>
      <c r="Y5322" s="6"/>
      <c r="Z5322" s="6"/>
    </row>
    <row r="5323" spans="14:26" ht="31.4" customHeight="1" x14ac:dyDescent="0.35">
      <c r="N5323" s="20"/>
      <c r="P5323" s="8"/>
      <c r="Q5323" s="8"/>
      <c r="R5323" s="8"/>
      <c r="S5323" s="18"/>
      <c r="T5323" s="18"/>
      <c r="U5323" s="6"/>
      <c r="V5323" s="6"/>
      <c r="W5323" s="6"/>
      <c r="X5323" s="6"/>
      <c r="Y5323" s="6"/>
      <c r="Z5323" s="6"/>
    </row>
    <row r="5324" spans="14:26" ht="31.4" customHeight="1" x14ac:dyDescent="0.35">
      <c r="N5324" s="20"/>
      <c r="P5324" s="8"/>
      <c r="Q5324" s="8"/>
      <c r="R5324" s="8"/>
      <c r="S5324" s="18"/>
      <c r="T5324" s="18"/>
      <c r="U5324" s="6"/>
      <c r="V5324" s="6"/>
      <c r="W5324" s="6"/>
      <c r="X5324" s="6"/>
      <c r="Y5324" s="6"/>
      <c r="Z5324" s="6"/>
    </row>
    <row r="5325" spans="14:26" ht="31.4" customHeight="1" x14ac:dyDescent="0.35">
      <c r="N5325" s="20"/>
      <c r="P5325" s="8"/>
      <c r="Q5325" s="8"/>
      <c r="R5325" s="8"/>
      <c r="S5325" s="18"/>
      <c r="T5325" s="18"/>
      <c r="U5325" s="6"/>
      <c r="V5325" s="6"/>
      <c r="W5325" s="6"/>
      <c r="X5325" s="6"/>
      <c r="Y5325" s="6"/>
      <c r="Z5325" s="6"/>
    </row>
    <row r="5326" spans="14:26" ht="31.4" customHeight="1" x14ac:dyDescent="0.35">
      <c r="N5326" s="20"/>
      <c r="P5326" s="8"/>
      <c r="Q5326" s="8"/>
      <c r="R5326" s="8"/>
      <c r="S5326" s="18"/>
      <c r="T5326" s="18"/>
      <c r="U5326" s="6"/>
      <c r="V5326" s="6"/>
      <c r="W5326" s="6"/>
      <c r="X5326" s="6"/>
      <c r="Y5326" s="6"/>
      <c r="Z5326" s="6"/>
    </row>
    <row r="5327" spans="14:26" ht="31.4" customHeight="1" x14ac:dyDescent="0.35">
      <c r="N5327" s="20"/>
      <c r="P5327" s="8"/>
      <c r="Q5327" s="8"/>
      <c r="R5327" s="8"/>
      <c r="S5327" s="18"/>
      <c r="T5327" s="18"/>
      <c r="U5327" s="6"/>
      <c r="V5327" s="6"/>
      <c r="W5327" s="6"/>
      <c r="X5327" s="6"/>
      <c r="Y5327" s="6"/>
      <c r="Z5327" s="6"/>
    </row>
    <row r="5328" spans="14:26" ht="31.4" customHeight="1" x14ac:dyDescent="0.35">
      <c r="N5328" s="20"/>
      <c r="P5328" s="8"/>
      <c r="Q5328" s="8"/>
      <c r="R5328" s="8"/>
      <c r="S5328" s="18"/>
      <c r="T5328" s="18"/>
      <c r="U5328" s="6"/>
      <c r="V5328" s="6"/>
      <c r="W5328" s="6"/>
      <c r="X5328" s="6"/>
      <c r="Y5328" s="6"/>
      <c r="Z5328" s="6"/>
    </row>
    <row r="5329" spans="14:26" ht="31.4" customHeight="1" x14ac:dyDescent="0.35">
      <c r="N5329" s="20"/>
      <c r="P5329" s="8"/>
      <c r="Q5329" s="8"/>
      <c r="R5329" s="8"/>
      <c r="S5329" s="18"/>
      <c r="T5329" s="18"/>
      <c r="U5329" s="6"/>
      <c r="V5329" s="6"/>
      <c r="W5329" s="6"/>
      <c r="X5329" s="6"/>
      <c r="Y5329" s="6"/>
      <c r="Z5329" s="6"/>
    </row>
    <row r="5330" spans="14:26" ht="31.4" customHeight="1" x14ac:dyDescent="0.35">
      <c r="N5330" s="20"/>
      <c r="P5330" s="8"/>
      <c r="Q5330" s="8"/>
      <c r="R5330" s="8"/>
      <c r="S5330" s="18"/>
      <c r="T5330" s="18"/>
      <c r="U5330" s="6"/>
      <c r="V5330" s="6"/>
      <c r="W5330" s="6"/>
      <c r="X5330" s="6"/>
      <c r="Y5330" s="6"/>
      <c r="Z5330" s="6"/>
    </row>
    <row r="5331" spans="14:26" ht="31.4" customHeight="1" x14ac:dyDescent="0.35">
      <c r="N5331" s="20"/>
      <c r="P5331" s="8"/>
      <c r="Q5331" s="8"/>
      <c r="R5331" s="8"/>
      <c r="S5331" s="18"/>
      <c r="T5331" s="18"/>
      <c r="U5331" s="6"/>
      <c r="V5331" s="6"/>
      <c r="W5331" s="6"/>
      <c r="X5331" s="6"/>
      <c r="Y5331" s="6"/>
      <c r="Z5331" s="6"/>
    </row>
    <row r="5332" spans="14:26" ht="31.4" customHeight="1" x14ac:dyDescent="0.35">
      <c r="N5332" s="20"/>
      <c r="P5332" s="8"/>
      <c r="Q5332" s="8"/>
      <c r="R5332" s="8"/>
      <c r="S5332" s="18"/>
      <c r="T5332" s="18"/>
      <c r="U5332" s="6"/>
      <c r="V5332" s="6"/>
      <c r="W5332" s="6"/>
      <c r="X5332" s="6"/>
      <c r="Y5332" s="6"/>
      <c r="Z5332" s="6"/>
    </row>
    <row r="5333" spans="14:26" ht="31.4" customHeight="1" x14ac:dyDescent="0.35">
      <c r="N5333" s="20"/>
      <c r="P5333" s="8"/>
      <c r="Q5333" s="8"/>
      <c r="R5333" s="8"/>
      <c r="S5333" s="18"/>
      <c r="T5333" s="18"/>
      <c r="U5333" s="6"/>
      <c r="V5333" s="6"/>
      <c r="W5333" s="6"/>
      <c r="X5333" s="6"/>
      <c r="Y5333" s="6"/>
      <c r="Z5333" s="6"/>
    </row>
    <row r="5334" spans="14:26" ht="31.4" customHeight="1" x14ac:dyDescent="0.35">
      <c r="N5334" s="20"/>
      <c r="P5334" s="8"/>
      <c r="Q5334" s="8"/>
      <c r="R5334" s="8"/>
      <c r="S5334" s="18"/>
      <c r="T5334" s="18"/>
      <c r="U5334" s="6"/>
      <c r="V5334" s="6"/>
      <c r="W5334" s="6"/>
      <c r="X5334" s="6"/>
      <c r="Y5334" s="6"/>
      <c r="Z5334" s="6"/>
    </row>
    <row r="5335" spans="14:26" ht="31.4" customHeight="1" x14ac:dyDescent="0.35">
      <c r="N5335" s="20"/>
      <c r="P5335" s="8"/>
      <c r="Q5335" s="8"/>
      <c r="R5335" s="8"/>
      <c r="S5335" s="18"/>
      <c r="T5335" s="18"/>
      <c r="U5335" s="6"/>
      <c r="V5335" s="6"/>
      <c r="W5335" s="6"/>
      <c r="X5335" s="6"/>
      <c r="Y5335" s="6"/>
      <c r="Z5335" s="6"/>
    </row>
    <row r="5336" spans="14:26" ht="31.4" customHeight="1" x14ac:dyDescent="0.35">
      <c r="N5336" s="20"/>
      <c r="P5336" s="8"/>
      <c r="Q5336" s="8"/>
      <c r="R5336" s="8"/>
      <c r="S5336" s="18"/>
      <c r="T5336" s="18"/>
      <c r="U5336" s="6"/>
      <c r="V5336" s="6"/>
      <c r="W5336" s="6"/>
      <c r="X5336" s="6"/>
      <c r="Y5336" s="6"/>
      <c r="Z5336" s="6"/>
    </row>
    <row r="5337" spans="14:26" ht="31.4" customHeight="1" x14ac:dyDescent="0.35">
      <c r="N5337" s="20"/>
      <c r="P5337" s="8"/>
      <c r="Q5337" s="8"/>
      <c r="R5337" s="8"/>
      <c r="S5337" s="18"/>
      <c r="T5337" s="18"/>
      <c r="U5337" s="6"/>
      <c r="V5337" s="6"/>
      <c r="W5337" s="6"/>
      <c r="X5337" s="6"/>
      <c r="Y5337" s="6"/>
      <c r="Z5337" s="6"/>
    </row>
    <row r="5338" spans="14:26" ht="31.4" customHeight="1" x14ac:dyDescent="0.35">
      <c r="N5338" s="20"/>
      <c r="P5338" s="8"/>
      <c r="Q5338" s="8"/>
      <c r="R5338" s="8"/>
      <c r="S5338" s="18"/>
      <c r="T5338" s="18"/>
      <c r="U5338" s="6"/>
      <c r="V5338" s="6"/>
      <c r="W5338" s="6"/>
      <c r="X5338" s="6"/>
      <c r="Y5338" s="6"/>
      <c r="Z5338" s="6"/>
    </row>
    <row r="5339" spans="14:26" ht="31.4" customHeight="1" x14ac:dyDescent="0.35">
      <c r="N5339" s="20"/>
      <c r="P5339" s="8"/>
      <c r="Q5339" s="8"/>
      <c r="R5339" s="8"/>
      <c r="S5339" s="18"/>
      <c r="T5339" s="18"/>
      <c r="U5339" s="6"/>
      <c r="V5339" s="6"/>
      <c r="W5339" s="6"/>
      <c r="X5339" s="6"/>
      <c r="Y5339" s="6"/>
      <c r="Z5339" s="6"/>
    </row>
    <row r="5340" spans="14:26" ht="31.4" customHeight="1" x14ac:dyDescent="0.35">
      <c r="N5340" s="20"/>
      <c r="P5340" s="8"/>
      <c r="Q5340" s="8"/>
      <c r="R5340" s="8"/>
      <c r="S5340" s="18"/>
      <c r="T5340" s="18"/>
      <c r="U5340" s="6"/>
      <c r="V5340" s="6"/>
      <c r="W5340" s="6"/>
      <c r="X5340" s="6"/>
      <c r="Y5340" s="6"/>
      <c r="Z5340" s="6"/>
    </row>
    <row r="5341" spans="14:26" ht="31.4" customHeight="1" x14ac:dyDescent="0.35">
      <c r="N5341" s="20"/>
      <c r="P5341" s="8"/>
      <c r="Q5341" s="8"/>
      <c r="R5341" s="8"/>
      <c r="S5341" s="18"/>
      <c r="T5341" s="18"/>
      <c r="U5341" s="6"/>
      <c r="V5341" s="6"/>
      <c r="W5341" s="6"/>
      <c r="X5341" s="6"/>
      <c r="Y5341" s="6"/>
      <c r="Z5341" s="6"/>
    </row>
    <row r="5342" spans="14:26" ht="31.4" customHeight="1" x14ac:dyDescent="0.35">
      <c r="N5342" s="20"/>
      <c r="P5342" s="8"/>
      <c r="Q5342" s="8"/>
      <c r="R5342" s="8"/>
      <c r="S5342" s="18"/>
      <c r="T5342" s="18"/>
      <c r="U5342" s="6"/>
      <c r="V5342" s="6"/>
      <c r="W5342" s="6"/>
      <c r="X5342" s="6"/>
      <c r="Y5342" s="6"/>
      <c r="Z5342" s="6"/>
    </row>
    <row r="5343" spans="14:26" ht="31.4" customHeight="1" x14ac:dyDescent="0.35">
      <c r="N5343" s="20"/>
      <c r="P5343" s="8"/>
      <c r="Q5343" s="8"/>
      <c r="R5343" s="8"/>
      <c r="S5343" s="18"/>
      <c r="T5343" s="18"/>
      <c r="U5343" s="6"/>
      <c r="V5343" s="6"/>
      <c r="W5343" s="6"/>
      <c r="X5343" s="6"/>
      <c r="Y5343" s="6"/>
      <c r="Z5343" s="6"/>
    </row>
    <row r="5344" spans="14:26" ht="31.4" customHeight="1" x14ac:dyDescent="0.35">
      <c r="N5344" s="20"/>
      <c r="P5344" s="8"/>
      <c r="Q5344" s="8"/>
      <c r="R5344" s="8"/>
      <c r="S5344" s="18"/>
      <c r="T5344" s="18"/>
      <c r="U5344" s="6"/>
      <c r="V5344" s="6"/>
      <c r="W5344" s="6"/>
      <c r="X5344" s="6"/>
      <c r="Y5344" s="6"/>
      <c r="Z5344" s="6"/>
    </row>
    <row r="5345" spans="14:26" ht="31.4" customHeight="1" x14ac:dyDescent="0.35">
      <c r="N5345" s="20"/>
      <c r="P5345" s="8"/>
      <c r="Q5345" s="8"/>
      <c r="R5345" s="8"/>
      <c r="S5345" s="18"/>
      <c r="T5345" s="18"/>
      <c r="U5345" s="6"/>
      <c r="V5345" s="6"/>
      <c r="W5345" s="6"/>
      <c r="X5345" s="6"/>
      <c r="Y5345" s="6"/>
      <c r="Z5345" s="6"/>
    </row>
    <row r="5346" spans="14:26" ht="31.4" customHeight="1" x14ac:dyDescent="0.35">
      <c r="N5346" s="20"/>
      <c r="P5346" s="8"/>
      <c r="Q5346" s="8"/>
      <c r="R5346" s="8"/>
      <c r="S5346" s="18"/>
      <c r="T5346" s="18"/>
      <c r="U5346" s="6"/>
      <c r="V5346" s="6"/>
      <c r="W5346" s="6"/>
      <c r="X5346" s="6"/>
      <c r="Y5346" s="6"/>
      <c r="Z5346" s="6"/>
    </row>
    <row r="5347" spans="14:26" ht="31.4" customHeight="1" x14ac:dyDescent="0.35">
      <c r="N5347" s="20"/>
      <c r="P5347" s="8"/>
      <c r="Q5347" s="8"/>
      <c r="R5347" s="8"/>
      <c r="S5347" s="18"/>
      <c r="T5347" s="18"/>
      <c r="U5347" s="6"/>
      <c r="V5347" s="6"/>
      <c r="W5347" s="6"/>
      <c r="X5347" s="6"/>
      <c r="Y5347" s="6"/>
      <c r="Z5347" s="6"/>
    </row>
    <row r="5348" spans="14:26" ht="31.4" customHeight="1" x14ac:dyDescent="0.35">
      <c r="N5348" s="20"/>
      <c r="P5348" s="8"/>
      <c r="Q5348" s="8"/>
      <c r="R5348" s="8"/>
      <c r="S5348" s="18"/>
      <c r="T5348" s="18"/>
      <c r="U5348" s="6"/>
      <c r="V5348" s="6"/>
      <c r="W5348" s="6"/>
      <c r="X5348" s="6"/>
      <c r="Y5348" s="6"/>
      <c r="Z5348" s="6"/>
    </row>
    <row r="5349" spans="14:26" ht="31.4" customHeight="1" x14ac:dyDescent="0.35">
      <c r="N5349" s="20"/>
      <c r="P5349" s="8"/>
      <c r="Q5349" s="8"/>
      <c r="R5349" s="8"/>
      <c r="S5349" s="18"/>
      <c r="T5349" s="18"/>
      <c r="U5349" s="6"/>
      <c r="V5349" s="6"/>
      <c r="W5349" s="6"/>
      <c r="X5349" s="6"/>
      <c r="Y5349" s="6"/>
      <c r="Z5349" s="6"/>
    </row>
    <row r="5350" spans="14:26" ht="31.4" customHeight="1" x14ac:dyDescent="0.35">
      <c r="N5350" s="20"/>
      <c r="P5350" s="8"/>
      <c r="Q5350" s="8"/>
      <c r="R5350" s="8"/>
      <c r="S5350" s="18"/>
      <c r="T5350" s="18"/>
      <c r="U5350" s="6"/>
      <c r="V5350" s="6"/>
      <c r="W5350" s="6"/>
      <c r="X5350" s="6"/>
      <c r="Y5350" s="6"/>
      <c r="Z5350" s="6"/>
    </row>
    <row r="5351" spans="14:26" ht="31.4" customHeight="1" x14ac:dyDescent="0.35">
      <c r="N5351" s="20"/>
      <c r="P5351" s="8"/>
      <c r="Q5351" s="8"/>
      <c r="R5351" s="8"/>
      <c r="S5351" s="18"/>
      <c r="T5351" s="18"/>
      <c r="U5351" s="6"/>
      <c r="V5351" s="6"/>
      <c r="W5351" s="6"/>
      <c r="X5351" s="6"/>
      <c r="Y5351" s="6"/>
      <c r="Z5351" s="6"/>
    </row>
    <row r="5352" spans="14:26" ht="31.4" customHeight="1" x14ac:dyDescent="0.35">
      <c r="N5352" s="20"/>
      <c r="P5352" s="8"/>
      <c r="Q5352" s="8"/>
      <c r="R5352" s="8"/>
      <c r="S5352" s="18"/>
      <c r="T5352" s="18"/>
      <c r="U5352" s="6"/>
      <c r="V5352" s="6"/>
      <c r="W5352" s="6"/>
      <c r="X5352" s="6"/>
      <c r="Y5352" s="6"/>
      <c r="Z5352" s="6"/>
    </row>
    <row r="5353" spans="14:26" ht="31.4" customHeight="1" x14ac:dyDescent="0.35">
      <c r="N5353" s="20"/>
      <c r="P5353" s="8"/>
      <c r="Q5353" s="8"/>
      <c r="R5353" s="8"/>
      <c r="S5353" s="18"/>
      <c r="T5353" s="18"/>
      <c r="U5353" s="6"/>
      <c r="V5353" s="6"/>
      <c r="W5353" s="6"/>
      <c r="X5353" s="6"/>
      <c r="Y5353" s="6"/>
      <c r="Z5353" s="6"/>
    </row>
    <row r="5354" spans="14:26" ht="31.4" customHeight="1" x14ac:dyDescent="0.35">
      <c r="N5354" s="20"/>
      <c r="P5354" s="8"/>
      <c r="Q5354" s="8"/>
      <c r="R5354" s="8"/>
      <c r="S5354" s="18"/>
      <c r="T5354" s="18"/>
      <c r="U5354" s="6"/>
      <c r="V5354" s="6"/>
      <c r="W5354" s="6"/>
      <c r="X5354" s="6"/>
      <c r="Y5354" s="6"/>
      <c r="Z5354" s="6"/>
    </row>
    <row r="5355" spans="14:26" ht="31.4" customHeight="1" x14ac:dyDescent="0.35">
      <c r="N5355" s="20"/>
      <c r="P5355" s="8"/>
      <c r="Q5355" s="8"/>
      <c r="R5355" s="8"/>
      <c r="S5355" s="18"/>
      <c r="T5355" s="18"/>
      <c r="U5355" s="6"/>
      <c r="V5355" s="6"/>
      <c r="W5355" s="6"/>
      <c r="X5355" s="6"/>
      <c r="Y5355" s="6"/>
      <c r="Z5355" s="6"/>
    </row>
    <row r="5356" spans="14:26" ht="31.4" customHeight="1" x14ac:dyDescent="0.35">
      <c r="N5356" s="20"/>
      <c r="P5356" s="8"/>
      <c r="Q5356" s="8"/>
      <c r="R5356" s="8"/>
      <c r="S5356" s="18"/>
      <c r="T5356" s="18"/>
      <c r="U5356" s="6"/>
      <c r="V5356" s="6"/>
      <c r="W5356" s="6"/>
      <c r="X5356" s="6"/>
      <c r="Y5356" s="6"/>
      <c r="Z5356" s="6"/>
    </row>
    <row r="5357" spans="14:26" ht="31.4" customHeight="1" x14ac:dyDescent="0.35">
      <c r="N5357" s="20"/>
      <c r="P5357" s="8"/>
      <c r="Q5357" s="8"/>
      <c r="R5357" s="8"/>
      <c r="S5357" s="18"/>
      <c r="T5357" s="18"/>
      <c r="U5357" s="6"/>
      <c r="V5357" s="6"/>
      <c r="W5357" s="6"/>
      <c r="X5357" s="6"/>
      <c r="Y5357" s="6"/>
      <c r="Z5357" s="6"/>
    </row>
    <row r="5358" spans="14:26" ht="31.4" customHeight="1" x14ac:dyDescent="0.35">
      <c r="N5358" s="20"/>
      <c r="P5358" s="8"/>
      <c r="Q5358" s="8"/>
      <c r="R5358" s="8"/>
      <c r="S5358" s="18"/>
      <c r="T5358" s="18"/>
      <c r="U5358" s="6"/>
      <c r="V5358" s="6"/>
      <c r="W5358" s="6"/>
      <c r="X5358" s="6"/>
      <c r="Y5358" s="6"/>
      <c r="Z5358" s="6"/>
    </row>
    <row r="5359" spans="14:26" ht="31.4" customHeight="1" x14ac:dyDescent="0.35">
      <c r="N5359" s="20"/>
      <c r="P5359" s="8"/>
      <c r="Q5359" s="8"/>
      <c r="R5359" s="8"/>
      <c r="S5359" s="18"/>
      <c r="T5359" s="18"/>
      <c r="U5359" s="6"/>
      <c r="V5359" s="6"/>
      <c r="W5359" s="6"/>
      <c r="X5359" s="6"/>
      <c r="Y5359" s="6"/>
      <c r="Z5359" s="6"/>
    </row>
    <row r="5360" spans="14:26" ht="31.4" customHeight="1" x14ac:dyDescent="0.35">
      <c r="N5360" s="20"/>
      <c r="P5360" s="8"/>
      <c r="Q5360" s="8"/>
      <c r="R5360" s="8"/>
      <c r="S5360" s="18"/>
      <c r="T5360" s="18"/>
      <c r="U5360" s="6"/>
      <c r="V5360" s="6"/>
      <c r="W5360" s="6"/>
      <c r="X5360" s="6"/>
      <c r="Y5360" s="6"/>
      <c r="Z5360" s="6"/>
    </row>
    <row r="5361" spans="14:26" ht="31.4" customHeight="1" x14ac:dyDescent="0.35">
      <c r="N5361" s="20"/>
      <c r="P5361" s="8"/>
      <c r="Q5361" s="8"/>
      <c r="R5361" s="8"/>
      <c r="S5361" s="18"/>
      <c r="T5361" s="18"/>
      <c r="U5361" s="6"/>
      <c r="V5361" s="6"/>
      <c r="W5361" s="6"/>
      <c r="X5361" s="6"/>
      <c r="Y5361" s="6"/>
      <c r="Z5361" s="6"/>
    </row>
    <row r="5362" spans="14:26" ht="31.4" customHeight="1" x14ac:dyDescent="0.35">
      <c r="N5362" s="20"/>
      <c r="P5362" s="8"/>
      <c r="Q5362" s="8"/>
      <c r="R5362" s="8"/>
      <c r="S5362" s="18"/>
      <c r="T5362" s="18"/>
      <c r="U5362" s="6"/>
      <c r="V5362" s="6"/>
      <c r="W5362" s="6"/>
      <c r="X5362" s="6"/>
      <c r="Y5362" s="6"/>
      <c r="Z5362" s="6"/>
    </row>
    <row r="5363" spans="14:26" ht="31.4" customHeight="1" x14ac:dyDescent="0.35">
      <c r="N5363" s="20"/>
      <c r="P5363" s="8"/>
      <c r="Q5363" s="8"/>
      <c r="R5363" s="8"/>
      <c r="S5363" s="18"/>
      <c r="T5363" s="18"/>
      <c r="U5363" s="6"/>
      <c r="V5363" s="6"/>
      <c r="W5363" s="6"/>
      <c r="X5363" s="6"/>
      <c r="Y5363" s="6"/>
      <c r="Z5363" s="6"/>
    </row>
    <row r="5364" spans="14:26" ht="31.4" customHeight="1" x14ac:dyDescent="0.35">
      <c r="N5364" s="20"/>
      <c r="P5364" s="8"/>
      <c r="Q5364" s="8"/>
      <c r="R5364" s="8"/>
      <c r="S5364" s="18"/>
      <c r="T5364" s="18"/>
      <c r="U5364" s="6"/>
      <c r="V5364" s="6"/>
      <c r="W5364" s="6"/>
      <c r="X5364" s="6"/>
      <c r="Y5364" s="6"/>
      <c r="Z5364" s="6"/>
    </row>
    <row r="5365" spans="14:26" ht="31.4" customHeight="1" x14ac:dyDescent="0.35">
      <c r="N5365" s="20"/>
      <c r="P5365" s="8"/>
      <c r="Q5365" s="8"/>
      <c r="R5365" s="8"/>
      <c r="S5365" s="18"/>
      <c r="T5365" s="18"/>
      <c r="U5365" s="6"/>
      <c r="V5365" s="6"/>
      <c r="W5365" s="6"/>
      <c r="X5365" s="6"/>
      <c r="Y5365" s="6"/>
      <c r="Z5365" s="6"/>
    </row>
    <row r="5366" spans="14:26" ht="31.4" customHeight="1" x14ac:dyDescent="0.35">
      <c r="N5366" s="20"/>
      <c r="P5366" s="8"/>
      <c r="Q5366" s="8"/>
      <c r="R5366" s="8"/>
      <c r="S5366" s="18"/>
      <c r="T5366" s="18"/>
      <c r="U5366" s="6"/>
      <c r="V5366" s="6"/>
      <c r="W5366" s="6"/>
      <c r="X5366" s="6"/>
      <c r="Y5366" s="6"/>
      <c r="Z5366" s="6"/>
    </row>
    <row r="5367" spans="14:26" ht="31.4" customHeight="1" x14ac:dyDescent="0.35">
      <c r="N5367" s="20"/>
      <c r="P5367" s="8"/>
      <c r="Q5367" s="8"/>
      <c r="R5367" s="8"/>
      <c r="S5367" s="18"/>
      <c r="T5367" s="18"/>
      <c r="U5367" s="6"/>
      <c r="V5367" s="6"/>
      <c r="W5367" s="6"/>
      <c r="X5367" s="6"/>
      <c r="Y5367" s="6"/>
      <c r="Z5367" s="6"/>
    </row>
    <row r="5368" spans="14:26" ht="31.4" customHeight="1" x14ac:dyDescent="0.35">
      <c r="N5368" s="20"/>
      <c r="P5368" s="8"/>
      <c r="Q5368" s="8"/>
      <c r="R5368" s="8"/>
      <c r="S5368" s="18"/>
      <c r="T5368" s="18"/>
      <c r="U5368" s="6"/>
      <c r="V5368" s="6"/>
      <c r="W5368" s="6"/>
      <c r="X5368" s="6"/>
      <c r="Y5368" s="6"/>
      <c r="Z5368" s="6"/>
    </row>
    <row r="5369" spans="14:26" ht="31.4" customHeight="1" x14ac:dyDescent="0.35">
      <c r="N5369" s="20"/>
      <c r="P5369" s="8"/>
      <c r="Q5369" s="8"/>
      <c r="R5369" s="8"/>
      <c r="S5369" s="18"/>
      <c r="T5369" s="18"/>
      <c r="U5369" s="6"/>
      <c r="V5369" s="6"/>
      <c r="W5369" s="6"/>
      <c r="X5369" s="6"/>
      <c r="Y5369" s="6"/>
      <c r="Z5369" s="6"/>
    </row>
    <row r="5370" spans="14:26" ht="31.4" customHeight="1" x14ac:dyDescent="0.35">
      <c r="N5370" s="20"/>
      <c r="P5370" s="8"/>
      <c r="Q5370" s="8"/>
      <c r="R5370" s="8"/>
      <c r="S5370" s="18"/>
      <c r="T5370" s="18"/>
      <c r="U5370" s="6"/>
      <c r="V5370" s="6"/>
      <c r="W5370" s="6"/>
      <c r="X5370" s="6"/>
      <c r="Y5370" s="6"/>
      <c r="Z5370" s="6"/>
    </row>
    <row r="5371" spans="14:26" ht="31.4" customHeight="1" x14ac:dyDescent="0.35">
      <c r="N5371" s="20"/>
      <c r="P5371" s="8"/>
      <c r="Q5371" s="8"/>
      <c r="R5371" s="8"/>
      <c r="S5371" s="18"/>
      <c r="T5371" s="18"/>
      <c r="U5371" s="6"/>
      <c r="V5371" s="6"/>
      <c r="W5371" s="6"/>
      <c r="X5371" s="6"/>
      <c r="Y5371" s="6"/>
      <c r="Z5371" s="6"/>
    </row>
    <row r="5372" spans="14:26" ht="31.4" customHeight="1" x14ac:dyDescent="0.35">
      <c r="N5372" s="20"/>
      <c r="P5372" s="8"/>
      <c r="Q5372" s="8"/>
      <c r="R5372" s="8"/>
      <c r="S5372" s="18"/>
      <c r="T5372" s="18"/>
      <c r="U5372" s="6"/>
      <c r="V5372" s="6"/>
      <c r="W5372" s="6"/>
      <c r="X5372" s="6"/>
      <c r="Y5372" s="6"/>
      <c r="Z5372" s="6"/>
    </row>
    <row r="5373" spans="14:26" ht="31.4" customHeight="1" x14ac:dyDescent="0.35">
      <c r="N5373" s="20"/>
      <c r="P5373" s="8"/>
      <c r="Q5373" s="8"/>
      <c r="R5373" s="8"/>
      <c r="S5373" s="18"/>
      <c r="T5373" s="18"/>
      <c r="U5373" s="6"/>
      <c r="V5373" s="6"/>
      <c r="W5373" s="6"/>
      <c r="X5373" s="6"/>
      <c r="Y5373" s="6"/>
      <c r="Z5373" s="6"/>
    </row>
    <row r="5374" spans="14:26" ht="31.4" customHeight="1" x14ac:dyDescent="0.35">
      <c r="N5374" s="20"/>
      <c r="P5374" s="8"/>
      <c r="Q5374" s="8"/>
      <c r="R5374" s="8"/>
      <c r="S5374" s="18"/>
      <c r="T5374" s="18"/>
      <c r="U5374" s="6"/>
      <c r="V5374" s="6"/>
      <c r="W5374" s="6"/>
      <c r="X5374" s="6"/>
      <c r="Y5374" s="6"/>
      <c r="Z5374" s="6"/>
    </row>
    <row r="5375" spans="14:26" ht="31.4" customHeight="1" x14ac:dyDescent="0.35">
      <c r="N5375" s="20"/>
      <c r="P5375" s="8"/>
      <c r="Q5375" s="8"/>
      <c r="R5375" s="8"/>
      <c r="S5375" s="18"/>
      <c r="T5375" s="18"/>
      <c r="U5375" s="6"/>
      <c r="V5375" s="6"/>
      <c r="W5375" s="6"/>
      <c r="X5375" s="6"/>
      <c r="Y5375" s="6"/>
      <c r="Z5375" s="6"/>
    </row>
    <row r="5376" spans="14:26" ht="31.4" customHeight="1" x14ac:dyDescent="0.35">
      <c r="N5376" s="20"/>
      <c r="P5376" s="8"/>
      <c r="Q5376" s="8"/>
      <c r="R5376" s="8"/>
      <c r="S5376" s="18"/>
      <c r="T5376" s="18"/>
      <c r="U5376" s="6"/>
      <c r="V5376" s="6"/>
      <c r="W5376" s="6"/>
      <c r="X5376" s="6"/>
      <c r="Y5376" s="6"/>
      <c r="Z5376" s="6"/>
    </row>
    <row r="5377" spans="14:26" ht="31.4" customHeight="1" x14ac:dyDescent="0.35">
      <c r="N5377" s="20"/>
      <c r="P5377" s="8"/>
      <c r="Q5377" s="8"/>
      <c r="R5377" s="8"/>
      <c r="S5377" s="18"/>
      <c r="T5377" s="18"/>
      <c r="U5377" s="6"/>
      <c r="V5377" s="6"/>
      <c r="W5377" s="6"/>
      <c r="X5377" s="6"/>
      <c r="Y5377" s="6"/>
      <c r="Z5377" s="6"/>
    </row>
    <row r="5378" spans="14:26" ht="31.4" customHeight="1" x14ac:dyDescent="0.35">
      <c r="N5378" s="20"/>
      <c r="P5378" s="8"/>
      <c r="Q5378" s="8"/>
      <c r="R5378" s="8"/>
      <c r="S5378" s="18"/>
      <c r="T5378" s="18"/>
      <c r="U5378" s="6"/>
      <c r="V5378" s="6"/>
      <c r="W5378" s="6"/>
      <c r="X5378" s="6"/>
      <c r="Y5378" s="6"/>
      <c r="Z5378" s="6"/>
    </row>
    <row r="5379" spans="14:26" ht="31.4" customHeight="1" x14ac:dyDescent="0.35">
      <c r="N5379" s="20"/>
      <c r="P5379" s="8"/>
      <c r="Q5379" s="8"/>
      <c r="R5379" s="8"/>
      <c r="S5379" s="18"/>
      <c r="T5379" s="18"/>
      <c r="U5379" s="6"/>
      <c r="V5379" s="6"/>
      <c r="W5379" s="6"/>
      <c r="X5379" s="6"/>
      <c r="Y5379" s="6"/>
      <c r="Z5379" s="6"/>
    </row>
    <row r="5380" spans="14:26" ht="31.4" customHeight="1" x14ac:dyDescent="0.35">
      <c r="N5380" s="20"/>
      <c r="P5380" s="8"/>
      <c r="Q5380" s="8"/>
      <c r="R5380" s="8"/>
      <c r="S5380" s="18"/>
      <c r="T5380" s="18"/>
      <c r="U5380" s="6"/>
      <c r="V5380" s="6"/>
      <c r="W5380" s="6"/>
      <c r="X5380" s="6"/>
      <c r="Y5380" s="6"/>
      <c r="Z5380" s="6"/>
    </row>
    <row r="5381" spans="14:26" ht="31.4" customHeight="1" x14ac:dyDescent="0.35">
      <c r="N5381" s="20"/>
      <c r="P5381" s="8"/>
      <c r="Q5381" s="8"/>
      <c r="R5381" s="8"/>
      <c r="S5381" s="18"/>
      <c r="T5381" s="18"/>
      <c r="U5381" s="6"/>
      <c r="V5381" s="6"/>
      <c r="W5381" s="6"/>
      <c r="X5381" s="6"/>
      <c r="Y5381" s="6"/>
      <c r="Z5381" s="6"/>
    </row>
    <row r="5382" spans="14:26" ht="31.4" customHeight="1" x14ac:dyDescent="0.35">
      <c r="N5382" s="20"/>
      <c r="P5382" s="8"/>
      <c r="Q5382" s="8"/>
      <c r="R5382" s="8"/>
      <c r="S5382" s="18"/>
      <c r="T5382" s="18"/>
      <c r="U5382" s="6"/>
      <c r="V5382" s="6"/>
      <c r="W5382" s="6"/>
      <c r="X5382" s="6"/>
      <c r="Y5382" s="6"/>
      <c r="Z5382" s="6"/>
    </row>
    <row r="5383" spans="14:26" ht="31.4" customHeight="1" x14ac:dyDescent="0.35">
      <c r="N5383" s="20"/>
      <c r="P5383" s="8"/>
      <c r="Q5383" s="8"/>
      <c r="R5383" s="8"/>
      <c r="S5383" s="18"/>
      <c r="T5383" s="18"/>
      <c r="U5383" s="6"/>
      <c r="V5383" s="6"/>
      <c r="W5383" s="6"/>
      <c r="X5383" s="6"/>
      <c r="Y5383" s="6"/>
      <c r="Z5383" s="6"/>
    </row>
    <row r="5384" spans="14:26" ht="31.4" customHeight="1" x14ac:dyDescent="0.35">
      <c r="N5384" s="20"/>
      <c r="P5384" s="8"/>
      <c r="Q5384" s="8"/>
      <c r="R5384" s="8"/>
      <c r="S5384" s="18"/>
      <c r="T5384" s="18"/>
      <c r="U5384" s="6"/>
      <c r="V5384" s="6"/>
      <c r="W5384" s="6"/>
      <c r="X5384" s="6"/>
      <c r="Y5384" s="6"/>
      <c r="Z5384" s="6"/>
    </row>
    <row r="5385" spans="14:26" ht="31.4" customHeight="1" x14ac:dyDescent="0.35">
      <c r="N5385" s="20"/>
      <c r="P5385" s="8"/>
      <c r="Q5385" s="8"/>
      <c r="R5385" s="8"/>
      <c r="S5385" s="18"/>
      <c r="T5385" s="18"/>
      <c r="U5385" s="6"/>
      <c r="V5385" s="6"/>
      <c r="W5385" s="6"/>
      <c r="X5385" s="6"/>
      <c r="Y5385" s="6"/>
      <c r="Z5385" s="6"/>
    </row>
    <row r="5386" spans="14:26" ht="31.4" customHeight="1" x14ac:dyDescent="0.35">
      <c r="N5386" s="20"/>
      <c r="P5386" s="8"/>
      <c r="Q5386" s="8"/>
      <c r="R5386" s="8"/>
      <c r="S5386" s="18"/>
      <c r="T5386" s="18"/>
      <c r="U5386" s="6"/>
      <c r="V5386" s="6"/>
      <c r="W5386" s="6"/>
      <c r="X5386" s="6"/>
      <c r="Y5386" s="6"/>
      <c r="Z5386" s="6"/>
    </row>
    <row r="5387" spans="14:26" ht="31.4" customHeight="1" x14ac:dyDescent="0.35">
      <c r="N5387" s="20"/>
      <c r="P5387" s="8"/>
      <c r="Q5387" s="8"/>
      <c r="R5387" s="8"/>
      <c r="S5387" s="18"/>
      <c r="T5387" s="18"/>
      <c r="U5387" s="6"/>
      <c r="V5387" s="6"/>
      <c r="W5387" s="6"/>
      <c r="X5387" s="6"/>
      <c r="Y5387" s="6"/>
      <c r="Z5387" s="6"/>
    </row>
    <row r="5388" spans="14:26" ht="31.4" customHeight="1" x14ac:dyDescent="0.35">
      <c r="N5388" s="20"/>
      <c r="P5388" s="8"/>
      <c r="Q5388" s="8"/>
      <c r="R5388" s="8"/>
      <c r="S5388" s="18"/>
      <c r="T5388" s="18"/>
      <c r="U5388" s="6"/>
      <c r="V5388" s="6"/>
      <c r="W5388" s="6"/>
      <c r="X5388" s="6"/>
      <c r="Y5388" s="6"/>
      <c r="Z5388" s="6"/>
    </row>
    <row r="5389" spans="14:26" ht="31.4" customHeight="1" x14ac:dyDescent="0.35">
      <c r="N5389" s="20"/>
      <c r="P5389" s="8"/>
      <c r="Q5389" s="8"/>
      <c r="R5389" s="8"/>
      <c r="S5389" s="18"/>
      <c r="T5389" s="18"/>
      <c r="U5389" s="6"/>
      <c r="V5389" s="6"/>
      <c r="W5389" s="6"/>
      <c r="X5389" s="6"/>
      <c r="Y5389" s="6"/>
      <c r="Z5389" s="6"/>
    </row>
    <row r="5390" spans="14:26" ht="31.4" customHeight="1" x14ac:dyDescent="0.35">
      <c r="N5390" s="20"/>
      <c r="P5390" s="8"/>
      <c r="Q5390" s="8"/>
      <c r="R5390" s="8"/>
      <c r="S5390" s="18"/>
      <c r="T5390" s="18"/>
      <c r="U5390" s="6"/>
      <c r="V5390" s="6"/>
      <c r="W5390" s="6"/>
      <c r="X5390" s="6"/>
      <c r="Y5390" s="6"/>
      <c r="Z5390" s="6"/>
    </row>
    <row r="5391" spans="14:26" ht="31.4" customHeight="1" x14ac:dyDescent="0.35">
      <c r="N5391" s="20"/>
      <c r="P5391" s="8"/>
      <c r="Q5391" s="8"/>
      <c r="R5391" s="8"/>
      <c r="S5391" s="18"/>
      <c r="T5391" s="18"/>
      <c r="U5391" s="6"/>
      <c r="V5391" s="6"/>
      <c r="W5391" s="6"/>
      <c r="X5391" s="6"/>
      <c r="Y5391" s="6"/>
      <c r="Z5391" s="6"/>
    </row>
    <row r="5392" spans="14:26" ht="31.4" customHeight="1" x14ac:dyDescent="0.35">
      <c r="N5392" s="20"/>
      <c r="P5392" s="8"/>
      <c r="Q5392" s="8"/>
      <c r="R5392" s="8"/>
      <c r="S5392" s="18"/>
      <c r="T5392" s="18"/>
      <c r="U5392" s="6"/>
      <c r="V5392" s="6"/>
      <c r="W5392" s="6"/>
      <c r="X5392" s="6"/>
      <c r="Y5392" s="6"/>
      <c r="Z5392" s="6"/>
    </row>
    <row r="5393" spans="14:26" ht="31.4" customHeight="1" x14ac:dyDescent="0.35">
      <c r="N5393" s="20"/>
      <c r="P5393" s="8"/>
      <c r="Q5393" s="8"/>
      <c r="R5393" s="8"/>
      <c r="S5393" s="18"/>
      <c r="T5393" s="18"/>
      <c r="U5393" s="6"/>
      <c r="V5393" s="6"/>
      <c r="W5393" s="6"/>
      <c r="X5393" s="6"/>
      <c r="Y5393" s="6"/>
      <c r="Z5393" s="6"/>
    </row>
    <row r="5394" spans="14:26" ht="31.4" customHeight="1" x14ac:dyDescent="0.35">
      <c r="N5394" s="20"/>
      <c r="P5394" s="8"/>
      <c r="Q5394" s="8"/>
      <c r="R5394" s="8"/>
      <c r="S5394" s="18"/>
      <c r="T5394" s="18"/>
      <c r="U5394" s="6"/>
      <c r="V5394" s="6"/>
      <c r="W5394" s="6"/>
      <c r="X5394" s="6"/>
      <c r="Y5394" s="6"/>
      <c r="Z5394" s="6"/>
    </row>
    <row r="5395" spans="14:26" ht="31.4" customHeight="1" x14ac:dyDescent="0.35">
      <c r="N5395" s="20"/>
      <c r="P5395" s="8"/>
      <c r="Q5395" s="8"/>
      <c r="R5395" s="8"/>
      <c r="S5395" s="18"/>
      <c r="T5395" s="18"/>
      <c r="U5395" s="6"/>
      <c r="V5395" s="6"/>
      <c r="W5395" s="6"/>
      <c r="X5395" s="6"/>
      <c r="Y5395" s="6"/>
      <c r="Z5395" s="6"/>
    </row>
    <row r="5396" spans="14:26" ht="31.4" customHeight="1" x14ac:dyDescent="0.35">
      <c r="N5396" s="20"/>
      <c r="P5396" s="8"/>
      <c r="Q5396" s="8"/>
      <c r="R5396" s="8"/>
      <c r="S5396" s="18"/>
      <c r="T5396" s="18"/>
      <c r="U5396" s="6"/>
      <c r="V5396" s="6"/>
      <c r="W5396" s="6"/>
      <c r="X5396" s="6"/>
      <c r="Y5396" s="6"/>
      <c r="Z5396" s="6"/>
    </row>
    <row r="5397" spans="14:26" ht="31.4" customHeight="1" x14ac:dyDescent="0.35">
      <c r="N5397" s="20"/>
      <c r="P5397" s="8"/>
      <c r="Q5397" s="8"/>
      <c r="R5397" s="8"/>
      <c r="S5397" s="18"/>
      <c r="T5397" s="18"/>
      <c r="U5397" s="6"/>
      <c r="V5397" s="6"/>
      <c r="W5397" s="6"/>
      <c r="X5397" s="6"/>
      <c r="Y5397" s="6"/>
      <c r="Z5397" s="6"/>
    </row>
    <row r="5398" spans="14:26" ht="31.4" customHeight="1" x14ac:dyDescent="0.35">
      <c r="N5398" s="20"/>
      <c r="P5398" s="8"/>
      <c r="Q5398" s="8"/>
      <c r="R5398" s="8"/>
      <c r="S5398" s="18"/>
      <c r="T5398" s="18"/>
      <c r="U5398" s="6"/>
      <c r="V5398" s="6"/>
      <c r="W5398" s="6"/>
      <c r="X5398" s="6"/>
      <c r="Y5398" s="6"/>
      <c r="Z5398" s="6"/>
    </row>
    <row r="5399" spans="14:26" ht="31.4" customHeight="1" x14ac:dyDescent="0.35">
      <c r="N5399" s="20"/>
      <c r="P5399" s="8"/>
      <c r="Q5399" s="8"/>
      <c r="R5399" s="8"/>
      <c r="S5399" s="18"/>
      <c r="T5399" s="18"/>
      <c r="U5399" s="6"/>
      <c r="V5399" s="6"/>
      <c r="W5399" s="6"/>
      <c r="X5399" s="6"/>
      <c r="Y5399" s="6"/>
      <c r="Z5399" s="6"/>
    </row>
    <row r="5400" spans="14:26" ht="31.4" customHeight="1" x14ac:dyDescent="0.35">
      <c r="N5400" s="20"/>
      <c r="P5400" s="8"/>
      <c r="Q5400" s="8"/>
      <c r="R5400" s="8"/>
      <c r="S5400" s="18"/>
      <c r="T5400" s="18"/>
      <c r="U5400" s="6"/>
      <c r="V5400" s="6"/>
      <c r="W5400" s="6"/>
      <c r="X5400" s="6"/>
      <c r="Y5400" s="6"/>
      <c r="Z5400" s="6"/>
    </row>
    <row r="5401" spans="14:26" ht="31.4" customHeight="1" x14ac:dyDescent="0.35">
      <c r="N5401" s="20"/>
      <c r="P5401" s="8"/>
      <c r="Q5401" s="8"/>
      <c r="R5401" s="8"/>
      <c r="S5401" s="18"/>
      <c r="T5401" s="18"/>
      <c r="U5401" s="6"/>
      <c r="V5401" s="6"/>
      <c r="W5401" s="6"/>
      <c r="X5401" s="6"/>
      <c r="Y5401" s="6"/>
      <c r="Z5401" s="6"/>
    </row>
    <row r="5402" spans="14:26" ht="31.4" customHeight="1" x14ac:dyDescent="0.35">
      <c r="N5402" s="20"/>
      <c r="P5402" s="8"/>
      <c r="Q5402" s="8"/>
      <c r="R5402" s="8"/>
      <c r="S5402" s="18"/>
      <c r="T5402" s="18"/>
      <c r="U5402" s="6"/>
      <c r="V5402" s="6"/>
      <c r="W5402" s="6"/>
      <c r="X5402" s="6"/>
      <c r="Y5402" s="6"/>
      <c r="Z5402" s="6"/>
    </row>
    <row r="5403" spans="14:26" ht="31.4" customHeight="1" x14ac:dyDescent="0.35">
      <c r="N5403" s="20"/>
      <c r="P5403" s="8"/>
      <c r="Q5403" s="8"/>
      <c r="R5403" s="8"/>
      <c r="S5403" s="18"/>
      <c r="T5403" s="18"/>
      <c r="U5403" s="6"/>
      <c r="V5403" s="6"/>
      <c r="W5403" s="6"/>
      <c r="X5403" s="6"/>
      <c r="Y5403" s="6"/>
      <c r="Z5403" s="6"/>
    </row>
    <row r="5404" spans="14:26" ht="31.4" customHeight="1" x14ac:dyDescent="0.35">
      <c r="N5404" s="20"/>
      <c r="P5404" s="8"/>
      <c r="Q5404" s="8"/>
      <c r="R5404" s="8"/>
      <c r="S5404" s="18"/>
      <c r="T5404" s="18"/>
      <c r="U5404" s="6"/>
      <c r="V5404" s="6"/>
      <c r="W5404" s="6"/>
      <c r="X5404" s="6"/>
      <c r="Y5404" s="6"/>
      <c r="Z5404" s="6"/>
    </row>
    <row r="5405" spans="14:26" ht="31.4" customHeight="1" x14ac:dyDescent="0.35">
      <c r="N5405" s="20"/>
      <c r="P5405" s="8"/>
      <c r="Q5405" s="8"/>
      <c r="R5405" s="8"/>
      <c r="S5405" s="18"/>
      <c r="T5405" s="18"/>
      <c r="U5405" s="6"/>
      <c r="V5405" s="6"/>
      <c r="W5405" s="6"/>
      <c r="X5405" s="6"/>
      <c r="Y5405" s="6"/>
      <c r="Z5405" s="6"/>
    </row>
    <row r="5406" spans="14:26" ht="31.4" customHeight="1" x14ac:dyDescent="0.35">
      <c r="N5406" s="20"/>
      <c r="P5406" s="8"/>
      <c r="Q5406" s="8"/>
      <c r="R5406" s="8"/>
      <c r="S5406" s="18"/>
      <c r="T5406" s="18"/>
      <c r="U5406" s="6"/>
      <c r="V5406" s="6"/>
      <c r="W5406" s="6"/>
      <c r="X5406" s="6"/>
      <c r="Y5406" s="6"/>
      <c r="Z5406" s="6"/>
    </row>
    <row r="5407" spans="14:26" ht="31.4" customHeight="1" x14ac:dyDescent="0.35">
      <c r="N5407" s="20"/>
      <c r="P5407" s="8"/>
      <c r="Q5407" s="8"/>
      <c r="R5407" s="8"/>
      <c r="S5407" s="18"/>
      <c r="T5407" s="18"/>
      <c r="U5407" s="6"/>
      <c r="V5407" s="6"/>
      <c r="W5407" s="6"/>
      <c r="X5407" s="6"/>
      <c r="Y5407" s="6"/>
      <c r="Z5407" s="6"/>
    </row>
    <row r="5408" spans="14:26" ht="31.4" customHeight="1" x14ac:dyDescent="0.35">
      <c r="N5408" s="20"/>
      <c r="P5408" s="8"/>
      <c r="Q5408" s="8"/>
      <c r="R5408" s="8"/>
      <c r="S5408" s="18"/>
      <c r="T5408" s="18"/>
      <c r="U5408" s="6"/>
      <c r="V5408" s="6"/>
      <c r="W5408" s="6"/>
      <c r="X5408" s="6"/>
      <c r="Y5408" s="6"/>
      <c r="Z5408" s="6"/>
    </row>
    <row r="5409" spans="14:26" ht="31.4" customHeight="1" x14ac:dyDescent="0.35">
      <c r="N5409" s="20"/>
      <c r="P5409" s="8"/>
      <c r="Q5409" s="8"/>
      <c r="R5409" s="8"/>
      <c r="S5409" s="18"/>
      <c r="T5409" s="18"/>
      <c r="U5409" s="6"/>
      <c r="V5409" s="6"/>
      <c r="W5409" s="6"/>
      <c r="X5409" s="6"/>
      <c r="Y5409" s="6"/>
      <c r="Z5409" s="6"/>
    </row>
    <row r="5410" spans="14:26" ht="31.4" customHeight="1" x14ac:dyDescent="0.35">
      <c r="N5410" s="20"/>
      <c r="P5410" s="8"/>
      <c r="Q5410" s="8"/>
      <c r="R5410" s="8"/>
      <c r="S5410" s="18"/>
      <c r="T5410" s="18"/>
      <c r="U5410" s="6"/>
      <c r="V5410" s="6"/>
      <c r="W5410" s="6"/>
      <c r="X5410" s="6"/>
      <c r="Y5410" s="6"/>
      <c r="Z5410" s="6"/>
    </row>
    <row r="5411" spans="14:26" ht="31.4" customHeight="1" x14ac:dyDescent="0.35">
      <c r="N5411" s="20"/>
      <c r="P5411" s="8"/>
      <c r="Q5411" s="8"/>
      <c r="R5411" s="8"/>
      <c r="S5411" s="18"/>
      <c r="T5411" s="18"/>
      <c r="U5411" s="6"/>
      <c r="V5411" s="6"/>
      <c r="W5411" s="6"/>
      <c r="X5411" s="6"/>
      <c r="Y5411" s="6"/>
      <c r="Z5411" s="6"/>
    </row>
    <row r="5412" spans="14:26" ht="31.4" customHeight="1" x14ac:dyDescent="0.35">
      <c r="N5412" s="20"/>
      <c r="P5412" s="8"/>
      <c r="Q5412" s="8"/>
      <c r="R5412" s="8"/>
      <c r="S5412" s="18"/>
      <c r="T5412" s="18"/>
      <c r="U5412" s="6"/>
      <c r="V5412" s="6"/>
      <c r="W5412" s="6"/>
      <c r="X5412" s="6"/>
      <c r="Y5412" s="6"/>
      <c r="Z5412" s="6"/>
    </row>
    <row r="5413" spans="14:26" ht="31.4" customHeight="1" x14ac:dyDescent="0.35">
      <c r="N5413" s="20"/>
      <c r="P5413" s="8"/>
      <c r="Q5413" s="8"/>
      <c r="R5413" s="8"/>
      <c r="S5413" s="18"/>
      <c r="T5413" s="18"/>
      <c r="U5413" s="6"/>
      <c r="V5413" s="6"/>
      <c r="W5413" s="6"/>
      <c r="X5413" s="6"/>
      <c r="Y5413" s="6"/>
      <c r="Z5413" s="6"/>
    </row>
    <row r="5414" spans="14:26" ht="31.4" customHeight="1" x14ac:dyDescent="0.35">
      <c r="N5414" s="20"/>
      <c r="P5414" s="8"/>
      <c r="Q5414" s="8"/>
      <c r="R5414" s="8"/>
      <c r="S5414" s="18"/>
      <c r="T5414" s="18"/>
      <c r="U5414" s="6"/>
      <c r="V5414" s="6"/>
      <c r="W5414" s="6"/>
      <c r="X5414" s="6"/>
      <c r="Y5414" s="6"/>
      <c r="Z5414" s="6"/>
    </row>
    <row r="5415" spans="14:26" ht="31.4" customHeight="1" x14ac:dyDescent="0.35">
      <c r="N5415" s="20"/>
      <c r="P5415" s="8"/>
      <c r="Q5415" s="8"/>
      <c r="R5415" s="8"/>
      <c r="S5415" s="18"/>
      <c r="T5415" s="18"/>
      <c r="U5415" s="6"/>
      <c r="V5415" s="6"/>
      <c r="W5415" s="6"/>
      <c r="X5415" s="6"/>
      <c r="Y5415" s="6"/>
      <c r="Z5415" s="6"/>
    </row>
    <row r="5416" spans="14:26" ht="31.4" customHeight="1" x14ac:dyDescent="0.35">
      <c r="N5416" s="20"/>
      <c r="P5416" s="8"/>
      <c r="Q5416" s="8"/>
      <c r="R5416" s="8"/>
      <c r="S5416" s="18"/>
      <c r="T5416" s="18"/>
      <c r="U5416" s="6"/>
      <c r="V5416" s="6"/>
      <c r="W5416" s="6"/>
      <c r="X5416" s="6"/>
      <c r="Y5416" s="6"/>
      <c r="Z5416" s="6"/>
    </row>
    <row r="5417" spans="14:26" ht="31.4" customHeight="1" x14ac:dyDescent="0.35">
      <c r="N5417" s="20"/>
      <c r="P5417" s="8"/>
      <c r="Q5417" s="8"/>
      <c r="R5417" s="8"/>
      <c r="S5417" s="18"/>
      <c r="T5417" s="18"/>
      <c r="U5417" s="6"/>
      <c r="V5417" s="6"/>
      <c r="W5417" s="6"/>
      <c r="X5417" s="6"/>
      <c r="Y5417" s="6"/>
      <c r="Z5417" s="6"/>
    </row>
    <row r="5418" spans="14:26" ht="31.4" customHeight="1" x14ac:dyDescent="0.35">
      <c r="N5418" s="20"/>
      <c r="P5418" s="8"/>
      <c r="Q5418" s="8"/>
      <c r="R5418" s="8"/>
      <c r="S5418" s="18"/>
      <c r="T5418" s="18"/>
      <c r="U5418" s="6"/>
      <c r="V5418" s="6"/>
      <c r="W5418" s="6"/>
      <c r="X5418" s="6"/>
      <c r="Y5418" s="6"/>
      <c r="Z5418" s="6"/>
    </row>
    <row r="5419" spans="14:26" ht="31.4" customHeight="1" x14ac:dyDescent="0.35">
      <c r="N5419" s="20"/>
      <c r="P5419" s="8"/>
      <c r="Q5419" s="8"/>
      <c r="R5419" s="8"/>
      <c r="S5419" s="18"/>
      <c r="T5419" s="18"/>
      <c r="U5419" s="6"/>
      <c r="V5419" s="6"/>
      <c r="W5419" s="6"/>
      <c r="X5419" s="6"/>
      <c r="Y5419" s="6"/>
      <c r="Z5419" s="6"/>
    </row>
    <row r="5420" spans="14:26" ht="31.4" customHeight="1" x14ac:dyDescent="0.35">
      <c r="N5420" s="20"/>
      <c r="P5420" s="8"/>
      <c r="Q5420" s="8"/>
      <c r="R5420" s="8"/>
      <c r="S5420" s="18"/>
      <c r="T5420" s="18"/>
      <c r="U5420" s="6"/>
      <c r="V5420" s="6"/>
      <c r="W5420" s="6"/>
      <c r="X5420" s="6"/>
      <c r="Y5420" s="6"/>
      <c r="Z5420" s="6"/>
    </row>
    <row r="5421" spans="14:26" ht="31.4" customHeight="1" x14ac:dyDescent="0.35">
      <c r="N5421" s="20"/>
      <c r="P5421" s="8"/>
      <c r="Q5421" s="8"/>
      <c r="R5421" s="8"/>
      <c r="S5421" s="18"/>
      <c r="T5421" s="18"/>
      <c r="U5421" s="6"/>
      <c r="V5421" s="6"/>
      <c r="W5421" s="6"/>
      <c r="X5421" s="6"/>
      <c r="Y5421" s="6"/>
      <c r="Z5421" s="6"/>
    </row>
    <row r="5422" spans="14:26" ht="31.4" customHeight="1" x14ac:dyDescent="0.35">
      <c r="N5422" s="20"/>
      <c r="P5422" s="8"/>
      <c r="Q5422" s="8"/>
      <c r="R5422" s="8"/>
      <c r="S5422" s="18"/>
      <c r="T5422" s="18"/>
      <c r="U5422" s="6"/>
      <c r="V5422" s="6"/>
      <c r="W5422" s="6"/>
      <c r="X5422" s="6"/>
      <c r="Y5422" s="6"/>
      <c r="Z5422" s="6"/>
    </row>
    <row r="5423" spans="14:26" ht="31.4" customHeight="1" x14ac:dyDescent="0.35">
      <c r="N5423" s="20"/>
      <c r="P5423" s="8"/>
      <c r="Q5423" s="8"/>
      <c r="R5423" s="8"/>
      <c r="S5423" s="18"/>
      <c r="T5423" s="18"/>
      <c r="U5423" s="6"/>
      <c r="V5423" s="6"/>
      <c r="W5423" s="6"/>
      <c r="X5423" s="6"/>
      <c r="Y5423" s="6"/>
      <c r="Z5423" s="6"/>
    </row>
    <row r="5424" spans="14:26" ht="31.4" customHeight="1" x14ac:dyDescent="0.35">
      <c r="N5424" s="20"/>
      <c r="P5424" s="8"/>
      <c r="Q5424" s="8"/>
      <c r="R5424" s="8"/>
      <c r="S5424" s="18"/>
      <c r="T5424" s="18"/>
      <c r="U5424" s="6"/>
      <c r="V5424" s="6"/>
      <c r="W5424" s="6"/>
      <c r="X5424" s="6"/>
      <c r="Y5424" s="6"/>
      <c r="Z5424" s="6"/>
    </row>
    <row r="5425" spans="14:26" ht="31.4" customHeight="1" x14ac:dyDescent="0.35">
      <c r="N5425" s="20"/>
      <c r="P5425" s="8"/>
      <c r="Q5425" s="8"/>
      <c r="R5425" s="8"/>
      <c r="S5425" s="18"/>
      <c r="T5425" s="18"/>
      <c r="U5425" s="6"/>
      <c r="V5425" s="6"/>
      <c r="W5425" s="6"/>
      <c r="X5425" s="6"/>
      <c r="Y5425" s="6"/>
      <c r="Z5425" s="6"/>
    </row>
    <row r="5426" spans="14:26" ht="31.4" customHeight="1" x14ac:dyDescent="0.35">
      <c r="N5426" s="20"/>
      <c r="P5426" s="8"/>
      <c r="Q5426" s="8"/>
      <c r="R5426" s="8"/>
      <c r="S5426" s="18"/>
      <c r="T5426" s="18"/>
      <c r="U5426" s="6"/>
      <c r="V5426" s="6"/>
      <c r="W5426" s="6"/>
      <c r="X5426" s="6"/>
      <c r="Y5426" s="6"/>
      <c r="Z5426" s="6"/>
    </row>
    <row r="5427" spans="14:26" ht="31.4" customHeight="1" x14ac:dyDescent="0.35">
      <c r="N5427" s="20"/>
      <c r="P5427" s="8"/>
      <c r="Q5427" s="8"/>
      <c r="R5427" s="8"/>
      <c r="S5427" s="18"/>
      <c r="T5427" s="18"/>
      <c r="U5427" s="6"/>
      <c r="V5427" s="6"/>
      <c r="W5427" s="6"/>
      <c r="X5427" s="6"/>
      <c r="Y5427" s="6"/>
      <c r="Z5427" s="6"/>
    </row>
    <row r="5428" spans="14:26" ht="31.4" customHeight="1" x14ac:dyDescent="0.35">
      <c r="N5428" s="20"/>
      <c r="P5428" s="8"/>
      <c r="Q5428" s="8"/>
      <c r="R5428" s="8"/>
      <c r="S5428" s="18"/>
      <c r="T5428" s="18"/>
      <c r="U5428" s="6"/>
      <c r="V5428" s="6"/>
      <c r="W5428" s="6"/>
      <c r="X5428" s="6"/>
      <c r="Y5428" s="6"/>
      <c r="Z5428" s="6"/>
    </row>
    <row r="5429" spans="14:26" ht="31.4" customHeight="1" x14ac:dyDescent="0.35">
      <c r="N5429" s="20"/>
      <c r="P5429" s="8"/>
      <c r="Q5429" s="8"/>
      <c r="R5429" s="8"/>
      <c r="S5429" s="18"/>
      <c r="T5429" s="18"/>
      <c r="U5429" s="6"/>
      <c r="V5429" s="6"/>
      <c r="W5429" s="6"/>
      <c r="X5429" s="6"/>
      <c r="Y5429" s="6"/>
      <c r="Z5429" s="6"/>
    </row>
    <row r="5430" spans="14:26" ht="31.4" customHeight="1" x14ac:dyDescent="0.35">
      <c r="N5430" s="20"/>
      <c r="P5430" s="8"/>
      <c r="Q5430" s="8"/>
      <c r="R5430" s="8"/>
      <c r="S5430" s="18"/>
      <c r="T5430" s="18"/>
      <c r="U5430" s="6"/>
      <c r="V5430" s="6"/>
      <c r="W5430" s="6"/>
      <c r="X5430" s="6"/>
      <c r="Y5430" s="6"/>
      <c r="Z5430" s="6"/>
    </row>
    <row r="5431" spans="14:26" ht="31.4" customHeight="1" x14ac:dyDescent="0.35">
      <c r="N5431" s="20"/>
      <c r="P5431" s="8"/>
      <c r="Q5431" s="8"/>
      <c r="R5431" s="8"/>
      <c r="S5431" s="18"/>
      <c r="T5431" s="18"/>
      <c r="U5431" s="6"/>
      <c r="V5431" s="6"/>
      <c r="W5431" s="6"/>
      <c r="X5431" s="6"/>
      <c r="Y5431" s="6"/>
      <c r="Z5431" s="6"/>
    </row>
    <row r="5432" spans="14:26" ht="31.4" customHeight="1" x14ac:dyDescent="0.35">
      <c r="N5432" s="20"/>
      <c r="P5432" s="8"/>
      <c r="Q5432" s="8"/>
      <c r="R5432" s="8"/>
      <c r="S5432" s="18"/>
      <c r="T5432" s="18"/>
      <c r="U5432" s="6"/>
      <c r="V5432" s="6"/>
      <c r="W5432" s="6"/>
      <c r="X5432" s="6"/>
      <c r="Y5432" s="6"/>
      <c r="Z5432" s="6"/>
    </row>
    <row r="5433" spans="14:26" ht="31.4" customHeight="1" x14ac:dyDescent="0.35">
      <c r="N5433" s="20"/>
      <c r="P5433" s="8"/>
      <c r="Q5433" s="8"/>
      <c r="R5433" s="8"/>
      <c r="S5433" s="18"/>
      <c r="T5433" s="18"/>
      <c r="U5433" s="6"/>
      <c r="V5433" s="6"/>
      <c r="W5433" s="6"/>
      <c r="X5433" s="6"/>
      <c r="Y5433" s="6"/>
      <c r="Z5433" s="6"/>
    </row>
    <row r="5434" spans="14:26" ht="31.4" customHeight="1" x14ac:dyDescent="0.35">
      <c r="N5434" s="20"/>
      <c r="P5434" s="8"/>
      <c r="Q5434" s="8"/>
      <c r="R5434" s="8"/>
      <c r="S5434" s="18"/>
      <c r="T5434" s="18"/>
      <c r="U5434" s="6"/>
      <c r="V5434" s="6"/>
      <c r="W5434" s="6"/>
      <c r="X5434" s="6"/>
      <c r="Y5434" s="6"/>
      <c r="Z5434" s="6"/>
    </row>
    <row r="5435" spans="14:26" ht="31.4" customHeight="1" x14ac:dyDescent="0.35">
      <c r="N5435" s="20"/>
      <c r="P5435" s="8"/>
      <c r="Q5435" s="8"/>
      <c r="R5435" s="8"/>
      <c r="S5435" s="18"/>
      <c r="T5435" s="18"/>
      <c r="U5435" s="6"/>
      <c r="V5435" s="6"/>
      <c r="W5435" s="6"/>
      <c r="X5435" s="6"/>
      <c r="Y5435" s="6"/>
      <c r="Z5435" s="6"/>
    </row>
    <row r="5436" spans="14:26" ht="31.4" customHeight="1" x14ac:dyDescent="0.35">
      <c r="N5436" s="20"/>
      <c r="P5436" s="8"/>
      <c r="Q5436" s="8"/>
      <c r="R5436" s="8"/>
      <c r="S5436" s="18"/>
      <c r="T5436" s="18"/>
      <c r="U5436" s="6"/>
      <c r="V5436" s="6"/>
      <c r="W5436" s="6"/>
      <c r="X5436" s="6"/>
      <c r="Y5436" s="6"/>
      <c r="Z5436" s="6"/>
    </row>
    <row r="5437" spans="14:26" ht="31.4" customHeight="1" x14ac:dyDescent="0.35">
      <c r="N5437" s="20"/>
      <c r="P5437" s="8"/>
      <c r="Q5437" s="8"/>
      <c r="R5437" s="8"/>
      <c r="S5437" s="18"/>
      <c r="T5437" s="18"/>
      <c r="U5437" s="6"/>
      <c r="V5437" s="6"/>
      <c r="W5437" s="6"/>
      <c r="X5437" s="6"/>
      <c r="Y5437" s="6"/>
      <c r="Z5437" s="6"/>
    </row>
    <row r="5438" spans="14:26" ht="31.4" customHeight="1" x14ac:dyDescent="0.35">
      <c r="N5438" s="20"/>
      <c r="P5438" s="8"/>
      <c r="Q5438" s="8"/>
      <c r="R5438" s="8"/>
      <c r="S5438" s="18"/>
      <c r="T5438" s="18"/>
      <c r="U5438" s="6"/>
      <c r="V5438" s="6"/>
      <c r="W5438" s="6"/>
      <c r="X5438" s="6"/>
      <c r="Y5438" s="6"/>
      <c r="Z5438" s="6"/>
    </row>
    <row r="5439" spans="14:26" ht="31.4" customHeight="1" x14ac:dyDescent="0.35">
      <c r="N5439" s="20"/>
      <c r="P5439" s="8"/>
      <c r="Q5439" s="8"/>
      <c r="R5439" s="8"/>
      <c r="S5439" s="18"/>
      <c r="T5439" s="18"/>
      <c r="U5439" s="6"/>
      <c r="V5439" s="6"/>
      <c r="W5439" s="6"/>
      <c r="X5439" s="6"/>
      <c r="Y5439" s="6"/>
      <c r="Z5439" s="6"/>
    </row>
    <row r="5440" spans="14:26" ht="31.4" customHeight="1" x14ac:dyDescent="0.35">
      <c r="N5440" s="20"/>
      <c r="P5440" s="8"/>
      <c r="Q5440" s="8"/>
      <c r="R5440" s="8"/>
      <c r="S5440" s="18"/>
      <c r="T5440" s="18"/>
      <c r="U5440" s="6"/>
      <c r="V5440" s="6"/>
      <c r="W5440" s="6"/>
      <c r="X5440" s="6"/>
      <c r="Y5440" s="6"/>
      <c r="Z5440" s="6"/>
    </row>
    <row r="5441" spans="14:26" ht="31.4" customHeight="1" x14ac:dyDescent="0.35">
      <c r="N5441" s="20"/>
      <c r="P5441" s="8"/>
      <c r="Q5441" s="8"/>
      <c r="R5441" s="8"/>
      <c r="S5441" s="18"/>
      <c r="T5441" s="18"/>
      <c r="U5441" s="6"/>
      <c r="V5441" s="6"/>
      <c r="W5441" s="6"/>
      <c r="X5441" s="6"/>
      <c r="Y5441" s="6"/>
      <c r="Z5441" s="6"/>
    </row>
    <row r="5442" spans="14:26" ht="31.4" customHeight="1" x14ac:dyDescent="0.35">
      <c r="N5442" s="20"/>
      <c r="P5442" s="8"/>
      <c r="Q5442" s="8"/>
      <c r="R5442" s="8"/>
      <c r="S5442" s="18"/>
      <c r="T5442" s="18"/>
      <c r="U5442" s="6"/>
      <c r="V5442" s="6"/>
      <c r="W5442" s="6"/>
      <c r="X5442" s="6"/>
      <c r="Y5442" s="6"/>
      <c r="Z5442" s="6"/>
    </row>
    <row r="5443" spans="14:26" ht="31.4" customHeight="1" x14ac:dyDescent="0.35">
      <c r="N5443" s="20"/>
      <c r="P5443" s="8"/>
      <c r="Q5443" s="8"/>
      <c r="R5443" s="8"/>
      <c r="S5443" s="18"/>
      <c r="T5443" s="18"/>
      <c r="U5443" s="6"/>
      <c r="V5443" s="6"/>
      <c r="W5443" s="6"/>
      <c r="X5443" s="6"/>
      <c r="Y5443" s="6"/>
      <c r="Z5443" s="6"/>
    </row>
    <row r="5444" spans="14:26" ht="31.4" customHeight="1" x14ac:dyDescent="0.35">
      <c r="N5444" s="20"/>
      <c r="P5444" s="8"/>
      <c r="Q5444" s="8"/>
      <c r="R5444" s="8"/>
      <c r="S5444" s="18"/>
      <c r="T5444" s="18"/>
      <c r="U5444" s="6"/>
      <c r="V5444" s="6"/>
      <c r="W5444" s="6"/>
      <c r="X5444" s="6"/>
      <c r="Y5444" s="6"/>
      <c r="Z5444" s="6"/>
    </row>
    <row r="5445" spans="14:26" ht="31.4" customHeight="1" x14ac:dyDescent="0.35">
      <c r="N5445" s="20"/>
      <c r="P5445" s="8"/>
      <c r="Q5445" s="8"/>
      <c r="R5445" s="8"/>
      <c r="S5445" s="18"/>
      <c r="T5445" s="18"/>
      <c r="U5445" s="6"/>
      <c r="V5445" s="6"/>
      <c r="W5445" s="6"/>
      <c r="X5445" s="6"/>
      <c r="Y5445" s="6"/>
      <c r="Z5445" s="6"/>
    </row>
    <row r="5446" spans="14:26" ht="31.4" customHeight="1" x14ac:dyDescent="0.35">
      <c r="N5446" s="20"/>
      <c r="P5446" s="8"/>
      <c r="Q5446" s="8"/>
      <c r="R5446" s="8"/>
      <c r="S5446" s="18"/>
      <c r="T5446" s="18"/>
      <c r="U5446" s="6"/>
      <c r="V5446" s="6"/>
      <c r="W5446" s="6"/>
      <c r="X5446" s="6"/>
      <c r="Y5446" s="6"/>
      <c r="Z5446" s="6"/>
    </row>
    <row r="5447" spans="14:26" ht="31.4" customHeight="1" x14ac:dyDescent="0.35">
      <c r="N5447" s="20"/>
      <c r="P5447" s="8"/>
      <c r="Q5447" s="8"/>
      <c r="R5447" s="8"/>
      <c r="S5447" s="18"/>
      <c r="T5447" s="18"/>
      <c r="U5447" s="6"/>
      <c r="V5447" s="6"/>
      <c r="W5447" s="6"/>
      <c r="X5447" s="6"/>
      <c r="Y5447" s="6"/>
      <c r="Z5447" s="6"/>
    </row>
    <row r="5448" spans="14:26" ht="31.4" customHeight="1" x14ac:dyDescent="0.35">
      <c r="N5448" s="20"/>
      <c r="P5448" s="8"/>
      <c r="Q5448" s="8"/>
      <c r="R5448" s="8"/>
      <c r="S5448" s="18"/>
      <c r="T5448" s="18"/>
      <c r="U5448" s="6"/>
      <c r="V5448" s="6"/>
      <c r="W5448" s="6"/>
      <c r="X5448" s="6"/>
      <c r="Y5448" s="6"/>
      <c r="Z5448" s="6"/>
    </row>
    <row r="5449" spans="14:26" ht="31.4" customHeight="1" x14ac:dyDescent="0.35">
      <c r="N5449" s="20"/>
      <c r="P5449" s="8"/>
      <c r="Q5449" s="8"/>
      <c r="R5449" s="8"/>
      <c r="S5449" s="18"/>
      <c r="T5449" s="18"/>
      <c r="U5449" s="6"/>
      <c r="V5449" s="6"/>
      <c r="W5449" s="6"/>
      <c r="X5449" s="6"/>
      <c r="Y5449" s="6"/>
      <c r="Z5449" s="6"/>
    </row>
    <row r="5450" spans="14:26" ht="31.4" customHeight="1" x14ac:dyDescent="0.35">
      <c r="N5450" s="20"/>
      <c r="P5450" s="8"/>
      <c r="Q5450" s="8"/>
      <c r="R5450" s="8"/>
      <c r="S5450" s="18"/>
      <c r="T5450" s="18"/>
      <c r="U5450" s="6"/>
      <c r="V5450" s="6"/>
      <c r="W5450" s="6"/>
      <c r="X5450" s="6"/>
      <c r="Y5450" s="6"/>
      <c r="Z5450" s="6"/>
    </row>
    <row r="5451" spans="14:26" ht="31.4" customHeight="1" x14ac:dyDescent="0.35">
      <c r="N5451" s="20"/>
      <c r="P5451" s="8"/>
      <c r="Q5451" s="8"/>
      <c r="R5451" s="8"/>
      <c r="S5451" s="18"/>
      <c r="T5451" s="18"/>
      <c r="U5451" s="6"/>
      <c r="V5451" s="6"/>
      <c r="W5451" s="6"/>
      <c r="X5451" s="6"/>
      <c r="Y5451" s="6"/>
      <c r="Z5451" s="6"/>
    </row>
    <row r="5452" spans="14:26" ht="31.4" customHeight="1" x14ac:dyDescent="0.35">
      <c r="N5452" s="20"/>
      <c r="P5452" s="8"/>
      <c r="Q5452" s="8"/>
      <c r="R5452" s="8"/>
      <c r="S5452" s="18"/>
      <c r="T5452" s="18"/>
      <c r="U5452" s="6"/>
      <c r="V5452" s="6"/>
      <c r="W5452" s="6"/>
      <c r="X5452" s="6"/>
      <c r="Y5452" s="6"/>
      <c r="Z5452" s="6"/>
    </row>
    <row r="5453" spans="14:26" ht="31.4" customHeight="1" x14ac:dyDescent="0.35">
      <c r="N5453" s="20"/>
      <c r="P5453" s="8"/>
      <c r="Q5453" s="8"/>
      <c r="R5453" s="8"/>
      <c r="S5453" s="18"/>
      <c r="T5453" s="18"/>
      <c r="U5453" s="6"/>
      <c r="V5453" s="6"/>
      <c r="W5453" s="6"/>
      <c r="X5453" s="6"/>
      <c r="Y5453" s="6"/>
      <c r="Z5453" s="6"/>
    </row>
    <row r="5454" spans="14:26" ht="31.4" customHeight="1" x14ac:dyDescent="0.35">
      <c r="N5454" s="20"/>
      <c r="P5454" s="8"/>
      <c r="Q5454" s="8"/>
      <c r="R5454" s="8"/>
      <c r="S5454" s="18"/>
      <c r="T5454" s="18"/>
      <c r="U5454" s="6"/>
      <c r="V5454" s="6"/>
      <c r="W5454" s="6"/>
      <c r="X5454" s="6"/>
      <c r="Y5454" s="6"/>
      <c r="Z5454" s="6"/>
    </row>
    <row r="5455" spans="14:26" ht="31.4" customHeight="1" x14ac:dyDescent="0.35">
      <c r="N5455" s="20"/>
      <c r="P5455" s="8"/>
      <c r="Q5455" s="8"/>
      <c r="R5455" s="8"/>
      <c r="S5455" s="18"/>
      <c r="T5455" s="18"/>
      <c r="U5455" s="6"/>
      <c r="V5455" s="6"/>
      <c r="W5455" s="6"/>
      <c r="X5455" s="6"/>
      <c r="Y5455" s="6"/>
      <c r="Z5455" s="6"/>
    </row>
    <row r="5456" spans="14:26" ht="31.4" customHeight="1" x14ac:dyDescent="0.35">
      <c r="N5456" s="20"/>
      <c r="P5456" s="8"/>
      <c r="Q5456" s="8"/>
      <c r="R5456" s="8"/>
      <c r="S5456" s="18"/>
      <c r="T5456" s="18"/>
      <c r="U5456" s="6"/>
      <c r="V5456" s="6"/>
      <c r="W5456" s="6"/>
      <c r="X5456" s="6"/>
      <c r="Y5456" s="6"/>
      <c r="Z5456" s="6"/>
    </row>
    <row r="5457" spans="14:26" ht="31.4" customHeight="1" x14ac:dyDescent="0.35">
      <c r="N5457" s="20"/>
      <c r="P5457" s="8"/>
      <c r="Q5457" s="8"/>
      <c r="R5457" s="8"/>
      <c r="S5457" s="18"/>
      <c r="T5457" s="18"/>
      <c r="U5457" s="6"/>
      <c r="V5457" s="6"/>
      <c r="W5457" s="6"/>
      <c r="X5457" s="6"/>
      <c r="Y5457" s="6"/>
      <c r="Z5457" s="6"/>
    </row>
    <row r="5458" spans="14:26" ht="31.4" customHeight="1" x14ac:dyDescent="0.35">
      <c r="N5458" s="20"/>
      <c r="P5458" s="8"/>
      <c r="Q5458" s="8"/>
      <c r="R5458" s="8"/>
      <c r="S5458" s="18"/>
      <c r="T5458" s="18"/>
      <c r="U5458" s="6"/>
      <c r="V5458" s="6"/>
      <c r="W5458" s="6"/>
      <c r="X5458" s="6"/>
      <c r="Y5458" s="6"/>
      <c r="Z5458" s="6"/>
    </row>
    <row r="5459" spans="14:26" ht="31.4" customHeight="1" x14ac:dyDescent="0.35">
      <c r="N5459" s="20"/>
      <c r="P5459" s="8"/>
      <c r="Q5459" s="8"/>
      <c r="R5459" s="8"/>
      <c r="S5459" s="18"/>
      <c r="T5459" s="18"/>
      <c r="U5459" s="6"/>
      <c r="V5459" s="6"/>
      <c r="W5459" s="6"/>
      <c r="X5459" s="6"/>
      <c r="Y5459" s="6"/>
      <c r="Z5459" s="6"/>
    </row>
    <row r="5460" spans="14:26" ht="31.4" customHeight="1" x14ac:dyDescent="0.35">
      <c r="N5460" s="20"/>
      <c r="P5460" s="8"/>
      <c r="Q5460" s="8"/>
      <c r="R5460" s="8"/>
      <c r="S5460" s="18"/>
      <c r="T5460" s="18"/>
      <c r="U5460" s="6"/>
      <c r="V5460" s="6"/>
      <c r="W5460" s="6"/>
      <c r="X5460" s="6"/>
      <c r="Y5460" s="6"/>
      <c r="Z5460" s="6"/>
    </row>
    <row r="5461" spans="14:26" ht="31.4" customHeight="1" x14ac:dyDescent="0.35">
      <c r="N5461" s="20"/>
      <c r="P5461" s="8"/>
      <c r="Q5461" s="8"/>
      <c r="R5461" s="8"/>
      <c r="S5461" s="18"/>
      <c r="T5461" s="18"/>
      <c r="U5461" s="6"/>
      <c r="V5461" s="6"/>
      <c r="W5461" s="6"/>
      <c r="X5461" s="6"/>
      <c r="Y5461" s="6"/>
      <c r="Z5461" s="6"/>
    </row>
    <row r="5462" spans="14:26" ht="31.4" customHeight="1" x14ac:dyDescent="0.35">
      <c r="N5462" s="20"/>
      <c r="P5462" s="8"/>
      <c r="Q5462" s="8"/>
      <c r="R5462" s="8"/>
      <c r="S5462" s="18"/>
      <c r="T5462" s="18"/>
      <c r="U5462" s="6"/>
      <c r="V5462" s="6"/>
      <c r="W5462" s="6"/>
      <c r="X5462" s="6"/>
      <c r="Y5462" s="6"/>
      <c r="Z5462" s="6"/>
    </row>
    <row r="5463" spans="14:26" ht="31.4" customHeight="1" x14ac:dyDescent="0.35">
      <c r="N5463" s="20"/>
      <c r="P5463" s="8"/>
      <c r="Q5463" s="8"/>
      <c r="R5463" s="8"/>
      <c r="S5463" s="18"/>
      <c r="T5463" s="18"/>
      <c r="U5463" s="6"/>
      <c r="V5463" s="6"/>
      <c r="W5463" s="6"/>
      <c r="X5463" s="6"/>
      <c r="Y5463" s="6"/>
      <c r="Z5463" s="6"/>
    </row>
    <row r="5464" spans="14:26" ht="31.4" customHeight="1" x14ac:dyDescent="0.35">
      <c r="N5464" s="20"/>
      <c r="P5464" s="8"/>
      <c r="Q5464" s="8"/>
      <c r="R5464" s="8"/>
      <c r="S5464" s="18"/>
      <c r="T5464" s="18"/>
      <c r="U5464" s="6"/>
      <c r="V5464" s="6"/>
      <c r="W5464" s="6"/>
      <c r="X5464" s="6"/>
      <c r="Y5464" s="6"/>
      <c r="Z5464" s="6"/>
    </row>
    <row r="5465" spans="14:26" ht="31.4" customHeight="1" x14ac:dyDescent="0.35">
      <c r="N5465" s="20"/>
      <c r="P5465" s="8"/>
      <c r="Q5465" s="8"/>
      <c r="R5465" s="8"/>
      <c r="S5465" s="18"/>
      <c r="T5465" s="18"/>
      <c r="U5465" s="6"/>
      <c r="V5465" s="6"/>
      <c r="W5465" s="6"/>
      <c r="X5465" s="6"/>
      <c r="Y5465" s="6"/>
      <c r="Z5465" s="6"/>
    </row>
    <row r="5466" spans="14:26" ht="31.4" customHeight="1" x14ac:dyDescent="0.35">
      <c r="N5466" s="20"/>
      <c r="P5466" s="8"/>
      <c r="Q5466" s="8"/>
      <c r="R5466" s="8"/>
      <c r="S5466" s="18"/>
      <c r="T5466" s="18"/>
      <c r="U5466" s="6"/>
      <c r="V5466" s="6"/>
      <c r="W5466" s="6"/>
      <c r="X5466" s="6"/>
      <c r="Y5466" s="6"/>
      <c r="Z5466" s="6"/>
    </row>
    <row r="5467" spans="14:26" ht="31.4" customHeight="1" x14ac:dyDescent="0.35">
      <c r="N5467" s="20"/>
      <c r="P5467" s="8"/>
      <c r="Q5467" s="8"/>
      <c r="R5467" s="8"/>
      <c r="S5467" s="18"/>
      <c r="T5467" s="18"/>
      <c r="U5467" s="6"/>
      <c r="V5467" s="6"/>
      <c r="W5467" s="6"/>
      <c r="X5467" s="6"/>
      <c r="Y5467" s="6"/>
      <c r="Z5467" s="6"/>
    </row>
    <row r="5468" spans="14:26" ht="31.4" customHeight="1" x14ac:dyDescent="0.35">
      <c r="N5468" s="20"/>
      <c r="P5468" s="8"/>
      <c r="Q5468" s="8"/>
      <c r="R5468" s="8"/>
      <c r="S5468" s="18"/>
      <c r="T5468" s="18"/>
      <c r="U5468" s="6"/>
      <c r="V5468" s="6"/>
      <c r="W5468" s="6"/>
      <c r="X5468" s="6"/>
      <c r="Y5468" s="6"/>
      <c r="Z5468" s="6"/>
    </row>
    <row r="5469" spans="14:26" ht="31.4" customHeight="1" x14ac:dyDescent="0.35">
      <c r="N5469" s="20"/>
      <c r="P5469" s="8"/>
      <c r="Q5469" s="8"/>
      <c r="R5469" s="8"/>
      <c r="S5469" s="18"/>
      <c r="T5469" s="18"/>
      <c r="U5469" s="6"/>
      <c r="V5469" s="6"/>
      <c r="W5469" s="6"/>
      <c r="X5469" s="6"/>
      <c r="Y5469" s="6"/>
      <c r="Z5469" s="6"/>
    </row>
    <row r="5470" spans="14:26" ht="31.4" customHeight="1" x14ac:dyDescent="0.35">
      <c r="N5470" s="20"/>
      <c r="P5470" s="8"/>
      <c r="Q5470" s="8"/>
      <c r="R5470" s="8"/>
      <c r="S5470" s="18"/>
      <c r="T5470" s="18"/>
      <c r="U5470" s="6"/>
      <c r="V5470" s="6"/>
      <c r="W5470" s="6"/>
      <c r="X5470" s="6"/>
      <c r="Y5470" s="6"/>
      <c r="Z5470" s="6"/>
    </row>
    <row r="5471" spans="14:26" ht="31.4" customHeight="1" x14ac:dyDescent="0.35">
      <c r="N5471" s="20"/>
      <c r="P5471" s="8"/>
      <c r="Q5471" s="8"/>
      <c r="R5471" s="8"/>
      <c r="S5471" s="18"/>
      <c r="T5471" s="18"/>
      <c r="U5471" s="6"/>
      <c r="V5471" s="6"/>
      <c r="W5471" s="6"/>
      <c r="X5471" s="6"/>
      <c r="Y5471" s="6"/>
      <c r="Z5471" s="6"/>
    </row>
    <row r="5472" spans="14:26" ht="31.4" customHeight="1" x14ac:dyDescent="0.35">
      <c r="N5472" s="20"/>
      <c r="P5472" s="8"/>
      <c r="Q5472" s="8"/>
      <c r="R5472" s="8"/>
      <c r="S5472" s="18"/>
      <c r="T5472" s="18"/>
      <c r="U5472" s="6"/>
      <c r="V5472" s="6"/>
      <c r="W5472" s="6"/>
      <c r="X5472" s="6"/>
      <c r="Y5472" s="6"/>
      <c r="Z5472" s="6"/>
    </row>
    <row r="5473" spans="14:26" ht="31.4" customHeight="1" x14ac:dyDescent="0.35">
      <c r="N5473" s="20"/>
      <c r="P5473" s="8"/>
      <c r="Q5473" s="8"/>
      <c r="R5473" s="8"/>
      <c r="S5473" s="18"/>
      <c r="T5473" s="18"/>
      <c r="U5473" s="6"/>
      <c r="V5473" s="6"/>
      <c r="W5473" s="6"/>
      <c r="X5473" s="6"/>
      <c r="Y5473" s="6"/>
      <c r="Z5473" s="6"/>
    </row>
    <row r="5474" spans="14:26" ht="31.4" customHeight="1" x14ac:dyDescent="0.35">
      <c r="N5474" s="20"/>
      <c r="P5474" s="8"/>
      <c r="Q5474" s="8"/>
      <c r="R5474" s="8"/>
      <c r="S5474" s="18"/>
      <c r="T5474" s="18"/>
      <c r="U5474" s="6"/>
      <c r="V5474" s="6"/>
      <c r="W5474" s="6"/>
      <c r="X5474" s="6"/>
      <c r="Y5474" s="6"/>
      <c r="Z5474" s="6"/>
    </row>
    <row r="5475" spans="14:26" ht="31.4" customHeight="1" x14ac:dyDescent="0.35">
      <c r="N5475" s="20"/>
      <c r="P5475" s="8"/>
      <c r="Q5475" s="8"/>
      <c r="R5475" s="8"/>
      <c r="S5475" s="18"/>
      <c r="T5475" s="18"/>
      <c r="U5475" s="6"/>
      <c r="V5475" s="6"/>
      <c r="W5475" s="6"/>
      <c r="X5475" s="6"/>
      <c r="Y5475" s="6"/>
      <c r="Z5475" s="6"/>
    </row>
    <row r="5476" spans="14:26" ht="31.4" customHeight="1" x14ac:dyDescent="0.35">
      <c r="N5476" s="20"/>
      <c r="P5476" s="8"/>
      <c r="Q5476" s="8"/>
      <c r="R5476" s="8"/>
      <c r="S5476" s="18"/>
      <c r="T5476" s="18"/>
      <c r="U5476" s="6"/>
      <c r="V5476" s="6"/>
      <c r="W5476" s="6"/>
      <c r="X5476" s="6"/>
      <c r="Y5476" s="6"/>
      <c r="Z5476" s="6"/>
    </row>
    <row r="5477" spans="14:26" ht="31.4" customHeight="1" x14ac:dyDescent="0.35">
      <c r="N5477" s="20"/>
      <c r="P5477" s="8"/>
      <c r="Q5477" s="8"/>
      <c r="R5477" s="8"/>
      <c r="S5477" s="18"/>
      <c r="T5477" s="18"/>
      <c r="U5477" s="6"/>
      <c r="V5477" s="6"/>
      <c r="W5477" s="6"/>
      <c r="X5477" s="6"/>
      <c r="Y5477" s="6"/>
      <c r="Z5477" s="6"/>
    </row>
    <row r="5478" spans="14:26" ht="31.4" customHeight="1" x14ac:dyDescent="0.35">
      <c r="N5478" s="20"/>
      <c r="P5478" s="8"/>
      <c r="Q5478" s="8"/>
      <c r="R5478" s="8"/>
      <c r="S5478" s="18"/>
      <c r="T5478" s="18"/>
      <c r="U5478" s="6"/>
      <c r="V5478" s="6"/>
      <c r="W5478" s="6"/>
      <c r="X5478" s="6"/>
      <c r="Y5478" s="6"/>
      <c r="Z5478" s="6"/>
    </row>
    <row r="5479" spans="14:26" ht="31.4" customHeight="1" x14ac:dyDescent="0.35">
      <c r="N5479" s="20"/>
      <c r="P5479" s="8"/>
      <c r="Q5479" s="8"/>
      <c r="R5479" s="8"/>
      <c r="S5479" s="18"/>
      <c r="T5479" s="18"/>
      <c r="U5479" s="6"/>
      <c r="V5479" s="6"/>
      <c r="W5479" s="6"/>
      <c r="X5479" s="6"/>
      <c r="Y5479" s="6"/>
      <c r="Z5479" s="6"/>
    </row>
    <row r="5480" spans="14:26" ht="31.4" customHeight="1" x14ac:dyDescent="0.35">
      <c r="N5480" s="20"/>
      <c r="P5480" s="8"/>
      <c r="Q5480" s="8"/>
      <c r="R5480" s="8"/>
      <c r="S5480" s="18"/>
      <c r="T5480" s="18"/>
      <c r="U5480" s="6"/>
      <c r="V5480" s="6"/>
      <c r="W5480" s="6"/>
      <c r="X5480" s="6"/>
      <c r="Y5480" s="6"/>
      <c r="Z5480" s="6"/>
    </row>
    <row r="5481" spans="14:26" ht="31.4" customHeight="1" x14ac:dyDescent="0.35">
      <c r="N5481" s="20"/>
      <c r="P5481" s="8"/>
      <c r="Q5481" s="8"/>
      <c r="R5481" s="8"/>
      <c r="S5481" s="18"/>
      <c r="T5481" s="18"/>
      <c r="U5481" s="6"/>
      <c r="V5481" s="6"/>
      <c r="W5481" s="6"/>
      <c r="X5481" s="6"/>
      <c r="Y5481" s="6"/>
      <c r="Z5481" s="6"/>
    </row>
    <row r="5482" spans="14:26" ht="31.4" customHeight="1" x14ac:dyDescent="0.35">
      <c r="N5482" s="20"/>
      <c r="P5482" s="8"/>
      <c r="Q5482" s="8"/>
      <c r="R5482" s="8"/>
      <c r="S5482" s="18"/>
      <c r="T5482" s="18"/>
      <c r="U5482" s="6"/>
      <c r="V5482" s="6"/>
      <c r="W5482" s="6"/>
      <c r="X5482" s="6"/>
      <c r="Y5482" s="6"/>
      <c r="Z5482" s="6"/>
    </row>
    <row r="5483" spans="14:26" ht="31.4" customHeight="1" x14ac:dyDescent="0.35">
      <c r="N5483" s="20"/>
      <c r="P5483" s="8"/>
      <c r="Q5483" s="8"/>
      <c r="R5483" s="8"/>
      <c r="S5483" s="18"/>
      <c r="T5483" s="18"/>
      <c r="U5483" s="6"/>
      <c r="V5483" s="6"/>
      <c r="W5483" s="6"/>
      <c r="X5483" s="6"/>
      <c r="Y5483" s="6"/>
      <c r="Z5483" s="6"/>
    </row>
    <row r="5484" spans="14:26" ht="31.4" customHeight="1" x14ac:dyDescent="0.35">
      <c r="N5484" s="20"/>
      <c r="P5484" s="8"/>
      <c r="Q5484" s="8"/>
      <c r="R5484" s="8"/>
      <c r="S5484" s="18"/>
      <c r="T5484" s="18"/>
      <c r="U5484" s="6"/>
      <c r="V5484" s="6"/>
      <c r="W5484" s="6"/>
      <c r="X5484" s="6"/>
      <c r="Y5484" s="6"/>
      <c r="Z5484" s="6"/>
    </row>
    <row r="5485" spans="14:26" ht="31.4" customHeight="1" x14ac:dyDescent="0.35">
      <c r="N5485" s="20"/>
      <c r="P5485" s="8"/>
      <c r="Q5485" s="8"/>
      <c r="R5485" s="8"/>
      <c r="S5485" s="18"/>
      <c r="T5485" s="18"/>
      <c r="U5485" s="6"/>
      <c r="V5485" s="6"/>
      <c r="W5485" s="6"/>
      <c r="X5485" s="6"/>
      <c r="Y5485" s="6"/>
      <c r="Z5485" s="6"/>
    </row>
    <row r="5486" spans="14:26" ht="31.4" customHeight="1" x14ac:dyDescent="0.35">
      <c r="N5486" s="20"/>
      <c r="P5486" s="8"/>
      <c r="Q5486" s="8"/>
      <c r="R5486" s="8"/>
      <c r="S5486" s="18"/>
      <c r="T5486" s="18"/>
      <c r="U5486" s="6"/>
      <c r="V5486" s="6"/>
      <c r="W5486" s="6"/>
      <c r="X5486" s="6"/>
      <c r="Y5486" s="6"/>
      <c r="Z5486" s="6"/>
    </row>
    <row r="5487" spans="14:26" ht="31.4" customHeight="1" x14ac:dyDescent="0.35">
      <c r="N5487" s="20"/>
      <c r="P5487" s="8"/>
      <c r="Q5487" s="8"/>
      <c r="R5487" s="8"/>
      <c r="S5487" s="18"/>
      <c r="T5487" s="18"/>
      <c r="U5487" s="6"/>
      <c r="V5487" s="6"/>
      <c r="W5487" s="6"/>
      <c r="X5487" s="6"/>
      <c r="Y5487" s="6"/>
      <c r="Z5487" s="6"/>
    </row>
    <row r="5488" spans="14:26" ht="31.4" customHeight="1" x14ac:dyDescent="0.35">
      <c r="N5488" s="20"/>
      <c r="P5488" s="8"/>
      <c r="Q5488" s="8"/>
      <c r="R5488" s="8"/>
      <c r="S5488" s="18"/>
      <c r="T5488" s="18"/>
      <c r="U5488" s="6"/>
      <c r="V5488" s="6"/>
      <c r="W5488" s="6"/>
      <c r="X5488" s="6"/>
      <c r="Y5488" s="6"/>
      <c r="Z5488" s="6"/>
    </row>
    <row r="5489" spans="14:26" ht="31.4" customHeight="1" x14ac:dyDescent="0.35">
      <c r="N5489" s="20"/>
      <c r="P5489" s="8"/>
      <c r="Q5489" s="8"/>
      <c r="R5489" s="8"/>
      <c r="S5489" s="18"/>
      <c r="T5489" s="18"/>
      <c r="U5489" s="6"/>
      <c r="V5489" s="6"/>
      <c r="W5489" s="6"/>
      <c r="X5489" s="6"/>
      <c r="Y5489" s="6"/>
      <c r="Z5489" s="6"/>
    </row>
    <row r="5490" spans="14:26" ht="31.4" customHeight="1" x14ac:dyDescent="0.35">
      <c r="N5490" s="20"/>
      <c r="P5490" s="8"/>
      <c r="Q5490" s="8"/>
      <c r="R5490" s="8"/>
      <c r="S5490" s="18"/>
      <c r="T5490" s="18"/>
      <c r="U5490" s="6"/>
      <c r="V5490" s="6"/>
      <c r="W5490" s="6"/>
      <c r="X5490" s="6"/>
      <c r="Y5490" s="6"/>
      <c r="Z5490" s="6"/>
    </row>
    <row r="5491" spans="14:26" ht="31.4" customHeight="1" x14ac:dyDescent="0.35">
      <c r="N5491" s="20"/>
      <c r="P5491" s="8"/>
      <c r="Q5491" s="8"/>
      <c r="R5491" s="8"/>
      <c r="S5491" s="18"/>
      <c r="T5491" s="18"/>
      <c r="U5491" s="6"/>
      <c r="V5491" s="6"/>
      <c r="W5491" s="6"/>
      <c r="X5491" s="6"/>
      <c r="Y5491" s="6"/>
      <c r="Z5491" s="6"/>
    </row>
    <row r="5492" spans="14:26" ht="31.4" customHeight="1" x14ac:dyDescent="0.35">
      <c r="N5492" s="20"/>
      <c r="P5492" s="8"/>
      <c r="Q5492" s="8"/>
      <c r="R5492" s="8"/>
      <c r="S5492" s="18"/>
      <c r="T5492" s="18"/>
      <c r="U5492" s="6"/>
      <c r="V5492" s="6"/>
      <c r="W5492" s="6"/>
      <c r="X5492" s="6"/>
      <c r="Y5492" s="6"/>
      <c r="Z5492" s="6"/>
    </row>
    <row r="5493" spans="14:26" ht="31.4" customHeight="1" x14ac:dyDescent="0.35">
      <c r="N5493" s="20"/>
      <c r="P5493" s="8"/>
      <c r="Q5493" s="8"/>
      <c r="R5493" s="8"/>
      <c r="S5493" s="18"/>
      <c r="T5493" s="18"/>
      <c r="U5493" s="6"/>
      <c r="V5493" s="6"/>
      <c r="W5493" s="6"/>
      <c r="X5493" s="6"/>
      <c r="Y5493" s="6"/>
      <c r="Z5493" s="6"/>
    </row>
    <row r="5494" spans="14:26" ht="31.4" customHeight="1" x14ac:dyDescent="0.35">
      <c r="N5494" s="20"/>
      <c r="P5494" s="8"/>
      <c r="Q5494" s="8"/>
      <c r="R5494" s="8"/>
      <c r="S5494" s="18"/>
      <c r="T5494" s="18"/>
      <c r="U5494" s="6"/>
      <c r="V5494" s="6"/>
      <c r="W5494" s="6"/>
      <c r="X5494" s="6"/>
      <c r="Y5494" s="6"/>
      <c r="Z5494" s="6"/>
    </row>
    <row r="5495" spans="14:26" ht="31.4" customHeight="1" x14ac:dyDescent="0.35">
      <c r="N5495" s="20"/>
      <c r="P5495" s="8"/>
      <c r="Q5495" s="8"/>
      <c r="R5495" s="8"/>
      <c r="S5495" s="18"/>
      <c r="T5495" s="18"/>
      <c r="U5495" s="6"/>
      <c r="V5495" s="6"/>
      <c r="W5495" s="6"/>
      <c r="X5495" s="6"/>
      <c r="Y5495" s="6"/>
      <c r="Z5495" s="6"/>
    </row>
    <row r="5496" spans="14:26" ht="31.4" customHeight="1" x14ac:dyDescent="0.35">
      <c r="N5496" s="20"/>
      <c r="P5496" s="8"/>
      <c r="Q5496" s="8"/>
      <c r="R5496" s="8"/>
      <c r="S5496" s="18"/>
      <c r="T5496" s="18"/>
      <c r="U5496" s="6"/>
      <c r="V5496" s="6"/>
      <c r="W5496" s="6"/>
      <c r="X5496" s="6"/>
      <c r="Y5496" s="6"/>
      <c r="Z5496" s="6"/>
    </row>
    <row r="5497" spans="14:26" ht="31.4" customHeight="1" x14ac:dyDescent="0.35">
      <c r="N5497" s="20"/>
      <c r="P5497" s="8"/>
      <c r="Q5497" s="8"/>
      <c r="R5497" s="8"/>
      <c r="S5497" s="18"/>
      <c r="T5497" s="18"/>
      <c r="U5497" s="6"/>
      <c r="V5497" s="6"/>
      <c r="W5497" s="6"/>
      <c r="X5497" s="6"/>
      <c r="Y5497" s="6"/>
      <c r="Z5497" s="6"/>
    </row>
    <row r="5498" spans="14:26" ht="31.4" customHeight="1" x14ac:dyDescent="0.35">
      <c r="N5498" s="20"/>
      <c r="P5498" s="8"/>
      <c r="Q5498" s="8"/>
      <c r="R5498" s="8"/>
      <c r="S5498" s="18"/>
      <c r="T5498" s="18"/>
      <c r="U5498" s="6"/>
      <c r="V5498" s="6"/>
      <c r="W5498" s="6"/>
      <c r="X5498" s="6"/>
      <c r="Y5498" s="6"/>
      <c r="Z5498" s="6"/>
    </row>
    <row r="5499" spans="14:26" ht="31.4" customHeight="1" x14ac:dyDescent="0.35">
      <c r="N5499" s="20"/>
      <c r="P5499" s="8"/>
      <c r="Q5499" s="8"/>
      <c r="R5499" s="8"/>
      <c r="S5499" s="18"/>
      <c r="T5499" s="18"/>
      <c r="U5499" s="6"/>
      <c r="V5499" s="6"/>
      <c r="W5499" s="6"/>
      <c r="X5499" s="6"/>
      <c r="Y5499" s="6"/>
      <c r="Z5499" s="6"/>
    </row>
    <row r="5500" spans="14:26" ht="31.4" customHeight="1" x14ac:dyDescent="0.35">
      <c r="N5500" s="20"/>
      <c r="P5500" s="8"/>
      <c r="Q5500" s="8"/>
      <c r="R5500" s="8"/>
      <c r="S5500" s="18"/>
      <c r="T5500" s="18"/>
      <c r="U5500" s="6"/>
      <c r="V5500" s="6"/>
      <c r="W5500" s="6"/>
      <c r="X5500" s="6"/>
      <c r="Y5500" s="6"/>
      <c r="Z5500" s="6"/>
    </row>
    <row r="5501" spans="14:26" ht="31.4" customHeight="1" x14ac:dyDescent="0.35">
      <c r="N5501" s="20"/>
      <c r="P5501" s="8"/>
      <c r="Q5501" s="8"/>
      <c r="R5501" s="8"/>
      <c r="S5501" s="18"/>
      <c r="T5501" s="18"/>
      <c r="U5501" s="6"/>
      <c r="V5501" s="6"/>
      <c r="W5501" s="6"/>
      <c r="X5501" s="6"/>
      <c r="Y5501" s="6"/>
      <c r="Z5501" s="6"/>
    </row>
    <row r="5502" spans="14:26" ht="31.4" customHeight="1" x14ac:dyDescent="0.35">
      <c r="N5502" s="20"/>
      <c r="P5502" s="8"/>
      <c r="Q5502" s="8"/>
      <c r="R5502" s="8"/>
      <c r="S5502" s="18"/>
      <c r="T5502" s="18"/>
      <c r="U5502" s="6"/>
      <c r="V5502" s="6"/>
      <c r="W5502" s="6"/>
      <c r="X5502" s="6"/>
      <c r="Y5502" s="6"/>
      <c r="Z5502" s="6"/>
    </row>
    <row r="5503" spans="14:26" ht="31.4" customHeight="1" x14ac:dyDescent="0.35">
      <c r="N5503" s="20"/>
      <c r="P5503" s="8"/>
      <c r="Q5503" s="8"/>
      <c r="R5503" s="8"/>
      <c r="S5503" s="18"/>
      <c r="T5503" s="18"/>
      <c r="U5503" s="6"/>
      <c r="V5503" s="6"/>
      <c r="W5503" s="6"/>
      <c r="X5503" s="6"/>
      <c r="Y5503" s="6"/>
      <c r="Z5503" s="6"/>
    </row>
    <row r="5504" spans="14:26" ht="31.4" customHeight="1" x14ac:dyDescent="0.35">
      <c r="N5504" s="20"/>
      <c r="P5504" s="8"/>
      <c r="Q5504" s="8"/>
      <c r="R5504" s="8"/>
      <c r="S5504" s="18"/>
      <c r="T5504" s="18"/>
      <c r="U5504" s="6"/>
      <c r="V5504" s="6"/>
      <c r="W5504" s="6"/>
      <c r="X5504" s="6"/>
      <c r="Y5504" s="6"/>
      <c r="Z5504" s="6"/>
    </row>
    <row r="5505" spans="14:26" ht="31.4" customHeight="1" x14ac:dyDescent="0.35">
      <c r="N5505" s="20"/>
      <c r="P5505" s="8"/>
      <c r="Q5505" s="8"/>
      <c r="R5505" s="8"/>
      <c r="S5505" s="18"/>
      <c r="T5505" s="18"/>
      <c r="U5505" s="6"/>
      <c r="V5505" s="6"/>
      <c r="W5505" s="6"/>
      <c r="X5505" s="6"/>
      <c r="Y5505" s="6"/>
      <c r="Z5505" s="6"/>
    </row>
    <row r="5506" spans="14:26" ht="31.4" customHeight="1" x14ac:dyDescent="0.35">
      <c r="N5506" s="20"/>
      <c r="P5506" s="8"/>
      <c r="Q5506" s="8"/>
      <c r="R5506" s="8"/>
      <c r="S5506" s="18"/>
      <c r="T5506" s="18"/>
      <c r="U5506" s="6"/>
      <c r="V5506" s="6"/>
      <c r="W5506" s="6"/>
      <c r="X5506" s="6"/>
      <c r="Y5506" s="6"/>
      <c r="Z5506" s="6"/>
    </row>
    <row r="5507" spans="14:26" ht="31.4" customHeight="1" x14ac:dyDescent="0.35">
      <c r="N5507" s="20"/>
      <c r="P5507" s="8"/>
      <c r="Q5507" s="8"/>
      <c r="R5507" s="8"/>
      <c r="S5507" s="18"/>
      <c r="T5507" s="18"/>
      <c r="U5507" s="6"/>
      <c r="V5507" s="6"/>
      <c r="W5507" s="6"/>
      <c r="X5507" s="6"/>
      <c r="Y5507" s="6"/>
      <c r="Z5507" s="6"/>
    </row>
    <row r="5508" spans="14:26" ht="31.4" customHeight="1" x14ac:dyDescent="0.35">
      <c r="N5508" s="20"/>
      <c r="P5508" s="8"/>
      <c r="Q5508" s="8"/>
      <c r="R5508" s="8"/>
      <c r="S5508" s="18"/>
      <c r="T5508" s="18"/>
      <c r="U5508" s="6"/>
      <c r="V5508" s="6"/>
      <c r="W5508" s="6"/>
      <c r="X5508" s="6"/>
      <c r="Y5508" s="6"/>
      <c r="Z5508" s="6"/>
    </row>
    <row r="5509" spans="14:26" ht="31.4" customHeight="1" x14ac:dyDescent="0.35">
      <c r="N5509" s="20"/>
      <c r="P5509" s="8"/>
      <c r="Q5509" s="8"/>
      <c r="R5509" s="8"/>
      <c r="S5509" s="18"/>
      <c r="T5509" s="18"/>
      <c r="U5509" s="6"/>
      <c r="V5509" s="6"/>
      <c r="W5509" s="6"/>
      <c r="X5509" s="6"/>
      <c r="Y5509" s="6"/>
      <c r="Z5509" s="6"/>
    </row>
    <row r="5510" spans="14:26" ht="31.4" customHeight="1" x14ac:dyDescent="0.35">
      <c r="N5510" s="20"/>
      <c r="P5510" s="8"/>
      <c r="Q5510" s="8"/>
      <c r="R5510" s="8"/>
      <c r="S5510" s="18"/>
      <c r="T5510" s="18"/>
      <c r="U5510" s="6"/>
      <c r="V5510" s="6"/>
      <c r="W5510" s="6"/>
      <c r="X5510" s="6"/>
      <c r="Y5510" s="6"/>
      <c r="Z5510" s="6"/>
    </row>
    <row r="5511" spans="14:26" ht="31.4" customHeight="1" x14ac:dyDescent="0.35">
      <c r="N5511" s="20"/>
      <c r="P5511" s="8"/>
      <c r="Q5511" s="8"/>
      <c r="R5511" s="8"/>
      <c r="S5511" s="18"/>
      <c r="T5511" s="18"/>
      <c r="U5511" s="6"/>
      <c r="V5511" s="6"/>
      <c r="W5511" s="6"/>
      <c r="X5511" s="6"/>
      <c r="Y5511" s="6"/>
      <c r="Z5511" s="6"/>
    </row>
    <row r="5512" spans="14:26" ht="31.4" customHeight="1" x14ac:dyDescent="0.35">
      <c r="N5512" s="20"/>
      <c r="P5512" s="8"/>
      <c r="Q5512" s="8"/>
      <c r="R5512" s="8"/>
      <c r="S5512" s="18"/>
      <c r="T5512" s="18"/>
      <c r="U5512" s="6"/>
      <c r="V5512" s="6"/>
      <c r="W5512" s="6"/>
      <c r="X5512" s="6"/>
      <c r="Y5512" s="6"/>
      <c r="Z5512" s="6"/>
    </row>
    <row r="5513" spans="14:26" ht="31.4" customHeight="1" x14ac:dyDescent="0.35">
      <c r="N5513" s="20"/>
      <c r="P5513" s="8"/>
      <c r="Q5513" s="8"/>
      <c r="R5513" s="8"/>
      <c r="S5513" s="18"/>
      <c r="T5513" s="18"/>
      <c r="U5513" s="6"/>
      <c r="V5513" s="6"/>
      <c r="W5513" s="6"/>
      <c r="X5513" s="6"/>
      <c r="Y5513" s="6"/>
      <c r="Z5513" s="6"/>
    </row>
    <row r="5514" spans="14:26" ht="31.4" customHeight="1" x14ac:dyDescent="0.35">
      <c r="N5514" s="20"/>
      <c r="P5514" s="8"/>
      <c r="Q5514" s="8"/>
      <c r="R5514" s="8"/>
      <c r="S5514" s="18"/>
      <c r="T5514" s="18"/>
      <c r="U5514" s="6"/>
      <c r="V5514" s="6"/>
      <c r="W5514" s="6"/>
      <c r="X5514" s="6"/>
      <c r="Y5514" s="6"/>
      <c r="Z5514" s="6"/>
    </row>
    <row r="5515" spans="14:26" ht="31.4" customHeight="1" x14ac:dyDescent="0.35">
      <c r="N5515" s="20"/>
      <c r="P5515" s="8"/>
      <c r="Q5515" s="8"/>
      <c r="R5515" s="8"/>
      <c r="S5515" s="18"/>
      <c r="T5515" s="18"/>
      <c r="U5515" s="6"/>
      <c r="V5515" s="6"/>
      <c r="W5515" s="6"/>
      <c r="X5515" s="6"/>
      <c r="Y5515" s="6"/>
      <c r="Z5515" s="6"/>
    </row>
    <row r="5516" spans="14:26" ht="31.4" customHeight="1" x14ac:dyDescent="0.35">
      <c r="N5516" s="20"/>
      <c r="P5516" s="8"/>
      <c r="Q5516" s="8"/>
      <c r="R5516" s="8"/>
      <c r="S5516" s="18"/>
      <c r="T5516" s="18"/>
      <c r="U5516" s="6"/>
      <c r="V5516" s="6"/>
      <c r="W5516" s="6"/>
      <c r="X5516" s="6"/>
      <c r="Y5516" s="6"/>
      <c r="Z5516" s="6"/>
    </row>
    <row r="5517" spans="14:26" ht="31.4" customHeight="1" x14ac:dyDescent="0.35">
      <c r="N5517" s="20"/>
      <c r="P5517" s="8"/>
      <c r="Q5517" s="8"/>
      <c r="R5517" s="8"/>
      <c r="S5517" s="18"/>
      <c r="T5517" s="18"/>
      <c r="U5517" s="6"/>
      <c r="V5517" s="6"/>
      <c r="W5517" s="6"/>
      <c r="X5517" s="6"/>
      <c r="Y5517" s="6"/>
      <c r="Z5517" s="6"/>
    </row>
    <row r="5518" spans="14:26" ht="31.4" customHeight="1" x14ac:dyDescent="0.35">
      <c r="N5518" s="20"/>
      <c r="P5518" s="8"/>
      <c r="Q5518" s="8"/>
      <c r="R5518" s="8"/>
      <c r="S5518" s="18"/>
      <c r="T5518" s="18"/>
      <c r="U5518" s="6"/>
      <c r="V5518" s="6"/>
      <c r="W5518" s="6"/>
      <c r="X5518" s="6"/>
      <c r="Y5518" s="6"/>
      <c r="Z5518" s="6"/>
    </row>
    <row r="5519" spans="14:26" ht="31.4" customHeight="1" x14ac:dyDescent="0.35">
      <c r="N5519" s="20"/>
      <c r="P5519" s="8"/>
      <c r="Q5519" s="8"/>
      <c r="R5519" s="8"/>
      <c r="S5519" s="18"/>
      <c r="T5519" s="18"/>
      <c r="U5519" s="6"/>
      <c r="V5519" s="6"/>
      <c r="W5519" s="6"/>
      <c r="X5519" s="6"/>
      <c r="Y5519" s="6"/>
      <c r="Z5519" s="6"/>
    </row>
    <row r="5520" spans="14:26" ht="31.4" customHeight="1" x14ac:dyDescent="0.35">
      <c r="N5520" s="20"/>
      <c r="P5520" s="8"/>
      <c r="Q5520" s="8"/>
      <c r="R5520" s="8"/>
      <c r="S5520" s="18"/>
      <c r="T5520" s="18"/>
      <c r="U5520" s="6"/>
      <c r="V5520" s="6"/>
      <c r="W5520" s="6"/>
      <c r="X5520" s="6"/>
      <c r="Y5520" s="6"/>
      <c r="Z5520" s="6"/>
    </row>
    <row r="5521" spans="14:26" ht="31.4" customHeight="1" x14ac:dyDescent="0.35">
      <c r="N5521" s="20"/>
      <c r="P5521" s="8"/>
      <c r="Q5521" s="8"/>
      <c r="R5521" s="8"/>
      <c r="S5521" s="18"/>
      <c r="T5521" s="18"/>
      <c r="U5521" s="6"/>
      <c r="V5521" s="6"/>
      <c r="W5521" s="6"/>
      <c r="X5521" s="6"/>
      <c r="Y5521" s="6"/>
      <c r="Z5521" s="6"/>
    </row>
    <row r="5522" spans="14:26" ht="31.4" customHeight="1" x14ac:dyDescent="0.35">
      <c r="N5522" s="20"/>
      <c r="P5522" s="8"/>
      <c r="Q5522" s="8"/>
      <c r="R5522" s="8"/>
      <c r="S5522" s="18"/>
      <c r="T5522" s="18"/>
      <c r="U5522" s="6"/>
      <c r="V5522" s="6"/>
      <c r="W5522" s="6"/>
      <c r="X5522" s="6"/>
      <c r="Y5522" s="6"/>
      <c r="Z5522" s="6"/>
    </row>
    <row r="5523" spans="14:26" ht="31.4" customHeight="1" x14ac:dyDescent="0.35">
      <c r="N5523" s="20"/>
      <c r="P5523" s="8"/>
      <c r="Q5523" s="8"/>
      <c r="R5523" s="8"/>
      <c r="S5523" s="18"/>
      <c r="T5523" s="18"/>
      <c r="U5523" s="6"/>
      <c r="V5523" s="6"/>
      <c r="W5523" s="6"/>
      <c r="X5523" s="6"/>
      <c r="Y5523" s="6"/>
      <c r="Z5523" s="6"/>
    </row>
    <row r="5524" spans="14:26" ht="31.4" customHeight="1" x14ac:dyDescent="0.35">
      <c r="N5524" s="20"/>
      <c r="P5524" s="8"/>
      <c r="Q5524" s="8"/>
      <c r="R5524" s="8"/>
      <c r="S5524" s="18"/>
      <c r="T5524" s="18"/>
      <c r="U5524" s="6"/>
      <c r="V5524" s="6"/>
      <c r="W5524" s="6"/>
      <c r="X5524" s="6"/>
      <c r="Y5524" s="6"/>
      <c r="Z5524" s="6"/>
    </row>
    <row r="5525" spans="14:26" ht="31.4" customHeight="1" x14ac:dyDescent="0.35">
      <c r="N5525" s="20"/>
      <c r="P5525" s="8"/>
      <c r="Q5525" s="8"/>
      <c r="R5525" s="8"/>
      <c r="S5525" s="18"/>
      <c r="T5525" s="18"/>
      <c r="U5525" s="6"/>
      <c r="V5525" s="6"/>
      <c r="W5525" s="6"/>
      <c r="X5525" s="6"/>
      <c r="Y5525" s="6"/>
      <c r="Z5525" s="6"/>
    </row>
    <row r="5526" spans="14:26" ht="31.4" customHeight="1" x14ac:dyDescent="0.35">
      <c r="N5526" s="20"/>
      <c r="P5526" s="8"/>
      <c r="Q5526" s="8"/>
      <c r="R5526" s="8"/>
      <c r="S5526" s="18"/>
      <c r="T5526" s="18"/>
      <c r="U5526" s="6"/>
      <c r="V5526" s="6"/>
      <c r="W5526" s="6"/>
      <c r="X5526" s="6"/>
      <c r="Y5526" s="6"/>
      <c r="Z5526" s="6"/>
    </row>
    <row r="5527" spans="14:26" ht="31.4" customHeight="1" x14ac:dyDescent="0.35">
      <c r="N5527" s="20"/>
      <c r="P5527" s="8"/>
      <c r="Q5527" s="8"/>
      <c r="R5527" s="8"/>
      <c r="S5527" s="18"/>
      <c r="T5527" s="18"/>
      <c r="U5527" s="6"/>
      <c r="V5527" s="6"/>
      <c r="W5527" s="6"/>
      <c r="X5527" s="6"/>
      <c r="Y5527" s="6"/>
      <c r="Z5527" s="6"/>
    </row>
    <row r="5528" spans="14:26" ht="31.4" customHeight="1" x14ac:dyDescent="0.35">
      <c r="N5528" s="20"/>
      <c r="P5528" s="8"/>
      <c r="Q5528" s="8"/>
      <c r="R5528" s="8"/>
      <c r="S5528" s="18"/>
      <c r="T5528" s="18"/>
      <c r="U5528" s="6"/>
      <c r="V5528" s="6"/>
      <c r="W5528" s="6"/>
      <c r="X5528" s="6"/>
      <c r="Y5528" s="6"/>
      <c r="Z5528" s="6"/>
    </row>
    <row r="5529" spans="14:26" ht="31.4" customHeight="1" x14ac:dyDescent="0.35">
      <c r="N5529" s="20"/>
      <c r="P5529" s="8"/>
      <c r="Q5529" s="8"/>
      <c r="R5529" s="8"/>
      <c r="S5529" s="18"/>
      <c r="T5529" s="18"/>
      <c r="U5529" s="6"/>
      <c r="V5529" s="6"/>
      <c r="W5529" s="6"/>
      <c r="X5529" s="6"/>
      <c r="Y5529" s="6"/>
      <c r="Z5529" s="6"/>
    </row>
    <row r="5530" spans="14:26" ht="31.4" customHeight="1" x14ac:dyDescent="0.35">
      <c r="N5530" s="20"/>
      <c r="P5530" s="8"/>
      <c r="Q5530" s="8"/>
      <c r="R5530" s="8"/>
      <c r="S5530" s="18"/>
      <c r="T5530" s="18"/>
      <c r="U5530" s="6"/>
      <c r="V5530" s="6"/>
      <c r="W5530" s="6"/>
      <c r="X5530" s="6"/>
      <c r="Y5530" s="6"/>
      <c r="Z5530" s="6"/>
    </row>
    <row r="5531" spans="14:26" ht="31.4" customHeight="1" x14ac:dyDescent="0.35">
      <c r="N5531" s="20"/>
      <c r="P5531" s="8"/>
      <c r="Q5531" s="8"/>
      <c r="R5531" s="8"/>
      <c r="S5531" s="18"/>
      <c r="T5531" s="18"/>
      <c r="U5531" s="6"/>
      <c r="V5531" s="6"/>
      <c r="W5531" s="6"/>
      <c r="X5531" s="6"/>
      <c r="Y5531" s="6"/>
      <c r="Z5531" s="6"/>
    </row>
    <row r="5532" spans="14:26" ht="31.4" customHeight="1" x14ac:dyDescent="0.35">
      <c r="N5532" s="20"/>
      <c r="P5532" s="8"/>
      <c r="Q5532" s="8"/>
      <c r="R5532" s="8"/>
      <c r="S5532" s="18"/>
      <c r="T5532" s="18"/>
      <c r="U5532" s="6"/>
      <c r="V5532" s="6"/>
      <c r="W5532" s="6"/>
      <c r="X5532" s="6"/>
      <c r="Y5532" s="6"/>
      <c r="Z5532" s="6"/>
    </row>
    <row r="5533" spans="14:26" ht="31.4" customHeight="1" x14ac:dyDescent="0.35">
      <c r="N5533" s="20"/>
      <c r="P5533" s="8"/>
      <c r="Q5533" s="8"/>
      <c r="R5533" s="8"/>
      <c r="S5533" s="18"/>
      <c r="T5533" s="18"/>
      <c r="U5533" s="6"/>
      <c r="V5533" s="6"/>
      <c r="W5533" s="6"/>
      <c r="X5533" s="6"/>
      <c r="Y5533" s="6"/>
      <c r="Z5533" s="6"/>
    </row>
    <row r="5534" spans="14:26" ht="31.4" customHeight="1" x14ac:dyDescent="0.35">
      <c r="N5534" s="20"/>
      <c r="P5534" s="8"/>
      <c r="Q5534" s="8"/>
      <c r="R5534" s="8"/>
      <c r="S5534" s="18"/>
      <c r="T5534" s="18"/>
      <c r="U5534" s="6"/>
      <c r="V5534" s="6"/>
      <c r="W5534" s="6"/>
      <c r="X5534" s="6"/>
      <c r="Y5534" s="6"/>
      <c r="Z5534" s="6"/>
    </row>
    <row r="5535" spans="14:26" ht="31.4" customHeight="1" x14ac:dyDescent="0.35">
      <c r="N5535" s="20"/>
      <c r="P5535" s="8"/>
      <c r="Q5535" s="8"/>
      <c r="R5535" s="8"/>
      <c r="S5535" s="18"/>
      <c r="T5535" s="18"/>
      <c r="U5535" s="6"/>
      <c r="V5535" s="6"/>
      <c r="W5535" s="6"/>
      <c r="X5535" s="6"/>
      <c r="Y5535" s="6"/>
      <c r="Z5535" s="6"/>
    </row>
    <row r="5536" spans="14:26" ht="31.4" customHeight="1" x14ac:dyDescent="0.35">
      <c r="N5536" s="20"/>
      <c r="P5536" s="8"/>
      <c r="Q5536" s="8"/>
      <c r="R5536" s="8"/>
      <c r="S5536" s="18"/>
      <c r="T5536" s="18"/>
      <c r="U5536" s="6"/>
      <c r="V5536" s="6"/>
      <c r="W5536" s="6"/>
      <c r="X5536" s="6"/>
      <c r="Y5536" s="6"/>
      <c r="Z5536" s="6"/>
    </row>
    <row r="5537" spans="14:26" ht="31.4" customHeight="1" x14ac:dyDescent="0.35">
      <c r="N5537" s="20"/>
      <c r="P5537" s="8"/>
      <c r="Q5537" s="8"/>
      <c r="R5537" s="8"/>
      <c r="S5537" s="18"/>
      <c r="T5537" s="18"/>
      <c r="U5537" s="6"/>
      <c r="V5537" s="6"/>
      <c r="W5537" s="6"/>
      <c r="X5537" s="6"/>
      <c r="Y5537" s="6"/>
      <c r="Z5537" s="6"/>
    </row>
    <row r="5538" spans="14:26" ht="31.4" customHeight="1" x14ac:dyDescent="0.35">
      <c r="N5538" s="20"/>
      <c r="P5538" s="8"/>
      <c r="Q5538" s="8"/>
      <c r="R5538" s="8"/>
      <c r="S5538" s="18"/>
      <c r="T5538" s="18"/>
      <c r="U5538" s="6"/>
      <c r="V5538" s="6"/>
      <c r="W5538" s="6"/>
      <c r="X5538" s="6"/>
      <c r="Y5538" s="6"/>
      <c r="Z5538" s="6"/>
    </row>
    <row r="5539" spans="14:26" ht="31.4" customHeight="1" x14ac:dyDescent="0.35">
      <c r="N5539" s="20"/>
      <c r="P5539" s="8"/>
      <c r="Q5539" s="8"/>
      <c r="R5539" s="8"/>
      <c r="S5539" s="18"/>
      <c r="T5539" s="18"/>
      <c r="U5539" s="6"/>
      <c r="V5539" s="6"/>
      <c r="W5539" s="6"/>
      <c r="X5539" s="6"/>
      <c r="Y5539" s="6"/>
      <c r="Z5539" s="6"/>
    </row>
    <row r="5540" spans="14:26" ht="31.4" customHeight="1" x14ac:dyDescent="0.35">
      <c r="N5540" s="20"/>
      <c r="P5540" s="8"/>
      <c r="Q5540" s="8"/>
      <c r="R5540" s="8"/>
      <c r="S5540" s="18"/>
      <c r="T5540" s="18"/>
      <c r="U5540" s="6"/>
      <c r="V5540" s="6"/>
      <c r="W5540" s="6"/>
      <c r="X5540" s="6"/>
      <c r="Y5540" s="6"/>
      <c r="Z5540" s="6"/>
    </row>
    <row r="5541" spans="14:26" ht="31.4" customHeight="1" x14ac:dyDescent="0.35">
      <c r="N5541" s="20"/>
      <c r="P5541" s="8"/>
      <c r="Q5541" s="8"/>
      <c r="R5541" s="8"/>
      <c r="S5541" s="18"/>
      <c r="T5541" s="18"/>
      <c r="U5541" s="6"/>
      <c r="V5541" s="6"/>
      <c r="W5541" s="6"/>
      <c r="X5541" s="6"/>
      <c r="Y5541" s="6"/>
      <c r="Z5541" s="6"/>
    </row>
    <row r="5542" spans="14:26" ht="31.4" customHeight="1" x14ac:dyDescent="0.35">
      <c r="N5542" s="20"/>
      <c r="P5542" s="8"/>
      <c r="Q5542" s="8"/>
      <c r="R5542" s="8"/>
      <c r="S5542" s="18"/>
      <c r="T5542" s="18"/>
      <c r="U5542" s="6"/>
      <c r="V5542" s="6"/>
      <c r="W5542" s="6"/>
      <c r="X5542" s="6"/>
      <c r="Y5542" s="6"/>
      <c r="Z5542" s="6"/>
    </row>
    <row r="5543" spans="14:26" ht="31.4" customHeight="1" x14ac:dyDescent="0.35">
      <c r="N5543" s="20"/>
      <c r="P5543" s="8"/>
      <c r="Q5543" s="8"/>
      <c r="R5543" s="8"/>
      <c r="S5543" s="18"/>
      <c r="T5543" s="18"/>
      <c r="U5543" s="6"/>
      <c r="V5543" s="6"/>
      <c r="W5543" s="6"/>
      <c r="X5543" s="6"/>
      <c r="Y5543" s="6"/>
      <c r="Z5543" s="6"/>
    </row>
    <row r="5544" spans="14:26" ht="31.4" customHeight="1" x14ac:dyDescent="0.35">
      <c r="N5544" s="20"/>
      <c r="P5544" s="8"/>
      <c r="Q5544" s="8"/>
      <c r="R5544" s="8"/>
      <c r="S5544" s="18"/>
      <c r="T5544" s="18"/>
      <c r="U5544" s="6"/>
      <c r="V5544" s="6"/>
      <c r="W5544" s="6"/>
      <c r="X5544" s="6"/>
      <c r="Y5544" s="6"/>
      <c r="Z5544" s="6"/>
    </row>
    <row r="5545" spans="14:26" ht="31.4" customHeight="1" x14ac:dyDescent="0.35">
      <c r="N5545" s="20"/>
      <c r="P5545" s="8"/>
      <c r="Q5545" s="8"/>
      <c r="R5545" s="8"/>
      <c r="S5545" s="18"/>
      <c r="T5545" s="18"/>
      <c r="U5545" s="6"/>
      <c r="V5545" s="6"/>
      <c r="W5545" s="6"/>
      <c r="X5545" s="6"/>
      <c r="Y5545" s="6"/>
      <c r="Z5545" s="6"/>
    </row>
    <row r="5546" spans="14:26" ht="31.4" customHeight="1" x14ac:dyDescent="0.35">
      <c r="N5546" s="20"/>
      <c r="P5546" s="8"/>
      <c r="Q5546" s="8"/>
      <c r="R5546" s="8"/>
      <c r="S5546" s="18"/>
      <c r="T5546" s="18"/>
      <c r="U5546" s="6"/>
      <c r="V5546" s="6"/>
      <c r="W5546" s="6"/>
      <c r="X5546" s="6"/>
      <c r="Y5546" s="6"/>
      <c r="Z5546" s="6"/>
    </row>
    <row r="5547" spans="14:26" ht="31.4" customHeight="1" x14ac:dyDescent="0.35">
      <c r="N5547" s="20"/>
      <c r="P5547" s="8"/>
      <c r="Q5547" s="8"/>
      <c r="R5547" s="8"/>
      <c r="S5547" s="18"/>
      <c r="T5547" s="18"/>
      <c r="U5547" s="6"/>
      <c r="V5547" s="6"/>
      <c r="W5547" s="6"/>
      <c r="X5547" s="6"/>
      <c r="Y5547" s="6"/>
      <c r="Z5547" s="6"/>
    </row>
    <row r="5548" spans="14:26" ht="31.4" customHeight="1" x14ac:dyDescent="0.35">
      <c r="N5548" s="20"/>
      <c r="P5548" s="8"/>
      <c r="Q5548" s="8"/>
      <c r="R5548" s="8"/>
      <c r="S5548" s="18"/>
      <c r="T5548" s="18"/>
      <c r="U5548" s="6"/>
      <c r="V5548" s="6"/>
      <c r="W5548" s="6"/>
      <c r="X5548" s="6"/>
      <c r="Y5548" s="6"/>
      <c r="Z5548" s="6"/>
    </row>
    <row r="5549" spans="14:26" ht="31.4" customHeight="1" x14ac:dyDescent="0.35">
      <c r="N5549" s="20"/>
      <c r="P5549" s="8"/>
      <c r="Q5549" s="8"/>
      <c r="R5549" s="8"/>
      <c r="S5549" s="18"/>
      <c r="T5549" s="18"/>
      <c r="U5549" s="6"/>
      <c r="V5549" s="6"/>
      <c r="W5549" s="6"/>
      <c r="X5549" s="6"/>
      <c r="Y5549" s="6"/>
      <c r="Z5549" s="6"/>
    </row>
    <row r="5550" spans="14:26" ht="31.4" customHeight="1" x14ac:dyDescent="0.35">
      <c r="N5550" s="20"/>
      <c r="P5550" s="8"/>
      <c r="Q5550" s="8"/>
      <c r="R5550" s="8"/>
      <c r="S5550" s="18"/>
      <c r="T5550" s="18"/>
      <c r="U5550" s="6"/>
      <c r="V5550" s="6"/>
      <c r="W5550" s="6"/>
      <c r="X5550" s="6"/>
      <c r="Y5550" s="6"/>
      <c r="Z5550" s="6"/>
    </row>
    <row r="5551" spans="14:26" ht="31.4" customHeight="1" x14ac:dyDescent="0.35">
      <c r="N5551" s="20"/>
      <c r="P5551" s="8"/>
      <c r="Q5551" s="8"/>
      <c r="R5551" s="8"/>
      <c r="S5551" s="18"/>
      <c r="T5551" s="18"/>
      <c r="U5551" s="6"/>
      <c r="V5551" s="6"/>
      <c r="W5551" s="6"/>
      <c r="X5551" s="6"/>
      <c r="Y5551" s="6"/>
      <c r="Z5551" s="6"/>
    </row>
    <row r="5552" spans="14:26" ht="31.4" customHeight="1" x14ac:dyDescent="0.35">
      <c r="N5552" s="20"/>
      <c r="P5552" s="8"/>
      <c r="Q5552" s="8"/>
      <c r="R5552" s="8"/>
      <c r="S5552" s="18"/>
      <c r="T5552" s="18"/>
      <c r="U5552" s="6"/>
      <c r="V5552" s="6"/>
      <c r="W5552" s="6"/>
      <c r="X5552" s="6"/>
      <c r="Y5552" s="6"/>
      <c r="Z5552" s="6"/>
    </row>
    <row r="5553" spans="14:26" ht="31.4" customHeight="1" x14ac:dyDescent="0.35">
      <c r="N5553" s="20"/>
      <c r="P5553" s="8"/>
      <c r="Q5553" s="8"/>
      <c r="R5553" s="8"/>
      <c r="S5553" s="18"/>
      <c r="T5553" s="18"/>
      <c r="U5553" s="6"/>
      <c r="V5553" s="6"/>
      <c r="W5553" s="6"/>
      <c r="X5553" s="6"/>
      <c r="Y5553" s="6"/>
      <c r="Z5553" s="6"/>
    </row>
    <row r="5554" spans="14:26" ht="31.4" customHeight="1" x14ac:dyDescent="0.35">
      <c r="N5554" s="20"/>
      <c r="P5554" s="8"/>
      <c r="Q5554" s="8"/>
      <c r="R5554" s="8"/>
      <c r="S5554" s="18"/>
      <c r="T5554" s="18"/>
      <c r="U5554" s="6"/>
      <c r="V5554" s="6"/>
      <c r="W5554" s="6"/>
      <c r="X5554" s="6"/>
      <c r="Y5554" s="6"/>
      <c r="Z5554" s="6"/>
    </row>
    <row r="5555" spans="14:26" ht="31.4" customHeight="1" x14ac:dyDescent="0.35">
      <c r="N5555" s="20"/>
      <c r="P5555" s="8"/>
      <c r="Q5555" s="8"/>
      <c r="R5555" s="8"/>
      <c r="S5555" s="18"/>
      <c r="T5555" s="18"/>
      <c r="U5555" s="6"/>
      <c r="V5555" s="6"/>
      <c r="W5555" s="6"/>
      <c r="X5555" s="6"/>
      <c r="Y5555" s="6"/>
      <c r="Z5555" s="6"/>
    </row>
    <row r="5556" spans="14:26" ht="31.4" customHeight="1" x14ac:dyDescent="0.35">
      <c r="N5556" s="20"/>
      <c r="P5556" s="8"/>
      <c r="Q5556" s="8"/>
      <c r="R5556" s="8"/>
      <c r="S5556" s="18"/>
      <c r="T5556" s="18"/>
      <c r="U5556" s="6"/>
      <c r="V5556" s="6"/>
      <c r="W5556" s="6"/>
      <c r="X5556" s="6"/>
      <c r="Y5556" s="6"/>
      <c r="Z5556" s="6"/>
    </row>
    <row r="5557" spans="14:26" ht="31.4" customHeight="1" x14ac:dyDescent="0.35">
      <c r="N5557" s="20"/>
      <c r="P5557" s="8"/>
      <c r="Q5557" s="8"/>
      <c r="R5557" s="8"/>
      <c r="S5557" s="18"/>
      <c r="T5557" s="18"/>
      <c r="U5557" s="6"/>
      <c r="V5557" s="6"/>
      <c r="W5557" s="6"/>
      <c r="X5557" s="6"/>
      <c r="Y5557" s="6"/>
      <c r="Z5557" s="6"/>
    </row>
    <row r="5558" spans="14:26" ht="31.4" customHeight="1" x14ac:dyDescent="0.35">
      <c r="N5558" s="20"/>
      <c r="P5558" s="8"/>
      <c r="Q5558" s="8"/>
      <c r="R5558" s="8"/>
      <c r="S5558" s="18"/>
      <c r="T5558" s="18"/>
      <c r="U5558" s="6"/>
      <c r="V5558" s="6"/>
      <c r="W5558" s="6"/>
      <c r="X5558" s="6"/>
      <c r="Y5558" s="6"/>
      <c r="Z5558" s="6"/>
    </row>
    <row r="5559" spans="14:26" ht="31.4" customHeight="1" x14ac:dyDescent="0.35">
      <c r="N5559" s="20"/>
      <c r="P5559" s="8"/>
      <c r="Q5559" s="8"/>
      <c r="R5559" s="8"/>
      <c r="S5559" s="18"/>
      <c r="T5559" s="18"/>
      <c r="U5559" s="6"/>
      <c r="V5559" s="6"/>
      <c r="W5559" s="6"/>
      <c r="X5559" s="6"/>
      <c r="Y5559" s="6"/>
      <c r="Z5559" s="6"/>
    </row>
    <row r="5560" spans="14:26" ht="31.4" customHeight="1" x14ac:dyDescent="0.35">
      <c r="N5560" s="20"/>
      <c r="P5560" s="8"/>
      <c r="Q5560" s="8"/>
      <c r="R5560" s="8"/>
      <c r="S5560" s="18"/>
      <c r="T5560" s="18"/>
      <c r="U5560" s="6"/>
      <c r="V5560" s="6"/>
      <c r="W5560" s="6"/>
      <c r="X5560" s="6"/>
      <c r="Y5560" s="6"/>
      <c r="Z5560" s="6"/>
    </row>
    <row r="5561" spans="14:26" ht="31.4" customHeight="1" x14ac:dyDescent="0.35">
      <c r="N5561" s="20"/>
      <c r="P5561" s="8"/>
      <c r="Q5561" s="8"/>
      <c r="R5561" s="8"/>
      <c r="S5561" s="18"/>
      <c r="T5561" s="18"/>
      <c r="U5561" s="6"/>
      <c r="V5561" s="6"/>
      <c r="W5561" s="6"/>
      <c r="X5561" s="6"/>
      <c r="Y5561" s="6"/>
      <c r="Z5561" s="6"/>
    </row>
    <row r="5562" spans="14:26" ht="31.4" customHeight="1" x14ac:dyDescent="0.35">
      <c r="N5562" s="20"/>
      <c r="P5562" s="8"/>
      <c r="Q5562" s="8"/>
      <c r="R5562" s="8"/>
      <c r="S5562" s="18"/>
      <c r="T5562" s="18"/>
      <c r="U5562" s="6"/>
      <c r="V5562" s="6"/>
      <c r="W5562" s="6"/>
      <c r="X5562" s="6"/>
      <c r="Y5562" s="6"/>
      <c r="Z5562" s="6"/>
    </row>
    <row r="5563" spans="14:26" ht="31.4" customHeight="1" x14ac:dyDescent="0.35">
      <c r="N5563" s="20"/>
      <c r="P5563" s="8"/>
      <c r="Q5563" s="8"/>
      <c r="R5563" s="8"/>
      <c r="S5563" s="18"/>
      <c r="T5563" s="18"/>
      <c r="U5563" s="6"/>
      <c r="V5563" s="6"/>
      <c r="W5563" s="6"/>
      <c r="X5563" s="6"/>
      <c r="Y5563" s="6"/>
      <c r="Z5563" s="6"/>
    </row>
    <row r="5564" spans="14:26" ht="31.4" customHeight="1" x14ac:dyDescent="0.35">
      <c r="N5564" s="20"/>
      <c r="P5564" s="8"/>
      <c r="Q5564" s="8"/>
      <c r="R5564" s="8"/>
      <c r="S5564" s="18"/>
      <c r="T5564" s="18"/>
      <c r="U5564" s="6"/>
      <c r="V5564" s="6"/>
      <c r="W5564" s="6"/>
      <c r="X5564" s="6"/>
      <c r="Y5564" s="6"/>
      <c r="Z5564" s="6"/>
    </row>
    <row r="5565" spans="14:26" ht="31.4" customHeight="1" x14ac:dyDescent="0.35">
      <c r="N5565" s="20"/>
      <c r="P5565" s="8"/>
      <c r="Q5565" s="8"/>
      <c r="R5565" s="8"/>
      <c r="S5565" s="18"/>
      <c r="T5565" s="18"/>
      <c r="U5565" s="6"/>
      <c r="V5565" s="6"/>
      <c r="W5565" s="6"/>
      <c r="X5565" s="6"/>
      <c r="Y5565" s="6"/>
      <c r="Z5565" s="6"/>
    </row>
    <row r="5566" spans="14:26" ht="31.4" customHeight="1" x14ac:dyDescent="0.35">
      <c r="N5566" s="20"/>
      <c r="P5566" s="8"/>
      <c r="Q5566" s="8"/>
      <c r="R5566" s="8"/>
      <c r="S5566" s="18"/>
      <c r="T5566" s="18"/>
      <c r="U5566" s="6"/>
      <c r="V5566" s="6"/>
      <c r="W5566" s="6"/>
      <c r="X5566" s="6"/>
      <c r="Y5566" s="6"/>
      <c r="Z5566" s="6"/>
    </row>
    <row r="5567" spans="14:26" ht="31.4" customHeight="1" x14ac:dyDescent="0.35">
      <c r="N5567" s="20"/>
      <c r="P5567" s="8"/>
      <c r="Q5567" s="8"/>
      <c r="R5567" s="8"/>
      <c r="S5567" s="18"/>
      <c r="T5567" s="18"/>
      <c r="U5567" s="6"/>
      <c r="V5567" s="6"/>
      <c r="W5567" s="6"/>
      <c r="X5567" s="6"/>
      <c r="Y5567" s="6"/>
      <c r="Z5567" s="6"/>
    </row>
    <row r="5568" spans="14:26" ht="31.4" customHeight="1" x14ac:dyDescent="0.35">
      <c r="N5568" s="20"/>
      <c r="P5568" s="8"/>
      <c r="Q5568" s="8"/>
      <c r="R5568" s="8"/>
      <c r="S5568" s="18"/>
      <c r="T5568" s="18"/>
      <c r="U5568" s="6"/>
      <c r="V5568" s="6"/>
      <c r="W5568" s="6"/>
      <c r="X5568" s="6"/>
      <c r="Y5568" s="6"/>
      <c r="Z5568" s="6"/>
    </row>
    <row r="5569" spans="14:26" ht="31.4" customHeight="1" x14ac:dyDescent="0.35">
      <c r="N5569" s="20"/>
      <c r="P5569" s="8"/>
      <c r="Q5569" s="8"/>
      <c r="R5569" s="8"/>
      <c r="S5569" s="18"/>
      <c r="T5569" s="18"/>
      <c r="U5569" s="6"/>
      <c r="V5569" s="6"/>
      <c r="W5569" s="6"/>
      <c r="X5569" s="6"/>
      <c r="Y5569" s="6"/>
      <c r="Z5569" s="6"/>
    </row>
    <row r="5570" spans="14:26" ht="31.4" customHeight="1" x14ac:dyDescent="0.35">
      <c r="N5570" s="20"/>
      <c r="P5570" s="8"/>
      <c r="Q5570" s="8"/>
      <c r="R5570" s="8"/>
      <c r="S5570" s="18"/>
      <c r="T5570" s="18"/>
      <c r="U5570" s="6"/>
      <c r="V5570" s="6"/>
      <c r="W5570" s="6"/>
      <c r="X5570" s="6"/>
      <c r="Y5570" s="6"/>
      <c r="Z5570" s="6"/>
    </row>
    <row r="5571" spans="14:26" ht="31.4" customHeight="1" x14ac:dyDescent="0.35">
      <c r="N5571" s="20"/>
      <c r="P5571" s="8"/>
      <c r="Q5571" s="8"/>
      <c r="R5571" s="8"/>
      <c r="S5571" s="18"/>
      <c r="T5571" s="18"/>
      <c r="U5571" s="6"/>
      <c r="V5571" s="6"/>
      <c r="W5571" s="6"/>
      <c r="X5571" s="6"/>
      <c r="Y5571" s="6"/>
      <c r="Z5571" s="6"/>
    </row>
    <row r="5572" spans="14:26" ht="31.4" customHeight="1" x14ac:dyDescent="0.35">
      <c r="N5572" s="20"/>
      <c r="P5572" s="8"/>
      <c r="Q5572" s="8"/>
      <c r="R5572" s="8"/>
      <c r="S5572" s="18"/>
      <c r="T5572" s="18"/>
      <c r="U5572" s="6"/>
      <c r="V5572" s="6"/>
      <c r="W5572" s="6"/>
      <c r="X5572" s="6"/>
      <c r="Y5572" s="6"/>
      <c r="Z5572" s="6"/>
    </row>
    <row r="5573" spans="14:26" ht="31.4" customHeight="1" x14ac:dyDescent="0.35">
      <c r="N5573" s="20"/>
      <c r="P5573" s="8"/>
      <c r="Q5573" s="8"/>
      <c r="R5573" s="8"/>
      <c r="S5573" s="18"/>
      <c r="T5573" s="18"/>
      <c r="U5573" s="6"/>
      <c r="V5573" s="6"/>
      <c r="W5573" s="6"/>
      <c r="X5573" s="6"/>
      <c r="Y5573" s="6"/>
      <c r="Z5573" s="6"/>
    </row>
    <row r="5574" spans="14:26" ht="31.4" customHeight="1" x14ac:dyDescent="0.35">
      <c r="N5574" s="20"/>
      <c r="P5574" s="8"/>
      <c r="Q5574" s="8"/>
      <c r="R5574" s="8"/>
      <c r="S5574" s="18"/>
      <c r="T5574" s="18"/>
      <c r="U5574" s="6"/>
      <c r="V5574" s="6"/>
      <c r="W5574" s="6"/>
      <c r="X5574" s="6"/>
      <c r="Y5574" s="6"/>
      <c r="Z5574" s="6"/>
    </row>
    <row r="5575" spans="14:26" ht="31.4" customHeight="1" x14ac:dyDescent="0.35">
      <c r="N5575" s="20"/>
      <c r="P5575" s="8"/>
      <c r="Q5575" s="8"/>
      <c r="R5575" s="8"/>
      <c r="S5575" s="18"/>
      <c r="T5575" s="18"/>
      <c r="U5575" s="6"/>
      <c r="V5575" s="6"/>
      <c r="W5575" s="6"/>
      <c r="X5575" s="6"/>
      <c r="Y5575" s="6"/>
      <c r="Z5575" s="6"/>
    </row>
    <row r="5576" spans="14:26" ht="31.4" customHeight="1" x14ac:dyDescent="0.35">
      <c r="N5576" s="20"/>
      <c r="P5576" s="8"/>
      <c r="Q5576" s="8"/>
      <c r="R5576" s="8"/>
      <c r="S5576" s="18"/>
      <c r="T5576" s="18"/>
      <c r="U5576" s="6"/>
      <c r="V5576" s="6"/>
      <c r="W5576" s="6"/>
      <c r="X5576" s="6"/>
      <c r="Y5576" s="6"/>
      <c r="Z5576" s="6"/>
    </row>
    <row r="5577" spans="14:26" ht="31.4" customHeight="1" x14ac:dyDescent="0.35">
      <c r="N5577" s="20"/>
      <c r="P5577" s="8"/>
      <c r="Q5577" s="8"/>
      <c r="R5577" s="8"/>
      <c r="S5577" s="18"/>
      <c r="T5577" s="18"/>
      <c r="U5577" s="6"/>
      <c r="V5577" s="6"/>
      <c r="W5577" s="6"/>
      <c r="X5577" s="6"/>
      <c r="Y5577" s="6"/>
      <c r="Z5577" s="6"/>
    </row>
    <row r="5578" spans="14:26" ht="31.4" customHeight="1" x14ac:dyDescent="0.35">
      <c r="N5578" s="20"/>
      <c r="P5578" s="8"/>
      <c r="Q5578" s="8"/>
      <c r="R5578" s="8"/>
      <c r="S5578" s="18"/>
      <c r="T5578" s="18"/>
      <c r="U5578" s="6"/>
      <c r="V5578" s="6"/>
      <c r="W5578" s="6"/>
      <c r="X5578" s="6"/>
      <c r="Y5578" s="6"/>
      <c r="Z5578" s="6"/>
    </row>
    <row r="5579" spans="14:26" ht="31.4" customHeight="1" x14ac:dyDescent="0.35">
      <c r="N5579" s="20"/>
      <c r="P5579" s="8"/>
      <c r="Q5579" s="8"/>
      <c r="R5579" s="8"/>
      <c r="S5579" s="18"/>
      <c r="T5579" s="18"/>
      <c r="U5579" s="6"/>
      <c r="V5579" s="6"/>
      <c r="W5579" s="6"/>
      <c r="X5579" s="6"/>
      <c r="Y5579" s="6"/>
      <c r="Z5579" s="6"/>
    </row>
    <row r="5580" spans="14:26" ht="31.4" customHeight="1" x14ac:dyDescent="0.35">
      <c r="N5580" s="20"/>
      <c r="P5580" s="8"/>
      <c r="Q5580" s="8"/>
      <c r="R5580" s="8"/>
      <c r="S5580" s="18"/>
      <c r="T5580" s="18"/>
      <c r="U5580" s="6"/>
      <c r="V5580" s="6"/>
      <c r="W5580" s="6"/>
      <c r="X5580" s="6"/>
      <c r="Y5580" s="6"/>
      <c r="Z5580" s="6"/>
    </row>
    <row r="5581" spans="14:26" ht="31.4" customHeight="1" x14ac:dyDescent="0.35">
      <c r="N5581" s="20"/>
      <c r="P5581" s="8"/>
      <c r="Q5581" s="8"/>
      <c r="R5581" s="8"/>
      <c r="S5581" s="18"/>
      <c r="T5581" s="18"/>
      <c r="U5581" s="6"/>
      <c r="V5581" s="6"/>
      <c r="W5581" s="6"/>
      <c r="X5581" s="6"/>
      <c r="Y5581" s="6"/>
      <c r="Z5581" s="6"/>
    </row>
    <row r="5582" spans="14:26" ht="31.4" customHeight="1" x14ac:dyDescent="0.35">
      <c r="N5582" s="20"/>
      <c r="P5582" s="8"/>
      <c r="Q5582" s="8"/>
      <c r="R5582" s="8"/>
      <c r="S5582" s="18"/>
      <c r="T5582" s="18"/>
      <c r="U5582" s="6"/>
      <c r="V5582" s="6"/>
      <c r="W5582" s="6"/>
      <c r="X5582" s="6"/>
      <c r="Y5582" s="6"/>
      <c r="Z5582" s="6"/>
    </row>
    <row r="5583" spans="14:26" ht="31.4" customHeight="1" x14ac:dyDescent="0.35">
      <c r="N5583" s="20"/>
      <c r="P5583" s="8"/>
      <c r="Q5583" s="8"/>
      <c r="R5583" s="8"/>
      <c r="S5583" s="18"/>
      <c r="T5583" s="18"/>
      <c r="U5583" s="6"/>
      <c r="V5583" s="6"/>
      <c r="W5583" s="6"/>
      <c r="X5583" s="6"/>
      <c r="Y5583" s="6"/>
      <c r="Z5583" s="6"/>
    </row>
    <row r="5584" spans="14:26" ht="31.4" customHeight="1" x14ac:dyDescent="0.35">
      <c r="N5584" s="20"/>
      <c r="P5584" s="8"/>
      <c r="Q5584" s="8"/>
      <c r="R5584" s="8"/>
      <c r="S5584" s="18"/>
      <c r="T5584" s="18"/>
      <c r="U5584" s="6"/>
      <c r="V5584" s="6"/>
      <c r="W5584" s="6"/>
      <c r="X5584" s="6"/>
      <c r="Y5584" s="6"/>
      <c r="Z5584" s="6"/>
    </row>
    <row r="5585" spans="14:26" ht="31.4" customHeight="1" x14ac:dyDescent="0.35">
      <c r="N5585" s="20"/>
      <c r="P5585" s="8"/>
      <c r="Q5585" s="8"/>
      <c r="R5585" s="8"/>
      <c r="S5585" s="18"/>
      <c r="T5585" s="18"/>
      <c r="U5585" s="6"/>
      <c r="V5585" s="6"/>
      <c r="W5585" s="6"/>
      <c r="X5585" s="6"/>
      <c r="Y5585" s="6"/>
      <c r="Z5585" s="6"/>
    </row>
    <row r="5586" spans="14:26" ht="31.4" customHeight="1" x14ac:dyDescent="0.35">
      <c r="N5586" s="20"/>
      <c r="P5586" s="8"/>
      <c r="Q5586" s="8"/>
      <c r="R5586" s="8"/>
      <c r="S5586" s="18"/>
      <c r="T5586" s="18"/>
      <c r="U5586" s="6"/>
      <c r="V5586" s="6"/>
      <c r="W5586" s="6"/>
      <c r="X5586" s="6"/>
      <c r="Y5586" s="6"/>
      <c r="Z5586" s="6"/>
    </row>
    <row r="5587" spans="14:26" ht="31.4" customHeight="1" x14ac:dyDescent="0.35">
      <c r="N5587" s="20"/>
      <c r="P5587" s="8"/>
      <c r="Q5587" s="8"/>
      <c r="R5587" s="8"/>
      <c r="S5587" s="18"/>
      <c r="T5587" s="18"/>
      <c r="U5587" s="6"/>
      <c r="V5587" s="6"/>
      <c r="W5587" s="6"/>
      <c r="X5587" s="6"/>
      <c r="Y5587" s="6"/>
      <c r="Z5587" s="6"/>
    </row>
    <row r="5588" spans="14:26" ht="31.4" customHeight="1" x14ac:dyDescent="0.35">
      <c r="N5588" s="20"/>
      <c r="P5588" s="8"/>
      <c r="Q5588" s="8"/>
      <c r="R5588" s="8"/>
      <c r="S5588" s="18"/>
      <c r="T5588" s="18"/>
      <c r="U5588" s="6"/>
      <c r="V5588" s="6"/>
      <c r="W5588" s="6"/>
      <c r="X5588" s="6"/>
      <c r="Y5588" s="6"/>
      <c r="Z5588" s="6"/>
    </row>
    <row r="5589" spans="14:26" ht="31.4" customHeight="1" x14ac:dyDescent="0.35">
      <c r="N5589" s="20"/>
      <c r="P5589" s="8"/>
      <c r="Q5589" s="8"/>
      <c r="R5589" s="8"/>
      <c r="S5589" s="18"/>
      <c r="T5589" s="18"/>
      <c r="U5589" s="6"/>
      <c r="V5589" s="6"/>
      <c r="W5589" s="6"/>
      <c r="X5589" s="6"/>
      <c r="Y5589" s="6"/>
      <c r="Z5589" s="6"/>
    </row>
    <row r="5590" spans="14:26" ht="31.4" customHeight="1" x14ac:dyDescent="0.35">
      <c r="N5590" s="20"/>
      <c r="P5590" s="8"/>
      <c r="Q5590" s="8"/>
      <c r="R5590" s="8"/>
      <c r="S5590" s="18"/>
      <c r="T5590" s="18"/>
      <c r="U5590" s="6"/>
      <c r="V5590" s="6"/>
      <c r="W5590" s="6"/>
      <c r="X5590" s="6"/>
      <c r="Y5590" s="6"/>
      <c r="Z5590" s="6"/>
    </row>
    <row r="5591" spans="14:26" ht="31.4" customHeight="1" x14ac:dyDescent="0.35">
      <c r="N5591" s="20"/>
      <c r="P5591" s="8"/>
      <c r="Q5591" s="8"/>
      <c r="R5591" s="8"/>
      <c r="S5591" s="18"/>
      <c r="T5591" s="18"/>
      <c r="U5591" s="6"/>
      <c r="V5591" s="6"/>
      <c r="W5591" s="6"/>
      <c r="X5591" s="6"/>
      <c r="Y5591" s="6"/>
      <c r="Z5591" s="6"/>
    </row>
    <row r="5592" spans="14:26" ht="31.4" customHeight="1" x14ac:dyDescent="0.35">
      <c r="N5592" s="20"/>
      <c r="P5592" s="8"/>
      <c r="Q5592" s="8"/>
      <c r="R5592" s="8"/>
      <c r="S5592" s="18"/>
      <c r="T5592" s="18"/>
      <c r="U5592" s="6"/>
      <c r="V5592" s="6"/>
      <c r="W5592" s="6"/>
      <c r="X5592" s="6"/>
      <c r="Y5592" s="6"/>
      <c r="Z5592" s="6"/>
    </row>
    <row r="5593" spans="14:26" ht="31.4" customHeight="1" x14ac:dyDescent="0.35">
      <c r="N5593" s="20"/>
      <c r="P5593" s="8"/>
      <c r="Q5593" s="8"/>
      <c r="R5593" s="8"/>
      <c r="S5593" s="18"/>
      <c r="T5593" s="18"/>
      <c r="U5593" s="6"/>
      <c r="V5593" s="6"/>
      <c r="W5593" s="6"/>
      <c r="X5593" s="6"/>
      <c r="Y5593" s="6"/>
      <c r="Z5593" s="6"/>
    </row>
    <row r="5594" spans="14:26" ht="31.4" customHeight="1" x14ac:dyDescent="0.35">
      <c r="N5594" s="20"/>
      <c r="P5594" s="8"/>
      <c r="Q5594" s="8"/>
      <c r="R5594" s="8"/>
      <c r="S5594" s="18"/>
      <c r="T5594" s="18"/>
      <c r="U5594" s="6"/>
      <c r="V5594" s="6"/>
      <c r="W5594" s="6"/>
      <c r="X5594" s="6"/>
      <c r="Y5594" s="6"/>
      <c r="Z5594" s="6"/>
    </row>
    <row r="5595" spans="14:26" ht="31.4" customHeight="1" x14ac:dyDescent="0.35">
      <c r="N5595" s="20"/>
      <c r="P5595" s="8"/>
      <c r="Q5595" s="8"/>
      <c r="R5595" s="8"/>
      <c r="S5595" s="18"/>
      <c r="T5595" s="18"/>
      <c r="U5595" s="6"/>
      <c r="V5595" s="6"/>
      <c r="W5595" s="6"/>
      <c r="X5595" s="6"/>
      <c r="Y5595" s="6"/>
      <c r="Z5595" s="6"/>
    </row>
    <row r="5596" spans="14:26" ht="31.4" customHeight="1" x14ac:dyDescent="0.35">
      <c r="N5596" s="20"/>
      <c r="P5596" s="8"/>
      <c r="Q5596" s="8"/>
      <c r="R5596" s="8"/>
      <c r="S5596" s="18"/>
      <c r="T5596" s="18"/>
      <c r="U5596" s="6"/>
      <c r="V5596" s="6"/>
      <c r="W5596" s="6"/>
      <c r="X5596" s="6"/>
      <c r="Y5596" s="6"/>
      <c r="Z5596" s="6"/>
    </row>
    <row r="5597" spans="14:26" ht="31.4" customHeight="1" x14ac:dyDescent="0.35">
      <c r="N5597" s="20"/>
      <c r="P5597" s="8"/>
      <c r="Q5597" s="8"/>
      <c r="R5597" s="8"/>
      <c r="S5597" s="18"/>
      <c r="T5597" s="18"/>
      <c r="U5597" s="6"/>
      <c r="V5597" s="6"/>
      <c r="W5597" s="6"/>
      <c r="X5597" s="6"/>
      <c r="Y5597" s="6"/>
      <c r="Z5597" s="6"/>
    </row>
    <row r="5598" spans="14:26" ht="31.4" customHeight="1" x14ac:dyDescent="0.35">
      <c r="N5598" s="20"/>
      <c r="P5598" s="8"/>
      <c r="Q5598" s="8"/>
      <c r="R5598" s="8"/>
      <c r="S5598" s="18"/>
      <c r="T5598" s="18"/>
      <c r="U5598" s="6"/>
      <c r="V5598" s="6"/>
      <c r="W5598" s="6"/>
      <c r="X5598" s="6"/>
      <c r="Y5598" s="6"/>
      <c r="Z5598" s="6"/>
    </row>
    <row r="5599" spans="14:26" ht="31.4" customHeight="1" x14ac:dyDescent="0.35">
      <c r="N5599" s="20"/>
      <c r="P5599" s="8"/>
      <c r="Q5599" s="8"/>
      <c r="R5599" s="8"/>
      <c r="S5599" s="18"/>
      <c r="T5599" s="18"/>
      <c r="U5599" s="6"/>
      <c r="V5599" s="6"/>
      <c r="W5599" s="6"/>
      <c r="X5599" s="6"/>
      <c r="Y5599" s="6"/>
      <c r="Z5599" s="6"/>
    </row>
    <row r="5600" spans="14:26" ht="31.4" customHeight="1" x14ac:dyDescent="0.35">
      <c r="N5600" s="20"/>
      <c r="P5600" s="8"/>
      <c r="Q5600" s="8"/>
      <c r="R5600" s="8"/>
      <c r="S5600" s="18"/>
      <c r="T5600" s="18"/>
      <c r="U5600" s="6"/>
      <c r="V5600" s="6"/>
      <c r="W5600" s="6"/>
      <c r="X5600" s="6"/>
      <c r="Y5600" s="6"/>
      <c r="Z5600" s="6"/>
    </row>
    <row r="5601" spans="14:26" ht="31.4" customHeight="1" x14ac:dyDescent="0.35">
      <c r="N5601" s="20"/>
      <c r="P5601" s="8"/>
      <c r="Q5601" s="8"/>
      <c r="R5601" s="8"/>
      <c r="S5601" s="18"/>
      <c r="T5601" s="18"/>
      <c r="U5601" s="6"/>
      <c r="V5601" s="6"/>
      <c r="W5601" s="6"/>
      <c r="X5601" s="6"/>
      <c r="Y5601" s="6"/>
      <c r="Z5601" s="6"/>
    </row>
    <row r="5602" spans="14:26" ht="31.4" customHeight="1" x14ac:dyDescent="0.35">
      <c r="N5602" s="20"/>
      <c r="P5602" s="8"/>
      <c r="Q5602" s="8"/>
      <c r="R5602" s="8"/>
      <c r="S5602" s="18"/>
      <c r="T5602" s="18"/>
      <c r="U5602" s="6"/>
      <c r="V5602" s="6"/>
      <c r="W5602" s="6"/>
      <c r="X5602" s="6"/>
      <c r="Y5602" s="6"/>
      <c r="Z5602" s="6"/>
    </row>
    <row r="5603" spans="14:26" ht="31.4" customHeight="1" x14ac:dyDescent="0.35">
      <c r="N5603" s="20"/>
      <c r="P5603" s="8"/>
      <c r="Q5603" s="8"/>
      <c r="R5603" s="8"/>
      <c r="S5603" s="18"/>
      <c r="T5603" s="18"/>
      <c r="U5603" s="6"/>
      <c r="V5603" s="6"/>
      <c r="W5603" s="6"/>
      <c r="X5603" s="6"/>
      <c r="Y5603" s="6"/>
      <c r="Z5603" s="6"/>
    </row>
    <row r="5604" spans="14:26" ht="31.4" customHeight="1" x14ac:dyDescent="0.35">
      <c r="N5604" s="20"/>
      <c r="P5604" s="8"/>
      <c r="Q5604" s="8"/>
      <c r="R5604" s="8"/>
      <c r="S5604" s="18"/>
      <c r="T5604" s="18"/>
      <c r="U5604" s="6"/>
      <c r="V5604" s="6"/>
      <c r="W5604" s="6"/>
      <c r="X5604" s="6"/>
      <c r="Y5604" s="6"/>
      <c r="Z5604" s="6"/>
    </row>
    <row r="5605" spans="14:26" ht="31.4" customHeight="1" x14ac:dyDescent="0.35">
      <c r="N5605" s="20"/>
      <c r="P5605" s="8"/>
      <c r="Q5605" s="8"/>
      <c r="R5605" s="8"/>
      <c r="S5605" s="18"/>
      <c r="T5605" s="18"/>
      <c r="U5605" s="6"/>
      <c r="V5605" s="6"/>
      <c r="W5605" s="6"/>
      <c r="X5605" s="6"/>
      <c r="Y5605" s="6"/>
      <c r="Z5605" s="6"/>
    </row>
    <row r="5606" spans="14:26" ht="31.4" customHeight="1" x14ac:dyDescent="0.35">
      <c r="N5606" s="20"/>
      <c r="P5606" s="8"/>
      <c r="Q5606" s="8"/>
      <c r="R5606" s="8"/>
      <c r="S5606" s="18"/>
      <c r="T5606" s="18"/>
      <c r="U5606" s="6"/>
      <c r="V5606" s="6"/>
      <c r="W5606" s="6"/>
      <c r="X5606" s="6"/>
      <c r="Y5606" s="6"/>
      <c r="Z5606" s="6"/>
    </row>
    <row r="5607" spans="14:26" ht="31.4" customHeight="1" x14ac:dyDescent="0.35">
      <c r="N5607" s="20"/>
      <c r="P5607" s="8"/>
      <c r="Q5607" s="8"/>
      <c r="R5607" s="8"/>
      <c r="S5607" s="18"/>
      <c r="T5607" s="18"/>
      <c r="U5607" s="6"/>
      <c r="V5607" s="6"/>
      <c r="W5607" s="6"/>
      <c r="X5607" s="6"/>
      <c r="Y5607" s="6"/>
      <c r="Z5607" s="6"/>
    </row>
    <row r="5608" spans="14:26" ht="31.4" customHeight="1" x14ac:dyDescent="0.35">
      <c r="N5608" s="20"/>
      <c r="P5608" s="8"/>
      <c r="Q5608" s="8"/>
      <c r="R5608" s="8"/>
      <c r="S5608" s="18"/>
      <c r="T5608" s="18"/>
      <c r="U5608" s="6"/>
      <c r="V5608" s="6"/>
      <c r="W5608" s="6"/>
      <c r="X5608" s="6"/>
      <c r="Y5608" s="6"/>
      <c r="Z5608" s="6"/>
    </row>
    <row r="5609" spans="14:26" ht="31.4" customHeight="1" x14ac:dyDescent="0.35">
      <c r="N5609" s="20"/>
      <c r="P5609" s="8"/>
      <c r="Q5609" s="8"/>
      <c r="R5609" s="8"/>
      <c r="S5609" s="18"/>
      <c r="T5609" s="18"/>
      <c r="U5609" s="6"/>
      <c r="V5609" s="6"/>
      <c r="W5609" s="6"/>
      <c r="X5609" s="6"/>
      <c r="Y5609" s="6"/>
      <c r="Z5609" s="6"/>
    </row>
    <row r="5610" spans="14:26" ht="31.4" customHeight="1" x14ac:dyDescent="0.35">
      <c r="N5610" s="20"/>
      <c r="P5610" s="8"/>
      <c r="Q5610" s="8"/>
      <c r="R5610" s="8"/>
      <c r="S5610" s="18"/>
      <c r="T5610" s="18"/>
      <c r="U5610" s="6"/>
      <c r="V5610" s="6"/>
      <c r="W5610" s="6"/>
      <c r="X5610" s="6"/>
      <c r="Y5610" s="6"/>
      <c r="Z5610" s="6"/>
    </row>
    <row r="5611" spans="14:26" ht="31.4" customHeight="1" x14ac:dyDescent="0.35">
      <c r="N5611" s="20"/>
      <c r="P5611" s="8"/>
      <c r="Q5611" s="8"/>
      <c r="R5611" s="8"/>
      <c r="S5611" s="18"/>
      <c r="T5611" s="18"/>
      <c r="U5611" s="6"/>
      <c r="V5611" s="6"/>
      <c r="W5611" s="6"/>
      <c r="X5611" s="6"/>
      <c r="Y5611" s="6"/>
      <c r="Z5611" s="6"/>
    </row>
    <row r="5612" spans="14:26" ht="31.4" customHeight="1" x14ac:dyDescent="0.35">
      <c r="N5612" s="20"/>
      <c r="P5612" s="8"/>
      <c r="Q5612" s="8"/>
      <c r="R5612" s="8"/>
      <c r="S5612" s="18"/>
      <c r="T5612" s="18"/>
      <c r="U5612" s="6"/>
      <c r="V5612" s="6"/>
      <c r="W5612" s="6"/>
      <c r="X5612" s="6"/>
      <c r="Y5612" s="6"/>
      <c r="Z5612" s="6"/>
    </row>
    <row r="5613" spans="14:26" ht="31.4" customHeight="1" x14ac:dyDescent="0.35">
      <c r="N5613" s="20"/>
      <c r="P5613" s="8"/>
      <c r="Q5613" s="8"/>
      <c r="R5613" s="8"/>
      <c r="S5613" s="18"/>
      <c r="T5613" s="18"/>
      <c r="U5613" s="6"/>
      <c r="V5613" s="6"/>
      <c r="W5613" s="6"/>
      <c r="X5613" s="6"/>
      <c r="Y5613" s="6"/>
      <c r="Z5613" s="6"/>
    </row>
    <row r="5614" spans="14:26" ht="31.4" customHeight="1" x14ac:dyDescent="0.35">
      <c r="N5614" s="20"/>
      <c r="P5614" s="8"/>
      <c r="Q5614" s="8"/>
      <c r="R5614" s="8"/>
      <c r="S5614" s="18"/>
      <c r="T5614" s="18"/>
      <c r="U5614" s="6"/>
      <c r="V5614" s="6"/>
      <c r="W5614" s="6"/>
      <c r="X5614" s="6"/>
      <c r="Y5614" s="6"/>
      <c r="Z5614" s="6"/>
    </row>
    <row r="5615" spans="14:26" ht="31.4" customHeight="1" x14ac:dyDescent="0.35">
      <c r="N5615" s="20"/>
      <c r="P5615" s="8"/>
      <c r="Q5615" s="8"/>
      <c r="R5615" s="8"/>
      <c r="S5615" s="18"/>
      <c r="T5615" s="18"/>
      <c r="U5615" s="6"/>
      <c r="V5615" s="6"/>
      <c r="W5615" s="6"/>
      <c r="X5615" s="6"/>
      <c r="Y5615" s="6"/>
      <c r="Z5615" s="6"/>
    </row>
    <row r="5616" spans="14:26" ht="31.4" customHeight="1" x14ac:dyDescent="0.35">
      <c r="N5616" s="20"/>
      <c r="P5616" s="8"/>
      <c r="Q5616" s="8"/>
      <c r="R5616" s="8"/>
      <c r="S5616" s="18"/>
      <c r="T5616" s="18"/>
      <c r="U5616" s="6"/>
      <c r="V5616" s="6"/>
      <c r="W5616" s="6"/>
      <c r="X5616" s="6"/>
      <c r="Y5616" s="6"/>
      <c r="Z5616" s="6"/>
    </row>
    <row r="5617" spans="14:26" ht="31.4" customHeight="1" x14ac:dyDescent="0.35">
      <c r="N5617" s="20"/>
      <c r="P5617" s="8"/>
      <c r="Q5617" s="8"/>
      <c r="R5617" s="8"/>
      <c r="S5617" s="18"/>
      <c r="T5617" s="18"/>
      <c r="U5617" s="6"/>
      <c r="V5617" s="6"/>
      <c r="W5617" s="6"/>
      <c r="X5617" s="6"/>
      <c r="Y5617" s="6"/>
      <c r="Z5617" s="6"/>
    </row>
    <row r="5618" spans="14:26" ht="31.4" customHeight="1" x14ac:dyDescent="0.35">
      <c r="N5618" s="20"/>
      <c r="P5618" s="8"/>
      <c r="Q5618" s="8"/>
      <c r="R5618" s="8"/>
      <c r="S5618" s="18"/>
      <c r="T5618" s="18"/>
      <c r="U5618" s="6"/>
      <c r="V5618" s="6"/>
      <c r="W5618" s="6"/>
      <c r="X5618" s="6"/>
      <c r="Y5618" s="6"/>
      <c r="Z5618" s="6"/>
    </row>
    <row r="5619" spans="14:26" ht="31.4" customHeight="1" x14ac:dyDescent="0.35">
      <c r="N5619" s="20"/>
      <c r="P5619" s="8"/>
      <c r="Q5619" s="8"/>
      <c r="R5619" s="8"/>
      <c r="S5619" s="18"/>
      <c r="T5619" s="18"/>
      <c r="U5619" s="6"/>
      <c r="V5619" s="6"/>
      <c r="W5619" s="6"/>
      <c r="X5619" s="6"/>
      <c r="Y5619" s="6"/>
      <c r="Z5619" s="6"/>
    </row>
    <row r="5620" spans="14:26" ht="31.4" customHeight="1" x14ac:dyDescent="0.35">
      <c r="N5620" s="20"/>
      <c r="P5620" s="8"/>
      <c r="Q5620" s="8"/>
      <c r="R5620" s="8"/>
      <c r="S5620" s="18"/>
      <c r="T5620" s="18"/>
      <c r="U5620" s="6"/>
      <c r="V5620" s="6"/>
      <c r="W5620" s="6"/>
      <c r="X5620" s="6"/>
      <c r="Y5620" s="6"/>
      <c r="Z5620" s="6"/>
    </row>
    <row r="5621" spans="14:26" ht="31.4" customHeight="1" x14ac:dyDescent="0.35">
      <c r="N5621" s="20"/>
      <c r="P5621" s="8"/>
      <c r="Q5621" s="8"/>
      <c r="R5621" s="8"/>
      <c r="S5621" s="18"/>
      <c r="T5621" s="18"/>
      <c r="U5621" s="6"/>
      <c r="V5621" s="6"/>
      <c r="W5621" s="6"/>
      <c r="X5621" s="6"/>
      <c r="Y5621" s="6"/>
      <c r="Z5621" s="6"/>
    </row>
    <row r="5622" spans="14:26" ht="31.4" customHeight="1" x14ac:dyDescent="0.35">
      <c r="N5622" s="20"/>
      <c r="P5622" s="8"/>
      <c r="Q5622" s="8"/>
      <c r="R5622" s="8"/>
      <c r="S5622" s="18"/>
      <c r="T5622" s="18"/>
      <c r="U5622" s="6"/>
      <c r="V5622" s="6"/>
      <c r="W5622" s="6"/>
      <c r="X5622" s="6"/>
      <c r="Y5622" s="6"/>
      <c r="Z5622" s="6"/>
    </row>
    <row r="5623" spans="14:26" ht="31.4" customHeight="1" x14ac:dyDescent="0.35">
      <c r="N5623" s="20"/>
      <c r="P5623" s="8"/>
      <c r="Q5623" s="8"/>
      <c r="R5623" s="8"/>
      <c r="S5623" s="18"/>
      <c r="T5623" s="18"/>
      <c r="U5623" s="6"/>
      <c r="V5623" s="6"/>
      <c r="W5623" s="6"/>
      <c r="X5623" s="6"/>
      <c r="Y5623" s="6"/>
      <c r="Z5623" s="6"/>
    </row>
    <row r="5624" spans="14:26" ht="31.4" customHeight="1" x14ac:dyDescent="0.35">
      <c r="N5624" s="20"/>
      <c r="P5624" s="8"/>
      <c r="Q5624" s="8"/>
      <c r="R5624" s="8"/>
      <c r="S5624" s="18"/>
      <c r="T5624" s="18"/>
      <c r="U5624" s="6"/>
      <c r="V5624" s="6"/>
      <c r="W5624" s="6"/>
      <c r="X5624" s="6"/>
      <c r="Y5624" s="6"/>
      <c r="Z5624" s="6"/>
    </row>
    <row r="5625" spans="14:26" ht="31.4" customHeight="1" x14ac:dyDescent="0.35">
      <c r="N5625" s="20"/>
      <c r="P5625" s="8"/>
      <c r="Q5625" s="8"/>
      <c r="R5625" s="8"/>
      <c r="S5625" s="18"/>
      <c r="T5625" s="18"/>
      <c r="U5625" s="6"/>
      <c r="V5625" s="6"/>
      <c r="W5625" s="6"/>
      <c r="X5625" s="6"/>
      <c r="Y5625" s="6"/>
      <c r="Z5625" s="6"/>
    </row>
    <row r="5626" spans="14:26" ht="31.4" customHeight="1" x14ac:dyDescent="0.35">
      <c r="N5626" s="20"/>
      <c r="P5626" s="8"/>
      <c r="Q5626" s="8"/>
      <c r="R5626" s="8"/>
      <c r="S5626" s="18"/>
      <c r="T5626" s="18"/>
      <c r="U5626" s="6"/>
      <c r="V5626" s="6"/>
      <c r="W5626" s="6"/>
      <c r="X5626" s="6"/>
      <c r="Y5626" s="6"/>
      <c r="Z5626" s="6"/>
    </row>
    <row r="5627" spans="14:26" ht="31.4" customHeight="1" x14ac:dyDescent="0.35">
      <c r="N5627" s="20"/>
      <c r="P5627" s="8"/>
      <c r="Q5627" s="8"/>
      <c r="R5627" s="8"/>
      <c r="S5627" s="18"/>
      <c r="T5627" s="18"/>
      <c r="U5627" s="6"/>
      <c r="V5627" s="6"/>
      <c r="W5627" s="6"/>
      <c r="X5627" s="6"/>
      <c r="Y5627" s="6"/>
      <c r="Z5627" s="6"/>
    </row>
    <row r="5628" spans="14:26" ht="31.4" customHeight="1" x14ac:dyDescent="0.35">
      <c r="N5628" s="20"/>
      <c r="P5628" s="8"/>
      <c r="Q5628" s="8"/>
      <c r="R5628" s="8"/>
      <c r="S5628" s="18"/>
      <c r="T5628" s="18"/>
      <c r="U5628" s="6"/>
      <c r="V5628" s="6"/>
      <c r="W5628" s="6"/>
      <c r="X5628" s="6"/>
      <c r="Y5628" s="6"/>
      <c r="Z5628" s="6"/>
    </row>
    <row r="5629" spans="14:26" ht="31.4" customHeight="1" x14ac:dyDescent="0.35">
      <c r="N5629" s="20"/>
      <c r="P5629" s="8"/>
      <c r="Q5629" s="8"/>
      <c r="R5629" s="8"/>
      <c r="S5629" s="18"/>
      <c r="T5629" s="18"/>
      <c r="U5629" s="6"/>
      <c r="V5629" s="6"/>
      <c r="W5629" s="6"/>
      <c r="X5629" s="6"/>
      <c r="Y5629" s="6"/>
      <c r="Z5629" s="6"/>
    </row>
    <row r="5630" spans="14:26" ht="31.4" customHeight="1" x14ac:dyDescent="0.35">
      <c r="N5630" s="20"/>
      <c r="P5630" s="8"/>
      <c r="Q5630" s="8"/>
      <c r="R5630" s="8"/>
      <c r="S5630" s="18"/>
      <c r="T5630" s="18"/>
      <c r="U5630" s="6"/>
      <c r="V5630" s="6"/>
      <c r="W5630" s="6"/>
      <c r="X5630" s="6"/>
      <c r="Y5630" s="6"/>
      <c r="Z5630" s="6"/>
    </row>
    <row r="5631" spans="14:26" ht="31.4" customHeight="1" x14ac:dyDescent="0.35">
      <c r="N5631" s="20"/>
      <c r="P5631" s="8"/>
      <c r="Q5631" s="8"/>
      <c r="R5631" s="8"/>
      <c r="S5631" s="18"/>
      <c r="T5631" s="18"/>
      <c r="U5631" s="6"/>
      <c r="V5631" s="6"/>
      <c r="W5631" s="6"/>
      <c r="X5631" s="6"/>
      <c r="Y5631" s="6"/>
      <c r="Z5631" s="6"/>
    </row>
    <row r="5632" spans="14:26" ht="31.4" customHeight="1" x14ac:dyDescent="0.35">
      <c r="N5632" s="20"/>
      <c r="P5632" s="8"/>
      <c r="Q5632" s="8"/>
      <c r="R5632" s="8"/>
      <c r="S5632" s="18"/>
      <c r="T5632" s="18"/>
      <c r="U5632" s="6"/>
      <c r="V5632" s="6"/>
      <c r="W5632" s="6"/>
      <c r="X5632" s="6"/>
      <c r="Y5632" s="6"/>
      <c r="Z5632" s="6"/>
    </row>
    <row r="5633" spans="14:26" ht="31.4" customHeight="1" x14ac:dyDescent="0.35">
      <c r="N5633" s="20"/>
      <c r="P5633" s="8"/>
      <c r="Q5633" s="8"/>
      <c r="R5633" s="8"/>
      <c r="S5633" s="18"/>
      <c r="T5633" s="18"/>
      <c r="U5633" s="6"/>
      <c r="V5633" s="6"/>
      <c r="W5633" s="6"/>
      <c r="X5633" s="6"/>
      <c r="Y5633" s="6"/>
      <c r="Z5633" s="6"/>
    </row>
    <row r="5634" spans="14:26" ht="31.4" customHeight="1" x14ac:dyDescent="0.35">
      <c r="N5634" s="20"/>
      <c r="P5634" s="8"/>
      <c r="Q5634" s="8"/>
      <c r="R5634" s="8"/>
      <c r="S5634" s="18"/>
      <c r="T5634" s="18"/>
      <c r="U5634" s="6"/>
      <c r="V5634" s="6"/>
      <c r="W5634" s="6"/>
      <c r="X5634" s="6"/>
      <c r="Y5634" s="6"/>
      <c r="Z5634" s="6"/>
    </row>
    <row r="5635" spans="14:26" ht="31.4" customHeight="1" x14ac:dyDescent="0.35">
      <c r="N5635" s="20"/>
      <c r="P5635" s="8"/>
      <c r="Q5635" s="8"/>
      <c r="R5635" s="8"/>
      <c r="S5635" s="18"/>
      <c r="T5635" s="18"/>
      <c r="U5635" s="6"/>
      <c r="V5635" s="6"/>
      <c r="W5635" s="6"/>
      <c r="X5635" s="6"/>
      <c r="Y5635" s="6"/>
      <c r="Z5635" s="6"/>
    </row>
    <row r="5636" spans="14:26" ht="31.4" customHeight="1" x14ac:dyDescent="0.35">
      <c r="N5636" s="20"/>
      <c r="P5636" s="8"/>
      <c r="Q5636" s="8"/>
      <c r="R5636" s="8"/>
      <c r="S5636" s="18"/>
      <c r="T5636" s="18"/>
      <c r="U5636" s="6"/>
      <c r="V5636" s="6"/>
      <c r="W5636" s="6"/>
      <c r="X5636" s="6"/>
      <c r="Y5636" s="6"/>
      <c r="Z5636" s="6"/>
    </row>
    <row r="5637" spans="14:26" ht="31.4" customHeight="1" x14ac:dyDescent="0.35">
      <c r="N5637" s="20"/>
      <c r="P5637" s="8"/>
      <c r="Q5637" s="8"/>
      <c r="R5637" s="8"/>
      <c r="S5637" s="18"/>
      <c r="T5637" s="18"/>
      <c r="U5637" s="6"/>
      <c r="V5637" s="6"/>
      <c r="W5637" s="6"/>
      <c r="X5637" s="6"/>
      <c r="Y5637" s="6"/>
      <c r="Z5637" s="6"/>
    </row>
    <row r="5638" spans="14:26" ht="31.4" customHeight="1" x14ac:dyDescent="0.35">
      <c r="N5638" s="20"/>
      <c r="P5638" s="8"/>
      <c r="Q5638" s="8"/>
      <c r="R5638" s="8"/>
      <c r="S5638" s="18"/>
      <c r="T5638" s="18"/>
      <c r="U5638" s="6"/>
      <c r="V5638" s="6"/>
      <c r="W5638" s="6"/>
      <c r="X5638" s="6"/>
      <c r="Y5638" s="6"/>
      <c r="Z5638" s="6"/>
    </row>
    <row r="5639" spans="14:26" ht="31.4" customHeight="1" x14ac:dyDescent="0.35">
      <c r="N5639" s="20"/>
      <c r="P5639" s="8"/>
      <c r="Q5639" s="8"/>
      <c r="R5639" s="8"/>
      <c r="S5639" s="18"/>
      <c r="T5639" s="18"/>
      <c r="U5639" s="6"/>
      <c r="V5639" s="6"/>
      <c r="W5639" s="6"/>
      <c r="X5639" s="6"/>
      <c r="Y5639" s="6"/>
      <c r="Z5639" s="6"/>
    </row>
    <row r="5640" spans="14:26" ht="31.4" customHeight="1" x14ac:dyDescent="0.35">
      <c r="N5640" s="20"/>
      <c r="P5640" s="8"/>
      <c r="Q5640" s="8"/>
      <c r="R5640" s="8"/>
      <c r="S5640" s="18"/>
      <c r="T5640" s="18"/>
      <c r="U5640" s="6"/>
      <c r="V5640" s="6"/>
      <c r="W5640" s="6"/>
      <c r="X5640" s="6"/>
      <c r="Y5640" s="6"/>
      <c r="Z5640" s="6"/>
    </row>
    <row r="5641" spans="14:26" ht="31.4" customHeight="1" x14ac:dyDescent="0.35">
      <c r="N5641" s="20"/>
      <c r="P5641" s="8"/>
      <c r="Q5641" s="8"/>
      <c r="R5641" s="8"/>
      <c r="S5641" s="18"/>
      <c r="T5641" s="18"/>
      <c r="U5641" s="6"/>
      <c r="V5641" s="6"/>
      <c r="W5641" s="6"/>
      <c r="X5641" s="6"/>
      <c r="Y5641" s="6"/>
      <c r="Z5641" s="6"/>
    </row>
    <row r="5642" spans="14:26" ht="31.4" customHeight="1" x14ac:dyDescent="0.35">
      <c r="N5642" s="20"/>
      <c r="P5642" s="8"/>
      <c r="Q5642" s="8"/>
      <c r="R5642" s="8"/>
      <c r="S5642" s="18"/>
      <c r="T5642" s="18"/>
      <c r="U5642" s="6"/>
      <c r="V5642" s="6"/>
      <c r="W5642" s="6"/>
      <c r="X5642" s="6"/>
      <c r="Y5642" s="6"/>
      <c r="Z5642" s="6"/>
    </row>
    <row r="5643" spans="14:26" ht="31.4" customHeight="1" x14ac:dyDescent="0.35">
      <c r="N5643" s="20"/>
      <c r="P5643" s="8"/>
      <c r="Q5643" s="8"/>
      <c r="R5643" s="8"/>
      <c r="S5643" s="18"/>
      <c r="T5643" s="18"/>
      <c r="U5643" s="6"/>
      <c r="V5643" s="6"/>
      <c r="W5643" s="6"/>
      <c r="X5643" s="6"/>
      <c r="Y5643" s="6"/>
      <c r="Z5643" s="6"/>
    </row>
    <row r="5644" spans="14:26" ht="31.4" customHeight="1" x14ac:dyDescent="0.35">
      <c r="N5644" s="20"/>
      <c r="P5644" s="8"/>
      <c r="Q5644" s="8"/>
      <c r="R5644" s="8"/>
      <c r="S5644" s="18"/>
      <c r="T5644" s="18"/>
      <c r="U5644" s="6"/>
      <c r="V5644" s="6"/>
      <c r="W5644" s="6"/>
      <c r="X5644" s="6"/>
      <c r="Y5644" s="6"/>
      <c r="Z5644" s="6"/>
    </row>
    <row r="5645" spans="14:26" ht="31.4" customHeight="1" x14ac:dyDescent="0.35">
      <c r="N5645" s="20"/>
      <c r="P5645" s="8"/>
      <c r="Q5645" s="8"/>
      <c r="R5645" s="8"/>
      <c r="S5645" s="18"/>
      <c r="T5645" s="18"/>
      <c r="U5645" s="6"/>
      <c r="V5645" s="6"/>
      <c r="W5645" s="6"/>
      <c r="X5645" s="6"/>
      <c r="Y5645" s="6"/>
      <c r="Z5645" s="6"/>
    </row>
    <row r="5646" spans="14:26" ht="31.4" customHeight="1" x14ac:dyDescent="0.35">
      <c r="N5646" s="20"/>
      <c r="P5646" s="8"/>
      <c r="Q5646" s="8"/>
      <c r="R5646" s="8"/>
      <c r="S5646" s="18"/>
      <c r="T5646" s="18"/>
      <c r="U5646" s="6"/>
      <c r="V5646" s="6"/>
      <c r="W5646" s="6"/>
      <c r="X5646" s="6"/>
      <c r="Y5646" s="6"/>
      <c r="Z5646" s="6"/>
    </row>
    <row r="5647" spans="14:26" ht="31.4" customHeight="1" x14ac:dyDescent="0.35">
      <c r="N5647" s="20"/>
      <c r="P5647" s="8"/>
      <c r="Q5647" s="8"/>
      <c r="R5647" s="8"/>
      <c r="S5647" s="18"/>
      <c r="T5647" s="18"/>
      <c r="U5647" s="6"/>
      <c r="V5647" s="6"/>
      <c r="W5647" s="6"/>
      <c r="X5647" s="6"/>
      <c r="Y5647" s="6"/>
      <c r="Z5647" s="6"/>
    </row>
    <row r="5648" spans="14:26" ht="31.4" customHeight="1" x14ac:dyDescent="0.35">
      <c r="N5648" s="20"/>
      <c r="P5648" s="8"/>
      <c r="Q5648" s="8"/>
      <c r="R5648" s="8"/>
      <c r="S5648" s="18"/>
      <c r="T5648" s="18"/>
      <c r="U5648" s="6"/>
      <c r="V5648" s="6"/>
      <c r="W5648" s="6"/>
      <c r="X5648" s="6"/>
      <c r="Y5648" s="6"/>
      <c r="Z5648" s="6"/>
    </row>
    <row r="5649" spans="14:26" ht="31.4" customHeight="1" x14ac:dyDescent="0.35">
      <c r="N5649" s="20"/>
      <c r="P5649" s="8"/>
      <c r="Q5649" s="8"/>
      <c r="R5649" s="8"/>
      <c r="S5649" s="18"/>
      <c r="T5649" s="18"/>
      <c r="U5649" s="6"/>
      <c r="V5649" s="6"/>
      <c r="W5649" s="6"/>
      <c r="X5649" s="6"/>
      <c r="Y5649" s="6"/>
      <c r="Z5649" s="6"/>
    </row>
    <row r="5650" spans="14:26" ht="31.4" customHeight="1" x14ac:dyDescent="0.35">
      <c r="N5650" s="20"/>
      <c r="P5650" s="8"/>
      <c r="Q5650" s="8"/>
      <c r="R5650" s="8"/>
      <c r="S5650" s="18"/>
      <c r="T5650" s="18"/>
      <c r="U5650" s="6"/>
      <c r="V5650" s="6"/>
      <c r="W5650" s="6"/>
      <c r="X5650" s="6"/>
      <c r="Y5650" s="6"/>
      <c r="Z5650" s="6"/>
    </row>
    <row r="5651" spans="14:26" ht="31.4" customHeight="1" x14ac:dyDescent="0.35">
      <c r="N5651" s="20"/>
      <c r="P5651" s="8"/>
      <c r="Q5651" s="8"/>
      <c r="R5651" s="8"/>
      <c r="S5651" s="18"/>
      <c r="T5651" s="18"/>
      <c r="U5651" s="6"/>
      <c r="V5651" s="6"/>
      <c r="W5651" s="6"/>
      <c r="X5651" s="6"/>
      <c r="Y5651" s="6"/>
      <c r="Z5651" s="6"/>
    </row>
    <row r="5652" spans="14:26" ht="31.4" customHeight="1" x14ac:dyDescent="0.35">
      <c r="N5652" s="20"/>
      <c r="P5652" s="8"/>
      <c r="Q5652" s="8"/>
      <c r="R5652" s="8"/>
      <c r="S5652" s="18"/>
      <c r="T5652" s="18"/>
      <c r="U5652" s="6"/>
      <c r="V5652" s="6"/>
      <c r="W5652" s="6"/>
      <c r="X5652" s="6"/>
      <c r="Y5652" s="6"/>
      <c r="Z5652" s="6"/>
    </row>
    <row r="5653" spans="14:26" ht="31.4" customHeight="1" x14ac:dyDescent="0.35">
      <c r="N5653" s="20"/>
      <c r="P5653" s="8"/>
      <c r="Q5653" s="8"/>
      <c r="R5653" s="8"/>
      <c r="S5653" s="18"/>
      <c r="T5653" s="18"/>
      <c r="U5653" s="6"/>
      <c r="V5653" s="6"/>
      <c r="W5653" s="6"/>
      <c r="X5653" s="6"/>
      <c r="Y5653" s="6"/>
      <c r="Z5653" s="6"/>
    </row>
    <row r="5654" spans="14:26" ht="31.4" customHeight="1" x14ac:dyDescent="0.35">
      <c r="N5654" s="20"/>
      <c r="P5654" s="8"/>
      <c r="Q5654" s="8"/>
      <c r="R5654" s="8"/>
      <c r="S5654" s="18"/>
      <c r="T5654" s="18"/>
      <c r="U5654" s="6"/>
      <c r="V5654" s="6"/>
      <c r="W5654" s="6"/>
      <c r="X5654" s="6"/>
      <c r="Y5654" s="6"/>
      <c r="Z5654" s="6"/>
    </row>
    <row r="5655" spans="14:26" ht="31.4" customHeight="1" x14ac:dyDescent="0.35">
      <c r="N5655" s="20"/>
      <c r="P5655" s="8"/>
      <c r="Q5655" s="8"/>
      <c r="R5655" s="8"/>
      <c r="S5655" s="18"/>
      <c r="T5655" s="18"/>
      <c r="U5655" s="6"/>
      <c r="V5655" s="6"/>
      <c r="W5655" s="6"/>
      <c r="X5655" s="6"/>
      <c r="Y5655" s="6"/>
      <c r="Z5655" s="6"/>
    </row>
    <row r="5656" spans="14:26" ht="31.4" customHeight="1" x14ac:dyDescent="0.35">
      <c r="N5656" s="20"/>
      <c r="P5656" s="8"/>
      <c r="Q5656" s="8"/>
      <c r="R5656" s="8"/>
      <c r="S5656" s="18"/>
      <c r="T5656" s="18"/>
      <c r="U5656" s="6"/>
      <c r="V5656" s="6"/>
      <c r="W5656" s="6"/>
      <c r="X5656" s="6"/>
      <c r="Y5656" s="6"/>
      <c r="Z5656" s="6"/>
    </row>
    <row r="5657" spans="14:26" ht="31.4" customHeight="1" x14ac:dyDescent="0.35">
      <c r="N5657" s="20"/>
      <c r="P5657" s="8"/>
      <c r="Q5657" s="8"/>
      <c r="R5657" s="8"/>
      <c r="S5657" s="18"/>
      <c r="T5657" s="18"/>
      <c r="U5657" s="6"/>
      <c r="V5657" s="6"/>
      <c r="W5657" s="6"/>
      <c r="X5657" s="6"/>
      <c r="Y5657" s="6"/>
      <c r="Z5657" s="6"/>
    </row>
    <row r="5658" spans="14:26" ht="31.4" customHeight="1" x14ac:dyDescent="0.35">
      <c r="N5658" s="20"/>
      <c r="P5658" s="8"/>
      <c r="Q5658" s="8"/>
      <c r="R5658" s="8"/>
      <c r="S5658" s="18"/>
      <c r="T5658" s="18"/>
      <c r="U5658" s="6"/>
      <c r="V5658" s="6"/>
      <c r="W5658" s="6"/>
      <c r="X5658" s="6"/>
      <c r="Y5658" s="6"/>
      <c r="Z5658" s="6"/>
    </row>
    <row r="5659" spans="14:26" ht="31.4" customHeight="1" x14ac:dyDescent="0.35">
      <c r="N5659" s="20"/>
      <c r="P5659" s="8"/>
      <c r="Q5659" s="8"/>
      <c r="R5659" s="8"/>
      <c r="S5659" s="18"/>
      <c r="T5659" s="18"/>
      <c r="U5659" s="6"/>
      <c r="V5659" s="6"/>
      <c r="W5659" s="6"/>
      <c r="X5659" s="6"/>
      <c r="Y5659" s="6"/>
      <c r="Z5659" s="6"/>
    </row>
    <row r="5660" spans="14:26" ht="31.4" customHeight="1" x14ac:dyDescent="0.35">
      <c r="N5660" s="20"/>
      <c r="P5660" s="8"/>
      <c r="Q5660" s="8"/>
      <c r="R5660" s="8"/>
      <c r="S5660" s="18"/>
      <c r="T5660" s="18"/>
      <c r="U5660" s="6"/>
      <c r="V5660" s="6"/>
      <c r="W5660" s="6"/>
      <c r="X5660" s="6"/>
      <c r="Y5660" s="6"/>
      <c r="Z5660" s="6"/>
    </row>
    <row r="5661" spans="14:26" ht="31.4" customHeight="1" x14ac:dyDescent="0.35">
      <c r="N5661" s="20"/>
      <c r="P5661" s="8"/>
      <c r="Q5661" s="8"/>
      <c r="R5661" s="8"/>
      <c r="S5661" s="18"/>
      <c r="T5661" s="18"/>
      <c r="U5661" s="6"/>
      <c r="V5661" s="6"/>
      <c r="W5661" s="6"/>
      <c r="X5661" s="6"/>
      <c r="Y5661" s="6"/>
      <c r="Z5661" s="6"/>
    </row>
    <row r="5662" spans="14:26" ht="31.4" customHeight="1" x14ac:dyDescent="0.35">
      <c r="N5662" s="20"/>
      <c r="P5662" s="8"/>
      <c r="Q5662" s="8"/>
      <c r="R5662" s="8"/>
      <c r="S5662" s="18"/>
      <c r="T5662" s="18"/>
      <c r="U5662" s="6"/>
      <c r="V5662" s="6"/>
      <c r="W5662" s="6"/>
      <c r="X5662" s="6"/>
      <c r="Y5662" s="6"/>
      <c r="Z5662" s="6"/>
    </row>
    <row r="5663" spans="14:26" ht="31.4" customHeight="1" x14ac:dyDescent="0.35">
      <c r="N5663" s="20"/>
      <c r="P5663" s="8"/>
      <c r="Q5663" s="8"/>
      <c r="R5663" s="8"/>
      <c r="S5663" s="18"/>
      <c r="T5663" s="18"/>
      <c r="U5663" s="6"/>
      <c r="V5663" s="6"/>
      <c r="W5663" s="6"/>
      <c r="X5663" s="6"/>
      <c r="Y5663" s="6"/>
      <c r="Z5663" s="6"/>
    </row>
    <row r="5664" spans="14:26" ht="31.4" customHeight="1" x14ac:dyDescent="0.35">
      <c r="N5664" s="20"/>
      <c r="P5664" s="8"/>
      <c r="Q5664" s="8"/>
      <c r="R5664" s="8"/>
      <c r="S5664" s="18"/>
      <c r="T5664" s="18"/>
      <c r="U5664" s="6"/>
      <c r="V5664" s="6"/>
      <c r="W5664" s="6"/>
      <c r="X5664" s="6"/>
      <c r="Y5664" s="6"/>
      <c r="Z5664" s="6"/>
    </row>
    <row r="5665" spans="14:26" ht="31.4" customHeight="1" x14ac:dyDescent="0.35">
      <c r="N5665" s="20"/>
      <c r="P5665" s="8"/>
      <c r="Q5665" s="8"/>
      <c r="R5665" s="8"/>
      <c r="S5665" s="18"/>
      <c r="T5665" s="18"/>
      <c r="U5665" s="6"/>
      <c r="V5665" s="6"/>
      <c r="W5665" s="6"/>
      <c r="X5665" s="6"/>
      <c r="Y5665" s="6"/>
      <c r="Z5665" s="6"/>
    </row>
    <row r="5666" spans="14:26" ht="31.4" customHeight="1" x14ac:dyDescent="0.35">
      <c r="N5666" s="20"/>
      <c r="P5666" s="8"/>
      <c r="Q5666" s="8"/>
      <c r="R5666" s="8"/>
      <c r="S5666" s="18"/>
      <c r="T5666" s="18"/>
      <c r="U5666" s="6"/>
      <c r="V5666" s="6"/>
      <c r="W5666" s="6"/>
      <c r="X5666" s="6"/>
      <c r="Y5666" s="6"/>
      <c r="Z5666" s="6"/>
    </row>
    <row r="5667" spans="14:26" ht="31.4" customHeight="1" x14ac:dyDescent="0.35">
      <c r="N5667" s="20"/>
      <c r="P5667" s="8"/>
      <c r="Q5667" s="8"/>
      <c r="R5667" s="8"/>
      <c r="S5667" s="18"/>
      <c r="T5667" s="18"/>
      <c r="U5667" s="6"/>
      <c r="V5667" s="6"/>
      <c r="W5667" s="6"/>
      <c r="X5667" s="6"/>
      <c r="Y5667" s="6"/>
      <c r="Z5667" s="6"/>
    </row>
    <row r="5668" spans="14:26" ht="31.4" customHeight="1" x14ac:dyDescent="0.35">
      <c r="N5668" s="20"/>
      <c r="P5668" s="8"/>
      <c r="Q5668" s="8"/>
      <c r="R5668" s="8"/>
      <c r="S5668" s="18"/>
      <c r="T5668" s="18"/>
      <c r="U5668" s="6"/>
      <c r="V5668" s="6"/>
      <c r="W5668" s="6"/>
      <c r="X5668" s="6"/>
      <c r="Y5668" s="6"/>
      <c r="Z5668" s="6"/>
    </row>
    <row r="5669" spans="14:26" ht="31.4" customHeight="1" x14ac:dyDescent="0.35">
      <c r="N5669" s="20"/>
      <c r="P5669" s="8"/>
      <c r="Q5669" s="8"/>
      <c r="R5669" s="8"/>
      <c r="S5669" s="18"/>
      <c r="T5669" s="18"/>
      <c r="U5669" s="6"/>
      <c r="V5669" s="6"/>
      <c r="W5669" s="6"/>
      <c r="X5669" s="6"/>
      <c r="Y5669" s="6"/>
      <c r="Z5669" s="6"/>
    </row>
    <row r="5670" spans="14:26" ht="31.4" customHeight="1" x14ac:dyDescent="0.35">
      <c r="N5670" s="20"/>
      <c r="P5670" s="8"/>
      <c r="Q5670" s="8"/>
      <c r="R5670" s="8"/>
      <c r="S5670" s="18"/>
      <c r="T5670" s="18"/>
      <c r="U5670" s="6"/>
      <c r="V5670" s="6"/>
      <c r="W5670" s="6"/>
      <c r="X5670" s="6"/>
      <c r="Y5670" s="6"/>
      <c r="Z5670" s="6"/>
    </row>
    <row r="5671" spans="14:26" ht="31.4" customHeight="1" x14ac:dyDescent="0.35">
      <c r="N5671" s="20"/>
      <c r="P5671" s="8"/>
      <c r="Q5671" s="8"/>
      <c r="R5671" s="8"/>
      <c r="S5671" s="18"/>
      <c r="T5671" s="18"/>
      <c r="U5671" s="6"/>
      <c r="V5671" s="6"/>
      <c r="W5671" s="6"/>
      <c r="X5671" s="6"/>
      <c r="Y5671" s="6"/>
      <c r="Z5671" s="6"/>
    </row>
    <row r="5672" spans="14:26" ht="31.4" customHeight="1" x14ac:dyDescent="0.35">
      <c r="N5672" s="20"/>
      <c r="P5672" s="8"/>
      <c r="Q5672" s="8"/>
      <c r="R5672" s="8"/>
      <c r="S5672" s="18"/>
      <c r="T5672" s="18"/>
      <c r="U5672" s="6"/>
      <c r="V5672" s="6"/>
      <c r="W5672" s="6"/>
      <c r="X5672" s="6"/>
      <c r="Y5672" s="6"/>
      <c r="Z5672" s="6"/>
    </row>
    <row r="5673" spans="14:26" ht="31.4" customHeight="1" x14ac:dyDescent="0.35">
      <c r="N5673" s="20"/>
      <c r="P5673" s="8"/>
      <c r="Q5673" s="8"/>
      <c r="R5673" s="8"/>
      <c r="S5673" s="18"/>
      <c r="T5673" s="18"/>
      <c r="U5673" s="6"/>
      <c r="V5673" s="6"/>
      <c r="W5673" s="6"/>
      <c r="X5673" s="6"/>
      <c r="Y5673" s="6"/>
      <c r="Z5673" s="6"/>
    </row>
    <row r="5674" spans="14:26" ht="31.4" customHeight="1" x14ac:dyDescent="0.35">
      <c r="N5674" s="20"/>
      <c r="P5674" s="8"/>
      <c r="Q5674" s="8"/>
      <c r="R5674" s="8"/>
      <c r="S5674" s="18"/>
      <c r="T5674" s="18"/>
      <c r="U5674" s="6"/>
      <c r="V5674" s="6"/>
      <c r="W5674" s="6"/>
      <c r="X5674" s="6"/>
      <c r="Y5674" s="6"/>
      <c r="Z5674" s="6"/>
    </row>
    <row r="5675" spans="14:26" ht="31.4" customHeight="1" x14ac:dyDescent="0.35">
      <c r="N5675" s="20"/>
      <c r="P5675" s="8"/>
      <c r="Q5675" s="8"/>
      <c r="R5675" s="8"/>
      <c r="S5675" s="18"/>
      <c r="T5675" s="18"/>
      <c r="U5675" s="6"/>
      <c r="V5675" s="6"/>
      <c r="W5675" s="6"/>
      <c r="X5675" s="6"/>
      <c r="Y5675" s="6"/>
      <c r="Z5675" s="6"/>
    </row>
    <row r="5676" spans="14:26" ht="31.4" customHeight="1" x14ac:dyDescent="0.35">
      <c r="N5676" s="20"/>
      <c r="P5676" s="8"/>
      <c r="Q5676" s="8"/>
      <c r="R5676" s="8"/>
      <c r="S5676" s="18"/>
      <c r="T5676" s="18"/>
      <c r="U5676" s="6"/>
      <c r="V5676" s="6"/>
      <c r="W5676" s="6"/>
      <c r="X5676" s="6"/>
      <c r="Y5676" s="6"/>
      <c r="Z5676" s="6"/>
    </row>
    <row r="5677" spans="14:26" ht="31.4" customHeight="1" x14ac:dyDescent="0.35">
      <c r="N5677" s="20"/>
      <c r="P5677" s="8"/>
      <c r="Q5677" s="8"/>
      <c r="R5677" s="8"/>
      <c r="S5677" s="18"/>
      <c r="T5677" s="18"/>
      <c r="U5677" s="6"/>
      <c r="V5677" s="6"/>
      <c r="W5677" s="6"/>
      <c r="X5677" s="6"/>
      <c r="Y5677" s="6"/>
      <c r="Z5677" s="6"/>
    </row>
    <row r="5678" spans="14:26" ht="31.4" customHeight="1" x14ac:dyDescent="0.35">
      <c r="N5678" s="20"/>
      <c r="P5678" s="8"/>
      <c r="Q5678" s="8"/>
      <c r="R5678" s="8"/>
      <c r="S5678" s="18"/>
      <c r="T5678" s="18"/>
      <c r="U5678" s="6"/>
      <c r="V5678" s="6"/>
      <c r="W5678" s="6"/>
      <c r="X5678" s="6"/>
      <c r="Y5678" s="6"/>
      <c r="Z5678" s="6"/>
    </row>
    <row r="5679" spans="14:26" ht="31.4" customHeight="1" x14ac:dyDescent="0.35">
      <c r="N5679" s="20"/>
      <c r="P5679" s="8"/>
      <c r="Q5679" s="8"/>
      <c r="R5679" s="8"/>
      <c r="S5679" s="18"/>
      <c r="T5679" s="18"/>
      <c r="U5679" s="6"/>
      <c r="V5679" s="6"/>
      <c r="W5679" s="6"/>
      <c r="X5679" s="6"/>
      <c r="Y5679" s="6"/>
      <c r="Z5679" s="6"/>
    </row>
    <row r="5680" spans="14:26" ht="31.4" customHeight="1" x14ac:dyDescent="0.35">
      <c r="N5680" s="20"/>
      <c r="P5680" s="8"/>
      <c r="Q5680" s="8"/>
      <c r="R5680" s="8"/>
      <c r="S5680" s="18"/>
      <c r="T5680" s="18"/>
      <c r="U5680" s="6"/>
      <c r="V5680" s="6"/>
      <c r="W5680" s="6"/>
      <c r="X5680" s="6"/>
      <c r="Y5680" s="6"/>
      <c r="Z5680" s="6"/>
    </row>
    <row r="5681" spans="14:26" ht="31.4" customHeight="1" x14ac:dyDescent="0.35">
      <c r="N5681" s="20"/>
      <c r="P5681" s="8"/>
      <c r="Q5681" s="8"/>
      <c r="R5681" s="8"/>
      <c r="S5681" s="18"/>
      <c r="T5681" s="18"/>
      <c r="U5681" s="6"/>
      <c r="V5681" s="6"/>
      <c r="W5681" s="6"/>
      <c r="X5681" s="6"/>
      <c r="Y5681" s="6"/>
      <c r="Z5681" s="6"/>
    </row>
    <row r="5682" spans="14:26" ht="31.4" customHeight="1" x14ac:dyDescent="0.35">
      <c r="N5682" s="20"/>
      <c r="P5682" s="8"/>
      <c r="Q5682" s="8"/>
      <c r="R5682" s="8"/>
      <c r="S5682" s="18"/>
      <c r="T5682" s="18"/>
      <c r="U5682" s="6"/>
      <c r="V5682" s="6"/>
      <c r="W5682" s="6"/>
      <c r="X5682" s="6"/>
      <c r="Y5682" s="6"/>
      <c r="Z5682" s="6"/>
    </row>
    <row r="5683" spans="14:26" ht="31.4" customHeight="1" x14ac:dyDescent="0.35">
      <c r="N5683" s="20"/>
      <c r="P5683" s="8"/>
      <c r="Q5683" s="8"/>
      <c r="R5683" s="8"/>
      <c r="S5683" s="18"/>
      <c r="T5683" s="18"/>
      <c r="U5683" s="6"/>
      <c r="V5683" s="6"/>
      <c r="W5683" s="6"/>
      <c r="X5683" s="6"/>
      <c r="Y5683" s="6"/>
      <c r="Z5683" s="6"/>
    </row>
    <row r="5684" spans="14:26" ht="31.4" customHeight="1" x14ac:dyDescent="0.35">
      <c r="N5684" s="20"/>
      <c r="P5684" s="8"/>
      <c r="Q5684" s="8"/>
      <c r="R5684" s="8"/>
      <c r="S5684" s="18"/>
      <c r="T5684" s="18"/>
      <c r="U5684" s="6"/>
      <c r="V5684" s="6"/>
      <c r="W5684" s="6"/>
      <c r="X5684" s="6"/>
      <c r="Y5684" s="6"/>
      <c r="Z5684" s="6"/>
    </row>
    <row r="5685" spans="14:26" ht="31.4" customHeight="1" x14ac:dyDescent="0.35">
      <c r="N5685" s="20"/>
      <c r="P5685" s="8"/>
      <c r="Q5685" s="8"/>
      <c r="R5685" s="8"/>
      <c r="S5685" s="18"/>
      <c r="T5685" s="18"/>
      <c r="U5685" s="6"/>
      <c r="V5685" s="6"/>
      <c r="W5685" s="6"/>
      <c r="X5685" s="6"/>
      <c r="Y5685" s="6"/>
      <c r="Z5685" s="6"/>
    </row>
    <row r="5686" spans="14:26" ht="31.4" customHeight="1" x14ac:dyDescent="0.35">
      <c r="N5686" s="20"/>
      <c r="P5686" s="8"/>
      <c r="Q5686" s="8"/>
      <c r="R5686" s="8"/>
      <c r="S5686" s="18"/>
      <c r="T5686" s="18"/>
      <c r="U5686" s="6"/>
      <c r="V5686" s="6"/>
      <c r="W5686" s="6"/>
      <c r="X5686" s="6"/>
      <c r="Y5686" s="6"/>
      <c r="Z5686" s="6"/>
    </row>
    <row r="5687" spans="14:26" ht="31.4" customHeight="1" x14ac:dyDescent="0.35">
      <c r="N5687" s="20"/>
      <c r="P5687" s="8"/>
      <c r="Q5687" s="8"/>
      <c r="R5687" s="8"/>
      <c r="S5687" s="18"/>
      <c r="T5687" s="18"/>
      <c r="U5687" s="6"/>
      <c r="V5687" s="6"/>
      <c r="W5687" s="6"/>
      <c r="X5687" s="6"/>
      <c r="Y5687" s="6"/>
      <c r="Z5687" s="6"/>
    </row>
    <row r="5688" spans="14:26" ht="31.4" customHeight="1" x14ac:dyDescent="0.35">
      <c r="N5688" s="20"/>
      <c r="P5688" s="8"/>
      <c r="Q5688" s="8"/>
      <c r="R5688" s="8"/>
      <c r="S5688" s="18"/>
      <c r="T5688" s="18"/>
      <c r="U5688" s="6"/>
      <c r="V5688" s="6"/>
      <c r="W5688" s="6"/>
      <c r="X5688" s="6"/>
      <c r="Y5688" s="6"/>
      <c r="Z5688" s="6"/>
    </row>
    <row r="5689" spans="14:26" ht="31.4" customHeight="1" x14ac:dyDescent="0.35">
      <c r="N5689" s="20"/>
      <c r="P5689" s="8"/>
      <c r="Q5689" s="8"/>
      <c r="R5689" s="8"/>
      <c r="S5689" s="18"/>
      <c r="T5689" s="18"/>
      <c r="U5689" s="6"/>
      <c r="V5689" s="6"/>
      <c r="W5689" s="6"/>
      <c r="X5689" s="6"/>
      <c r="Y5689" s="6"/>
      <c r="Z5689" s="6"/>
    </row>
    <row r="5690" spans="14:26" ht="31.4" customHeight="1" x14ac:dyDescent="0.35">
      <c r="N5690" s="20"/>
      <c r="P5690" s="8"/>
      <c r="Q5690" s="8"/>
      <c r="R5690" s="8"/>
      <c r="S5690" s="18"/>
      <c r="T5690" s="18"/>
      <c r="U5690" s="6"/>
      <c r="V5690" s="6"/>
      <c r="W5690" s="6"/>
      <c r="X5690" s="6"/>
      <c r="Y5690" s="6"/>
      <c r="Z5690" s="6"/>
    </row>
    <row r="5691" spans="14:26" ht="31.4" customHeight="1" x14ac:dyDescent="0.35">
      <c r="N5691" s="20"/>
      <c r="P5691" s="8"/>
      <c r="Q5691" s="8"/>
      <c r="R5691" s="8"/>
      <c r="S5691" s="18"/>
      <c r="T5691" s="18"/>
      <c r="U5691" s="6"/>
      <c r="V5691" s="6"/>
      <c r="W5691" s="6"/>
      <c r="X5691" s="6"/>
      <c r="Y5691" s="6"/>
      <c r="Z5691" s="6"/>
    </row>
    <row r="5692" spans="14:26" ht="31.4" customHeight="1" x14ac:dyDescent="0.35">
      <c r="N5692" s="20"/>
      <c r="P5692" s="8"/>
      <c r="Q5692" s="8"/>
      <c r="R5692" s="8"/>
      <c r="S5692" s="18"/>
      <c r="T5692" s="18"/>
      <c r="U5692" s="6"/>
      <c r="V5692" s="6"/>
      <c r="W5692" s="6"/>
      <c r="X5692" s="6"/>
      <c r="Y5692" s="6"/>
      <c r="Z5692" s="6"/>
    </row>
    <row r="5693" spans="14:26" ht="31.4" customHeight="1" x14ac:dyDescent="0.35">
      <c r="N5693" s="20"/>
      <c r="P5693" s="8"/>
      <c r="Q5693" s="8"/>
      <c r="R5693" s="8"/>
      <c r="S5693" s="18"/>
      <c r="T5693" s="18"/>
      <c r="U5693" s="6"/>
      <c r="V5693" s="6"/>
      <c r="W5693" s="6"/>
      <c r="X5693" s="6"/>
      <c r="Y5693" s="6"/>
      <c r="Z5693" s="6"/>
    </row>
    <row r="5694" spans="14:26" ht="31.4" customHeight="1" x14ac:dyDescent="0.35">
      <c r="N5694" s="20"/>
      <c r="P5694" s="8"/>
      <c r="Q5694" s="8"/>
      <c r="R5694" s="8"/>
      <c r="S5694" s="18"/>
      <c r="T5694" s="18"/>
      <c r="U5694" s="6"/>
      <c r="V5694" s="6"/>
      <c r="W5694" s="6"/>
      <c r="X5694" s="6"/>
      <c r="Y5694" s="6"/>
      <c r="Z5694" s="6"/>
    </row>
    <row r="5695" spans="14:26" ht="31.4" customHeight="1" x14ac:dyDescent="0.35">
      <c r="N5695" s="20"/>
      <c r="P5695" s="8"/>
      <c r="Q5695" s="8"/>
      <c r="R5695" s="8"/>
      <c r="S5695" s="18"/>
      <c r="T5695" s="18"/>
      <c r="U5695" s="6"/>
      <c r="V5695" s="6"/>
      <c r="W5695" s="6"/>
      <c r="X5695" s="6"/>
      <c r="Y5695" s="6"/>
      <c r="Z5695" s="6"/>
    </row>
    <row r="5696" spans="14:26" ht="31.4" customHeight="1" x14ac:dyDescent="0.35">
      <c r="N5696" s="20"/>
      <c r="P5696" s="8"/>
      <c r="Q5696" s="8"/>
      <c r="R5696" s="8"/>
      <c r="S5696" s="18"/>
      <c r="T5696" s="18"/>
      <c r="U5696" s="6"/>
      <c r="V5696" s="6"/>
      <c r="W5696" s="6"/>
      <c r="X5696" s="6"/>
      <c r="Y5696" s="6"/>
      <c r="Z5696" s="6"/>
    </row>
    <row r="5697" spans="14:26" ht="31.4" customHeight="1" x14ac:dyDescent="0.35">
      <c r="N5697" s="20"/>
      <c r="P5697" s="8"/>
      <c r="Q5697" s="8"/>
      <c r="R5697" s="8"/>
      <c r="S5697" s="18"/>
      <c r="T5697" s="18"/>
      <c r="U5697" s="6"/>
      <c r="V5697" s="6"/>
      <c r="W5697" s="6"/>
      <c r="X5697" s="6"/>
      <c r="Y5697" s="6"/>
      <c r="Z5697" s="6"/>
    </row>
    <row r="5698" spans="14:26" ht="31.4" customHeight="1" x14ac:dyDescent="0.35">
      <c r="N5698" s="20"/>
      <c r="P5698" s="8"/>
      <c r="Q5698" s="8"/>
      <c r="R5698" s="8"/>
      <c r="S5698" s="18"/>
      <c r="T5698" s="18"/>
      <c r="U5698" s="6"/>
      <c r="V5698" s="6"/>
      <c r="W5698" s="6"/>
      <c r="X5698" s="6"/>
      <c r="Y5698" s="6"/>
      <c r="Z5698" s="6"/>
    </row>
    <row r="5699" spans="14:26" ht="31.4" customHeight="1" x14ac:dyDescent="0.35">
      <c r="N5699" s="20"/>
      <c r="P5699" s="8"/>
      <c r="Q5699" s="8"/>
      <c r="R5699" s="8"/>
      <c r="S5699" s="18"/>
      <c r="T5699" s="18"/>
      <c r="U5699" s="6"/>
      <c r="V5699" s="6"/>
      <c r="W5699" s="6"/>
      <c r="X5699" s="6"/>
      <c r="Y5699" s="6"/>
      <c r="Z5699" s="6"/>
    </row>
    <row r="5700" spans="14:26" ht="31.4" customHeight="1" x14ac:dyDescent="0.35">
      <c r="N5700" s="20"/>
      <c r="P5700" s="8"/>
      <c r="Q5700" s="8"/>
      <c r="R5700" s="8"/>
      <c r="S5700" s="18"/>
      <c r="T5700" s="18"/>
      <c r="U5700" s="6"/>
      <c r="V5700" s="6"/>
      <c r="W5700" s="6"/>
      <c r="X5700" s="6"/>
      <c r="Y5700" s="6"/>
      <c r="Z5700" s="6"/>
    </row>
    <row r="5701" spans="14:26" ht="31.4" customHeight="1" x14ac:dyDescent="0.35">
      <c r="N5701" s="20"/>
      <c r="P5701" s="8"/>
      <c r="Q5701" s="8"/>
      <c r="R5701" s="8"/>
      <c r="S5701" s="18"/>
      <c r="T5701" s="18"/>
      <c r="U5701" s="6"/>
      <c r="V5701" s="6"/>
      <c r="W5701" s="6"/>
      <c r="X5701" s="6"/>
      <c r="Y5701" s="6"/>
      <c r="Z5701" s="6"/>
    </row>
    <row r="5702" spans="14:26" ht="31.4" customHeight="1" x14ac:dyDescent="0.35">
      <c r="N5702" s="20"/>
      <c r="P5702" s="8"/>
      <c r="Q5702" s="8"/>
      <c r="R5702" s="8"/>
      <c r="S5702" s="18"/>
      <c r="T5702" s="18"/>
      <c r="U5702" s="6"/>
      <c r="V5702" s="6"/>
      <c r="W5702" s="6"/>
      <c r="X5702" s="6"/>
      <c r="Y5702" s="6"/>
      <c r="Z5702" s="6"/>
    </row>
    <row r="5703" spans="14:26" ht="31.4" customHeight="1" x14ac:dyDescent="0.35">
      <c r="N5703" s="20"/>
      <c r="P5703" s="8"/>
      <c r="Q5703" s="8"/>
      <c r="R5703" s="8"/>
      <c r="S5703" s="18"/>
      <c r="T5703" s="18"/>
      <c r="U5703" s="6"/>
      <c r="V5703" s="6"/>
      <c r="W5703" s="6"/>
      <c r="X5703" s="6"/>
      <c r="Y5703" s="6"/>
      <c r="Z5703" s="6"/>
    </row>
    <row r="5704" spans="14:26" ht="31.4" customHeight="1" x14ac:dyDescent="0.35">
      <c r="N5704" s="20"/>
      <c r="P5704" s="8"/>
      <c r="Q5704" s="8"/>
      <c r="R5704" s="8"/>
      <c r="S5704" s="18"/>
      <c r="T5704" s="18"/>
      <c r="U5704" s="6"/>
      <c r="V5704" s="6"/>
      <c r="W5704" s="6"/>
      <c r="X5704" s="6"/>
      <c r="Y5704" s="6"/>
      <c r="Z5704" s="6"/>
    </row>
    <row r="5705" spans="14:26" ht="31.4" customHeight="1" x14ac:dyDescent="0.35">
      <c r="N5705" s="20"/>
      <c r="P5705" s="8"/>
      <c r="Q5705" s="8"/>
      <c r="R5705" s="8"/>
      <c r="S5705" s="18"/>
      <c r="T5705" s="18"/>
      <c r="U5705" s="6"/>
      <c r="V5705" s="6"/>
      <c r="W5705" s="6"/>
      <c r="X5705" s="6"/>
      <c r="Y5705" s="6"/>
      <c r="Z5705" s="6"/>
    </row>
    <row r="5706" spans="14:26" ht="31.4" customHeight="1" x14ac:dyDescent="0.35">
      <c r="N5706" s="20"/>
      <c r="P5706" s="8"/>
      <c r="Q5706" s="8"/>
      <c r="R5706" s="8"/>
      <c r="S5706" s="18"/>
      <c r="T5706" s="18"/>
      <c r="U5706" s="6"/>
      <c r="V5706" s="6"/>
      <c r="W5706" s="6"/>
      <c r="X5706" s="6"/>
      <c r="Y5706" s="6"/>
      <c r="Z5706" s="6"/>
    </row>
    <row r="5707" spans="14:26" ht="31.4" customHeight="1" x14ac:dyDescent="0.35">
      <c r="N5707" s="20"/>
      <c r="P5707" s="8"/>
      <c r="Q5707" s="8"/>
      <c r="R5707" s="8"/>
      <c r="S5707" s="18"/>
      <c r="T5707" s="18"/>
      <c r="U5707" s="6"/>
      <c r="V5707" s="6"/>
      <c r="W5707" s="6"/>
      <c r="X5707" s="6"/>
      <c r="Y5707" s="6"/>
      <c r="Z5707" s="6"/>
    </row>
    <row r="5708" spans="14:26" ht="31.4" customHeight="1" x14ac:dyDescent="0.35">
      <c r="N5708" s="20"/>
      <c r="P5708" s="8"/>
      <c r="Q5708" s="8"/>
      <c r="R5708" s="8"/>
      <c r="S5708" s="18"/>
      <c r="T5708" s="18"/>
      <c r="U5708" s="6"/>
      <c r="V5708" s="6"/>
      <c r="W5708" s="6"/>
      <c r="X5708" s="6"/>
      <c r="Y5708" s="6"/>
      <c r="Z5708" s="6"/>
    </row>
    <row r="5709" spans="14:26" ht="31.4" customHeight="1" x14ac:dyDescent="0.35">
      <c r="N5709" s="20"/>
      <c r="P5709" s="8"/>
      <c r="Q5709" s="8"/>
      <c r="R5709" s="8"/>
      <c r="S5709" s="18"/>
      <c r="T5709" s="18"/>
      <c r="U5709" s="6"/>
      <c r="V5709" s="6"/>
      <c r="W5709" s="6"/>
      <c r="X5709" s="6"/>
      <c r="Y5709" s="6"/>
      <c r="Z5709" s="6"/>
    </row>
    <row r="5710" spans="14:26" ht="31.4" customHeight="1" x14ac:dyDescent="0.35">
      <c r="N5710" s="20"/>
      <c r="P5710" s="8"/>
      <c r="Q5710" s="8"/>
      <c r="R5710" s="8"/>
      <c r="S5710" s="18"/>
      <c r="T5710" s="18"/>
      <c r="U5710" s="6"/>
      <c r="V5710" s="6"/>
      <c r="W5710" s="6"/>
      <c r="X5710" s="6"/>
      <c r="Y5710" s="6"/>
      <c r="Z5710" s="6"/>
    </row>
    <row r="5711" spans="14:26" ht="31.4" customHeight="1" x14ac:dyDescent="0.35">
      <c r="N5711" s="20"/>
      <c r="P5711" s="8"/>
      <c r="Q5711" s="8"/>
      <c r="R5711" s="8"/>
      <c r="S5711" s="18"/>
      <c r="T5711" s="18"/>
      <c r="U5711" s="6"/>
      <c r="V5711" s="6"/>
      <c r="W5711" s="6"/>
      <c r="X5711" s="6"/>
      <c r="Y5711" s="6"/>
      <c r="Z5711" s="6"/>
    </row>
    <row r="5712" spans="14:26" ht="31.4" customHeight="1" x14ac:dyDescent="0.35">
      <c r="N5712" s="20"/>
      <c r="P5712" s="8"/>
      <c r="Q5712" s="8"/>
      <c r="R5712" s="8"/>
      <c r="S5712" s="18"/>
      <c r="T5712" s="18"/>
      <c r="U5712" s="6"/>
      <c r="V5712" s="6"/>
      <c r="W5712" s="6"/>
      <c r="X5712" s="6"/>
      <c r="Y5712" s="6"/>
      <c r="Z5712" s="6"/>
    </row>
    <row r="5713" spans="14:26" ht="31.4" customHeight="1" x14ac:dyDescent="0.35">
      <c r="N5713" s="20"/>
      <c r="P5713" s="8"/>
      <c r="Q5713" s="8"/>
      <c r="R5713" s="8"/>
      <c r="S5713" s="18"/>
      <c r="T5713" s="18"/>
      <c r="U5713" s="6"/>
      <c r="V5713" s="6"/>
      <c r="W5713" s="6"/>
      <c r="X5713" s="6"/>
      <c r="Y5713" s="6"/>
      <c r="Z5713" s="6"/>
    </row>
    <row r="5714" spans="14:26" ht="31.4" customHeight="1" x14ac:dyDescent="0.35">
      <c r="N5714" s="20"/>
      <c r="P5714" s="8"/>
      <c r="Q5714" s="8"/>
      <c r="R5714" s="8"/>
      <c r="S5714" s="18"/>
      <c r="T5714" s="18"/>
      <c r="U5714" s="6"/>
      <c r="V5714" s="6"/>
      <c r="W5714" s="6"/>
      <c r="X5714" s="6"/>
      <c r="Y5714" s="6"/>
      <c r="Z5714" s="6"/>
    </row>
    <row r="5715" spans="14:26" ht="31.4" customHeight="1" x14ac:dyDescent="0.35">
      <c r="N5715" s="20"/>
      <c r="P5715" s="8"/>
      <c r="Q5715" s="8"/>
      <c r="R5715" s="8"/>
      <c r="S5715" s="18"/>
      <c r="T5715" s="18"/>
      <c r="U5715" s="6"/>
      <c r="V5715" s="6"/>
      <c r="W5715" s="6"/>
      <c r="X5715" s="6"/>
      <c r="Y5715" s="6"/>
      <c r="Z5715" s="6"/>
    </row>
    <row r="5716" spans="14:26" ht="31.4" customHeight="1" x14ac:dyDescent="0.35">
      <c r="N5716" s="20"/>
      <c r="P5716" s="8"/>
      <c r="Q5716" s="8"/>
      <c r="R5716" s="8"/>
      <c r="S5716" s="18"/>
      <c r="T5716" s="18"/>
      <c r="U5716" s="6"/>
      <c r="V5716" s="6"/>
      <c r="W5716" s="6"/>
      <c r="X5716" s="6"/>
      <c r="Y5716" s="6"/>
      <c r="Z5716" s="6"/>
    </row>
    <row r="5717" spans="14:26" ht="31.4" customHeight="1" x14ac:dyDescent="0.35">
      <c r="N5717" s="20"/>
      <c r="P5717" s="8"/>
      <c r="Q5717" s="8"/>
      <c r="R5717" s="8"/>
      <c r="S5717" s="18"/>
      <c r="T5717" s="18"/>
      <c r="U5717" s="6"/>
      <c r="V5717" s="6"/>
      <c r="W5717" s="6"/>
      <c r="X5717" s="6"/>
      <c r="Y5717" s="6"/>
      <c r="Z5717" s="6"/>
    </row>
    <row r="5718" spans="14:26" ht="31.4" customHeight="1" x14ac:dyDescent="0.35">
      <c r="N5718" s="20"/>
      <c r="P5718" s="8"/>
      <c r="Q5718" s="8"/>
      <c r="R5718" s="8"/>
      <c r="S5718" s="18"/>
      <c r="T5718" s="18"/>
      <c r="U5718" s="6"/>
      <c r="V5718" s="6"/>
      <c r="W5718" s="6"/>
      <c r="X5718" s="6"/>
      <c r="Y5718" s="6"/>
      <c r="Z5718" s="6"/>
    </row>
    <row r="5719" spans="14:26" ht="31.4" customHeight="1" x14ac:dyDescent="0.35">
      <c r="N5719" s="20"/>
      <c r="P5719" s="8"/>
      <c r="Q5719" s="8"/>
      <c r="R5719" s="8"/>
      <c r="S5719" s="18"/>
      <c r="T5719" s="18"/>
      <c r="U5719" s="6"/>
      <c r="V5719" s="6"/>
      <c r="W5719" s="6"/>
      <c r="X5719" s="6"/>
      <c r="Y5719" s="6"/>
      <c r="Z5719" s="6"/>
    </row>
    <row r="5720" spans="14:26" ht="31.4" customHeight="1" x14ac:dyDescent="0.35">
      <c r="N5720" s="20"/>
      <c r="P5720" s="8"/>
      <c r="Q5720" s="8"/>
      <c r="R5720" s="8"/>
      <c r="S5720" s="18"/>
      <c r="T5720" s="18"/>
      <c r="U5720" s="6"/>
      <c r="V5720" s="6"/>
      <c r="W5720" s="6"/>
      <c r="X5720" s="6"/>
      <c r="Y5720" s="6"/>
      <c r="Z5720" s="6"/>
    </row>
    <row r="5721" spans="14:26" ht="31.4" customHeight="1" x14ac:dyDescent="0.35">
      <c r="N5721" s="20"/>
      <c r="P5721" s="8"/>
      <c r="Q5721" s="8"/>
      <c r="R5721" s="8"/>
      <c r="S5721" s="18"/>
      <c r="T5721" s="18"/>
      <c r="U5721" s="6"/>
      <c r="V5721" s="6"/>
      <c r="W5721" s="6"/>
      <c r="X5721" s="6"/>
      <c r="Y5721" s="6"/>
      <c r="Z5721" s="6"/>
    </row>
    <row r="5722" spans="14:26" ht="31.4" customHeight="1" x14ac:dyDescent="0.35">
      <c r="N5722" s="20"/>
      <c r="P5722" s="8"/>
      <c r="Q5722" s="8"/>
      <c r="R5722" s="8"/>
      <c r="S5722" s="18"/>
      <c r="T5722" s="18"/>
      <c r="U5722" s="6"/>
      <c r="V5722" s="6"/>
      <c r="W5722" s="6"/>
      <c r="X5722" s="6"/>
      <c r="Y5722" s="6"/>
      <c r="Z5722" s="6"/>
    </row>
    <row r="5723" spans="14:26" ht="31.4" customHeight="1" x14ac:dyDescent="0.35">
      <c r="N5723" s="20"/>
      <c r="P5723" s="8"/>
      <c r="Q5723" s="8"/>
      <c r="R5723" s="8"/>
      <c r="S5723" s="18"/>
      <c r="T5723" s="18"/>
      <c r="U5723" s="6"/>
      <c r="V5723" s="6"/>
      <c r="W5723" s="6"/>
      <c r="X5723" s="6"/>
      <c r="Y5723" s="6"/>
      <c r="Z5723" s="6"/>
    </row>
    <row r="5724" spans="14:26" ht="31.4" customHeight="1" x14ac:dyDescent="0.35">
      <c r="N5724" s="20"/>
      <c r="P5724" s="8"/>
      <c r="Q5724" s="8"/>
      <c r="R5724" s="8"/>
      <c r="S5724" s="18"/>
      <c r="T5724" s="18"/>
      <c r="U5724" s="6"/>
      <c r="V5724" s="6"/>
      <c r="W5724" s="6"/>
      <c r="X5724" s="6"/>
      <c r="Y5724" s="6"/>
      <c r="Z5724" s="6"/>
    </row>
    <row r="5725" spans="14:26" ht="31.4" customHeight="1" x14ac:dyDescent="0.35">
      <c r="N5725" s="20"/>
      <c r="P5725" s="8"/>
      <c r="Q5725" s="8"/>
      <c r="R5725" s="8"/>
      <c r="S5725" s="18"/>
      <c r="T5725" s="18"/>
      <c r="U5725" s="6"/>
      <c r="V5725" s="6"/>
      <c r="W5725" s="6"/>
      <c r="X5725" s="6"/>
      <c r="Y5725" s="6"/>
      <c r="Z5725" s="6"/>
    </row>
    <row r="5726" spans="14:26" ht="31.4" customHeight="1" x14ac:dyDescent="0.35">
      <c r="N5726" s="20"/>
      <c r="P5726" s="8"/>
      <c r="Q5726" s="8"/>
      <c r="R5726" s="8"/>
      <c r="S5726" s="18"/>
      <c r="T5726" s="18"/>
      <c r="U5726" s="6"/>
      <c r="V5726" s="6"/>
      <c r="W5726" s="6"/>
      <c r="X5726" s="6"/>
      <c r="Y5726" s="6"/>
      <c r="Z5726" s="6"/>
    </row>
    <row r="5727" spans="14:26" ht="31.4" customHeight="1" x14ac:dyDescent="0.35">
      <c r="N5727" s="20"/>
      <c r="P5727" s="8"/>
      <c r="Q5727" s="8"/>
      <c r="R5727" s="8"/>
      <c r="S5727" s="18"/>
      <c r="T5727" s="18"/>
      <c r="U5727" s="6"/>
      <c r="V5727" s="6"/>
      <c r="W5727" s="6"/>
      <c r="X5727" s="6"/>
      <c r="Y5727" s="6"/>
      <c r="Z5727" s="6"/>
    </row>
    <row r="5728" spans="14:26" ht="31.4" customHeight="1" x14ac:dyDescent="0.35">
      <c r="N5728" s="20"/>
      <c r="P5728" s="8"/>
      <c r="Q5728" s="8"/>
      <c r="R5728" s="8"/>
      <c r="S5728" s="18"/>
      <c r="T5728" s="18"/>
      <c r="U5728" s="6"/>
      <c r="V5728" s="6"/>
      <c r="W5728" s="6"/>
      <c r="X5728" s="6"/>
      <c r="Y5728" s="6"/>
      <c r="Z5728" s="6"/>
    </row>
    <row r="5729" spans="14:26" ht="31.4" customHeight="1" x14ac:dyDescent="0.35">
      <c r="N5729" s="20"/>
      <c r="P5729" s="8"/>
      <c r="Q5729" s="8"/>
      <c r="R5729" s="8"/>
      <c r="S5729" s="18"/>
      <c r="T5729" s="18"/>
      <c r="U5729" s="6"/>
      <c r="V5729" s="6"/>
      <c r="W5729" s="6"/>
      <c r="X5729" s="6"/>
      <c r="Y5729" s="6"/>
      <c r="Z5729" s="6"/>
    </row>
    <row r="5730" spans="14:26" ht="31.4" customHeight="1" x14ac:dyDescent="0.35">
      <c r="N5730" s="20"/>
      <c r="P5730" s="8"/>
      <c r="Q5730" s="8"/>
      <c r="R5730" s="8"/>
      <c r="S5730" s="18"/>
      <c r="T5730" s="18"/>
      <c r="U5730" s="6"/>
      <c r="V5730" s="6"/>
      <c r="W5730" s="6"/>
      <c r="X5730" s="6"/>
      <c r="Y5730" s="6"/>
      <c r="Z5730" s="6"/>
    </row>
    <row r="5731" spans="14:26" ht="31.4" customHeight="1" x14ac:dyDescent="0.35">
      <c r="N5731" s="20"/>
      <c r="P5731" s="8"/>
      <c r="Q5731" s="8"/>
      <c r="R5731" s="8"/>
      <c r="S5731" s="18"/>
      <c r="T5731" s="18"/>
      <c r="U5731" s="6"/>
      <c r="V5731" s="6"/>
      <c r="W5731" s="6"/>
      <c r="X5731" s="6"/>
      <c r="Y5731" s="6"/>
      <c r="Z5731" s="6"/>
    </row>
    <row r="5732" spans="14:26" ht="31.4" customHeight="1" x14ac:dyDescent="0.35">
      <c r="N5732" s="20"/>
      <c r="P5732" s="8"/>
      <c r="Q5732" s="8"/>
      <c r="R5732" s="8"/>
      <c r="S5732" s="18"/>
      <c r="T5732" s="18"/>
      <c r="U5732" s="6"/>
      <c r="V5732" s="6"/>
      <c r="W5732" s="6"/>
      <c r="X5732" s="6"/>
      <c r="Y5732" s="6"/>
      <c r="Z5732" s="6"/>
    </row>
    <row r="5733" spans="14:26" ht="31.4" customHeight="1" x14ac:dyDescent="0.35">
      <c r="N5733" s="20"/>
      <c r="P5733" s="8"/>
      <c r="Q5733" s="8"/>
      <c r="R5733" s="8"/>
      <c r="S5733" s="18"/>
      <c r="T5733" s="18"/>
      <c r="U5733" s="6"/>
      <c r="V5733" s="6"/>
      <c r="W5733" s="6"/>
      <c r="X5733" s="6"/>
      <c r="Y5733" s="6"/>
      <c r="Z5733" s="6"/>
    </row>
    <row r="5734" spans="14:26" ht="31.4" customHeight="1" x14ac:dyDescent="0.35">
      <c r="N5734" s="20"/>
      <c r="P5734" s="8"/>
      <c r="Q5734" s="8"/>
      <c r="R5734" s="8"/>
      <c r="S5734" s="18"/>
      <c r="T5734" s="18"/>
      <c r="U5734" s="6"/>
      <c r="V5734" s="6"/>
      <c r="W5734" s="6"/>
      <c r="X5734" s="6"/>
      <c r="Y5734" s="6"/>
      <c r="Z5734" s="6"/>
    </row>
    <row r="5735" spans="14:26" ht="31.4" customHeight="1" x14ac:dyDescent="0.35">
      <c r="N5735" s="20"/>
      <c r="P5735" s="8"/>
      <c r="Q5735" s="8"/>
      <c r="R5735" s="8"/>
      <c r="S5735" s="18"/>
      <c r="T5735" s="18"/>
      <c r="U5735" s="6"/>
      <c r="V5735" s="6"/>
      <c r="W5735" s="6"/>
      <c r="X5735" s="6"/>
      <c r="Y5735" s="6"/>
      <c r="Z5735" s="6"/>
    </row>
    <row r="5736" spans="14:26" ht="31.4" customHeight="1" x14ac:dyDescent="0.35">
      <c r="N5736" s="20"/>
      <c r="P5736" s="8"/>
      <c r="Q5736" s="8"/>
      <c r="R5736" s="8"/>
      <c r="S5736" s="18"/>
      <c r="T5736" s="18"/>
      <c r="U5736" s="6"/>
      <c r="V5736" s="6"/>
      <c r="W5736" s="6"/>
      <c r="X5736" s="6"/>
      <c r="Y5736" s="6"/>
      <c r="Z5736" s="6"/>
    </row>
    <row r="5737" spans="14:26" ht="31.4" customHeight="1" x14ac:dyDescent="0.35">
      <c r="N5737" s="20"/>
      <c r="P5737" s="8"/>
      <c r="Q5737" s="8"/>
      <c r="R5737" s="8"/>
      <c r="S5737" s="18"/>
      <c r="T5737" s="18"/>
      <c r="U5737" s="6"/>
      <c r="V5737" s="6"/>
      <c r="W5737" s="6"/>
      <c r="X5737" s="6"/>
      <c r="Y5737" s="6"/>
      <c r="Z5737" s="6"/>
    </row>
    <row r="5738" spans="14:26" ht="31.4" customHeight="1" x14ac:dyDescent="0.35">
      <c r="N5738" s="20"/>
      <c r="P5738" s="8"/>
      <c r="Q5738" s="8"/>
      <c r="R5738" s="8"/>
      <c r="S5738" s="18"/>
      <c r="T5738" s="18"/>
      <c r="U5738" s="6"/>
      <c r="V5738" s="6"/>
      <c r="W5738" s="6"/>
      <c r="X5738" s="6"/>
      <c r="Y5738" s="6"/>
      <c r="Z5738" s="6"/>
    </row>
    <row r="5739" spans="14:26" ht="31.4" customHeight="1" x14ac:dyDescent="0.35">
      <c r="N5739" s="20"/>
      <c r="P5739" s="8"/>
      <c r="Q5739" s="8"/>
      <c r="R5739" s="8"/>
      <c r="S5739" s="18"/>
      <c r="T5739" s="18"/>
      <c r="U5739" s="6"/>
      <c r="V5739" s="6"/>
      <c r="W5739" s="6"/>
      <c r="X5739" s="6"/>
      <c r="Y5739" s="6"/>
      <c r="Z5739" s="6"/>
    </row>
    <row r="5740" spans="14:26" ht="31.4" customHeight="1" x14ac:dyDescent="0.35">
      <c r="N5740" s="20"/>
      <c r="P5740" s="8"/>
      <c r="Q5740" s="8"/>
      <c r="R5740" s="8"/>
      <c r="S5740" s="18"/>
      <c r="T5740" s="18"/>
      <c r="U5740" s="6"/>
      <c r="V5740" s="6"/>
      <c r="W5740" s="6"/>
      <c r="X5740" s="6"/>
      <c r="Y5740" s="6"/>
      <c r="Z5740" s="6"/>
    </row>
    <row r="5741" spans="14:26" ht="31.4" customHeight="1" x14ac:dyDescent="0.35">
      <c r="N5741" s="20"/>
      <c r="P5741" s="8"/>
      <c r="Q5741" s="8"/>
      <c r="R5741" s="8"/>
      <c r="S5741" s="18"/>
      <c r="T5741" s="18"/>
      <c r="U5741" s="6"/>
      <c r="V5741" s="6"/>
      <c r="W5741" s="6"/>
      <c r="X5741" s="6"/>
      <c r="Y5741" s="6"/>
      <c r="Z5741" s="6"/>
    </row>
    <row r="5742" spans="14:26" ht="31.4" customHeight="1" x14ac:dyDescent="0.35">
      <c r="N5742" s="20"/>
      <c r="P5742" s="8"/>
      <c r="Q5742" s="8"/>
      <c r="R5742" s="8"/>
      <c r="S5742" s="18"/>
      <c r="T5742" s="18"/>
      <c r="U5742" s="6"/>
      <c r="V5742" s="6"/>
      <c r="W5742" s="6"/>
      <c r="X5742" s="6"/>
      <c r="Y5742" s="6"/>
      <c r="Z5742" s="6"/>
    </row>
    <row r="5743" spans="14:26" ht="31.4" customHeight="1" x14ac:dyDescent="0.35">
      <c r="N5743" s="20"/>
      <c r="P5743" s="8"/>
      <c r="Q5743" s="8"/>
      <c r="R5743" s="8"/>
      <c r="S5743" s="18"/>
      <c r="T5743" s="18"/>
      <c r="U5743" s="6"/>
      <c r="V5743" s="6"/>
      <c r="W5743" s="6"/>
      <c r="X5743" s="6"/>
      <c r="Y5743" s="6"/>
      <c r="Z5743" s="6"/>
    </row>
    <row r="5744" spans="14:26" ht="31.4" customHeight="1" x14ac:dyDescent="0.35">
      <c r="N5744" s="20"/>
      <c r="P5744" s="8"/>
      <c r="Q5744" s="8"/>
      <c r="R5744" s="8"/>
      <c r="S5744" s="18"/>
      <c r="T5744" s="18"/>
      <c r="U5744" s="6"/>
      <c r="V5744" s="6"/>
      <c r="W5744" s="6"/>
      <c r="X5744" s="6"/>
      <c r="Y5744" s="6"/>
      <c r="Z5744" s="6"/>
    </row>
    <row r="5745" spans="14:26" ht="31.4" customHeight="1" x14ac:dyDescent="0.35">
      <c r="N5745" s="20"/>
      <c r="P5745" s="8"/>
      <c r="Q5745" s="8"/>
      <c r="R5745" s="8"/>
      <c r="S5745" s="18"/>
      <c r="T5745" s="18"/>
      <c r="U5745" s="6"/>
      <c r="V5745" s="6"/>
      <c r="W5745" s="6"/>
      <c r="X5745" s="6"/>
      <c r="Y5745" s="6"/>
      <c r="Z5745" s="6"/>
    </row>
    <row r="5746" spans="14:26" ht="31.4" customHeight="1" x14ac:dyDescent="0.35">
      <c r="N5746" s="20"/>
      <c r="P5746" s="8"/>
      <c r="Q5746" s="8"/>
      <c r="R5746" s="8"/>
      <c r="S5746" s="18"/>
      <c r="T5746" s="18"/>
      <c r="U5746" s="6"/>
      <c r="V5746" s="6"/>
      <c r="W5746" s="6"/>
      <c r="X5746" s="6"/>
      <c r="Y5746" s="6"/>
      <c r="Z5746" s="6"/>
    </row>
    <row r="5747" spans="14:26" ht="31.4" customHeight="1" x14ac:dyDescent="0.35">
      <c r="N5747" s="20"/>
      <c r="P5747" s="8"/>
      <c r="Q5747" s="8"/>
      <c r="R5747" s="8"/>
      <c r="S5747" s="18"/>
      <c r="T5747" s="18"/>
      <c r="U5747" s="6"/>
      <c r="V5747" s="6"/>
      <c r="W5747" s="6"/>
      <c r="X5747" s="6"/>
      <c r="Y5747" s="6"/>
      <c r="Z5747" s="6"/>
    </row>
    <row r="5748" spans="14:26" ht="31.4" customHeight="1" x14ac:dyDescent="0.35">
      <c r="N5748" s="20"/>
      <c r="P5748" s="8"/>
      <c r="Q5748" s="8"/>
      <c r="R5748" s="8"/>
      <c r="S5748" s="18"/>
      <c r="T5748" s="18"/>
      <c r="U5748" s="6"/>
      <c r="V5748" s="6"/>
      <c r="W5748" s="6"/>
      <c r="X5748" s="6"/>
      <c r="Y5748" s="6"/>
      <c r="Z5748" s="6"/>
    </row>
    <row r="5749" spans="14:26" ht="31.4" customHeight="1" x14ac:dyDescent="0.35">
      <c r="N5749" s="20"/>
      <c r="P5749" s="8"/>
      <c r="Q5749" s="8"/>
      <c r="R5749" s="8"/>
      <c r="S5749" s="18"/>
      <c r="T5749" s="18"/>
      <c r="U5749" s="6"/>
      <c r="V5749" s="6"/>
      <c r="W5749" s="6"/>
      <c r="X5749" s="6"/>
      <c r="Y5749" s="6"/>
      <c r="Z5749" s="6"/>
    </row>
    <row r="5750" spans="14:26" ht="31.4" customHeight="1" x14ac:dyDescent="0.35">
      <c r="N5750" s="20"/>
      <c r="P5750" s="8"/>
      <c r="Q5750" s="8"/>
      <c r="R5750" s="8"/>
      <c r="S5750" s="18"/>
      <c r="T5750" s="18"/>
      <c r="U5750" s="6"/>
      <c r="V5750" s="6"/>
      <c r="W5750" s="6"/>
      <c r="X5750" s="6"/>
      <c r="Y5750" s="6"/>
      <c r="Z5750" s="6"/>
    </row>
    <row r="5751" spans="14:26" ht="31.4" customHeight="1" x14ac:dyDescent="0.35">
      <c r="N5751" s="20"/>
      <c r="P5751" s="8"/>
      <c r="Q5751" s="8"/>
      <c r="R5751" s="8"/>
      <c r="S5751" s="18"/>
      <c r="T5751" s="18"/>
      <c r="U5751" s="6"/>
      <c r="V5751" s="6"/>
      <c r="W5751" s="6"/>
      <c r="X5751" s="6"/>
      <c r="Y5751" s="6"/>
      <c r="Z5751" s="6"/>
    </row>
    <row r="5752" spans="14:26" ht="31.4" customHeight="1" x14ac:dyDescent="0.35">
      <c r="N5752" s="20"/>
      <c r="P5752" s="8"/>
      <c r="Q5752" s="8"/>
      <c r="R5752" s="8"/>
      <c r="S5752" s="18"/>
      <c r="T5752" s="18"/>
      <c r="U5752" s="6"/>
      <c r="V5752" s="6"/>
      <c r="W5752" s="6"/>
      <c r="X5752" s="6"/>
      <c r="Y5752" s="6"/>
      <c r="Z5752" s="6"/>
    </row>
    <row r="5753" spans="14:26" ht="31.4" customHeight="1" x14ac:dyDescent="0.35">
      <c r="N5753" s="20"/>
      <c r="P5753" s="8"/>
      <c r="Q5753" s="8"/>
      <c r="R5753" s="8"/>
      <c r="S5753" s="18"/>
      <c r="T5753" s="18"/>
      <c r="U5753" s="6"/>
      <c r="V5753" s="6"/>
      <c r="W5753" s="6"/>
      <c r="X5753" s="6"/>
      <c r="Y5753" s="6"/>
      <c r="Z5753" s="6"/>
    </row>
    <row r="5754" spans="14:26" ht="31.4" customHeight="1" x14ac:dyDescent="0.35">
      <c r="N5754" s="20"/>
      <c r="P5754" s="8"/>
      <c r="Q5754" s="8"/>
      <c r="R5754" s="8"/>
      <c r="S5754" s="18"/>
      <c r="T5754" s="18"/>
      <c r="U5754" s="6"/>
      <c r="V5754" s="6"/>
      <c r="W5754" s="6"/>
      <c r="X5754" s="6"/>
      <c r="Y5754" s="6"/>
      <c r="Z5754" s="6"/>
    </row>
    <row r="5755" spans="14:26" ht="31.4" customHeight="1" x14ac:dyDescent="0.35">
      <c r="N5755" s="20"/>
      <c r="P5755" s="8"/>
      <c r="Q5755" s="8"/>
      <c r="R5755" s="8"/>
      <c r="S5755" s="18"/>
      <c r="T5755" s="18"/>
      <c r="U5755" s="6"/>
      <c r="V5755" s="6"/>
      <c r="W5755" s="6"/>
      <c r="X5755" s="6"/>
      <c r="Y5755" s="6"/>
      <c r="Z5755" s="6"/>
    </row>
    <row r="5756" spans="14:26" ht="31.4" customHeight="1" x14ac:dyDescent="0.35">
      <c r="N5756" s="20"/>
      <c r="P5756" s="8"/>
      <c r="Q5756" s="8"/>
      <c r="R5756" s="8"/>
      <c r="S5756" s="18"/>
      <c r="T5756" s="18"/>
      <c r="U5756" s="6"/>
      <c r="V5756" s="6"/>
      <c r="W5756" s="6"/>
      <c r="X5756" s="6"/>
      <c r="Y5756" s="6"/>
      <c r="Z5756" s="6"/>
    </row>
    <row r="5757" spans="14:26" ht="31.4" customHeight="1" x14ac:dyDescent="0.35">
      <c r="N5757" s="20"/>
      <c r="P5757" s="8"/>
      <c r="Q5757" s="8"/>
      <c r="R5757" s="8"/>
      <c r="S5757" s="18"/>
      <c r="T5757" s="18"/>
      <c r="U5757" s="6"/>
      <c r="V5757" s="6"/>
      <c r="W5757" s="6"/>
      <c r="X5757" s="6"/>
      <c r="Y5757" s="6"/>
      <c r="Z5757" s="6"/>
    </row>
    <row r="5758" spans="14:26" ht="31.4" customHeight="1" x14ac:dyDescent="0.35">
      <c r="N5758" s="20"/>
      <c r="P5758" s="8"/>
      <c r="Q5758" s="8"/>
      <c r="R5758" s="8"/>
      <c r="S5758" s="18"/>
      <c r="T5758" s="18"/>
      <c r="U5758" s="6"/>
      <c r="V5758" s="6"/>
      <c r="W5758" s="6"/>
      <c r="X5758" s="6"/>
      <c r="Y5758" s="6"/>
      <c r="Z5758" s="6"/>
    </row>
    <row r="5759" spans="14:26" ht="31.4" customHeight="1" x14ac:dyDescent="0.35">
      <c r="N5759" s="20"/>
      <c r="P5759" s="8"/>
      <c r="Q5759" s="8"/>
      <c r="R5759" s="8"/>
      <c r="S5759" s="18"/>
      <c r="T5759" s="18"/>
      <c r="U5759" s="6"/>
      <c r="V5759" s="6"/>
      <c r="W5759" s="6"/>
      <c r="X5759" s="6"/>
      <c r="Y5759" s="6"/>
      <c r="Z5759" s="6"/>
    </row>
    <row r="5760" spans="14:26" ht="31.4" customHeight="1" x14ac:dyDescent="0.35">
      <c r="N5760" s="20"/>
      <c r="P5760" s="8"/>
      <c r="Q5760" s="8"/>
      <c r="R5760" s="8"/>
      <c r="S5760" s="18"/>
      <c r="T5760" s="18"/>
      <c r="U5760" s="6"/>
      <c r="V5760" s="6"/>
      <c r="W5760" s="6"/>
      <c r="X5760" s="6"/>
      <c r="Y5760" s="6"/>
      <c r="Z5760" s="6"/>
    </row>
    <row r="5761" spans="14:26" ht="31.4" customHeight="1" x14ac:dyDescent="0.35">
      <c r="N5761" s="20"/>
      <c r="P5761" s="8"/>
      <c r="Q5761" s="8"/>
      <c r="R5761" s="8"/>
      <c r="S5761" s="18"/>
      <c r="T5761" s="18"/>
      <c r="U5761" s="6"/>
      <c r="V5761" s="6"/>
      <c r="W5761" s="6"/>
      <c r="X5761" s="6"/>
      <c r="Y5761" s="6"/>
      <c r="Z5761" s="6"/>
    </row>
    <row r="5762" spans="14:26" ht="31.4" customHeight="1" x14ac:dyDescent="0.35">
      <c r="N5762" s="20"/>
      <c r="P5762" s="8"/>
      <c r="Q5762" s="8"/>
      <c r="R5762" s="8"/>
      <c r="S5762" s="18"/>
      <c r="T5762" s="18"/>
      <c r="U5762" s="6"/>
      <c r="V5762" s="6"/>
      <c r="W5762" s="6"/>
      <c r="X5762" s="6"/>
      <c r="Y5762" s="6"/>
      <c r="Z5762" s="6"/>
    </row>
    <row r="5763" spans="14:26" ht="31.4" customHeight="1" x14ac:dyDescent="0.35">
      <c r="N5763" s="20"/>
      <c r="P5763" s="8"/>
      <c r="Q5763" s="8"/>
      <c r="R5763" s="8"/>
      <c r="S5763" s="18"/>
      <c r="T5763" s="18"/>
      <c r="U5763" s="6"/>
      <c r="V5763" s="6"/>
      <c r="W5763" s="6"/>
      <c r="X5763" s="6"/>
      <c r="Y5763" s="6"/>
      <c r="Z5763" s="6"/>
    </row>
    <row r="5764" spans="14:26" ht="31.4" customHeight="1" x14ac:dyDescent="0.35">
      <c r="N5764" s="20"/>
      <c r="P5764" s="8"/>
      <c r="Q5764" s="8"/>
      <c r="R5764" s="8"/>
      <c r="S5764" s="18"/>
      <c r="T5764" s="18"/>
      <c r="U5764" s="6"/>
      <c r="V5764" s="6"/>
      <c r="W5764" s="6"/>
      <c r="X5764" s="6"/>
      <c r="Y5764" s="6"/>
      <c r="Z5764" s="6"/>
    </row>
    <row r="5765" spans="14:26" ht="31.4" customHeight="1" x14ac:dyDescent="0.35">
      <c r="N5765" s="20"/>
      <c r="P5765" s="8"/>
      <c r="Q5765" s="8"/>
      <c r="R5765" s="8"/>
      <c r="S5765" s="18"/>
      <c r="T5765" s="18"/>
      <c r="U5765" s="6"/>
      <c r="V5765" s="6"/>
      <c r="W5765" s="6"/>
      <c r="X5765" s="6"/>
      <c r="Y5765" s="6"/>
      <c r="Z5765" s="6"/>
    </row>
    <row r="5766" spans="14:26" ht="31.4" customHeight="1" x14ac:dyDescent="0.35">
      <c r="N5766" s="20"/>
      <c r="P5766" s="8"/>
      <c r="Q5766" s="8"/>
      <c r="R5766" s="8"/>
      <c r="S5766" s="18"/>
      <c r="T5766" s="18"/>
      <c r="U5766" s="6"/>
      <c r="V5766" s="6"/>
      <c r="W5766" s="6"/>
      <c r="X5766" s="6"/>
      <c r="Y5766" s="6"/>
      <c r="Z5766" s="6"/>
    </row>
    <row r="5767" spans="14:26" ht="31.4" customHeight="1" x14ac:dyDescent="0.35">
      <c r="N5767" s="20"/>
      <c r="P5767" s="8"/>
      <c r="Q5767" s="8"/>
      <c r="R5767" s="8"/>
      <c r="S5767" s="18"/>
      <c r="T5767" s="18"/>
      <c r="U5767" s="6"/>
      <c r="V5767" s="6"/>
      <c r="W5767" s="6"/>
      <c r="X5767" s="6"/>
      <c r="Y5767" s="6"/>
      <c r="Z5767" s="6"/>
    </row>
    <row r="5768" spans="14:26" ht="31.4" customHeight="1" x14ac:dyDescent="0.35">
      <c r="N5768" s="20"/>
      <c r="P5768" s="8"/>
      <c r="Q5768" s="8"/>
      <c r="R5768" s="8"/>
      <c r="S5768" s="18"/>
      <c r="T5768" s="18"/>
      <c r="U5768" s="6"/>
      <c r="V5768" s="6"/>
      <c r="W5768" s="6"/>
      <c r="X5768" s="6"/>
      <c r="Y5768" s="6"/>
      <c r="Z5768" s="6"/>
    </row>
    <row r="5769" spans="14:26" ht="31.4" customHeight="1" x14ac:dyDescent="0.35">
      <c r="N5769" s="20"/>
      <c r="P5769" s="8"/>
      <c r="Q5769" s="8"/>
      <c r="R5769" s="8"/>
      <c r="S5769" s="18"/>
      <c r="T5769" s="18"/>
      <c r="U5769" s="6"/>
      <c r="V5769" s="6"/>
      <c r="W5769" s="6"/>
      <c r="X5769" s="6"/>
      <c r="Y5769" s="6"/>
      <c r="Z5769" s="6"/>
    </row>
    <row r="5770" spans="14:26" ht="31.4" customHeight="1" x14ac:dyDescent="0.35">
      <c r="N5770" s="20"/>
      <c r="P5770" s="8"/>
      <c r="Q5770" s="8"/>
      <c r="R5770" s="8"/>
      <c r="S5770" s="18"/>
      <c r="T5770" s="18"/>
      <c r="U5770" s="6"/>
      <c r="V5770" s="6"/>
      <c r="W5770" s="6"/>
      <c r="X5770" s="6"/>
      <c r="Y5770" s="6"/>
      <c r="Z5770" s="6"/>
    </row>
    <row r="5771" spans="14:26" ht="31.4" customHeight="1" x14ac:dyDescent="0.35">
      <c r="N5771" s="20"/>
      <c r="P5771" s="8"/>
      <c r="Q5771" s="8"/>
      <c r="R5771" s="8"/>
      <c r="S5771" s="18"/>
      <c r="T5771" s="18"/>
      <c r="U5771" s="6"/>
      <c r="V5771" s="6"/>
      <c r="W5771" s="6"/>
      <c r="X5771" s="6"/>
      <c r="Y5771" s="6"/>
      <c r="Z5771" s="6"/>
    </row>
    <row r="5772" spans="14:26" ht="31.4" customHeight="1" x14ac:dyDescent="0.35">
      <c r="N5772" s="20"/>
      <c r="P5772" s="8"/>
      <c r="Q5772" s="8"/>
      <c r="R5772" s="8"/>
      <c r="S5772" s="18"/>
      <c r="T5772" s="18"/>
      <c r="U5772" s="6"/>
      <c r="V5772" s="6"/>
      <c r="W5772" s="6"/>
      <c r="X5772" s="6"/>
      <c r="Y5772" s="6"/>
      <c r="Z5772" s="6"/>
    </row>
    <row r="5773" spans="14:26" ht="31.4" customHeight="1" x14ac:dyDescent="0.35">
      <c r="N5773" s="20"/>
      <c r="P5773" s="8"/>
      <c r="Q5773" s="8"/>
      <c r="R5773" s="8"/>
      <c r="S5773" s="18"/>
      <c r="T5773" s="18"/>
      <c r="U5773" s="6"/>
      <c r="V5773" s="6"/>
      <c r="W5773" s="6"/>
      <c r="X5773" s="6"/>
      <c r="Y5773" s="6"/>
      <c r="Z5773" s="6"/>
    </row>
    <row r="5774" spans="14:26" ht="31.4" customHeight="1" x14ac:dyDescent="0.35">
      <c r="N5774" s="20"/>
      <c r="P5774" s="8"/>
      <c r="Q5774" s="8"/>
      <c r="R5774" s="8"/>
      <c r="S5774" s="18"/>
      <c r="T5774" s="18"/>
      <c r="U5774" s="6"/>
      <c r="V5774" s="6"/>
      <c r="W5774" s="6"/>
      <c r="X5774" s="6"/>
      <c r="Y5774" s="6"/>
      <c r="Z5774" s="6"/>
    </row>
    <row r="5775" spans="14:26" ht="31.4" customHeight="1" x14ac:dyDescent="0.35">
      <c r="N5775" s="20"/>
      <c r="P5775" s="8"/>
      <c r="Q5775" s="8"/>
      <c r="R5775" s="8"/>
      <c r="S5775" s="18"/>
      <c r="T5775" s="18"/>
      <c r="U5775" s="6"/>
      <c r="V5775" s="6"/>
      <c r="W5775" s="6"/>
      <c r="X5775" s="6"/>
      <c r="Y5775" s="6"/>
      <c r="Z5775" s="6"/>
    </row>
    <row r="5776" spans="14:26" ht="31.4" customHeight="1" x14ac:dyDescent="0.35">
      <c r="N5776" s="20"/>
      <c r="P5776" s="8"/>
      <c r="Q5776" s="8"/>
      <c r="R5776" s="8"/>
      <c r="S5776" s="18"/>
      <c r="T5776" s="18"/>
      <c r="U5776" s="6"/>
      <c r="V5776" s="6"/>
      <c r="W5776" s="6"/>
      <c r="X5776" s="6"/>
      <c r="Y5776" s="6"/>
      <c r="Z5776" s="6"/>
    </row>
    <row r="5777" spans="14:26" ht="31.4" customHeight="1" x14ac:dyDescent="0.35">
      <c r="N5777" s="20"/>
      <c r="P5777" s="8"/>
      <c r="Q5777" s="8"/>
      <c r="R5777" s="8"/>
      <c r="S5777" s="18"/>
      <c r="T5777" s="18"/>
      <c r="U5777" s="6"/>
      <c r="V5777" s="6"/>
      <c r="W5777" s="6"/>
      <c r="X5777" s="6"/>
      <c r="Y5777" s="6"/>
      <c r="Z5777" s="6"/>
    </row>
    <row r="5778" spans="14:26" ht="31.4" customHeight="1" x14ac:dyDescent="0.35">
      <c r="N5778" s="20"/>
      <c r="P5778" s="8"/>
      <c r="Q5778" s="8"/>
      <c r="R5778" s="8"/>
      <c r="S5778" s="18"/>
      <c r="T5778" s="18"/>
      <c r="U5778" s="6"/>
      <c r="V5778" s="6"/>
      <c r="W5778" s="6"/>
      <c r="X5778" s="6"/>
      <c r="Y5778" s="6"/>
      <c r="Z5778" s="6"/>
    </row>
    <row r="5779" spans="14:26" ht="31.4" customHeight="1" x14ac:dyDescent="0.35">
      <c r="N5779" s="20"/>
      <c r="P5779" s="8"/>
      <c r="Q5779" s="8"/>
      <c r="R5779" s="8"/>
      <c r="S5779" s="18"/>
      <c r="T5779" s="18"/>
      <c r="U5779" s="6"/>
      <c r="V5779" s="6"/>
      <c r="W5779" s="6"/>
      <c r="X5779" s="6"/>
      <c r="Y5779" s="6"/>
      <c r="Z5779" s="6"/>
    </row>
    <row r="5780" spans="14:26" ht="31.4" customHeight="1" x14ac:dyDescent="0.35">
      <c r="N5780" s="20"/>
      <c r="P5780" s="8"/>
      <c r="Q5780" s="8"/>
      <c r="R5780" s="8"/>
      <c r="S5780" s="18"/>
      <c r="T5780" s="18"/>
      <c r="U5780" s="6"/>
      <c r="V5780" s="6"/>
      <c r="W5780" s="6"/>
      <c r="X5780" s="6"/>
      <c r="Y5780" s="6"/>
      <c r="Z5780" s="6"/>
    </row>
    <row r="5781" spans="14:26" ht="31.4" customHeight="1" x14ac:dyDescent="0.35">
      <c r="N5781" s="20"/>
      <c r="P5781" s="8"/>
      <c r="Q5781" s="8"/>
      <c r="R5781" s="8"/>
      <c r="S5781" s="18"/>
      <c r="T5781" s="18"/>
      <c r="U5781" s="6"/>
      <c r="V5781" s="6"/>
      <c r="W5781" s="6"/>
      <c r="X5781" s="6"/>
      <c r="Y5781" s="6"/>
      <c r="Z5781" s="6"/>
    </row>
    <row r="5782" spans="14:26" ht="31.4" customHeight="1" x14ac:dyDescent="0.35">
      <c r="N5782" s="20"/>
      <c r="P5782" s="8"/>
      <c r="Q5782" s="8"/>
      <c r="R5782" s="8"/>
      <c r="S5782" s="18"/>
      <c r="T5782" s="18"/>
      <c r="U5782" s="6"/>
      <c r="V5782" s="6"/>
      <c r="W5782" s="6"/>
      <c r="X5782" s="6"/>
      <c r="Y5782" s="6"/>
      <c r="Z5782" s="6"/>
    </row>
    <row r="5783" spans="14:26" ht="31.4" customHeight="1" x14ac:dyDescent="0.35">
      <c r="N5783" s="20"/>
      <c r="P5783" s="8"/>
      <c r="Q5783" s="8"/>
      <c r="R5783" s="8"/>
      <c r="S5783" s="18"/>
      <c r="T5783" s="18"/>
      <c r="U5783" s="6"/>
      <c r="V5783" s="6"/>
      <c r="W5783" s="6"/>
      <c r="X5783" s="6"/>
      <c r="Y5783" s="6"/>
      <c r="Z5783" s="6"/>
    </row>
    <row r="5784" spans="14:26" ht="31.4" customHeight="1" x14ac:dyDescent="0.35">
      <c r="N5784" s="20"/>
      <c r="P5784" s="8"/>
      <c r="Q5784" s="8"/>
      <c r="R5784" s="8"/>
      <c r="S5784" s="18"/>
      <c r="T5784" s="18"/>
      <c r="U5784" s="6"/>
      <c r="V5784" s="6"/>
      <c r="W5784" s="6"/>
      <c r="X5784" s="6"/>
      <c r="Y5784" s="6"/>
      <c r="Z5784" s="6"/>
    </row>
    <row r="5785" spans="14:26" ht="31.4" customHeight="1" x14ac:dyDescent="0.35">
      <c r="N5785" s="20"/>
      <c r="P5785" s="8"/>
      <c r="Q5785" s="8"/>
      <c r="R5785" s="8"/>
      <c r="S5785" s="18"/>
      <c r="T5785" s="18"/>
      <c r="U5785" s="6"/>
      <c r="V5785" s="6"/>
      <c r="W5785" s="6"/>
      <c r="X5785" s="6"/>
      <c r="Y5785" s="6"/>
      <c r="Z5785" s="6"/>
    </row>
    <row r="5786" spans="14:26" ht="31.4" customHeight="1" x14ac:dyDescent="0.35">
      <c r="N5786" s="20"/>
      <c r="P5786" s="8"/>
      <c r="Q5786" s="8"/>
      <c r="R5786" s="8"/>
      <c r="S5786" s="18"/>
      <c r="T5786" s="18"/>
      <c r="U5786" s="6"/>
      <c r="V5786" s="6"/>
      <c r="W5786" s="6"/>
      <c r="X5786" s="6"/>
      <c r="Y5786" s="6"/>
      <c r="Z5786" s="6"/>
    </row>
    <row r="5787" spans="14:26" ht="31.4" customHeight="1" x14ac:dyDescent="0.35">
      <c r="N5787" s="20"/>
      <c r="P5787" s="8"/>
      <c r="Q5787" s="8"/>
      <c r="R5787" s="8"/>
      <c r="S5787" s="18"/>
      <c r="T5787" s="18"/>
      <c r="U5787" s="6"/>
      <c r="V5787" s="6"/>
      <c r="W5787" s="6"/>
      <c r="X5787" s="6"/>
      <c r="Y5787" s="6"/>
      <c r="Z5787" s="6"/>
    </row>
    <row r="5788" spans="14:26" ht="31.4" customHeight="1" x14ac:dyDescent="0.35">
      <c r="N5788" s="20"/>
      <c r="P5788" s="8"/>
      <c r="Q5788" s="8"/>
      <c r="R5788" s="8"/>
      <c r="S5788" s="18"/>
      <c r="T5788" s="18"/>
      <c r="U5788" s="6"/>
      <c r="V5788" s="6"/>
      <c r="W5788" s="6"/>
      <c r="X5788" s="6"/>
      <c r="Y5788" s="6"/>
      <c r="Z5788" s="6"/>
    </row>
    <row r="5789" spans="14:26" ht="31.4" customHeight="1" x14ac:dyDescent="0.35">
      <c r="N5789" s="20"/>
      <c r="P5789" s="8"/>
      <c r="Q5789" s="8"/>
      <c r="R5789" s="8"/>
      <c r="S5789" s="18"/>
      <c r="T5789" s="18"/>
      <c r="U5789" s="6"/>
      <c r="V5789" s="6"/>
      <c r="W5789" s="6"/>
      <c r="X5789" s="6"/>
      <c r="Y5789" s="6"/>
      <c r="Z5789" s="6"/>
    </row>
    <row r="5790" spans="14:26" ht="31.4" customHeight="1" x14ac:dyDescent="0.35">
      <c r="N5790" s="20"/>
      <c r="P5790" s="8"/>
      <c r="Q5790" s="8"/>
      <c r="R5790" s="8"/>
      <c r="S5790" s="18"/>
      <c r="T5790" s="18"/>
      <c r="U5790" s="6"/>
      <c r="V5790" s="6"/>
      <c r="W5790" s="6"/>
      <c r="X5790" s="6"/>
      <c r="Y5790" s="6"/>
      <c r="Z5790" s="6"/>
    </row>
    <row r="5791" spans="14:26" ht="31.4" customHeight="1" x14ac:dyDescent="0.35">
      <c r="N5791" s="20"/>
      <c r="P5791" s="8"/>
      <c r="Q5791" s="8"/>
      <c r="R5791" s="8"/>
      <c r="S5791" s="18"/>
      <c r="T5791" s="18"/>
      <c r="U5791" s="6"/>
      <c r="V5791" s="6"/>
      <c r="W5791" s="6"/>
      <c r="X5791" s="6"/>
      <c r="Y5791" s="6"/>
      <c r="Z5791" s="6"/>
    </row>
    <row r="5792" spans="14:26" ht="31.4" customHeight="1" x14ac:dyDescent="0.35">
      <c r="N5792" s="20"/>
      <c r="P5792" s="8"/>
      <c r="Q5792" s="8"/>
      <c r="R5792" s="8"/>
      <c r="S5792" s="18"/>
      <c r="T5792" s="18"/>
      <c r="U5792" s="6"/>
      <c r="V5792" s="6"/>
      <c r="W5792" s="6"/>
      <c r="X5792" s="6"/>
      <c r="Y5792" s="6"/>
      <c r="Z5792" s="6"/>
    </row>
    <row r="5793" spans="14:26" ht="31.4" customHeight="1" x14ac:dyDescent="0.35">
      <c r="N5793" s="20"/>
      <c r="P5793" s="8"/>
      <c r="Q5793" s="8"/>
      <c r="R5793" s="8"/>
      <c r="S5793" s="18"/>
      <c r="T5793" s="18"/>
      <c r="U5793" s="6"/>
      <c r="V5793" s="6"/>
      <c r="W5793" s="6"/>
      <c r="X5793" s="6"/>
      <c r="Y5793" s="6"/>
      <c r="Z5793" s="6"/>
    </row>
    <row r="5794" spans="14:26" ht="31.4" customHeight="1" x14ac:dyDescent="0.35">
      <c r="N5794" s="20"/>
      <c r="P5794" s="8"/>
      <c r="Q5794" s="8"/>
      <c r="R5794" s="8"/>
      <c r="S5794" s="18"/>
      <c r="T5794" s="18"/>
      <c r="U5794" s="6"/>
      <c r="V5794" s="6"/>
      <c r="W5794" s="6"/>
      <c r="X5794" s="6"/>
      <c r="Y5794" s="6"/>
      <c r="Z5794" s="6"/>
    </row>
    <row r="5795" spans="14:26" ht="31.4" customHeight="1" x14ac:dyDescent="0.35">
      <c r="N5795" s="20"/>
      <c r="P5795" s="8"/>
      <c r="Q5795" s="8"/>
      <c r="R5795" s="8"/>
      <c r="S5795" s="18"/>
      <c r="T5795" s="18"/>
      <c r="U5795" s="6"/>
      <c r="V5795" s="6"/>
      <c r="W5795" s="6"/>
      <c r="X5795" s="6"/>
      <c r="Y5795" s="6"/>
      <c r="Z5795" s="6"/>
    </row>
    <row r="5796" spans="14:26" ht="31.4" customHeight="1" x14ac:dyDescent="0.35">
      <c r="N5796" s="20"/>
      <c r="P5796" s="8"/>
      <c r="Q5796" s="8"/>
      <c r="R5796" s="8"/>
      <c r="S5796" s="18"/>
      <c r="T5796" s="18"/>
      <c r="U5796" s="6"/>
      <c r="V5796" s="6"/>
      <c r="W5796" s="6"/>
      <c r="X5796" s="6"/>
      <c r="Y5796" s="6"/>
      <c r="Z5796" s="6"/>
    </row>
    <row r="5797" spans="14:26" ht="31.4" customHeight="1" x14ac:dyDescent="0.35">
      <c r="N5797" s="20"/>
      <c r="P5797" s="8"/>
      <c r="Q5797" s="8"/>
      <c r="R5797" s="8"/>
      <c r="S5797" s="18"/>
      <c r="T5797" s="18"/>
      <c r="U5797" s="6"/>
      <c r="V5797" s="6"/>
      <c r="W5797" s="6"/>
      <c r="X5797" s="6"/>
      <c r="Y5797" s="6"/>
      <c r="Z5797" s="6"/>
    </row>
    <row r="5798" spans="14:26" ht="31.4" customHeight="1" x14ac:dyDescent="0.35">
      <c r="N5798" s="20"/>
      <c r="P5798" s="8"/>
      <c r="Q5798" s="8"/>
      <c r="R5798" s="8"/>
      <c r="S5798" s="18"/>
      <c r="T5798" s="18"/>
      <c r="U5798" s="6"/>
      <c r="V5798" s="6"/>
      <c r="W5798" s="6"/>
      <c r="X5798" s="6"/>
      <c r="Y5798" s="6"/>
      <c r="Z5798" s="6"/>
    </row>
    <row r="5799" spans="14:26" ht="31.4" customHeight="1" x14ac:dyDescent="0.35">
      <c r="N5799" s="20"/>
      <c r="P5799" s="8"/>
      <c r="Q5799" s="8"/>
      <c r="R5799" s="8"/>
      <c r="S5799" s="18"/>
      <c r="T5799" s="18"/>
      <c r="U5799" s="6"/>
      <c r="V5799" s="6"/>
      <c r="W5799" s="6"/>
      <c r="X5799" s="6"/>
      <c r="Y5799" s="6"/>
      <c r="Z5799" s="6"/>
    </row>
    <row r="5800" spans="14:26" ht="31.4" customHeight="1" x14ac:dyDescent="0.35">
      <c r="N5800" s="20"/>
      <c r="P5800" s="8"/>
      <c r="Q5800" s="8"/>
      <c r="R5800" s="8"/>
      <c r="S5800" s="18"/>
      <c r="T5800" s="18"/>
      <c r="U5800" s="6"/>
      <c r="V5800" s="6"/>
      <c r="W5800" s="6"/>
      <c r="X5800" s="6"/>
      <c r="Y5800" s="6"/>
      <c r="Z5800" s="6"/>
    </row>
    <row r="5801" spans="14:26" ht="31.4" customHeight="1" x14ac:dyDescent="0.35">
      <c r="N5801" s="20"/>
      <c r="P5801" s="8"/>
      <c r="Q5801" s="8"/>
      <c r="R5801" s="8"/>
      <c r="S5801" s="18"/>
      <c r="T5801" s="18"/>
      <c r="U5801" s="6"/>
      <c r="V5801" s="6"/>
      <c r="W5801" s="6"/>
      <c r="X5801" s="6"/>
      <c r="Y5801" s="6"/>
      <c r="Z5801" s="6"/>
    </row>
    <row r="5802" spans="14:26" ht="31.4" customHeight="1" x14ac:dyDescent="0.35">
      <c r="N5802" s="20"/>
      <c r="P5802" s="8"/>
      <c r="Q5802" s="8"/>
      <c r="R5802" s="8"/>
      <c r="S5802" s="18"/>
      <c r="T5802" s="18"/>
      <c r="U5802" s="6"/>
      <c r="V5802" s="6"/>
      <c r="W5802" s="6"/>
      <c r="X5802" s="6"/>
      <c r="Y5802" s="6"/>
      <c r="Z5802" s="6"/>
    </row>
    <row r="5803" spans="14:26" ht="31.4" customHeight="1" x14ac:dyDescent="0.35">
      <c r="N5803" s="20"/>
      <c r="P5803" s="8"/>
      <c r="Q5803" s="8"/>
      <c r="R5803" s="8"/>
      <c r="S5803" s="18"/>
      <c r="T5803" s="18"/>
      <c r="U5803" s="6"/>
      <c r="V5803" s="6"/>
      <c r="W5803" s="6"/>
      <c r="X5803" s="6"/>
      <c r="Y5803" s="6"/>
      <c r="Z5803" s="6"/>
    </row>
    <row r="5804" spans="14:26" ht="31.4" customHeight="1" x14ac:dyDescent="0.35">
      <c r="N5804" s="20"/>
      <c r="P5804" s="8"/>
      <c r="Q5804" s="8"/>
      <c r="R5804" s="8"/>
      <c r="S5804" s="18"/>
      <c r="T5804" s="18"/>
      <c r="U5804" s="6"/>
      <c r="V5804" s="6"/>
      <c r="W5804" s="6"/>
      <c r="X5804" s="6"/>
      <c r="Y5804" s="6"/>
      <c r="Z5804" s="6"/>
    </row>
    <row r="5805" spans="14:26" ht="31.4" customHeight="1" x14ac:dyDescent="0.35">
      <c r="N5805" s="20"/>
      <c r="P5805" s="8"/>
      <c r="Q5805" s="8"/>
      <c r="R5805" s="8"/>
      <c r="S5805" s="18"/>
      <c r="T5805" s="18"/>
      <c r="U5805" s="6"/>
      <c r="V5805" s="6"/>
      <c r="W5805" s="6"/>
      <c r="X5805" s="6"/>
      <c r="Y5805" s="6"/>
      <c r="Z5805" s="6"/>
    </row>
    <row r="5806" spans="14:26" ht="31.4" customHeight="1" x14ac:dyDescent="0.35">
      <c r="N5806" s="20"/>
      <c r="P5806" s="8"/>
      <c r="Q5806" s="8"/>
      <c r="R5806" s="8"/>
      <c r="S5806" s="18"/>
      <c r="T5806" s="18"/>
      <c r="U5806" s="6"/>
      <c r="V5806" s="6"/>
      <c r="W5806" s="6"/>
      <c r="X5806" s="6"/>
      <c r="Y5806" s="6"/>
      <c r="Z5806" s="6"/>
    </row>
    <row r="5807" spans="14:26" ht="31.4" customHeight="1" x14ac:dyDescent="0.35">
      <c r="N5807" s="20"/>
      <c r="P5807" s="8"/>
      <c r="Q5807" s="8"/>
      <c r="R5807" s="8"/>
      <c r="S5807" s="18"/>
      <c r="T5807" s="18"/>
      <c r="U5807" s="6"/>
      <c r="V5807" s="6"/>
      <c r="W5807" s="6"/>
      <c r="X5807" s="6"/>
      <c r="Y5807" s="6"/>
      <c r="Z5807" s="6"/>
    </row>
    <row r="5808" spans="14:26" ht="31.4" customHeight="1" x14ac:dyDescent="0.35">
      <c r="N5808" s="20"/>
      <c r="P5808" s="8"/>
      <c r="Q5808" s="8"/>
      <c r="R5808" s="8"/>
      <c r="S5808" s="18"/>
      <c r="T5808" s="18"/>
      <c r="U5808" s="6"/>
      <c r="V5808" s="6"/>
      <c r="W5808" s="6"/>
      <c r="X5808" s="6"/>
      <c r="Y5808" s="6"/>
      <c r="Z5808" s="6"/>
    </row>
    <row r="5809" spans="14:26" ht="31.4" customHeight="1" x14ac:dyDescent="0.35">
      <c r="N5809" s="20"/>
      <c r="P5809" s="8"/>
      <c r="Q5809" s="8"/>
      <c r="R5809" s="8"/>
      <c r="S5809" s="18"/>
      <c r="T5809" s="18"/>
      <c r="U5809" s="6"/>
      <c r="V5809" s="6"/>
      <c r="W5809" s="6"/>
      <c r="X5809" s="6"/>
      <c r="Y5809" s="6"/>
      <c r="Z5809" s="6"/>
    </row>
    <row r="5810" spans="14:26" ht="31.4" customHeight="1" x14ac:dyDescent="0.35">
      <c r="N5810" s="20"/>
      <c r="P5810" s="8"/>
      <c r="Q5810" s="8"/>
      <c r="R5810" s="8"/>
      <c r="S5810" s="18"/>
      <c r="T5810" s="18"/>
      <c r="U5810" s="6"/>
      <c r="V5810" s="6"/>
      <c r="W5810" s="6"/>
      <c r="X5810" s="6"/>
      <c r="Y5810" s="6"/>
      <c r="Z5810" s="6"/>
    </row>
    <row r="5811" spans="14:26" ht="31.4" customHeight="1" x14ac:dyDescent="0.35">
      <c r="N5811" s="20"/>
      <c r="P5811" s="8"/>
      <c r="Q5811" s="8"/>
      <c r="R5811" s="8"/>
      <c r="S5811" s="18"/>
      <c r="T5811" s="18"/>
      <c r="U5811" s="6"/>
      <c r="V5811" s="6"/>
      <c r="W5811" s="6"/>
      <c r="X5811" s="6"/>
      <c r="Y5811" s="6"/>
      <c r="Z5811" s="6"/>
    </row>
    <row r="5812" spans="14:26" ht="31.4" customHeight="1" x14ac:dyDescent="0.35">
      <c r="N5812" s="20"/>
      <c r="P5812" s="8"/>
      <c r="Q5812" s="8"/>
      <c r="R5812" s="8"/>
      <c r="S5812" s="18"/>
      <c r="T5812" s="18"/>
      <c r="U5812" s="6"/>
      <c r="V5812" s="6"/>
      <c r="W5812" s="6"/>
      <c r="X5812" s="6"/>
      <c r="Y5812" s="6"/>
      <c r="Z5812" s="6"/>
    </row>
    <row r="5813" spans="14:26" ht="31.4" customHeight="1" x14ac:dyDescent="0.35">
      <c r="N5813" s="20"/>
      <c r="P5813" s="8"/>
      <c r="Q5813" s="8"/>
      <c r="R5813" s="8"/>
      <c r="S5813" s="18"/>
      <c r="T5813" s="18"/>
      <c r="U5813" s="6"/>
      <c r="V5813" s="6"/>
      <c r="W5813" s="6"/>
      <c r="X5813" s="6"/>
      <c r="Y5813" s="6"/>
      <c r="Z5813" s="6"/>
    </row>
    <row r="5814" spans="14:26" ht="31.4" customHeight="1" x14ac:dyDescent="0.35">
      <c r="N5814" s="20"/>
      <c r="P5814" s="8"/>
      <c r="Q5814" s="8"/>
      <c r="R5814" s="8"/>
      <c r="S5814" s="18"/>
      <c r="T5814" s="18"/>
      <c r="U5814" s="6"/>
      <c r="V5814" s="6"/>
      <c r="W5814" s="6"/>
      <c r="X5814" s="6"/>
      <c r="Y5814" s="6"/>
      <c r="Z5814" s="6"/>
    </row>
    <row r="5815" spans="14:26" ht="31.4" customHeight="1" x14ac:dyDescent="0.35">
      <c r="N5815" s="20"/>
      <c r="P5815" s="8"/>
      <c r="Q5815" s="8"/>
      <c r="R5815" s="8"/>
      <c r="S5815" s="18"/>
      <c r="T5815" s="18"/>
      <c r="U5815" s="6"/>
      <c r="V5815" s="6"/>
      <c r="W5815" s="6"/>
      <c r="X5815" s="6"/>
      <c r="Y5815" s="6"/>
      <c r="Z5815" s="6"/>
    </row>
    <row r="5816" spans="14:26" ht="31.4" customHeight="1" x14ac:dyDescent="0.35">
      <c r="N5816" s="20"/>
      <c r="P5816" s="8"/>
      <c r="Q5816" s="8"/>
      <c r="R5816" s="8"/>
      <c r="S5816" s="18"/>
      <c r="T5816" s="18"/>
      <c r="U5816" s="6"/>
      <c r="V5816" s="6"/>
      <c r="W5816" s="6"/>
      <c r="X5816" s="6"/>
      <c r="Y5816" s="6"/>
      <c r="Z5816" s="6"/>
    </row>
    <row r="5817" spans="14:26" ht="31.4" customHeight="1" x14ac:dyDescent="0.35">
      <c r="N5817" s="20"/>
      <c r="P5817" s="8"/>
      <c r="Q5817" s="8"/>
      <c r="R5817" s="8"/>
      <c r="S5817" s="18"/>
      <c r="T5817" s="18"/>
      <c r="U5817" s="6"/>
      <c r="V5817" s="6"/>
      <c r="W5817" s="6"/>
      <c r="X5817" s="6"/>
      <c r="Y5817" s="6"/>
      <c r="Z5817" s="6"/>
    </row>
    <row r="5818" spans="14:26" ht="31.4" customHeight="1" x14ac:dyDescent="0.35">
      <c r="N5818" s="20"/>
      <c r="P5818" s="8"/>
      <c r="Q5818" s="8"/>
      <c r="R5818" s="8"/>
      <c r="S5818" s="18"/>
      <c r="T5818" s="18"/>
      <c r="U5818" s="6"/>
      <c r="V5818" s="6"/>
      <c r="W5818" s="6"/>
      <c r="X5818" s="6"/>
      <c r="Y5818" s="6"/>
      <c r="Z5818" s="6"/>
    </row>
    <row r="5819" spans="14:26" ht="31.4" customHeight="1" x14ac:dyDescent="0.35">
      <c r="N5819" s="20"/>
      <c r="P5819" s="8"/>
      <c r="Q5819" s="8"/>
      <c r="R5819" s="8"/>
      <c r="S5819" s="18"/>
      <c r="T5819" s="18"/>
      <c r="U5819" s="6"/>
      <c r="V5819" s="6"/>
      <c r="W5819" s="6"/>
      <c r="X5819" s="6"/>
      <c r="Y5819" s="6"/>
      <c r="Z5819" s="6"/>
    </row>
    <row r="5820" spans="14:26" ht="31.4" customHeight="1" x14ac:dyDescent="0.35">
      <c r="N5820" s="20"/>
      <c r="P5820" s="8"/>
      <c r="Q5820" s="8"/>
      <c r="R5820" s="8"/>
      <c r="S5820" s="18"/>
      <c r="T5820" s="18"/>
      <c r="U5820" s="6"/>
      <c r="V5820" s="6"/>
      <c r="W5820" s="6"/>
      <c r="X5820" s="6"/>
      <c r="Y5820" s="6"/>
      <c r="Z5820" s="6"/>
    </row>
    <row r="5821" spans="14:26" ht="31.4" customHeight="1" x14ac:dyDescent="0.35">
      <c r="N5821" s="20"/>
      <c r="P5821" s="8"/>
      <c r="Q5821" s="8"/>
      <c r="R5821" s="8"/>
      <c r="S5821" s="18"/>
      <c r="T5821" s="18"/>
      <c r="U5821" s="6"/>
      <c r="V5821" s="6"/>
      <c r="W5821" s="6"/>
      <c r="X5821" s="6"/>
      <c r="Y5821" s="6"/>
      <c r="Z5821" s="6"/>
    </row>
    <row r="5822" spans="14:26" ht="31.4" customHeight="1" x14ac:dyDescent="0.35">
      <c r="N5822" s="20"/>
      <c r="P5822" s="8"/>
      <c r="Q5822" s="8"/>
      <c r="R5822" s="8"/>
      <c r="S5822" s="18"/>
      <c r="T5822" s="18"/>
      <c r="U5822" s="6"/>
      <c r="V5822" s="6"/>
      <c r="W5822" s="6"/>
      <c r="X5822" s="6"/>
      <c r="Y5822" s="6"/>
      <c r="Z5822" s="6"/>
    </row>
    <row r="5823" spans="14:26" ht="31.4" customHeight="1" x14ac:dyDescent="0.35">
      <c r="N5823" s="20"/>
      <c r="P5823" s="8"/>
      <c r="Q5823" s="8"/>
      <c r="R5823" s="8"/>
      <c r="S5823" s="18"/>
      <c r="T5823" s="18"/>
      <c r="U5823" s="6"/>
      <c r="V5823" s="6"/>
      <c r="W5823" s="6"/>
      <c r="X5823" s="6"/>
      <c r="Y5823" s="6"/>
      <c r="Z5823" s="6"/>
    </row>
    <row r="5824" spans="14:26" ht="31.4" customHeight="1" x14ac:dyDescent="0.35">
      <c r="N5824" s="20"/>
      <c r="P5824" s="8"/>
      <c r="Q5824" s="8"/>
      <c r="R5824" s="8"/>
      <c r="S5824" s="18"/>
      <c r="T5824" s="18"/>
      <c r="U5824" s="6"/>
      <c r="V5824" s="6"/>
      <c r="W5824" s="6"/>
      <c r="X5824" s="6"/>
      <c r="Y5824" s="6"/>
      <c r="Z5824" s="6"/>
    </row>
    <row r="5825" spans="14:26" ht="31.4" customHeight="1" x14ac:dyDescent="0.35">
      <c r="N5825" s="20"/>
      <c r="P5825" s="8"/>
      <c r="Q5825" s="8"/>
      <c r="R5825" s="8"/>
      <c r="S5825" s="18"/>
      <c r="T5825" s="18"/>
      <c r="U5825" s="6"/>
      <c r="V5825" s="6"/>
      <c r="W5825" s="6"/>
      <c r="X5825" s="6"/>
      <c r="Y5825" s="6"/>
      <c r="Z5825" s="6"/>
    </row>
    <row r="5826" spans="14:26" ht="31.4" customHeight="1" x14ac:dyDescent="0.35">
      <c r="N5826" s="20"/>
      <c r="P5826" s="8"/>
      <c r="Q5826" s="8"/>
      <c r="R5826" s="8"/>
      <c r="S5826" s="18"/>
      <c r="T5826" s="18"/>
      <c r="U5826" s="6"/>
      <c r="V5826" s="6"/>
      <c r="W5826" s="6"/>
      <c r="X5826" s="6"/>
      <c r="Y5826" s="6"/>
      <c r="Z5826" s="6"/>
    </row>
    <row r="5827" spans="14:26" ht="31.4" customHeight="1" x14ac:dyDescent="0.35">
      <c r="N5827" s="20"/>
      <c r="P5827" s="8"/>
      <c r="Q5827" s="8"/>
      <c r="R5827" s="8"/>
      <c r="S5827" s="18"/>
      <c r="T5827" s="18"/>
      <c r="U5827" s="6"/>
      <c r="V5827" s="6"/>
      <c r="W5827" s="6"/>
      <c r="X5827" s="6"/>
      <c r="Y5827" s="6"/>
      <c r="Z5827" s="6"/>
    </row>
    <row r="5828" spans="14:26" ht="31.4" customHeight="1" x14ac:dyDescent="0.35">
      <c r="N5828" s="20"/>
      <c r="P5828" s="8"/>
      <c r="Q5828" s="8"/>
      <c r="R5828" s="8"/>
      <c r="S5828" s="18"/>
      <c r="T5828" s="18"/>
      <c r="U5828" s="6"/>
      <c r="V5828" s="6"/>
      <c r="W5828" s="6"/>
      <c r="X5828" s="6"/>
      <c r="Y5828" s="6"/>
      <c r="Z5828" s="6"/>
    </row>
    <row r="5829" spans="14:26" ht="31.4" customHeight="1" x14ac:dyDescent="0.35">
      <c r="N5829" s="20"/>
      <c r="P5829" s="8"/>
      <c r="Q5829" s="8"/>
      <c r="R5829" s="8"/>
      <c r="S5829" s="18"/>
      <c r="T5829" s="18"/>
      <c r="U5829" s="6"/>
      <c r="V5829" s="6"/>
      <c r="W5829" s="6"/>
      <c r="X5829" s="6"/>
      <c r="Y5829" s="6"/>
      <c r="Z5829" s="6"/>
    </row>
    <row r="5830" spans="14:26" ht="31.4" customHeight="1" x14ac:dyDescent="0.35">
      <c r="N5830" s="20"/>
      <c r="P5830" s="8"/>
      <c r="Q5830" s="8"/>
      <c r="R5830" s="8"/>
      <c r="S5830" s="18"/>
      <c r="T5830" s="18"/>
      <c r="U5830" s="6"/>
      <c r="V5830" s="6"/>
      <c r="W5830" s="6"/>
      <c r="X5830" s="6"/>
      <c r="Y5830" s="6"/>
      <c r="Z5830" s="6"/>
    </row>
    <row r="5831" spans="14:26" ht="31.4" customHeight="1" x14ac:dyDescent="0.35">
      <c r="N5831" s="20"/>
      <c r="P5831" s="8"/>
      <c r="Q5831" s="8"/>
      <c r="R5831" s="8"/>
      <c r="S5831" s="18"/>
      <c r="T5831" s="18"/>
      <c r="U5831" s="6"/>
      <c r="V5831" s="6"/>
      <c r="W5831" s="6"/>
      <c r="X5831" s="6"/>
      <c r="Y5831" s="6"/>
      <c r="Z5831" s="6"/>
    </row>
    <row r="5832" spans="14:26" ht="31.4" customHeight="1" x14ac:dyDescent="0.35">
      <c r="N5832" s="20"/>
      <c r="P5832" s="8"/>
      <c r="Q5832" s="8"/>
      <c r="R5832" s="8"/>
      <c r="S5832" s="18"/>
      <c r="T5832" s="18"/>
      <c r="U5832" s="6"/>
      <c r="V5832" s="6"/>
      <c r="W5832" s="6"/>
      <c r="X5832" s="6"/>
      <c r="Y5832" s="6"/>
      <c r="Z5832" s="6"/>
    </row>
    <row r="5833" spans="14:26" ht="31.4" customHeight="1" x14ac:dyDescent="0.35">
      <c r="N5833" s="20"/>
      <c r="P5833" s="8"/>
      <c r="Q5833" s="8"/>
      <c r="R5833" s="8"/>
      <c r="S5833" s="18"/>
      <c r="T5833" s="18"/>
      <c r="U5833" s="6"/>
      <c r="V5833" s="6"/>
      <c r="W5833" s="6"/>
      <c r="X5833" s="6"/>
      <c r="Y5833" s="6"/>
      <c r="Z5833" s="6"/>
    </row>
    <row r="5834" spans="14:26" ht="31.4" customHeight="1" x14ac:dyDescent="0.35">
      <c r="N5834" s="20"/>
      <c r="P5834" s="8"/>
      <c r="Q5834" s="8"/>
      <c r="R5834" s="8"/>
      <c r="S5834" s="18"/>
      <c r="T5834" s="18"/>
      <c r="U5834" s="6"/>
      <c r="V5834" s="6"/>
      <c r="W5834" s="6"/>
      <c r="X5834" s="6"/>
      <c r="Y5834" s="6"/>
      <c r="Z5834" s="6"/>
    </row>
    <row r="5835" spans="14:26" ht="31.4" customHeight="1" x14ac:dyDescent="0.35">
      <c r="N5835" s="20"/>
      <c r="P5835" s="8"/>
      <c r="Q5835" s="8"/>
      <c r="R5835" s="8"/>
      <c r="S5835" s="18"/>
      <c r="T5835" s="18"/>
      <c r="U5835" s="6"/>
      <c r="V5835" s="6"/>
      <c r="W5835" s="6"/>
      <c r="X5835" s="6"/>
      <c r="Y5835" s="6"/>
      <c r="Z5835" s="6"/>
    </row>
    <row r="5836" spans="14:26" ht="31.4" customHeight="1" x14ac:dyDescent="0.35">
      <c r="N5836" s="20"/>
      <c r="P5836" s="8"/>
      <c r="Q5836" s="8"/>
      <c r="R5836" s="8"/>
      <c r="S5836" s="18"/>
      <c r="T5836" s="18"/>
      <c r="U5836" s="6"/>
      <c r="V5836" s="6"/>
      <c r="W5836" s="6"/>
      <c r="X5836" s="6"/>
      <c r="Y5836" s="6"/>
      <c r="Z5836" s="6"/>
    </row>
    <row r="5837" spans="14:26" ht="31.4" customHeight="1" x14ac:dyDescent="0.35">
      <c r="N5837" s="20"/>
      <c r="P5837" s="8"/>
      <c r="Q5837" s="8"/>
      <c r="R5837" s="8"/>
      <c r="S5837" s="18"/>
      <c r="T5837" s="18"/>
      <c r="U5837" s="6"/>
      <c r="V5837" s="6"/>
      <c r="W5837" s="6"/>
      <c r="X5837" s="6"/>
      <c r="Y5837" s="6"/>
      <c r="Z5837" s="6"/>
    </row>
    <row r="5838" spans="14:26" ht="31.4" customHeight="1" x14ac:dyDescent="0.35">
      <c r="N5838" s="20"/>
      <c r="P5838" s="8"/>
      <c r="Q5838" s="8"/>
      <c r="R5838" s="8"/>
      <c r="S5838" s="18"/>
      <c r="T5838" s="18"/>
      <c r="U5838" s="6"/>
      <c r="V5838" s="6"/>
      <c r="W5838" s="6"/>
      <c r="X5838" s="6"/>
      <c r="Y5838" s="6"/>
      <c r="Z5838" s="6"/>
    </row>
    <row r="5839" spans="14:26" ht="31.4" customHeight="1" x14ac:dyDescent="0.35">
      <c r="N5839" s="20"/>
      <c r="P5839" s="8"/>
      <c r="Q5839" s="8"/>
      <c r="R5839" s="8"/>
      <c r="S5839" s="18"/>
      <c r="T5839" s="18"/>
      <c r="U5839" s="6"/>
      <c r="V5839" s="6"/>
      <c r="W5839" s="6"/>
      <c r="X5839" s="6"/>
      <c r="Y5839" s="6"/>
      <c r="Z5839" s="6"/>
    </row>
    <row r="5840" spans="14:26" ht="31.4" customHeight="1" x14ac:dyDescent="0.35">
      <c r="N5840" s="20"/>
      <c r="P5840" s="8"/>
      <c r="Q5840" s="8"/>
      <c r="R5840" s="8"/>
      <c r="S5840" s="18"/>
      <c r="T5840" s="18"/>
      <c r="U5840" s="6"/>
      <c r="V5840" s="6"/>
      <c r="W5840" s="6"/>
      <c r="X5840" s="6"/>
      <c r="Y5840" s="6"/>
      <c r="Z5840" s="6"/>
    </row>
    <row r="5841" spans="14:26" ht="31.4" customHeight="1" x14ac:dyDescent="0.35">
      <c r="N5841" s="20"/>
      <c r="P5841" s="8"/>
      <c r="Q5841" s="8"/>
      <c r="R5841" s="8"/>
      <c r="S5841" s="18"/>
      <c r="T5841" s="18"/>
      <c r="U5841" s="6"/>
      <c r="V5841" s="6"/>
      <c r="W5841" s="6"/>
      <c r="X5841" s="6"/>
      <c r="Y5841" s="6"/>
      <c r="Z5841" s="6"/>
    </row>
    <row r="5842" spans="14:26" ht="31.4" customHeight="1" x14ac:dyDescent="0.35">
      <c r="N5842" s="20"/>
      <c r="P5842" s="8"/>
      <c r="Q5842" s="8"/>
      <c r="R5842" s="8"/>
      <c r="S5842" s="18"/>
      <c r="T5842" s="18"/>
      <c r="U5842" s="6"/>
      <c r="V5842" s="6"/>
      <c r="W5842" s="6"/>
      <c r="X5842" s="6"/>
      <c r="Y5842" s="6"/>
      <c r="Z5842" s="6"/>
    </row>
    <row r="5843" spans="14:26" ht="31.4" customHeight="1" x14ac:dyDescent="0.35">
      <c r="N5843" s="20"/>
      <c r="P5843" s="8"/>
      <c r="Q5843" s="8"/>
      <c r="R5843" s="8"/>
      <c r="S5843" s="18"/>
      <c r="T5843" s="18"/>
      <c r="U5843" s="6"/>
      <c r="V5843" s="6"/>
      <c r="W5843" s="6"/>
      <c r="X5843" s="6"/>
      <c r="Y5843" s="6"/>
      <c r="Z5843" s="6"/>
    </row>
    <row r="5844" spans="14:26" ht="31.4" customHeight="1" x14ac:dyDescent="0.35">
      <c r="N5844" s="20"/>
      <c r="P5844" s="8"/>
      <c r="Q5844" s="8"/>
      <c r="R5844" s="8"/>
      <c r="S5844" s="18"/>
      <c r="T5844" s="18"/>
      <c r="U5844" s="6"/>
      <c r="V5844" s="6"/>
      <c r="W5844" s="6"/>
      <c r="X5844" s="6"/>
      <c r="Y5844" s="6"/>
      <c r="Z5844" s="6"/>
    </row>
    <row r="5845" spans="14:26" ht="31.4" customHeight="1" x14ac:dyDescent="0.35">
      <c r="N5845" s="20"/>
      <c r="P5845" s="8"/>
      <c r="Q5845" s="8"/>
      <c r="R5845" s="8"/>
      <c r="S5845" s="18"/>
      <c r="T5845" s="18"/>
      <c r="U5845" s="6"/>
      <c r="V5845" s="6"/>
      <c r="W5845" s="6"/>
      <c r="X5845" s="6"/>
      <c r="Y5845" s="6"/>
      <c r="Z5845" s="6"/>
    </row>
    <row r="5846" spans="14:26" ht="31.4" customHeight="1" x14ac:dyDescent="0.35">
      <c r="N5846" s="20"/>
      <c r="P5846" s="8"/>
      <c r="Q5846" s="8"/>
      <c r="R5846" s="8"/>
      <c r="S5846" s="18"/>
      <c r="T5846" s="18"/>
      <c r="U5846" s="6"/>
      <c r="V5846" s="6"/>
      <c r="W5846" s="6"/>
      <c r="X5846" s="6"/>
      <c r="Y5846" s="6"/>
      <c r="Z5846" s="6"/>
    </row>
    <row r="5847" spans="14:26" ht="31.4" customHeight="1" x14ac:dyDescent="0.35">
      <c r="N5847" s="20"/>
      <c r="P5847" s="8"/>
      <c r="Q5847" s="8"/>
      <c r="R5847" s="8"/>
      <c r="S5847" s="18"/>
      <c r="T5847" s="18"/>
      <c r="U5847" s="6"/>
      <c r="V5847" s="6"/>
      <c r="W5847" s="6"/>
      <c r="X5847" s="6"/>
      <c r="Y5847" s="6"/>
      <c r="Z5847" s="6"/>
    </row>
    <row r="5848" spans="14:26" ht="31.4" customHeight="1" x14ac:dyDescent="0.35">
      <c r="N5848" s="20"/>
      <c r="P5848" s="8"/>
      <c r="Q5848" s="8"/>
      <c r="R5848" s="8"/>
      <c r="S5848" s="18"/>
      <c r="T5848" s="18"/>
      <c r="U5848" s="6"/>
      <c r="V5848" s="6"/>
      <c r="W5848" s="6"/>
      <c r="X5848" s="6"/>
      <c r="Y5848" s="6"/>
      <c r="Z5848" s="6"/>
    </row>
    <row r="5849" spans="14:26" ht="31.4" customHeight="1" x14ac:dyDescent="0.35">
      <c r="N5849" s="20"/>
      <c r="P5849" s="8"/>
      <c r="Q5849" s="8"/>
      <c r="R5849" s="8"/>
      <c r="S5849" s="18"/>
      <c r="T5849" s="18"/>
      <c r="U5849" s="6"/>
      <c r="V5849" s="6"/>
      <c r="W5849" s="6"/>
      <c r="X5849" s="6"/>
      <c r="Y5849" s="6"/>
      <c r="Z5849" s="6"/>
    </row>
    <row r="5850" spans="14:26" ht="31.4" customHeight="1" x14ac:dyDescent="0.35">
      <c r="N5850" s="20"/>
      <c r="P5850" s="8"/>
      <c r="Q5850" s="8"/>
      <c r="R5850" s="8"/>
      <c r="S5850" s="18"/>
      <c r="T5850" s="18"/>
      <c r="U5850" s="6"/>
      <c r="V5850" s="6"/>
      <c r="W5850" s="6"/>
      <c r="X5850" s="6"/>
      <c r="Y5850" s="6"/>
      <c r="Z5850" s="6"/>
    </row>
    <row r="5851" spans="14:26" ht="31.4" customHeight="1" x14ac:dyDescent="0.35">
      <c r="N5851" s="20"/>
      <c r="P5851" s="8"/>
      <c r="Q5851" s="8"/>
      <c r="R5851" s="8"/>
      <c r="S5851" s="18"/>
      <c r="T5851" s="18"/>
      <c r="U5851" s="6"/>
      <c r="V5851" s="6"/>
      <c r="W5851" s="6"/>
      <c r="X5851" s="6"/>
      <c r="Y5851" s="6"/>
      <c r="Z5851" s="6"/>
    </row>
    <row r="5852" spans="14:26" ht="31.4" customHeight="1" x14ac:dyDescent="0.35">
      <c r="N5852" s="20"/>
      <c r="P5852" s="8"/>
      <c r="Q5852" s="8"/>
      <c r="R5852" s="8"/>
      <c r="S5852" s="18"/>
      <c r="T5852" s="18"/>
      <c r="U5852" s="6"/>
      <c r="V5852" s="6"/>
      <c r="W5852" s="6"/>
      <c r="X5852" s="6"/>
      <c r="Y5852" s="6"/>
      <c r="Z5852" s="6"/>
    </row>
    <row r="5853" spans="14:26" ht="31.4" customHeight="1" x14ac:dyDescent="0.35">
      <c r="N5853" s="20"/>
      <c r="P5853" s="8"/>
      <c r="Q5853" s="8"/>
      <c r="R5853" s="8"/>
      <c r="S5853" s="18"/>
      <c r="T5853" s="18"/>
      <c r="U5853" s="6"/>
      <c r="V5853" s="6"/>
      <c r="W5853" s="6"/>
      <c r="X5853" s="6"/>
      <c r="Y5853" s="6"/>
      <c r="Z5853" s="6"/>
    </row>
    <row r="5854" spans="14:26" ht="31.4" customHeight="1" x14ac:dyDescent="0.35">
      <c r="N5854" s="20"/>
      <c r="P5854" s="8"/>
      <c r="Q5854" s="8"/>
      <c r="R5854" s="8"/>
      <c r="S5854" s="18"/>
      <c r="T5854" s="18"/>
      <c r="U5854" s="6"/>
      <c r="V5854" s="6"/>
      <c r="W5854" s="6"/>
      <c r="X5854" s="6"/>
      <c r="Y5854" s="6"/>
      <c r="Z5854" s="6"/>
    </row>
    <row r="5855" spans="14:26" ht="31.4" customHeight="1" x14ac:dyDescent="0.35">
      <c r="N5855" s="20"/>
      <c r="P5855" s="8"/>
      <c r="Q5855" s="8"/>
      <c r="R5855" s="8"/>
      <c r="S5855" s="18"/>
      <c r="T5855" s="18"/>
      <c r="U5855" s="6"/>
      <c r="V5855" s="6"/>
      <c r="W5855" s="6"/>
      <c r="X5855" s="6"/>
      <c r="Y5855" s="6"/>
      <c r="Z5855" s="6"/>
    </row>
    <row r="5856" spans="14:26" ht="31.4" customHeight="1" x14ac:dyDescent="0.35">
      <c r="N5856" s="20"/>
      <c r="P5856" s="8"/>
      <c r="Q5856" s="8"/>
      <c r="R5856" s="8"/>
      <c r="S5856" s="18"/>
      <c r="T5856" s="18"/>
      <c r="U5856" s="6"/>
      <c r="V5856" s="6"/>
      <c r="W5856" s="6"/>
      <c r="X5856" s="6"/>
      <c r="Y5856" s="6"/>
      <c r="Z5856" s="6"/>
    </row>
    <row r="5857" spans="14:26" ht="31.4" customHeight="1" x14ac:dyDescent="0.35">
      <c r="N5857" s="20"/>
      <c r="P5857" s="8"/>
      <c r="Q5857" s="8"/>
      <c r="R5857" s="8"/>
      <c r="S5857" s="18"/>
      <c r="T5857" s="18"/>
      <c r="U5857" s="6"/>
      <c r="V5857" s="6"/>
      <c r="W5857" s="6"/>
      <c r="X5857" s="6"/>
      <c r="Y5857" s="6"/>
      <c r="Z5857" s="6"/>
    </row>
    <row r="5858" spans="14:26" ht="31.4" customHeight="1" x14ac:dyDescent="0.35">
      <c r="N5858" s="20"/>
      <c r="P5858" s="8"/>
      <c r="Q5858" s="8"/>
      <c r="R5858" s="8"/>
      <c r="S5858" s="18"/>
      <c r="T5858" s="18"/>
      <c r="U5858" s="6"/>
      <c r="V5858" s="6"/>
      <c r="W5858" s="6"/>
      <c r="X5858" s="6"/>
      <c r="Y5858" s="6"/>
      <c r="Z5858" s="6"/>
    </row>
    <row r="5859" spans="14:26" ht="31.4" customHeight="1" x14ac:dyDescent="0.35">
      <c r="N5859" s="20"/>
      <c r="P5859" s="8"/>
      <c r="Q5859" s="8"/>
      <c r="R5859" s="8"/>
      <c r="S5859" s="18"/>
      <c r="T5859" s="18"/>
      <c r="U5859" s="6"/>
      <c r="V5859" s="6"/>
      <c r="W5859" s="6"/>
      <c r="X5859" s="6"/>
      <c r="Y5859" s="6"/>
      <c r="Z5859" s="6"/>
    </row>
    <row r="5860" spans="14:26" ht="31.4" customHeight="1" x14ac:dyDescent="0.35">
      <c r="N5860" s="20"/>
      <c r="P5860" s="8"/>
      <c r="Q5860" s="8"/>
      <c r="R5860" s="8"/>
      <c r="S5860" s="18"/>
      <c r="T5860" s="18"/>
      <c r="U5860" s="6"/>
      <c r="V5860" s="6"/>
      <c r="W5860" s="6"/>
      <c r="X5860" s="6"/>
      <c r="Y5860" s="6"/>
      <c r="Z5860" s="6"/>
    </row>
    <row r="5861" spans="14:26" ht="31.4" customHeight="1" x14ac:dyDescent="0.35">
      <c r="N5861" s="20"/>
      <c r="P5861" s="8"/>
      <c r="Q5861" s="8"/>
      <c r="R5861" s="8"/>
      <c r="S5861" s="18"/>
      <c r="T5861" s="18"/>
      <c r="U5861" s="6"/>
      <c r="V5861" s="6"/>
      <c r="W5861" s="6"/>
      <c r="X5861" s="6"/>
      <c r="Y5861" s="6"/>
      <c r="Z5861" s="6"/>
    </row>
    <row r="5862" spans="14:26" ht="31.4" customHeight="1" x14ac:dyDescent="0.35">
      <c r="N5862" s="20"/>
      <c r="P5862" s="8"/>
      <c r="Q5862" s="8"/>
      <c r="R5862" s="8"/>
      <c r="S5862" s="18"/>
      <c r="T5862" s="18"/>
      <c r="U5862" s="6"/>
      <c r="V5862" s="6"/>
      <c r="W5862" s="6"/>
      <c r="X5862" s="6"/>
      <c r="Y5862" s="6"/>
      <c r="Z5862" s="6"/>
    </row>
    <row r="5863" spans="14:26" ht="31.4" customHeight="1" x14ac:dyDescent="0.35">
      <c r="N5863" s="20"/>
      <c r="P5863" s="8"/>
      <c r="Q5863" s="8"/>
      <c r="R5863" s="8"/>
      <c r="S5863" s="18"/>
      <c r="T5863" s="18"/>
      <c r="U5863" s="6"/>
      <c r="V5863" s="6"/>
      <c r="W5863" s="6"/>
      <c r="X5863" s="6"/>
      <c r="Y5863" s="6"/>
      <c r="Z5863" s="6"/>
    </row>
    <row r="5864" spans="14:26" ht="31.4" customHeight="1" x14ac:dyDescent="0.35">
      <c r="N5864" s="20"/>
      <c r="P5864" s="8"/>
      <c r="Q5864" s="8"/>
      <c r="R5864" s="8"/>
      <c r="S5864" s="18"/>
      <c r="T5864" s="18"/>
      <c r="U5864" s="6"/>
      <c r="V5864" s="6"/>
      <c r="W5864" s="6"/>
      <c r="X5864" s="6"/>
      <c r="Y5864" s="6"/>
      <c r="Z5864" s="6"/>
    </row>
    <row r="5865" spans="14:26" ht="31.4" customHeight="1" x14ac:dyDescent="0.35">
      <c r="N5865" s="20"/>
      <c r="P5865" s="8"/>
      <c r="Q5865" s="8"/>
      <c r="R5865" s="8"/>
      <c r="S5865" s="18"/>
      <c r="T5865" s="18"/>
      <c r="U5865" s="6"/>
      <c r="V5865" s="6"/>
      <c r="W5865" s="6"/>
      <c r="X5865" s="6"/>
      <c r="Y5865" s="6"/>
      <c r="Z5865" s="6"/>
    </row>
    <row r="5866" spans="14:26" ht="31.4" customHeight="1" x14ac:dyDescent="0.35">
      <c r="N5866" s="20"/>
      <c r="P5866" s="8"/>
      <c r="Q5866" s="8"/>
      <c r="R5866" s="8"/>
      <c r="S5866" s="18"/>
      <c r="T5866" s="18"/>
      <c r="U5866" s="6"/>
      <c r="V5866" s="6"/>
      <c r="W5866" s="6"/>
      <c r="X5866" s="6"/>
      <c r="Y5866" s="6"/>
      <c r="Z5866" s="6"/>
    </row>
    <row r="5867" spans="14:26" ht="31.4" customHeight="1" x14ac:dyDescent="0.35">
      <c r="N5867" s="20"/>
      <c r="P5867" s="8"/>
      <c r="Q5867" s="8"/>
      <c r="R5867" s="8"/>
      <c r="S5867" s="18"/>
      <c r="T5867" s="18"/>
      <c r="U5867" s="6"/>
      <c r="V5867" s="6"/>
      <c r="W5867" s="6"/>
      <c r="X5867" s="6"/>
      <c r="Y5867" s="6"/>
      <c r="Z5867" s="6"/>
    </row>
    <row r="5868" spans="14:26" ht="31.4" customHeight="1" x14ac:dyDescent="0.35">
      <c r="N5868" s="20"/>
      <c r="P5868" s="8"/>
      <c r="Q5868" s="8"/>
      <c r="R5868" s="8"/>
      <c r="S5868" s="18"/>
      <c r="T5868" s="18"/>
      <c r="U5868" s="6"/>
      <c r="V5868" s="6"/>
      <c r="W5868" s="6"/>
      <c r="X5868" s="6"/>
      <c r="Y5868" s="6"/>
      <c r="Z5868" s="6"/>
    </row>
    <row r="5869" spans="14:26" ht="31.4" customHeight="1" x14ac:dyDescent="0.35">
      <c r="N5869" s="20"/>
      <c r="P5869" s="8"/>
      <c r="Q5869" s="8"/>
      <c r="R5869" s="8"/>
      <c r="S5869" s="18"/>
      <c r="T5869" s="18"/>
      <c r="U5869" s="6"/>
      <c r="V5869" s="6"/>
      <c r="W5869" s="6"/>
      <c r="X5869" s="6"/>
      <c r="Y5869" s="6"/>
      <c r="Z5869" s="6"/>
    </row>
    <row r="5870" spans="14:26" ht="31.4" customHeight="1" x14ac:dyDescent="0.35">
      <c r="N5870" s="20"/>
      <c r="P5870" s="8"/>
      <c r="Q5870" s="8"/>
      <c r="R5870" s="8"/>
      <c r="S5870" s="18"/>
      <c r="T5870" s="18"/>
      <c r="U5870" s="6"/>
      <c r="V5870" s="6"/>
      <c r="W5870" s="6"/>
      <c r="X5870" s="6"/>
      <c r="Y5870" s="6"/>
      <c r="Z5870" s="6"/>
    </row>
    <row r="5871" spans="14:26" ht="31.4" customHeight="1" x14ac:dyDescent="0.35">
      <c r="N5871" s="20"/>
      <c r="P5871" s="8"/>
      <c r="Q5871" s="8"/>
      <c r="R5871" s="8"/>
      <c r="S5871" s="18"/>
      <c r="T5871" s="18"/>
      <c r="U5871" s="6"/>
      <c r="V5871" s="6"/>
      <c r="W5871" s="6"/>
      <c r="X5871" s="6"/>
      <c r="Y5871" s="6"/>
      <c r="Z5871" s="6"/>
    </row>
    <row r="5872" spans="14:26" ht="31.4" customHeight="1" x14ac:dyDescent="0.35">
      <c r="N5872" s="20"/>
      <c r="P5872" s="8"/>
      <c r="Q5872" s="8"/>
      <c r="R5872" s="8"/>
      <c r="S5872" s="18"/>
      <c r="T5872" s="18"/>
      <c r="U5872" s="6"/>
      <c r="V5872" s="6"/>
      <c r="W5872" s="6"/>
      <c r="X5872" s="6"/>
      <c r="Y5872" s="6"/>
      <c r="Z5872" s="6"/>
    </row>
    <row r="5873" spans="14:26" ht="31.4" customHeight="1" x14ac:dyDescent="0.35">
      <c r="N5873" s="20"/>
      <c r="P5873" s="8"/>
      <c r="Q5873" s="8"/>
      <c r="R5873" s="8"/>
      <c r="S5873" s="18"/>
      <c r="T5873" s="18"/>
      <c r="U5873" s="6"/>
      <c r="V5873" s="6"/>
      <c r="W5873" s="6"/>
      <c r="X5873" s="6"/>
      <c r="Y5873" s="6"/>
      <c r="Z5873" s="6"/>
    </row>
    <row r="5874" spans="14:26" ht="31.4" customHeight="1" x14ac:dyDescent="0.35">
      <c r="N5874" s="20"/>
      <c r="P5874" s="8"/>
      <c r="Q5874" s="8"/>
      <c r="R5874" s="8"/>
      <c r="S5874" s="18"/>
      <c r="T5874" s="18"/>
      <c r="U5874" s="6"/>
      <c r="V5874" s="6"/>
      <c r="W5874" s="6"/>
      <c r="X5874" s="6"/>
      <c r="Y5874" s="6"/>
      <c r="Z5874" s="6"/>
    </row>
    <row r="5875" spans="14:26" ht="31.4" customHeight="1" x14ac:dyDescent="0.35">
      <c r="N5875" s="20"/>
      <c r="P5875" s="8"/>
      <c r="Q5875" s="8"/>
      <c r="R5875" s="8"/>
      <c r="S5875" s="18"/>
      <c r="T5875" s="18"/>
      <c r="U5875" s="6"/>
      <c r="V5875" s="6"/>
      <c r="W5875" s="6"/>
      <c r="X5875" s="6"/>
      <c r="Y5875" s="6"/>
      <c r="Z5875" s="6"/>
    </row>
    <row r="5876" spans="14:26" ht="31.4" customHeight="1" x14ac:dyDescent="0.35">
      <c r="N5876" s="20"/>
      <c r="P5876" s="8"/>
      <c r="Q5876" s="8"/>
      <c r="R5876" s="8"/>
      <c r="S5876" s="18"/>
      <c r="T5876" s="18"/>
      <c r="U5876" s="6"/>
      <c r="V5876" s="6"/>
      <c r="W5876" s="6"/>
      <c r="X5876" s="6"/>
      <c r="Y5876" s="6"/>
      <c r="Z5876" s="6"/>
    </row>
    <row r="5877" spans="14:26" ht="31.4" customHeight="1" x14ac:dyDescent="0.35">
      <c r="N5877" s="20"/>
      <c r="P5877" s="8"/>
      <c r="Q5877" s="8"/>
      <c r="R5877" s="8"/>
      <c r="S5877" s="18"/>
      <c r="T5877" s="18"/>
      <c r="U5877" s="6"/>
      <c r="V5877" s="6"/>
      <c r="W5877" s="6"/>
      <c r="X5877" s="6"/>
      <c r="Y5877" s="6"/>
      <c r="Z5877" s="6"/>
    </row>
    <row r="5878" spans="14:26" ht="31.4" customHeight="1" x14ac:dyDescent="0.35">
      <c r="N5878" s="20"/>
      <c r="P5878" s="8"/>
      <c r="Q5878" s="8"/>
      <c r="R5878" s="8"/>
      <c r="S5878" s="18"/>
      <c r="T5878" s="18"/>
      <c r="U5878" s="6"/>
      <c r="V5878" s="6"/>
      <c r="W5878" s="6"/>
      <c r="X5878" s="6"/>
      <c r="Y5878" s="6"/>
      <c r="Z5878" s="6"/>
    </row>
    <row r="5879" spans="14:26" ht="31.4" customHeight="1" x14ac:dyDescent="0.35">
      <c r="N5879" s="20"/>
      <c r="P5879" s="8"/>
      <c r="Q5879" s="8"/>
      <c r="R5879" s="8"/>
      <c r="S5879" s="18"/>
      <c r="T5879" s="18"/>
      <c r="U5879" s="6"/>
      <c r="V5879" s="6"/>
      <c r="W5879" s="6"/>
      <c r="X5879" s="6"/>
      <c r="Y5879" s="6"/>
      <c r="Z5879" s="6"/>
    </row>
    <row r="5880" spans="14:26" ht="31.4" customHeight="1" x14ac:dyDescent="0.35">
      <c r="N5880" s="20"/>
      <c r="P5880" s="8"/>
      <c r="Q5880" s="8"/>
      <c r="R5880" s="8"/>
      <c r="S5880" s="18"/>
      <c r="T5880" s="18"/>
      <c r="U5880" s="6"/>
      <c r="V5880" s="6"/>
      <c r="W5880" s="6"/>
      <c r="X5880" s="6"/>
      <c r="Y5880" s="6"/>
      <c r="Z5880" s="6"/>
    </row>
    <row r="5881" spans="14:26" ht="31.4" customHeight="1" x14ac:dyDescent="0.35">
      <c r="N5881" s="20"/>
      <c r="P5881" s="8"/>
      <c r="Q5881" s="8"/>
      <c r="R5881" s="8"/>
      <c r="S5881" s="18"/>
      <c r="T5881" s="18"/>
      <c r="U5881" s="6"/>
      <c r="V5881" s="6"/>
      <c r="W5881" s="6"/>
      <c r="X5881" s="6"/>
      <c r="Y5881" s="6"/>
      <c r="Z5881" s="6"/>
    </row>
    <row r="5882" spans="14:26" ht="31.4" customHeight="1" x14ac:dyDescent="0.35">
      <c r="N5882" s="20"/>
      <c r="P5882" s="8"/>
      <c r="Q5882" s="8"/>
      <c r="R5882" s="8"/>
      <c r="S5882" s="18"/>
      <c r="T5882" s="18"/>
      <c r="U5882" s="6"/>
      <c r="V5882" s="6"/>
      <c r="W5882" s="6"/>
      <c r="X5882" s="6"/>
      <c r="Y5882" s="6"/>
      <c r="Z5882" s="6"/>
    </row>
    <row r="5883" spans="14:26" ht="31.4" customHeight="1" x14ac:dyDescent="0.35">
      <c r="N5883" s="20"/>
      <c r="P5883" s="8"/>
      <c r="Q5883" s="8"/>
      <c r="R5883" s="8"/>
      <c r="S5883" s="18"/>
      <c r="T5883" s="18"/>
      <c r="U5883" s="6"/>
      <c r="V5883" s="6"/>
      <c r="W5883" s="6"/>
      <c r="X5883" s="6"/>
      <c r="Y5883" s="6"/>
      <c r="Z5883" s="6"/>
    </row>
    <row r="5884" spans="14:26" ht="31.4" customHeight="1" x14ac:dyDescent="0.35">
      <c r="N5884" s="20"/>
      <c r="P5884" s="8"/>
      <c r="Q5884" s="8"/>
      <c r="R5884" s="8"/>
      <c r="S5884" s="18"/>
      <c r="T5884" s="18"/>
      <c r="U5884" s="6"/>
      <c r="V5884" s="6"/>
      <c r="W5884" s="6"/>
      <c r="X5884" s="6"/>
      <c r="Y5884" s="6"/>
      <c r="Z5884" s="6"/>
    </row>
    <row r="5885" spans="14:26" ht="31.4" customHeight="1" x14ac:dyDescent="0.35">
      <c r="N5885" s="20"/>
      <c r="P5885" s="8"/>
      <c r="Q5885" s="8"/>
      <c r="R5885" s="8"/>
      <c r="S5885" s="18"/>
      <c r="T5885" s="18"/>
      <c r="U5885" s="6"/>
      <c r="V5885" s="6"/>
      <c r="W5885" s="6"/>
      <c r="X5885" s="6"/>
      <c r="Y5885" s="6"/>
      <c r="Z5885" s="6"/>
    </row>
    <row r="5886" spans="14:26" ht="31.4" customHeight="1" x14ac:dyDescent="0.35">
      <c r="N5886" s="20"/>
      <c r="P5886" s="8"/>
      <c r="Q5886" s="8"/>
      <c r="R5886" s="8"/>
      <c r="S5886" s="18"/>
      <c r="T5886" s="18"/>
      <c r="U5886" s="6"/>
      <c r="V5886" s="6"/>
      <c r="W5886" s="6"/>
      <c r="X5886" s="6"/>
      <c r="Y5886" s="6"/>
      <c r="Z5886" s="6"/>
    </row>
    <row r="5887" spans="14:26" ht="31.4" customHeight="1" x14ac:dyDescent="0.35">
      <c r="N5887" s="20"/>
      <c r="P5887" s="8"/>
      <c r="Q5887" s="8"/>
      <c r="R5887" s="8"/>
      <c r="S5887" s="18"/>
      <c r="T5887" s="18"/>
      <c r="U5887" s="6"/>
      <c r="V5887" s="6"/>
      <c r="W5887" s="6"/>
      <c r="X5887" s="6"/>
      <c r="Y5887" s="6"/>
      <c r="Z5887" s="6"/>
    </row>
    <row r="5888" spans="14:26" ht="31.4" customHeight="1" x14ac:dyDescent="0.35">
      <c r="N5888" s="20"/>
      <c r="P5888" s="8"/>
      <c r="Q5888" s="8"/>
      <c r="R5888" s="8"/>
      <c r="S5888" s="18"/>
      <c r="T5888" s="18"/>
      <c r="U5888" s="6"/>
      <c r="V5888" s="6"/>
      <c r="W5888" s="6"/>
      <c r="X5888" s="6"/>
      <c r="Y5888" s="6"/>
      <c r="Z5888" s="6"/>
    </row>
    <row r="5889" spans="14:26" ht="31.4" customHeight="1" x14ac:dyDescent="0.35">
      <c r="N5889" s="20"/>
      <c r="P5889" s="8"/>
      <c r="Q5889" s="8"/>
      <c r="R5889" s="8"/>
      <c r="S5889" s="18"/>
      <c r="T5889" s="18"/>
      <c r="U5889" s="6"/>
      <c r="V5889" s="6"/>
      <c r="W5889" s="6"/>
      <c r="X5889" s="6"/>
      <c r="Y5889" s="6"/>
      <c r="Z5889" s="6"/>
    </row>
    <row r="5890" spans="14:26" ht="31.4" customHeight="1" x14ac:dyDescent="0.35">
      <c r="N5890" s="20"/>
      <c r="P5890" s="8"/>
      <c r="Q5890" s="8"/>
      <c r="R5890" s="8"/>
      <c r="S5890" s="18"/>
      <c r="T5890" s="18"/>
      <c r="U5890" s="6"/>
      <c r="V5890" s="6"/>
      <c r="W5890" s="6"/>
      <c r="X5890" s="6"/>
      <c r="Y5890" s="6"/>
      <c r="Z5890" s="6"/>
    </row>
    <row r="5891" spans="14:26" ht="31.4" customHeight="1" x14ac:dyDescent="0.35">
      <c r="N5891" s="20"/>
      <c r="P5891" s="8"/>
      <c r="Q5891" s="8"/>
      <c r="R5891" s="8"/>
      <c r="S5891" s="18"/>
      <c r="T5891" s="18"/>
      <c r="U5891" s="6"/>
      <c r="V5891" s="6"/>
      <c r="W5891" s="6"/>
      <c r="X5891" s="6"/>
      <c r="Y5891" s="6"/>
      <c r="Z5891" s="6"/>
    </row>
    <row r="5892" spans="14:26" ht="31.4" customHeight="1" x14ac:dyDescent="0.35">
      <c r="N5892" s="20"/>
      <c r="P5892" s="8"/>
      <c r="Q5892" s="8"/>
      <c r="R5892" s="8"/>
      <c r="S5892" s="18"/>
      <c r="T5892" s="18"/>
      <c r="U5892" s="6"/>
      <c r="V5892" s="6"/>
      <c r="W5892" s="6"/>
      <c r="X5892" s="6"/>
      <c r="Y5892" s="6"/>
      <c r="Z5892" s="6"/>
    </row>
    <row r="5893" spans="14:26" ht="31.4" customHeight="1" x14ac:dyDescent="0.35">
      <c r="N5893" s="20"/>
      <c r="P5893" s="8"/>
      <c r="Q5893" s="8"/>
      <c r="R5893" s="8"/>
      <c r="S5893" s="18"/>
      <c r="T5893" s="18"/>
      <c r="U5893" s="6"/>
      <c r="V5893" s="6"/>
      <c r="W5893" s="6"/>
      <c r="X5893" s="6"/>
      <c r="Y5893" s="6"/>
      <c r="Z5893" s="6"/>
    </row>
    <row r="5894" spans="14:26" ht="31.4" customHeight="1" x14ac:dyDescent="0.35">
      <c r="N5894" s="20"/>
      <c r="P5894" s="8"/>
      <c r="Q5894" s="8"/>
      <c r="R5894" s="8"/>
      <c r="S5894" s="18"/>
      <c r="T5894" s="18"/>
      <c r="U5894" s="6"/>
      <c r="V5894" s="6"/>
      <c r="W5894" s="6"/>
      <c r="X5894" s="6"/>
      <c r="Y5894" s="6"/>
      <c r="Z5894" s="6"/>
    </row>
    <row r="5895" spans="14:26" ht="31.4" customHeight="1" x14ac:dyDescent="0.35">
      <c r="N5895" s="20"/>
      <c r="P5895" s="8"/>
      <c r="Q5895" s="8"/>
      <c r="R5895" s="8"/>
      <c r="S5895" s="18"/>
      <c r="T5895" s="18"/>
      <c r="U5895" s="6"/>
      <c r="V5895" s="6"/>
      <c r="W5895" s="6"/>
      <c r="X5895" s="6"/>
      <c r="Y5895" s="6"/>
      <c r="Z5895" s="6"/>
    </row>
    <row r="5896" spans="14:26" ht="31.4" customHeight="1" x14ac:dyDescent="0.35">
      <c r="N5896" s="20"/>
      <c r="P5896" s="8"/>
      <c r="Q5896" s="8"/>
      <c r="R5896" s="8"/>
      <c r="S5896" s="18"/>
      <c r="T5896" s="18"/>
      <c r="U5896" s="6"/>
      <c r="V5896" s="6"/>
      <c r="W5896" s="6"/>
      <c r="X5896" s="6"/>
      <c r="Y5896" s="6"/>
      <c r="Z5896" s="6"/>
    </row>
    <row r="5897" spans="14:26" ht="31.4" customHeight="1" x14ac:dyDescent="0.35">
      <c r="N5897" s="20"/>
      <c r="P5897" s="8"/>
      <c r="Q5897" s="8"/>
      <c r="R5897" s="8"/>
      <c r="S5897" s="18"/>
      <c r="T5897" s="18"/>
      <c r="U5897" s="6"/>
      <c r="V5897" s="6"/>
      <c r="W5897" s="6"/>
      <c r="X5897" s="6"/>
      <c r="Y5897" s="6"/>
      <c r="Z5897" s="6"/>
    </row>
    <row r="5898" spans="14:26" ht="31.4" customHeight="1" x14ac:dyDescent="0.35">
      <c r="N5898" s="20"/>
      <c r="P5898" s="8"/>
      <c r="Q5898" s="8"/>
      <c r="R5898" s="8"/>
      <c r="S5898" s="18"/>
      <c r="T5898" s="18"/>
      <c r="U5898" s="6"/>
      <c r="V5898" s="6"/>
      <c r="W5898" s="6"/>
      <c r="X5898" s="6"/>
      <c r="Y5898" s="6"/>
      <c r="Z5898" s="6"/>
    </row>
    <row r="5899" spans="14:26" ht="31.4" customHeight="1" x14ac:dyDescent="0.35">
      <c r="N5899" s="20"/>
      <c r="P5899" s="8"/>
      <c r="Q5899" s="8"/>
      <c r="R5899" s="8"/>
      <c r="S5899" s="18"/>
      <c r="T5899" s="18"/>
      <c r="U5899" s="6"/>
      <c r="V5899" s="6"/>
      <c r="W5899" s="6"/>
      <c r="X5899" s="6"/>
      <c r="Y5899" s="6"/>
      <c r="Z5899" s="6"/>
    </row>
    <row r="5900" spans="14:26" ht="31.4" customHeight="1" x14ac:dyDescent="0.35">
      <c r="N5900" s="20"/>
      <c r="P5900" s="8"/>
      <c r="Q5900" s="8"/>
      <c r="R5900" s="8"/>
      <c r="S5900" s="18"/>
      <c r="T5900" s="18"/>
      <c r="U5900" s="6"/>
      <c r="V5900" s="6"/>
      <c r="W5900" s="6"/>
      <c r="X5900" s="6"/>
      <c r="Y5900" s="6"/>
      <c r="Z5900" s="6"/>
    </row>
    <row r="5901" spans="14:26" ht="31.4" customHeight="1" x14ac:dyDescent="0.35">
      <c r="N5901" s="20"/>
      <c r="P5901" s="8"/>
      <c r="Q5901" s="8"/>
      <c r="R5901" s="8"/>
      <c r="S5901" s="18"/>
      <c r="T5901" s="18"/>
      <c r="U5901" s="6"/>
      <c r="V5901" s="6"/>
      <c r="W5901" s="6"/>
      <c r="X5901" s="6"/>
      <c r="Y5901" s="6"/>
      <c r="Z5901" s="6"/>
    </row>
    <row r="5902" spans="14:26" ht="31.4" customHeight="1" x14ac:dyDescent="0.35">
      <c r="N5902" s="20"/>
      <c r="P5902" s="8"/>
      <c r="Q5902" s="8"/>
      <c r="R5902" s="8"/>
      <c r="S5902" s="18"/>
      <c r="T5902" s="18"/>
      <c r="U5902" s="6"/>
      <c r="V5902" s="6"/>
      <c r="W5902" s="6"/>
      <c r="X5902" s="6"/>
      <c r="Y5902" s="6"/>
      <c r="Z5902" s="6"/>
    </row>
    <row r="5903" spans="14:26" ht="31.4" customHeight="1" x14ac:dyDescent="0.35">
      <c r="N5903" s="20"/>
      <c r="P5903" s="8"/>
      <c r="Q5903" s="8"/>
      <c r="R5903" s="8"/>
      <c r="S5903" s="18"/>
      <c r="T5903" s="18"/>
      <c r="U5903" s="6"/>
      <c r="V5903" s="6"/>
      <c r="W5903" s="6"/>
      <c r="X5903" s="6"/>
      <c r="Y5903" s="6"/>
      <c r="Z5903" s="6"/>
    </row>
    <row r="5904" spans="14:26" ht="31.4" customHeight="1" x14ac:dyDescent="0.35">
      <c r="N5904" s="20"/>
      <c r="P5904" s="8"/>
      <c r="Q5904" s="8"/>
      <c r="R5904" s="8"/>
      <c r="S5904" s="18"/>
      <c r="T5904" s="18"/>
      <c r="U5904" s="6"/>
      <c r="V5904" s="6"/>
      <c r="W5904" s="6"/>
      <c r="X5904" s="6"/>
      <c r="Y5904" s="6"/>
      <c r="Z5904" s="6"/>
    </row>
    <row r="5905" spans="14:26" ht="31.4" customHeight="1" x14ac:dyDescent="0.35">
      <c r="N5905" s="20"/>
      <c r="P5905" s="8"/>
      <c r="Q5905" s="8"/>
      <c r="R5905" s="8"/>
      <c r="S5905" s="18"/>
      <c r="T5905" s="18"/>
      <c r="U5905" s="6"/>
      <c r="V5905" s="6"/>
      <c r="W5905" s="6"/>
      <c r="X5905" s="6"/>
      <c r="Y5905" s="6"/>
      <c r="Z5905" s="6"/>
    </row>
    <row r="5906" spans="14:26" ht="31.4" customHeight="1" x14ac:dyDescent="0.35">
      <c r="N5906" s="20"/>
      <c r="P5906" s="8"/>
      <c r="Q5906" s="8"/>
      <c r="R5906" s="8"/>
      <c r="S5906" s="18"/>
      <c r="T5906" s="18"/>
      <c r="U5906" s="6"/>
      <c r="V5906" s="6"/>
      <c r="W5906" s="6"/>
      <c r="X5906" s="6"/>
      <c r="Y5906" s="6"/>
      <c r="Z5906" s="6"/>
    </row>
    <row r="5907" spans="14:26" ht="31.4" customHeight="1" x14ac:dyDescent="0.35">
      <c r="N5907" s="20"/>
      <c r="P5907" s="8"/>
      <c r="Q5907" s="8"/>
      <c r="R5907" s="8"/>
      <c r="S5907" s="18"/>
      <c r="T5907" s="18"/>
      <c r="U5907" s="6"/>
      <c r="V5907" s="6"/>
      <c r="W5907" s="6"/>
      <c r="X5907" s="6"/>
      <c r="Y5907" s="6"/>
      <c r="Z5907" s="6"/>
    </row>
    <row r="5908" spans="14:26" ht="31.4" customHeight="1" x14ac:dyDescent="0.35">
      <c r="N5908" s="20"/>
      <c r="P5908" s="8"/>
      <c r="Q5908" s="8"/>
      <c r="R5908" s="8"/>
      <c r="S5908" s="18"/>
      <c r="T5908" s="18"/>
      <c r="U5908" s="6"/>
      <c r="V5908" s="6"/>
      <c r="W5908" s="6"/>
      <c r="X5908" s="6"/>
      <c r="Y5908" s="6"/>
      <c r="Z5908" s="6"/>
    </row>
    <row r="5909" spans="14:26" ht="31.4" customHeight="1" x14ac:dyDescent="0.35">
      <c r="N5909" s="20"/>
      <c r="P5909" s="8"/>
      <c r="Q5909" s="8"/>
      <c r="R5909" s="8"/>
      <c r="S5909" s="18"/>
      <c r="T5909" s="18"/>
      <c r="U5909" s="6"/>
      <c r="V5909" s="6"/>
      <c r="W5909" s="6"/>
      <c r="X5909" s="6"/>
      <c r="Y5909" s="6"/>
      <c r="Z5909" s="6"/>
    </row>
    <row r="5910" spans="14:26" ht="31.4" customHeight="1" x14ac:dyDescent="0.35">
      <c r="N5910" s="20"/>
      <c r="P5910" s="8"/>
      <c r="Q5910" s="8"/>
      <c r="R5910" s="8"/>
      <c r="S5910" s="18"/>
      <c r="T5910" s="18"/>
      <c r="U5910" s="6"/>
      <c r="V5910" s="6"/>
      <c r="W5910" s="6"/>
      <c r="X5910" s="6"/>
      <c r="Y5910" s="6"/>
      <c r="Z5910" s="6"/>
    </row>
    <row r="5911" spans="14:26" ht="31.4" customHeight="1" x14ac:dyDescent="0.35">
      <c r="N5911" s="20"/>
      <c r="P5911" s="8"/>
      <c r="Q5911" s="8"/>
      <c r="R5911" s="8"/>
      <c r="S5911" s="18"/>
      <c r="T5911" s="18"/>
      <c r="U5911" s="6"/>
      <c r="V5911" s="6"/>
      <c r="W5911" s="6"/>
      <c r="X5911" s="6"/>
      <c r="Y5911" s="6"/>
      <c r="Z5911" s="6"/>
    </row>
    <row r="5912" spans="14:26" ht="31.4" customHeight="1" x14ac:dyDescent="0.35">
      <c r="N5912" s="20"/>
      <c r="P5912" s="8"/>
      <c r="Q5912" s="8"/>
      <c r="R5912" s="8"/>
      <c r="S5912" s="18"/>
      <c r="T5912" s="18"/>
      <c r="U5912" s="6"/>
      <c r="V5912" s="6"/>
      <c r="W5912" s="6"/>
      <c r="X5912" s="6"/>
      <c r="Y5912" s="6"/>
      <c r="Z5912" s="6"/>
    </row>
    <row r="5913" spans="14:26" ht="31.4" customHeight="1" x14ac:dyDescent="0.35">
      <c r="N5913" s="20"/>
      <c r="P5913" s="8"/>
      <c r="Q5913" s="8"/>
      <c r="R5913" s="8"/>
      <c r="S5913" s="18"/>
      <c r="T5913" s="18"/>
      <c r="U5913" s="6"/>
      <c r="V5913" s="6"/>
      <c r="W5913" s="6"/>
      <c r="X5913" s="6"/>
      <c r="Y5913" s="6"/>
      <c r="Z5913" s="6"/>
    </row>
    <row r="5914" spans="14:26" ht="31.4" customHeight="1" x14ac:dyDescent="0.35">
      <c r="N5914" s="20"/>
      <c r="P5914" s="8"/>
      <c r="Q5914" s="8"/>
      <c r="R5914" s="8"/>
      <c r="S5914" s="18"/>
      <c r="T5914" s="18"/>
      <c r="U5914" s="6"/>
      <c r="V5914" s="6"/>
      <c r="W5914" s="6"/>
      <c r="X5914" s="6"/>
      <c r="Y5914" s="6"/>
      <c r="Z5914" s="6"/>
    </row>
    <row r="5915" spans="14:26" ht="31.4" customHeight="1" x14ac:dyDescent="0.35">
      <c r="N5915" s="20"/>
      <c r="P5915" s="8"/>
      <c r="Q5915" s="8"/>
      <c r="R5915" s="8"/>
      <c r="S5915" s="18"/>
      <c r="T5915" s="18"/>
      <c r="U5915" s="6"/>
      <c r="V5915" s="6"/>
      <c r="W5915" s="6"/>
      <c r="X5915" s="6"/>
      <c r="Y5915" s="6"/>
      <c r="Z5915" s="6"/>
    </row>
    <row r="5916" spans="14:26" ht="31.4" customHeight="1" x14ac:dyDescent="0.35">
      <c r="N5916" s="20"/>
      <c r="P5916" s="8"/>
      <c r="Q5916" s="8"/>
      <c r="R5916" s="8"/>
      <c r="S5916" s="18"/>
      <c r="T5916" s="18"/>
      <c r="U5916" s="6"/>
      <c r="V5916" s="6"/>
      <c r="W5916" s="6"/>
      <c r="X5916" s="6"/>
      <c r="Y5916" s="6"/>
      <c r="Z5916" s="6"/>
    </row>
    <row r="5917" spans="14:26" ht="31.4" customHeight="1" x14ac:dyDescent="0.35">
      <c r="N5917" s="20"/>
      <c r="P5917" s="8"/>
      <c r="Q5917" s="8"/>
      <c r="R5917" s="8"/>
      <c r="S5917" s="18"/>
      <c r="T5917" s="18"/>
      <c r="U5917" s="6"/>
      <c r="V5917" s="6"/>
      <c r="W5917" s="6"/>
      <c r="X5917" s="6"/>
      <c r="Y5917" s="6"/>
      <c r="Z5917" s="6"/>
    </row>
    <row r="5918" spans="14:26" ht="31.4" customHeight="1" x14ac:dyDescent="0.35">
      <c r="N5918" s="20"/>
      <c r="P5918" s="8"/>
      <c r="Q5918" s="8"/>
      <c r="R5918" s="8"/>
      <c r="S5918" s="18"/>
      <c r="T5918" s="18"/>
      <c r="U5918" s="6"/>
      <c r="V5918" s="6"/>
      <c r="W5918" s="6"/>
      <c r="X5918" s="6"/>
      <c r="Y5918" s="6"/>
      <c r="Z5918" s="6"/>
    </row>
    <row r="5919" spans="14:26" ht="31.4" customHeight="1" x14ac:dyDescent="0.35">
      <c r="N5919" s="20"/>
      <c r="P5919" s="8"/>
      <c r="Q5919" s="8"/>
      <c r="R5919" s="8"/>
      <c r="S5919" s="18"/>
      <c r="T5919" s="18"/>
      <c r="U5919" s="6"/>
      <c r="V5919" s="6"/>
      <c r="W5919" s="6"/>
      <c r="X5919" s="6"/>
      <c r="Y5919" s="6"/>
      <c r="Z5919" s="6"/>
    </row>
    <row r="5920" spans="14:26" ht="31.4" customHeight="1" x14ac:dyDescent="0.35">
      <c r="N5920" s="20"/>
      <c r="P5920" s="8"/>
      <c r="Q5920" s="8"/>
      <c r="R5920" s="8"/>
      <c r="S5920" s="18"/>
      <c r="T5920" s="18"/>
      <c r="U5920" s="6"/>
      <c r="V5920" s="6"/>
      <c r="W5920" s="6"/>
      <c r="X5920" s="6"/>
      <c r="Y5920" s="6"/>
      <c r="Z5920" s="6"/>
    </row>
    <row r="5921" spans="14:26" ht="31.4" customHeight="1" x14ac:dyDescent="0.35">
      <c r="N5921" s="20"/>
      <c r="P5921" s="8"/>
      <c r="Q5921" s="8"/>
      <c r="R5921" s="8"/>
      <c r="S5921" s="18"/>
      <c r="T5921" s="18"/>
      <c r="U5921" s="6"/>
      <c r="V5921" s="6"/>
      <c r="W5921" s="6"/>
      <c r="X5921" s="6"/>
      <c r="Y5921" s="6"/>
      <c r="Z5921" s="6"/>
    </row>
    <row r="5922" spans="14:26" ht="31.4" customHeight="1" x14ac:dyDescent="0.35">
      <c r="N5922" s="20"/>
      <c r="P5922" s="8"/>
      <c r="Q5922" s="8"/>
      <c r="R5922" s="8"/>
      <c r="S5922" s="18"/>
      <c r="T5922" s="18"/>
      <c r="U5922" s="6"/>
      <c r="V5922" s="6"/>
      <c r="W5922" s="6"/>
      <c r="X5922" s="6"/>
      <c r="Y5922" s="6"/>
      <c r="Z5922" s="6"/>
    </row>
    <row r="5923" spans="14:26" ht="31.4" customHeight="1" x14ac:dyDescent="0.35">
      <c r="N5923" s="20"/>
      <c r="P5923" s="8"/>
      <c r="Q5923" s="8"/>
      <c r="R5923" s="8"/>
      <c r="S5923" s="18"/>
      <c r="T5923" s="18"/>
      <c r="U5923" s="6"/>
      <c r="V5923" s="6"/>
      <c r="W5923" s="6"/>
      <c r="X5923" s="6"/>
      <c r="Y5923" s="6"/>
      <c r="Z5923" s="6"/>
    </row>
    <row r="5924" spans="14:26" ht="31.4" customHeight="1" x14ac:dyDescent="0.35">
      <c r="N5924" s="20"/>
      <c r="P5924" s="8"/>
      <c r="Q5924" s="8"/>
      <c r="R5924" s="8"/>
      <c r="S5924" s="18"/>
      <c r="T5924" s="18"/>
      <c r="U5924" s="6"/>
      <c r="V5924" s="6"/>
      <c r="W5924" s="6"/>
      <c r="X5924" s="6"/>
      <c r="Y5924" s="6"/>
      <c r="Z5924" s="6"/>
    </row>
    <row r="5925" spans="14:26" ht="31.4" customHeight="1" x14ac:dyDescent="0.35">
      <c r="N5925" s="20"/>
      <c r="P5925" s="8"/>
      <c r="Q5925" s="8"/>
      <c r="R5925" s="8"/>
      <c r="S5925" s="18"/>
      <c r="T5925" s="18"/>
      <c r="U5925" s="6"/>
      <c r="V5925" s="6"/>
      <c r="W5925" s="6"/>
      <c r="X5925" s="6"/>
      <c r="Y5925" s="6"/>
      <c r="Z5925" s="6"/>
    </row>
    <row r="5926" spans="14:26" ht="31.4" customHeight="1" x14ac:dyDescent="0.35">
      <c r="N5926" s="20"/>
      <c r="P5926" s="8"/>
      <c r="Q5926" s="8"/>
      <c r="R5926" s="8"/>
      <c r="S5926" s="18"/>
      <c r="T5926" s="18"/>
      <c r="U5926" s="6"/>
      <c r="V5926" s="6"/>
      <c r="W5926" s="6"/>
      <c r="X5926" s="6"/>
      <c r="Y5926" s="6"/>
      <c r="Z5926" s="6"/>
    </row>
    <row r="5927" spans="14:26" ht="31.4" customHeight="1" x14ac:dyDescent="0.35">
      <c r="N5927" s="20"/>
      <c r="P5927" s="8"/>
      <c r="Q5927" s="8"/>
      <c r="R5927" s="8"/>
      <c r="S5927" s="18"/>
      <c r="T5927" s="18"/>
      <c r="U5927" s="6"/>
      <c r="V5927" s="6"/>
      <c r="W5927" s="6"/>
      <c r="X5927" s="6"/>
      <c r="Y5927" s="6"/>
      <c r="Z5927" s="6"/>
    </row>
    <row r="5928" spans="14:26" ht="31.4" customHeight="1" x14ac:dyDescent="0.35">
      <c r="N5928" s="20"/>
      <c r="P5928" s="8"/>
      <c r="Q5928" s="8"/>
      <c r="R5928" s="8"/>
      <c r="S5928" s="18"/>
      <c r="T5928" s="18"/>
      <c r="U5928" s="6"/>
      <c r="V5928" s="6"/>
      <c r="W5928" s="6"/>
      <c r="X5928" s="6"/>
      <c r="Y5928" s="6"/>
      <c r="Z5928" s="6"/>
    </row>
    <row r="5929" spans="14:26" ht="31.4" customHeight="1" x14ac:dyDescent="0.35">
      <c r="N5929" s="20"/>
      <c r="P5929" s="8"/>
      <c r="Q5929" s="8"/>
      <c r="R5929" s="8"/>
      <c r="S5929" s="18"/>
      <c r="T5929" s="18"/>
      <c r="U5929" s="6"/>
      <c r="V5929" s="6"/>
      <c r="W5929" s="6"/>
      <c r="X5929" s="6"/>
      <c r="Y5929" s="6"/>
      <c r="Z5929" s="6"/>
    </row>
    <row r="5930" spans="14:26" ht="31.4" customHeight="1" x14ac:dyDescent="0.35">
      <c r="N5930" s="20"/>
      <c r="P5930" s="8"/>
      <c r="Q5930" s="8"/>
      <c r="R5930" s="8"/>
      <c r="S5930" s="18"/>
      <c r="T5930" s="18"/>
      <c r="U5930" s="6"/>
      <c r="V5930" s="6"/>
      <c r="W5930" s="6"/>
      <c r="X5930" s="6"/>
      <c r="Y5930" s="6"/>
      <c r="Z5930" s="6"/>
    </row>
    <row r="5931" spans="14:26" ht="31.4" customHeight="1" x14ac:dyDescent="0.35">
      <c r="N5931" s="20"/>
      <c r="P5931" s="8"/>
      <c r="Q5931" s="8"/>
      <c r="R5931" s="8"/>
      <c r="S5931" s="18"/>
      <c r="T5931" s="18"/>
      <c r="U5931" s="6"/>
      <c r="V5931" s="6"/>
      <c r="W5931" s="6"/>
      <c r="X5931" s="6"/>
      <c r="Y5931" s="6"/>
      <c r="Z5931" s="6"/>
    </row>
    <row r="5932" spans="14:26" ht="31.4" customHeight="1" x14ac:dyDescent="0.35">
      <c r="N5932" s="20"/>
      <c r="P5932" s="8"/>
      <c r="Q5932" s="8"/>
      <c r="R5932" s="8"/>
      <c r="S5932" s="18"/>
      <c r="T5932" s="18"/>
      <c r="U5932" s="6"/>
      <c r="V5932" s="6"/>
      <c r="W5932" s="6"/>
      <c r="X5932" s="6"/>
      <c r="Y5932" s="6"/>
      <c r="Z5932" s="6"/>
    </row>
    <row r="5933" spans="14:26" ht="31.4" customHeight="1" x14ac:dyDescent="0.35">
      <c r="N5933" s="20"/>
      <c r="P5933" s="8"/>
      <c r="Q5933" s="8"/>
      <c r="R5933" s="8"/>
      <c r="S5933" s="18"/>
      <c r="T5933" s="18"/>
      <c r="U5933" s="6"/>
      <c r="V5933" s="6"/>
      <c r="W5933" s="6"/>
      <c r="X5933" s="6"/>
      <c r="Y5933" s="6"/>
      <c r="Z5933" s="6"/>
    </row>
    <row r="5934" spans="14:26" ht="31.4" customHeight="1" x14ac:dyDescent="0.35">
      <c r="N5934" s="20"/>
      <c r="P5934" s="8"/>
      <c r="Q5934" s="8"/>
      <c r="R5934" s="8"/>
      <c r="S5934" s="18"/>
      <c r="T5934" s="18"/>
      <c r="U5934" s="6"/>
      <c r="V5934" s="6"/>
      <c r="W5934" s="6"/>
      <c r="X5934" s="6"/>
      <c r="Y5934" s="6"/>
      <c r="Z5934" s="6"/>
    </row>
    <row r="5935" spans="14:26" ht="31.4" customHeight="1" x14ac:dyDescent="0.35">
      <c r="N5935" s="20"/>
      <c r="P5935" s="8"/>
      <c r="Q5935" s="8"/>
      <c r="R5935" s="8"/>
      <c r="S5935" s="18"/>
      <c r="T5935" s="18"/>
      <c r="U5935" s="6"/>
      <c r="V5935" s="6"/>
      <c r="W5935" s="6"/>
      <c r="X5935" s="6"/>
      <c r="Y5935" s="6"/>
      <c r="Z5935" s="6"/>
    </row>
    <row r="5936" spans="14:26" ht="31.4" customHeight="1" x14ac:dyDescent="0.35">
      <c r="N5936" s="20"/>
      <c r="P5936" s="8"/>
      <c r="Q5936" s="8"/>
      <c r="R5936" s="8"/>
      <c r="S5936" s="18"/>
      <c r="T5936" s="18"/>
      <c r="U5936" s="6"/>
      <c r="V5936" s="6"/>
      <c r="W5936" s="6"/>
      <c r="X5936" s="6"/>
      <c r="Y5936" s="6"/>
      <c r="Z5936" s="6"/>
    </row>
    <row r="5937" spans="14:26" ht="31.4" customHeight="1" x14ac:dyDescent="0.35">
      <c r="N5937" s="20"/>
      <c r="P5937" s="8"/>
      <c r="Q5937" s="8"/>
      <c r="R5937" s="8"/>
      <c r="S5937" s="18"/>
      <c r="T5937" s="18"/>
      <c r="U5937" s="6"/>
      <c r="V5937" s="6"/>
      <c r="W5937" s="6"/>
      <c r="X5937" s="6"/>
      <c r="Y5937" s="6"/>
      <c r="Z5937" s="6"/>
    </row>
    <row r="5938" spans="14:26" ht="31.4" customHeight="1" x14ac:dyDescent="0.35">
      <c r="N5938" s="20"/>
      <c r="P5938" s="8"/>
      <c r="Q5938" s="8"/>
      <c r="R5938" s="8"/>
      <c r="S5938" s="18"/>
      <c r="T5938" s="18"/>
      <c r="U5938" s="6"/>
      <c r="V5938" s="6"/>
      <c r="W5938" s="6"/>
      <c r="X5938" s="6"/>
      <c r="Y5938" s="6"/>
      <c r="Z5938" s="6"/>
    </row>
    <row r="5939" spans="14:26" ht="31.4" customHeight="1" x14ac:dyDescent="0.35">
      <c r="N5939" s="20"/>
      <c r="P5939" s="8"/>
      <c r="Q5939" s="8"/>
      <c r="R5939" s="8"/>
      <c r="S5939" s="18"/>
      <c r="T5939" s="18"/>
      <c r="U5939" s="6"/>
      <c r="V5939" s="6"/>
      <c r="W5939" s="6"/>
      <c r="X5939" s="6"/>
      <c r="Y5939" s="6"/>
      <c r="Z5939" s="6"/>
    </row>
    <row r="5940" spans="14:26" ht="31.4" customHeight="1" x14ac:dyDescent="0.35">
      <c r="N5940" s="20"/>
      <c r="P5940" s="8"/>
      <c r="Q5940" s="8"/>
      <c r="R5940" s="8"/>
      <c r="S5940" s="18"/>
      <c r="T5940" s="18"/>
      <c r="U5940" s="6"/>
      <c r="V5940" s="6"/>
      <c r="W5940" s="6"/>
      <c r="X5940" s="6"/>
      <c r="Y5940" s="6"/>
      <c r="Z5940" s="6"/>
    </row>
    <row r="5941" spans="14:26" ht="31.4" customHeight="1" x14ac:dyDescent="0.35">
      <c r="N5941" s="20"/>
      <c r="P5941" s="8"/>
      <c r="Q5941" s="8"/>
      <c r="R5941" s="8"/>
      <c r="S5941" s="18"/>
      <c r="T5941" s="18"/>
      <c r="U5941" s="6"/>
      <c r="V5941" s="6"/>
      <c r="W5941" s="6"/>
      <c r="X5941" s="6"/>
      <c r="Y5941" s="6"/>
      <c r="Z5941" s="6"/>
    </row>
    <row r="5942" spans="14:26" ht="31.4" customHeight="1" x14ac:dyDescent="0.35">
      <c r="N5942" s="20"/>
      <c r="P5942" s="8"/>
      <c r="Q5942" s="8"/>
      <c r="R5942" s="8"/>
      <c r="S5942" s="18"/>
      <c r="T5942" s="18"/>
      <c r="U5942" s="6"/>
      <c r="V5942" s="6"/>
      <c r="W5942" s="6"/>
      <c r="X5942" s="6"/>
      <c r="Y5942" s="6"/>
      <c r="Z5942" s="6"/>
    </row>
    <row r="5943" spans="14:26" ht="31.4" customHeight="1" x14ac:dyDescent="0.35">
      <c r="N5943" s="20"/>
      <c r="P5943" s="8"/>
      <c r="Q5943" s="8"/>
      <c r="R5943" s="8"/>
      <c r="S5943" s="18"/>
      <c r="T5943" s="18"/>
      <c r="U5943" s="6"/>
      <c r="V5943" s="6"/>
      <c r="W5943" s="6"/>
      <c r="X5943" s="6"/>
      <c r="Y5943" s="6"/>
      <c r="Z5943" s="6"/>
    </row>
    <row r="5944" spans="14:26" ht="31.4" customHeight="1" x14ac:dyDescent="0.35">
      <c r="N5944" s="20"/>
      <c r="P5944" s="8"/>
      <c r="Q5944" s="8"/>
      <c r="R5944" s="8"/>
      <c r="S5944" s="18"/>
      <c r="T5944" s="18"/>
      <c r="U5944" s="6"/>
      <c r="V5944" s="6"/>
      <c r="W5944" s="6"/>
      <c r="X5944" s="6"/>
      <c r="Y5944" s="6"/>
      <c r="Z5944" s="6"/>
    </row>
    <row r="5945" spans="14:26" ht="31.4" customHeight="1" x14ac:dyDescent="0.35">
      <c r="N5945" s="20"/>
      <c r="P5945" s="8"/>
      <c r="Q5945" s="8"/>
      <c r="R5945" s="8"/>
      <c r="S5945" s="18"/>
      <c r="T5945" s="18"/>
      <c r="U5945" s="6"/>
      <c r="V5945" s="6"/>
      <c r="W5945" s="6"/>
      <c r="X5945" s="6"/>
      <c r="Y5945" s="6"/>
      <c r="Z5945" s="6"/>
    </row>
    <row r="5946" spans="14:26" ht="31.4" customHeight="1" x14ac:dyDescent="0.35">
      <c r="N5946" s="20"/>
      <c r="P5946" s="8"/>
      <c r="Q5946" s="8"/>
      <c r="R5946" s="8"/>
      <c r="S5946" s="18"/>
      <c r="T5946" s="18"/>
      <c r="U5946" s="6"/>
      <c r="V5946" s="6"/>
      <c r="W5946" s="6"/>
      <c r="X5946" s="6"/>
      <c r="Y5946" s="6"/>
      <c r="Z5946" s="6"/>
    </row>
    <row r="5947" spans="14:26" ht="31.4" customHeight="1" x14ac:dyDescent="0.35">
      <c r="N5947" s="20"/>
      <c r="P5947" s="8"/>
      <c r="Q5947" s="8"/>
      <c r="R5947" s="8"/>
      <c r="S5947" s="18"/>
      <c r="T5947" s="18"/>
      <c r="U5947" s="6"/>
      <c r="V5947" s="6"/>
      <c r="W5947" s="6"/>
      <c r="X5947" s="6"/>
      <c r="Y5947" s="6"/>
      <c r="Z5947" s="6"/>
    </row>
    <row r="5948" spans="14:26" ht="31.4" customHeight="1" x14ac:dyDescent="0.35">
      <c r="N5948" s="20"/>
      <c r="P5948" s="8"/>
      <c r="Q5948" s="8"/>
      <c r="R5948" s="8"/>
      <c r="S5948" s="18"/>
      <c r="T5948" s="18"/>
      <c r="U5948" s="6"/>
      <c r="V5948" s="6"/>
      <c r="W5948" s="6"/>
      <c r="X5948" s="6"/>
      <c r="Y5948" s="6"/>
      <c r="Z5948" s="6"/>
    </row>
    <row r="5949" spans="14:26" ht="31.4" customHeight="1" x14ac:dyDescent="0.35">
      <c r="N5949" s="20"/>
      <c r="P5949" s="8"/>
      <c r="Q5949" s="8"/>
      <c r="R5949" s="8"/>
      <c r="S5949" s="18"/>
      <c r="T5949" s="18"/>
      <c r="U5949" s="6"/>
      <c r="V5949" s="6"/>
      <c r="W5949" s="6"/>
      <c r="X5949" s="6"/>
      <c r="Y5949" s="6"/>
      <c r="Z5949" s="6"/>
    </row>
    <row r="5950" spans="14:26" ht="31.4" customHeight="1" x14ac:dyDescent="0.35">
      <c r="N5950" s="20"/>
      <c r="P5950" s="8"/>
      <c r="Q5950" s="8"/>
      <c r="R5950" s="8"/>
      <c r="S5950" s="18"/>
      <c r="T5950" s="18"/>
      <c r="U5950" s="6"/>
      <c r="V5950" s="6"/>
      <c r="W5950" s="6"/>
      <c r="X5950" s="6"/>
      <c r="Y5950" s="6"/>
      <c r="Z5950" s="6"/>
    </row>
    <row r="5951" spans="14:26" ht="31.4" customHeight="1" x14ac:dyDescent="0.35">
      <c r="N5951" s="20"/>
      <c r="P5951" s="8"/>
      <c r="Q5951" s="8"/>
      <c r="R5951" s="8"/>
      <c r="S5951" s="18"/>
      <c r="T5951" s="18"/>
      <c r="U5951" s="6"/>
      <c r="V5951" s="6"/>
      <c r="W5951" s="6"/>
      <c r="X5951" s="6"/>
      <c r="Y5951" s="6"/>
      <c r="Z5951" s="6"/>
    </row>
    <row r="5952" spans="14:26" ht="31.4" customHeight="1" x14ac:dyDescent="0.35">
      <c r="N5952" s="20"/>
      <c r="P5952" s="8"/>
      <c r="Q5952" s="8"/>
      <c r="R5952" s="8"/>
      <c r="S5952" s="18"/>
      <c r="T5952" s="18"/>
      <c r="U5952" s="6"/>
      <c r="V5952" s="6"/>
      <c r="W5952" s="6"/>
      <c r="X5952" s="6"/>
      <c r="Y5952" s="6"/>
      <c r="Z5952" s="6"/>
    </row>
    <row r="5953" spans="14:26" ht="31.4" customHeight="1" x14ac:dyDescent="0.35">
      <c r="N5953" s="20"/>
      <c r="P5953" s="8"/>
      <c r="Q5953" s="8"/>
      <c r="R5953" s="8"/>
      <c r="S5953" s="18"/>
      <c r="T5953" s="18"/>
      <c r="U5953" s="6"/>
      <c r="V5953" s="6"/>
      <c r="W5953" s="6"/>
      <c r="X5953" s="6"/>
      <c r="Y5953" s="6"/>
      <c r="Z5953" s="6"/>
    </row>
    <row r="5954" spans="14:26" ht="31.4" customHeight="1" x14ac:dyDescent="0.35">
      <c r="N5954" s="20"/>
      <c r="P5954" s="8"/>
      <c r="Q5954" s="8"/>
      <c r="R5954" s="8"/>
      <c r="S5954" s="18"/>
      <c r="T5954" s="18"/>
      <c r="U5954" s="6"/>
      <c r="V5954" s="6"/>
      <c r="W5954" s="6"/>
      <c r="X5954" s="6"/>
      <c r="Y5954" s="6"/>
      <c r="Z5954" s="6"/>
    </row>
    <row r="5955" spans="14:26" ht="31.4" customHeight="1" x14ac:dyDescent="0.35">
      <c r="N5955" s="20"/>
      <c r="P5955" s="8"/>
      <c r="Q5955" s="8"/>
      <c r="R5955" s="8"/>
      <c r="S5955" s="18"/>
      <c r="T5955" s="18"/>
      <c r="U5955" s="6"/>
      <c r="V5955" s="6"/>
      <c r="W5955" s="6"/>
      <c r="X5955" s="6"/>
      <c r="Y5955" s="6"/>
      <c r="Z5955" s="6"/>
    </row>
    <row r="5956" spans="14:26" ht="31.4" customHeight="1" x14ac:dyDescent="0.35">
      <c r="N5956" s="20"/>
      <c r="P5956" s="8"/>
      <c r="Q5956" s="8"/>
      <c r="R5956" s="8"/>
      <c r="S5956" s="18"/>
      <c r="T5956" s="18"/>
      <c r="U5956" s="6"/>
      <c r="V5956" s="6"/>
      <c r="W5956" s="6"/>
      <c r="X5956" s="6"/>
      <c r="Y5956" s="6"/>
      <c r="Z5956" s="6"/>
    </row>
    <row r="5957" spans="14:26" ht="31.4" customHeight="1" x14ac:dyDescent="0.35">
      <c r="N5957" s="20"/>
      <c r="P5957" s="8"/>
      <c r="Q5957" s="8"/>
      <c r="R5957" s="8"/>
      <c r="S5957" s="18"/>
      <c r="T5957" s="18"/>
      <c r="U5957" s="6"/>
      <c r="V5957" s="6"/>
      <c r="W5957" s="6"/>
      <c r="X5957" s="6"/>
      <c r="Y5957" s="6"/>
      <c r="Z5957" s="6"/>
    </row>
    <row r="5958" spans="14:26" ht="31.4" customHeight="1" x14ac:dyDescent="0.35">
      <c r="N5958" s="20"/>
      <c r="P5958" s="8"/>
      <c r="Q5958" s="8"/>
      <c r="R5958" s="8"/>
      <c r="S5958" s="18"/>
      <c r="T5958" s="18"/>
      <c r="U5958" s="6"/>
      <c r="V5958" s="6"/>
      <c r="W5958" s="6"/>
      <c r="X5958" s="6"/>
      <c r="Y5958" s="6"/>
      <c r="Z5958" s="6"/>
    </row>
    <row r="5959" spans="14:26" ht="31.4" customHeight="1" x14ac:dyDescent="0.35">
      <c r="N5959" s="20"/>
      <c r="P5959" s="8"/>
      <c r="Q5959" s="8"/>
      <c r="R5959" s="8"/>
      <c r="S5959" s="18"/>
      <c r="T5959" s="18"/>
      <c r="U5959" s="6"/>
      <c r="V5959" s="6"/>
      <c r="W5959" s="6"/>
      <c r="X5959" s="6"/>
      <c r="Y5959" s="6"/>
      <c r="Z5959" s="6"/>
    </row>
    <row r="5960" spans="14:26" ht="31.4" customHeight="1" x14ac:dyDescent="0.35">
      <c r="N5960" s="20"/>
      <c r="P5960" s="8"/>
      <c r="Q5960" s="8"/>
      <c r="R5960" s="8"/>
      <c r="S5960" s="18"/>
      <c r="T5960" s="18"/>
      <c r="U5960" s="6"/>
      <c r="V5960" s="6"/>
      <c r="W5960" s="6"/>
      <c r="X5960" s="6"/>
      <c r="Y5960" s="6"/>
      <c r="Z5960" s="6"/>
    </row>
    <row r="5961" spans="14:26" ht="31.4" customHeight="1" x14ac:dyDescent="0.35">
      <c r="N5961" s="20"/>
      <c r="P5961" s="8"/>
      <c r="Q5961" s="8"/>
      <c r="R5961" s="8"/>
      <c r="S5961" s="18"/>
      <c r="T5961" s="18"/>
      <c r="U5961" s="6"/>
      <c r="V5961" s="6"/>
      <c r="W5961" s="6"/>
      <c r="X5961" s="6"/>
      <c r="Y5961" s="6"/>
      <c r="Z5961" s="6"/>
    </row>
    <row r="5962" spans="14:26" ht="31.4" customHeight="1" x14ac:dyDescent="0.35">
      <c r="N5962" s="20"/>
      <c r="P5962" s="8"/>
      <c r="Q5962" s="8"/>
      <c r="R5962" s="8"/>
      <c r="S5962" s="18"/>
      <c r="T5962" s="18"/>
      <c r="U5962" s="6"/>
      <c r="V5962" s="6"/>
      <c r="W5962" s="6"/>
      <c r="X5962" s="6"/>
      <c r="Y5962" s="6"/>
      <c r="Z5962" s="6"/>
    </row>
    <row r="5963" spans="14:26" ht="31.4" customHeight="1" x14ac:dyDescent="0.35">
      <c r="N5963" s="20"/>
      <c r="P5963" s="8"/>
      <c r="Q5963" s="8"/>
      <c r="R5963" s="8"/>
      <c r="S5963" s="18"/>
      <c r="T5963" s="18"/>
      <c r="U5963" s="6"/>
      <c r="V5963" s="6"/>
      <c r="W5963" s="6"/>
      <c r="X5963" s="6"/>
      <c r="Y5963" s="6"/>
      <c r="Z5963" s="6"/>
    </row>
    <row r="5964" spans="14:26" ht="31.4" customHeight="1" x14ac:dyDescent="0.35">
      <c r="N5964" s="20"/>
      <c r="P5964" s="8"/>
      <c r="Q5964" s="8"/>
      <c r="R5964" s="8"/>
      <c r="S5964" s="18"/>
      <c r="T5964" s="18"/>
      <c r="U5964" s="6"/>
      <c r="V5964" s="6"/>
      <c r="W5964" s="6"/>
      <c r="X5964" s="6"/>
      <c r="Y5964" s="6"/>
      <c r="Z5964" s="6"/>
    </row>
    <row r="5965" spans="14:26" ht="31.4" customHeight="1" x14ac:dyDescent="0.35">
      <c r="N5965" s="20"/>
      <c r="P5965" s="8"/>
      <c r="Q5965" s="8"/>
      <c r="R5965" s="8"/>
      <c r="S5965" s="18"/>
      <c r="T5965" s="18"/>
      <c r="U5965" s="6"/>
      <c r="V5965" s="6"/>
      <c r="W5965" s="6"/>
      <c r="X5965" s="6"/>
      <c r="Y5965" s="6"/>
      <c r="Z5965" s="6"/>
    </row>
    <row r="5966" spans="14:26" ht="31.4" customHeight="1" x14ac:dyDescent="0.35">
      <c r="N5966" s="20"/>
      <c r="P5966" s="8"/>
      <c r="Q5966" s="8"/>
      <c r="R5966" s="8"/>
      <c r="S5966" s="18"/>
      <c r="T5966" s="18"/>
      <c r="U5966" s="6"/>
      <c r="V5966" s="6"/>
      <c r="W5966" s="6"/>
      <c r="X5966" s="6"/>
      <c r="Y5966" s="6"/>
      <c r="Z5966" s="6"/>
    </row>
    <row r="5967" spans="14:26" ht="31.4" customHeight="1" x14ac:dyDescent="0.35">
      <c r="N5967" s="20"/>
      <c r="P5967" s="8"/>
      <c r="Q5967" s="8"/>
      <c r="R5967" s="8"/>
      <c r="S5967" s="18"/>
      <c r="T5967" s="18"/>
      <c r="U5967" s="6"/>
      <c r="V5967" s="6"/>
      <c r="W5967" s="6"/>
      <c r="X5967" s="6"/>
      <c r="Y5967" s="6"/>
      <c r="Z5967" s="6"/>
    </row>
    <row r="5968" spans="14:26" ht="31.4" customHeight="1" x14ac:dyDescent="0.35">
      <c r="N5968" s="20"/>
      <c r="P5968" s="8"/>
      <c r="Q5968" s="8"/>
      <c r="R5968" s="8"/>
      <c r="S5968" s="18"/>
      <c r="T5968" s="18"/>
      <c r="U5968" s="6"/>
      <c r="V5968" s="6"/>
      <c r="W5968" s="6"/>
      <c r="X5968" s="6"/>
      <c r="Y5968" s="6"/>
      <c r="Z5968" s="6"/>
    </row>
    <row r="5969" spans="14:26" ht="31.4" customHeight="1" x14ac:dyDescent="0.35">
      <c r="N5969" s="20"/>
      <c r="P5969" s="8"/>
      <c r="Q5969" s="8"/>
      <c r="R5969" s="8"/>
      <c r="S5969" s="18"/>
      <c r="T5969" s="18"/>
      <c r="U5969" s="6"/>
      <c r="V5969" s="6"/>
      <c r="W5969" s="6"/>
      <c r="X5969" s="6"/>
      <c r="Y5969" s="6"/>
      <c r="Z5969" s="6"/>
    </row>
    <row r="5970" spans="14:26" ht="31.4" customHeight="1" x14ac:dyDescent="0.35">
      <c r="N5970" s="20"/>
      <c r="P5970" s="8"/>
      <c r="Q5970" s="8"/>
      <c r="R5970" s="8"/>
      <c r="S5970" s="18"/>
      <c r="T5970" s="18"/>
      <c r="U5970" s="6"/>
      <c r="V5970" s="6"/>
      <c r="W5970" s="6"/>
      <c r="X5970" s="6"/>
      <c r="Y5970" s="6"/>
      <c r="Z5970" s="6"/>
    </row>
    <row r="5971" spans="14:26" ht="31.4" customHeight="1" x14ac:dyDescent="0.35">
      <c r="N5971" s="20"/>
      <c r="P5971" s="8"/>
      <c r="Q5971" s="8"/>
      <c r="R5971" s="8"/>
      <c r="S5971" s="18"/>
      <c r="T5971" s="18"/>
      <c r="U5971" s="6"/>
      <c r="V5971" s="6"/>
      <c r="W5971" s="6"/>
      <c r="X5971" s="6"/>
      <c r="Y5971" s="6"/>
      <c r="Z5971" s="6"/>
    </row>
    <row r="5972" spans="14:26" ht="31.4" customHeight="1" x14ac:dyDescent="0.35">
      <c r="N5972" s="20"/>
      <c r="P5972" s="8"/>
      <c r="Q5972" s="8"/>
      <c r="R5972" s="8"/>
      <c r="S5972" s="18"/>
      <c r="T5972" s="18"/>
      <c r="U5972" s="6"/>
      <c r="V5972" s="6"/>
      <c r="W5972" s="6"/>
      <c r="X5972" s="6"/>
      <c r="Y5972" s="6"/>
      <c r="Z5972" s="6"/>
    </row>
    <row r="5973" spans="14:26" ht="31.4" customHeight="1" x14ac:dyDescent="0.35">
      <c r="N5973" s="20"/>
      <c r="P5973" s="8"/>
      <c r="Q5973" s="8"/>
      <c r="R5973" s="8"/>
      <c r="S5973" s="18"/>
      <c r="T5973" s="18"/>
      <c r="U5973" s="6"/>
      <c r="V5973" s="6"/>
      <c r="W5973" s="6"/>
      <c r="X5973" s="6"/>
      <c r="Y5973" s="6"/>
      <c r="Z5973" s="6"/>
    </row>
    <row r="5974" spans="14:26" ht="31.4" customHeight="1" x14ac:dyDescent="0.35">
      <c r="N5974" s="20"/>
      <c r="P5974" s="8"/>
      <c r="Q5974" s="8"/>
      <c r="R5974" s="8"/>
      <c r="S5974" s="18"/>
      <c r="T5974" s="18"/>
      <c r="U5974" s="6"/>
      <c r="V5974" s="6"/>
      <c r="W5974" s="6"/>
      <c r="X5974" s="6"/>
      <c r="Y5974" s="6"/>
      <c r="Z5974" s="6"/>
    </row>
    <row r="5975" spans="14:26" ht="31.4" customHeight="1" x14ac:dyDescent="0.35">
      <c r="N5975" s="20"/>
      <c r="P5975" s="8"/>
      <c r="Q5975" s="8"/>
      <c r="R5975" s="8"/>
      <c r="S5975" s="18"/>
      <c r="T5975" s="18"/>
      <c r="U5975" s="6"/>
      <c r="V5975" s="6"/>
      <c r="W5975" s="6"/>
      <c r="X5975" s="6"/>
      <c r="Y5975" s="6"/>
      <c r="Z5975" s="6"/>
    </row>
    <row r="5976" spans="14:26" ht="31.4" customHeight="1" x14ac:dyDescent="0.35">
      <c r="N5976" s="20"/>
      <c r="P5976" s="8"/>
      <c r="Q5976" s="8"/>
      <c r="R5976" s="8"/>
      <c r="S5976" s="18"/>
      <c r="T5976" s="18"/>
      <c r="U5976" s="6"/>
      <c r="V5976" s="6"/>
      <c r="W5976" s="6"/>
      <c r="X5976" s="6"/>
      <c r="Y5976" s="6"/>
      <c r="Z5976" s="6"/>
    </row>
    <row r="5977" spans="14:26" ht="31.4" customHeight="1" x14ac:dyDescent="0.35">
      <c r="N5977" s="20"/>
      <c r="P5977" s="8"/>
      <c r="Q5977" s="8"/>
      <c r="R5977" s="8"/>
      <c r="S5977" s="18"/>
      <c r="T5977" s="18"/>
      <c r="U5977" s="6"/>
      <c r="V5977" s="6"/>
      <c r="W5977" s="6"/>
      <c r="X5977" s="6"/>
      <c r="Y5977" s="6"/>
      <c r="Z5977" s="6"/>
    </row>
    <row r="5978" spans="14:26" ht="31.4" customHeight="1" x14ac:dyDescent="0.35">
      <c r="N5978" s="20"/>
      <c r="P5978" s="8"/>
      <c r="Q5978" s="8"/>
      <c r="R5978" s="8"/>
      <c r="S5978" s="18"/>
      <c r="T5978" s="18"/>
      <c r="U5978" s="6"/>
      <c r="V5978" s="6"/>
      <c r="W5978" s="6"/>
      <c r="X5978" s="6"/>
      <c r="Y5978" s="6"/>
      <c r="Z5978" s="6"/>
    </row>
    <row r="5979" spans="14:26" ht="31.4" customHeight="1" x14ac:dyDescent="0.35">
      <c r="N5979" s="20"/>
      <c r="P5979" s="8"/>
      <c r="Q5979" s="8"/>
      <c r="R5979" s="8"/>
      <c r="S5979" s="18"/>
      <c r="T5979" s="18"/>
      <c r="U5979" s="6"/>
      <c r="V5979" s="6"/>
      <c r="W5979" s="6"/>
      <c r="X5979" s="6"/>
      <c r="Y5979" s="6"/>
      <c r="Z5979" s="6"/>
    </row>
    <row r="5980" spans="14:26" ht="31.4" customHeight="1" x14ac:dyDescent="0.35">
      <c r="N5980" s="20"/>
      <c r="P5980" s="8"/>
      <c r="Q5980" s="8"/>
      <c r="R5980" s="8"/>
      <c r="S5980" s="18"/>
      <c r="T5980" s="18"/>
      <c r="U5980" s="6"/>
      <c r="V5980" s="6"/>
      <c r="W5980" s="6"/>
      <c r="X5980" s="6"/>
      <c r="Y5980" s="6"/>
      <c r="Z5980" s="6"/>
    </row>
    <row r="5981" spans="14:26" ht="31.4" customHeight="1" x14ac:dyDescent="0.35">
      <c r="N5981" s="20"/>
      <c r="P5981" s="8"/>
      <c r="Q5981" s="8"/>
      <c r="R5981" s="8"/>
      <c r="S5981" s="18"/>
      <c r="T5981" s="18"/>
      <c r="U5981" s="6"/>
      <c r="V5981" s="6"/>
      <c r="W5981" s="6"/>
      <c r="X5981" s="6"/>
      <c r="Y5981" s="6"/>
      <c r="Z5981" s="6"/>
    </row>
    <row r="5982" spans="14:26" ht="31.4" customHeight="1" x14ac:dyDescent="0.35">
      <c r="N5982" s="20"/>
      <c r="P5982" s="8"/>
      <c r="Q5982" s="8"/>
      <c r="R5982" s="8"/>
      <c r="S5982" s="18"/>
      <c r="T5982" s="18"/>
      <c r="U5982" s="6"/>
      <c r="V5982" s="6"/>
      <c r="W5982" s="6"/>
      <c r="X5982" s="6"/>
      <c r="Y5982" s="6"/>
      <c r="Z5982" s="6"/>
    </row>
    <row r="5983" spans="14:26" ht="31.4" customHeight="1" x14ac:dyDescent="0.35">
      <c r="N5983" s="20"/>
      <c r="P5983" s="8"/>
      <c r="Q5983" s="8"/>
      <c r="R5983" s="8"/>
      <c r="S5983" s="18"/>
      <c r="T5983" s="18"/>
      <c r="U5983" s="6"/>
      <c r="V5983" s="6"/>
      <c r="W5983" s="6"/>
      <c r="X5983" s="6"/>
      <c r="Y5983" s="6"/>
      <c r="Z5983" s="6"/>
    </row>
    <row r="5984" spans="14:26" ht="31.4" customHeight="1" x14ac:dyDescent="0.35">
      <c r="N5984" s="20"/>
      <c r="P5984" s="8"/>
      <c r="Q5984" s="8"/>
      <c r="R5984" s="8"/>
      <c r="S5984" s="18"/>
      <c r="T5984" s="18"/>
      <c r="U5984" s="6"/>
      <c r="V5984" s="6"/>
      <c r="W5984" s="6"/>
      <c r="X5984" s="6"/>
      <c r="Y5984" s="6"/>
      <c r="Z5984" s="6"/>
    </row>
    <row r="5985" spans="14:26" ht="31.4" customHeight="1" x14ac:dyDescent="0.35">
      <c r="N5985" s="20"/>
      <c r="P5985" s="8"/>
      <c r="Q5985" s="8"/>
      <c r="R5985" s="8"/>
      <c r="S5985" s="18"/>
      <c r="T5985" s="18"/>
      <c r="U5985" s="6"/>
      <c r="V5985" s="6"/>
      <c r="W5985" s="6"/>
      <c r="X5985" s="6"/>
      <c r="Y5985" s="6"/>
      <c r="Z5985" s="6"/>
    </row>
    <row r="5986" spans="14:26" ht="31.4" customHeight="1" x14ac:dyDescent="0.35">
      <c r="N5986" s="20"/>
      <c r="P5986" s="8"/>
      <c r="Q5986" s="8"/>
      <c r="R5986" s="8"/>
      <c r="S5986" s="18"/>
      <c r="T5986" s="18"/>
      <c r="U5986" s="6"/>
      <c r="V5986" s="6"/>
      <c r="W5986" s="6"/>
      <c r="X5986" s="6"/>
      <c r="Y5986" s="6"/>
      <c r="Z5986" s="6"/>
    </row>
    <row r="5987" spans="14:26" ht="31.4" customHeight="1" x14ac:dyDescent="0.35">
      <c r="N5987" s="20"/>
      <c r="P5987" s="8"/>
      <c r="Q5987" s="8"/>
      <c r="R5987" s="8"/>
      <c r="S5987" s="18"/>
      <c r="T5987" s="18"/>
      <c r="U5987" s="6"/>
      <c r="V5987" s="6"/>
      <c r="W5987" s="6"/>
      <c r="X5987" s="6"/>
      <c r="Y5987" s="6"/>
      <c r="Z5987" s="6"/>
    </row>
    <row r="5988" spans="14:26" ht="31.4" customHeight="1" x14ac:dyDescent="0.35">
      <c r="N5988" s="20"/>
      <c r="P5988" s="8"/>
      <c r="Q5988" s="8"/>
      <c r="R5988" s="8"/>
      <c r="S5988" s="18"/>
      <c r="T5988" s="18"/>
      <c r="U5988" s="6"/>
      <c r="V5988" s="6"/>
      <c r="W5988" s="6"/>
      <c r="X5988" s="6"/>
      <c r="Y5988" s="6"/>
      <c r="Z5988" s="6"/>
    </row>
    <row r="5989" spans="14:26" ht="31.4" customHeight="1" x14ac:dyDescent="0.35">
      <c r="N5989" s="20"/>
      <c r="P5989" s="8"/>
      <c r="Q5989" s="8"/>
      <c r="R5989" s="8"/>
      <c r="S5989" s="18"/>
      <c r="T5989" s="18"/>
      <c r="U5989" s="6"/>
      <c r="V5989" s="6"/>
      <c r="W5989" s="6"/>
      <c r="X5989" s="6"/>
      <c r="Y5989" s="6"/>
      <c r="Z5989" s="6"/>
    </row>
    <row r="5990" spans="14:26" ht="31.4" customHeight="1" x14ac:dyDescent="0.35">
      <c r="N5990" s="20"/>
      <c r="P5990" s="8"/>
      <c r="Q5990" s="8"/>
      <c r="R5990" s="8"/>
      <c r="S5990" s="18"/>
      <c r="T5990" s="18"/>
      <c r="U5990" s="6"/>
      <c r="V5990" s="6"/>
      <c r="W5990" s="6"/>
      <c r="X5990" s="6"/>
      <c r="Y5990" s="6"/>
      <c r="Z5990" s="6"/>
    </row>
    <row r="5991" spans="14:26" ht="31.4" customHeight="1" x14ac:dyDescent="0.35">
      <c r="N5991" s="20"/>
      <c r="P5991" s="8"/>
      <c r="Q5991" s="8"/>
      <c r="R5991" s="8"/>
      <c r="S5991" s="18"/>
      <c r="T5991" s="18"/>
      <c r="U5991" s="6"/>
      <c r="V5991" s="6"/>
      <c r="W5991" s="6"/>
      <c r="X5991" s="6"/>
      <c r="Y5991" s="6"/>
      <c r="Z5991" s="6"/>
    </row>
    <row r="5992" spans="14:26" ht="31.4" customHeight="1" x14ac:dyDescent="0.35">
      <c r="N5992" s="20"/>
      <c r="P5992" s="8"/>
      <c r="Q5992" s="8"/>
      <c r="R5992" s="8"/>
      <c r="S5992" s="18"/>
      <c r="T5992" s="18"/>
      <c r="U5992" s="6"/>
      <c r="V5992" s="6"/>
      <c r="W5992" s="6"/>
      <c r="X5992" s="6"/>
      <c r="Y5992" s="6"/>
      <c r="Z5992" s="6"/>
    </row>
    <row r="5993" spans="14:26" ht="31.4" customHeight="1" x14ac:dyDescent="0.35">
      <c r="N5993" s="20"/>
      <c r="P5993" s="8"/>
      <c r="Q5993" s="8"/>
      <c r="R5993" s="8"/>
      <c r="S5993" s="18"/>
      <c r="T5993" s="18"/>
      <c r="U5993" s="6"/>
      <c r="V5993" s="6"/>
      <c r="W5993" s="6"/>
      <c r="X5993" s="6"/>
      <c r="Y5993" s="6"/>
      <c r="Z5993" s="6"/>
    </row>
    <row r="5994" spans="14:26" ht="31.4" customHeight="1" x14ac:dyDescent="0.35">
      <c r="N5994" s="20"/>
      <c r="P5994" s="8"/>
      <c r="Q5994" s="8"/>
      <c r="R5994" s="8"/>
      <c r="S5994" s="18"/>
      <c r="T5994" s="18"/>
      <c r="U5994" s="6"/>
      <c r="V5994" s="6"/>
      <c r="W5994" s="6"/>
      <c r="X5994" s="6"/>
      <c r="Y5994" s="6"/>
      <c r="Z5994" s="6"/>
    </row>
    <row r="5995" spans="14:26" ht="31.4" customHeight="1" x14ac:dyDescent="0.35">
      <c r="N5995" s="20"/>
      <c r="P5995" s="8"/>
      <c r="Q5995" s="8"/>
      <c r="R5995" s="8"/>
      <c r="S5995" s="18"/>
      <c r="T5995" s="18"/>
      <c r="U5995" s="6"/>
      <c r="V5995" s="6"/>
      <c r="W5995" s="6"/>
      <c r="X5995" s="6"/>
      <c r="Y5995" s="6"/>
      <c r="Z5995" s="6"/>
    </row>
    <row r="5996" spans="14:26" ht="31.4" customHeight="1" x14ac:dyDescent="0.35">
      <c r="N5996" s="20"/>
      <c r="P5996" s="8"/>
      <c r="Q5996" s="8"/>
      <c r="R5996" s="8"/>
      <c r="S5996" s="18"/>
      <c r="T5996" s="18"/>
      <c r="U5996" s="6"/>
      <c r="V5996" s="6"/>
      <c r="W5996" s="6"/>
      <c r="X5996" s="6"/>
      <c r="Y5996" s="6"/>
      <c r="Z5996" s="6"/>
    </row>
    <row r="5997" spans="14:26" ht="31.4" customHeight="1" x14ac:dyDescent="0.35">
      <c r="N5997" s="20"/>
      <c r="P5997" s="8"/>
      <c r="Q5997" s="8"/>
      <c r="R5997" s="8"/>
      <c r="S5997" s="18"/>
      <c r="T5997" s="18"/>
      <c r="U5997" s="6"/>
      <c r="V5997" s="6"/>
      <c r="W5997" s="6"/>
      <c r="X5997" s="6"/>
      <c r="Y5997" s="6"/>
      <c r="Z5997" s="6"/>
    </row>
    <row r="5998" spans="14:26" ht="31.4" customHeight="1" x14ac:dyDescent="0.35">
      <c r="N5998" s="20"/>
      <c r="P5998" s="8"/>
      <c r="Q5998" s="8"/>
      <c r="R5998" s="8"/>
      <c r="S5998" s="18"/>
      <c r="T5998" s="18"/>
      <c r="U5998" s="6"/>
      <c r="V5998" s="6"/>
      <c r="W5998" s="6"/>
      <c r="X5998" s="6"/>
      <c r="Y5998" s="6"/>
      <c r="Z5998" s="6"/>
    </row>
    <row r="5999" spans="14:26" ht="31.4" customHeight="1" x14ac:dyDescent="0.35">
      <c r="N5999" s="20"/>
      <c r="P5999" s="8"/>
      <c r="Q5999" s="8"/>
      <c r="R5999" s="8"/>
      <c r="S5999" s="18"/>
      <c r="T5999" s="18"/>
      <c r="U5999" s="6"/>
      <c r="V5999" s="6"/>
      <c r="W5999" s="6"/>
      <c r="X5999" s="6"/>
      <c r="Y5999" s="6"/>
      <c r="Z5999" s="6"/>
    </row>
    <row r="6000" spans="14:26" ht="31.4" customHeight="1" x14ac:dyDescent="0.35">
      <c r="N6000" s="20"/>
      <c r="P6000" s="8"/>
      <c r="Q6000" s="8"/>
      <c r="R6000" s="8"/>
      <c r="S6000" s="18"/>
      <c r="T6000" s="18"/>
      <c r="U6000" s="6"/>
      <c r="V6000" s="6"/>
      <c r="W6000" s="6"/>
      <c r="X6000" s="6"/>
      <c r="Y6000" s="6"/>
      <c r="Z6000" s="6"/>
    </row>
    <row r="6001" spans="14:26" ht="31.4" customHeight="1" x14ac:dyDescent="0.35">
      <c r="N6001" s="20"/>
      <c r="P6001" s="8"/>
      <c r="Q6001" s="8"/>
      <c r="R6001" s="8"/>
      <c r="S6001" s="18"/>
      <c r="T6001" s="18"/>
      <c r="U6001" s="6"/>
      <c r="V6001" s="6"/>
      <c r="W6001" s="6"/>
      <c r="X6001" s="6"/>
      <c r="Y6001" s="6"/>
      <c r="Z6001" s="6"/>
    </row>
    <row r="6002" spans="14:26" ht="31.4" customHeight="1" x14ac:dyDescent="0.35">
      <c r="N6002" s="20"/>
      <c r="P6002" s="8"/>
      <c r="Q6002" s="8"/>
      <c r="R6002" s="8"/>
      <c r="S6002" s="18"/>
      <c r="T6002" s="18"/>
      <c r="U6002" s="6"/>
      <c r="V6002" s="6"/>
      <c r="W6002" s="6"/>
      <c r="X6002" s="6"/>
      <c r="Y6002" s="6"/>
      <c r="Z6002" s="6"/>
    </row>
    <row r="6003" spans="14:26" ht="31.4" customHeight="1" x14ac:dyDescent="0.35">
      <c r="N6003" s="20"/>
      <c r="P6003" s="8"/>
      <c r="Q6003" s="8"/>
      <c r="R6003" s="8"/>
      <c r="S6003" s="18"/>
      <c r="T6003" s="18"/>
      <c r="U6003" s="6"/>
      <c r="V6003" s="6"/>
      <c r="W6003" s="6"/>
      <c r="X6003" s="6"/>
      <c r="Y6003" s="6"/>
      <c r="Z6003" s="6"/>
    </row>
    <row r="6004" spans="14:26" ht="31.4" customHeight="1" x14ac:dyDescent="0.35">
      <c r="N6004" s="20"/>
      <c r="P6004" s="8"/>
      <c r="Q6004" s="8"/>
      <c r="R6004" s="8"/>
      <c r="S6004" s="18"/>
      <c r="T6004" s="18"/>
      <c r="U6004" s="6"/>
      <c r="V6004" s="6"/>
      <c r="W6004" s="6"/>
      <c r="X6004" s="6"/>
      <c r="Y6004" s="6"/>
      <c r="Z6004" s="6"/>
    </row>
    <row r="6005" spans="14:26" ht="31.4" customHeight="1" x14ac:dyDescent="0.35">
      <c r="N6005" s="20"/>
      <c r="P6005" s="8"/>
      <c r="Q6005" s="8"/>
      <c r="R6005" s="8"/>
      <c r="S6005" s="18"/>
      <c r="T6005" s="18"/>
      <c r="U6005" s="6"/>
      <c r="V6005" s="6"/>
      <c r="W6005" s="6"/>
      <c r="X6005" s="6"/>
      <c r="Y6005" s="6"/>
      <c r="Z6005" s="6"/>
    </row>
    <row r="6006" spans="14:26" ht="31.4" customHeight="1" x14ac:dyDescent="0.35">
      <c r="N6006" s="20"/>
      <c r="P6006" s="8"/>
      <c r="Q6006" s="8"/>
      <c r="R6006" s="8"/>
      <c r="S6006" s="18"/>
      <c r="T6006" s="18"/>
      <c r="U6006" s="6"/>
      <c r="V6006" s="6"/>
      <c r="W6006" s="6"/>
      <c r="X6006" s="6"/>
      <c r="Y6006" s="6"/>
      <c r="Z6006" s="6"/>
    </row>
    <row r="6007" spans="14:26" ht="31.4" customHeight="1" x14ac:dyDescent="0.35">
      <c r="N6007" s="20"/>
      <c r="P6007" s="8"/>
      <c r="Q6007" s="8"/>
      <c r="R6007" s="8"/>
      <c r="S6007" s="18"/>
      <c r="T6007" s="18"/>
      <c r="U6007" s="6"/>
      <c r="V6007" s="6"/>
      <c r="W6007" s="6"/>
      <c r="X6007" s="6"/>
      <c r="Y6007" s="6"/>
      <c r="Z6007" s="6"/>
    </row>
    <row r="6008" spans="14:26" ht="31.4" customHeight="1" x14ac:dyDescent="0.35">
      <c r="N6008" s="20"/>
      <c r="P6008" s="8"/>
      <c r="Q6008" s="8"/>
      <c r="R6008" s="8"/>
      <c r="S6008" s="18"/>
      <c r="T6008" s="18"/>
      <c r="U6008" s="6"/>
      <c r="V6008" s="6"/>
      <c r="W6008" s="6"/>
      <c r="X6008" s="6"/>
      <c r="Y6008" s="6"/>
      <c r="Z6008" s="6"/>
    </row>
    <row r="6009" spans="14:26" ht="31.4" customHeight="1" x14ac:dyDescent="0.35">
      <c r="N6009" s="20"/>
      <c r="P6009" s="8"/>
      <c r="Q6009" s="8"/>
      <c r="R6009" s="8"/>
      <c r="S6009" s="18"/>
      <c r="T6009" s="18"/>
      <c r="U6009" s="6"/>
      <c r="V6009" s="6"/>
      <c r="W6009" s="6"/>
      <c r="X6009" s="6"/>
      <c r="Y6009" s="6"/>
      <c r="Z6009" s="6"/>
    </row>
    <row r="6010" spans="14:26" ht="31.4" customHeight="1" x14ac:dyDescent="0.35">
      <c r="N6010" s="20"/>
      <c r="P6010" s="8"/>
      <c r="Q6010" s="8"/>
      <c r="R6010" s="8"/>
      <c r="S6010" s="18"/>
      <c r="T6010" s="18"/>
      <c r="U6010" s="6"/>
      <c r="V6010" s="6"/>
      <c r="W6010" s="6"/>
      <c r="X6010" s="6"/>
      <c r="Y6010" s="6"/>
      <c r="Z6010" s="6"/>
    </row>
    <row r="6011" spans="14:26" ht="31.4" customHeight="1" x14ac:dyDescent="0.35">
      <c r="N6011" s="20"/>
      <c r="P6011" s="8"/>
      <c r="Q6011" s="8"/>
      <c r="R6011" s="8"/>
      <c r="S6011" s="18"/>
      <c r="T6011" s="18"/>
      <c r="U6011" s="6"/>
      <c r="V6011" s="6"/>
      <c r="W6011" s="6"/>
      <c r="X6011" s="6"/>
      <c r="Y6011" s="6"/>
      <c r="Z6011" s="6"/>
    </row>
    <row r="6012" spans="14:26" ht="31.4" customHeight="1" x14ac:dyDescent="0.35">
      <c r="N6012" s="20"/>
      <c r="P6012" s="8"/>
      <c r="Q6012" s="8"/>
      <c r="R6012" s="8"/>
      <c r="S6012" s="18"/>
      <c r="T6012" s="18"/>
      <c r="U6012" s="6"/>
      <c r="V6012" s="6"/>
      <c r="W6012" s="6"/>
      <c r="X6012" s="6"/>
      <c r="Y6012" s="6"/>
      <c r="Z6012" s="6"/>
    </row>
    <row r="6013" spans="14:26" ht="31.4" customHeight="1" x14ac:dyDescent="0.35">
      <c r="N6013" s="20"/>
      <c r="P6013" s="8"/>
      <c r="Q6013" s="8"/>
      <c r="R6013" s="8"/>
      <c r="S6013" s="18"/>
      <c r="T6013" s="18"/>
      <c r="U6013" s="6"/>
      <c r="V6013" s="6"/>
      <c r="W6013" s="6"/>
      <c r="X6013" s="6"/>
      <c r="Y6013" s="6"/>
      <c r="Z6013" s="6"/>
    </row>
    <row r="6014" spans="14:26" ht="31.4" customHeight="1" x14ac:dyDescent="0.35">
      <c r="N6014" s="20"/>
      <c r="P6014" s="8"/>
      <c r="Q6014" s="8"/>
      <c r="R6014" s="8"/>
      <c r="S6014" s="18"/>
      <c r="T6014" s="18"/>
      <c r="U6014" s="6"/>
      <c r="V6014" s="6"/>
      <c r="W6014" s="6"/>
      <c r="X6014" s="6"/>
      <c r="Y6014" s="6"/>
      <c r="Z6014" s="6"/>
    </row>
    <row r="6015" spans="14:26" ht="31.4" customHeight="1" x14ac:dyDescent="0.35">
      <c r="N6015" s="20"/>
      <c r="P6015" s="8"/>
      <c r="Q6015" s="8"/>
      <c r="R6015" s="8"/>
      <c r="S6015" s="18"/>
      <c r="T6015" s="18"/>
      <c r="U6015" s="6"/>
      <c r="V6015" s="6"/>
      <c r="W6015" s="6"/>
      <c r="X6015" s="6"/>
      <c r="Y6015" s="6"/>
      <c r="Z6015" s="6"/>
    </row>
    <row r="6016" spans="14:26" ht="31.4" customHeight="1" x14ac:dyDescent="0.35">
      <c r="N6016" s="20"/>
      <c r="P6016" s="8"/>
      <c r="Q6016" s="8"/>
      <c r="R6016" s="8"/>
      <c r="S6016" s="18"/>
      <c r="T6016" s="18"/>
      <c r="U6016" s="6"/>
      <c r="V6016" s="6"/>
      <c r="W6016" s="6"/>
      <c r="X6016" s="6"/>
      <c r="Y6016" s="6"/>
      <c r="Z6016" s="6"/>
    </row>
    <row r="6017" spans="14:26" ht="31.4" customHeight="1" x14ac:dyDescent="0.35">
      <c r="N6017" s="20"/>
      <c r="P6017" s="8"/>
      <c r="Q6017" s="8"/>
      <c r="R6017" s="8"/>
      <c r="S6017" s="18"/>
      <c r="T6017" s="18"/>
      <c r="U6017" s="6"/>
      <c r="V6017" s="6"/>
      <c r="W6017" s="6"/>
      <c r="X6017" s="6"/>
      <c r="Y6017" s="6"/>
      <c r="Z6017" s="6"/>
    </row>
    <row r="6018" spans="14:26" ht="31.4" customHeight="1" x14ac:dyDescent="0.35">
      <c r="N6018" s="20"/>
      <c r="P6018" s="8"/>
      <c r="Q6018" s="8"/>
      <c r="R6018" s="8"/>
      <c r="S6018" s="18"/>
      <c r="T6018" s="18"/>
      <c r="U6018" s="6"/>
      <c r="V6018" s="6"/>
      <c r="W6018" s="6"/>
      <c r="X6018" s="6"/>
      <c r="Y6018" s="6"/>
      <c r="Z6018" s="6"/>
    </row>
    <row r="6019" spans="14:26" ht="31.4" customHeight="1" x14ac:dyDescent="0.35">
      <c r="N6019" s="20"/>
      <c r="P6019" s="8"/>
      <c r="Q6019" s="8"/>
      <c r="R6019" s="8"/>
      <c r="S6019" s="18"/>
      <c r="T6019" s="18"/>
      <c r="U6019" s="6"/>
      <c r="V6019" s="6"/>
      <c r="W6019" s="6"/>
      <c r="X6019" s="6"/>
      <c r="Y6019" s="6"/>
      <c r="Z6019" s="6"/>
    </row>
    <row r="6020" spans="14:26" ht="31.4" customHeight="1" x14ac:dyDescent="0.35">
      <c r="N6020" s="20"/>
      <c r="P6020" s="8"/>
      <c r="Q6020" s="8"/>
      <c r="R6020" s="8"/>
      <c r="S6020" s="18"/>
      <c r="T6020" s="18"/>
      <c r="U6020" s="6"/>
      <c r="V6020" s="6"/>
      <c r="W6020" s="6"/>
      <c r="X6020" s="6"/>
      <c r="Y6020" s="6"/>
      <c r="Z6020" s="6"/>
    </row>
    <row r="6021" spans="14:26" ht="31.4" customHeight="1" x14ac:dyDescent="0.35">
      <c r="N6021" s="20"/>
      <c r="P6021" s="8"/>
      <c r="Q6021" s="8"/>
      <c r="R6021" s="8"/>
      <c r="S6021" s="18"/>
      <c r="T6021" s="18"/>
      <c r="U6021" s="6"/>
      <c r="V6021" s="6"/>
      <c r="W6021" s="6"/>
      <c r="X6021" s="6"/>
      <c r="Y6021" s="6"/>
      <c r="Z6021" s="6"/>
    </row>
    <row r="6022" spans="14:26" ht="31.4" customHeight="1" x14ac:dyDescent="0.35">
      <c r="N6022" s="20"/>
      <c r="P6022" s="8"/>
      <c r="Q6022" s="8"/>
      <c r="R6022" s="8"/>
      <c r="S6022" s="18"/>
      <c r="T6022" s="18"/>
      <c r="U6022" s="6"/>
      <c r="V6022" s="6"/>
      <c r="W6022" s="6"/>
      <c r="X6022" s="6"/>
      <c r="Y6022" s="6"/>
      <c r="Z6022" s="6"/>
    </row>
    <row r="6023" spans="14:26" ht="31.4" customHeight="1" x14ac:dyDescent="0.35">
      <c r="N6023" s="20"/>
      <c r="P6023" s="8"/>
      <c r="Q6023" s="8"/>
      <c r="R6023" s="8"/>
      <c r="S6023" s="18"/>
      <c r="T6023" s="18"/>
      <c r="U6023" s="6"/>
      <c r="V6023" s="6"/>
      <c r="W6023" s="6"/>
      <c r="X6023" s="6"/>
      <c r="Y6023" s="6"/>
      <c r="Z6023" s="6"/>
    </row>
    <row r="6024" spans="14:26" ht="31.4" customHeight="1" x14ac:dyDescent="0.35">
      <c r="N6024" s="20"/>
      <c r="P6024" s="8"/>
      <c r="Q6024" s="8"/>
      <c r="R6024" s="8"/>
      <c r="S6024" s="18"/>
      <c r="T6024" s="18"/>
      <c r="U6024" s="6"/>
      <c r="V6024" s="6"/>
      <c r="W6024" s="6"/>
      <c r="X6024" s="6"/>
      <c r="Y6024" s="6"/>
      <c r="Z6024" s="6"/>
    </row>
    <row r="6025" spans="14:26" ht="31.4" customHeight="1" x14ac:dyDescent="0.35">
      <c r="N6025" s="20"/>
      <c r="P6025" s="8"/>
      <c r="Q6025" s="8"/>
      <c r="R6025" s="8"/>
      <c r="S6025" s="18"/>
      <c r="T6025" s="18"/>
      <c r="U6025" s="6"/>
      <c r="V6025" s="6"/>
      <c r="W6025" s="6"/>
      <c r="X6025" s="6"/>
      <c r="Y6025" s="6"/>
      <c r="Z6025" s="6"/>
    </row>
    <row r="6026" spans="14:26" ht="31.4" customHeight="1" x14ac:dyDescent="0.35">
      <c r="N6026" s="20"/>
      <c r="P6026" s="8"/>
      <c r="Q6026" s="8"/>
      <c r="R6026" s="8"/>
      <c r="S6026" s="18"/>
      <c r="T6026" s="18"/>
      <c r="U6026" s="6"/>
      <c r="V6026" s="6"/>
      <c r="W6026" s="6"/>
      <c r="X6026" s="6"/>
      <c r="Y6026" s="6"/>
      <c r="Z6026" s="6"/>
    </row>
    <row r="6027" spans="14:26" ht="31.4" customHeight="1" x14ac:dyDescent="0.35">
      <c r="N6027" s="20"/>
      <c r="P6027" s="8"/>
      <c r="Q6027" s="8"/>
      <c r="R6027" s="8"/>
      <c r="S6027" s="18"/>
      <c r="T6027" s="18"/>
      <c r="U6027" s="6"/>
      <c r="V6027" s="6"/>
      <c r="W6027" s="6"/>
      <c r="X6027" s="6"/>
      <c r="Y6027" s="6"/>
      <c r="Z6027" s="6"/>
    </row>
    <row r="6028" spans="14:26" ht="31.4" customHeight="1" x14ac:dyDescent="0.35">
      <c r="N6028" s="20"/>
      <c r="P6028" s="8"/>
      <c r="Q6028" s="8"/>
      <c r="R6028" s="8"/>
      <c r="S6028" s="18"/>
      <c r="T6028" s="18"/>
      <c r="U6028" s="6"/>
      <c r="V6028" s="6"/>
      <c r="W6028" s="6"/>
      <c r="X6028" s="6"/>
      <c r="Y6028" s="6"/>
      <c r="Z6028" s="6"/>
    </row>
    <row r="6029" spans="14:26" ht="31.4" customHeight="1" x14ac:dyDescent="0.35">
      <c r="N6029" s="20"/>
      <c r="P6029" s="8"/>
      <c r="Q6029" s="8"/>
      <c r="R6029" s="8"/>
      <c r="S6029" s="18"/>
      <c r="T6029" s="18"/>
      <c r="U6029" s="6"/>
      <c r="V6029" s="6"/>
      <c r="W6029" s="6"/>
      <c r="X6029" s="6"/>
      <c r="Y6029" s="6"/>
      <c r="Z6029" s="6"/>
    </row>
    <row r="6030" spans="14:26" ht="31.4" customHeight="1" x14ac:dyDescent="0.35">
      <c r="N6030" s="20"/>
      <c r="P6030" s="8"/>
      <c r="Q6030" s="8"/>
      <c r="R6030" s="8"/>
      <c r="S6030" s="18"/>
      <c r="T6030" s="18"/>
      <c r="U6030" s="6"/>
      <c r="V6030" s="6"/>
      <c r="W6030" s="6"/>
      <c r="X6030" s="6"/>
      <c r="Y6030" s="6"/>
      <c r="Z6030" s="6"/>
    </row>
    <row r="6031" spans="14:26" ht="31.4" customHeight="1" x14ac:dyDescent="0.35">
      <c r="N6031" s="20"/>
      <c r="P6031" s="8"/>
      <c r="Q6031" s="8"/>
      <c r="R6031" s="8"/>
      <c r="S6031" s="18"/>
      <c r="T6031" s="18"/>
      <c r="U6031" s="6"/>
      <c r="V6031" s="6"/>
      <c r="W6031" s="6"/>
      <c r="X6031" s="6"/>
      <c r="Y6031" s="6"/>
      <c r="Z6031" s="6"/>
    </row>
    <row r="6032" spans="14:26" ht="31.4" customHeight="1" x14ac:dyDescent="0.35">
      <c r="N6032" s="20"/>
      <c r="P6032" s="8"/>
      <c r="Q6032" s="8"/>
      <c r="R6032" s="8"/>
      <c r="S6032" s="18"/>
      <c r="T6032" s="18"/>
      <c r="U6032" s="6"/>
      <c r="V6032" s="6"/>
      <c r="W6032" s="6"/>
      <c r="X6032" s="6"/>
      <c r="Y6032" s="6"/>
      <c r="Z6032" s="6"/>
    </row>
    <row r="6033" spans="14:26" ht="31.4" customHeight="1" x14ac:dyDescent="0.35">
      <c r="N6033" s="20"/>
      <c r="P6033" s="8"/>
      <c r="Q6033" s="8"/>
      <c r="R6033" s="8"/>
      <c r="S6033" s="18"/>
      <c r="T6033" s="18"/>
      <c r="U6033" s="6"/>
      <c r="V6033" s="6"/>
      <c r="W6033" s="6"/>
      <c r="X6033" s="6"/>
      <c r="Y6033" s="6"/>
      <c r="Z6033" s="6"/>
    </row>
    <row r="6034" spans="14:26" ht="31.4" customHeight="1" x14ac:dyDescent="0.35">
      <c r="N6034" s="20"/>
      <c r="P6034" s="8"/>
      <c r="Q6034" s="8"/>
      <c r="R6034" s="8"/>
      <c r="S6034" s="18"/>
      <c r="T6034" s="18"/>
      <c r="U6034" s="6"/>
      <c r="V6034" s="6"/>
      <c r="W6034" s="6"/>
      <c r="X6034" s="6"/>
      <c r="Y6034" s="6"/>
      <c r="Z6034" s="6"/>
    </row>
    <row r="6035" spans="14:26" ht="31.4" customHeight="1" x14ac:dyDescent="0.35">
      <c r="N6035" s="20"/>
      <c r="P6035" s="8"/>
      <c r="Q6035" s="8"/>
      <c r="R6035" s="8"/>
      <c r="S6035" s="18"/>
      <c r="T6035" s="18"/>
      <c r="U6035" s="6"/>
      <c r="V6035" s="6"/>
      <c r="W6035" s="6"/>
      <c r="X6035" s="6"/>
      <c r="Y6035" s="6"/>
      <c r="Z6035" s="6"/>
    </row>
    <row r="6036" spans="14:26" ht="31.4" customHeight="1" x14ac:dyDescent="0.35">
      <c r="N6036" s="20"/>
      <c r="P6036" s="8"/>
      <c r="Q6036" s="8"/>
      <c r="R6036" s="8"/>
      <c r="S6036" s="18"/>
      <c r="T6036" s="18"/>
      <c r="U6036" s="6"/>
      <c r="V6036" s="6"/>
      <c r="W6036" s="6"/>
      <c r="X6036" s="6"/>
      <c r="Y6036" s="6"/>
      <c r="Z6036" s="6"/>
    </row>
    <row r="6037" spans="14:26" ht="31.4" customHeight="1" x14ac:dyDescent="0.35">
      <c r="N6037" s="20"/>
      <c r="P6037" s="8"/>
      <c r="Q6037" s="8"/>
      <c r="R6037" s="8"/>
      <c r="S6037" s="18"/>
      <c r="T6037" s="18"/>
      <c r="U6037" s="6"/>
      <c r="V6037" s="6"/>
      <c r="W6037" s="6"/>
      <c r="X6037" s="6"/>
      <c r="Y6037" s="6"/>
      <c r="Z6037" s="6"/>
    </row>
    <row r="6038" spans="14:26" ht="31.4" customHeight="1" x14ac:dyDescent="0.35">
      <c r="N6038" s="20"/>
      <c r="P6038" s="8"/>
      <c r="Q6038" s="8"/>
      <c r="R6038" s="8"/>
      <c r="S6038" s="18"/>
      <c r="T6038" s="18"/>
      <c r="U6038" s="6"/>
      <c r="V6038" s="6"/>
      <c r="W6038" s="6"/>
      <c r="X6038" s="6"/>
      <c r="Y6038" s="6"/>
      <c r="Z6038" s="6"/>
    </row>
    <row r="6039" spans="14:26" ht="31.4" customHeight="1" x14ac:dyDescent="0.35">
      <c r="N6039" s="20"/>
      <c r="P6039" s="8"/>
      <c r="Q6039" s="8"/>
      <c r="R6039" s="8"/>
      <c r="S6039" s="18"/>
      <c r="T6039" s="18"/>
      <c r="U6039" s="6"/>
      <c r="V6039" s="6"/>
      <c r="W6039" s="6"/>
      <c r="X6039" s="6"/>
      <c r="Y6039" s="6"/>
      <c r="Z6039" s="6"/>
    </row>
    <row r="6040" spans="14:26" ht="31.4" customHeight="1" x14ac:dyDescent="0.35">
      <c r="N6040" s="20"/>
      <c r="P6040" s="8"/>
      <c r="Q6040" s="8"/>
      <c r="R6040" s="8"/>
      <c r="S6040" s="18"/>
      <c r="T6040" s="18"/>
      <c r="U6040" s="6"/>
      <c r="V6040" s="6"/>
      <c r="W6040" s="6"/>
      <c r="X6040" s="6"/>
      <c r="Y6040" s="6"/>
      <c r="Z6040" s="6"/>
    </row>
    <row r="6041" spans="14:26" ht="31.4" customHeight="1" x14ac:dyDescent="0.35">
      <c r="N6041" s="20"/>
      <c r="P6041" s="8"/>
      <c r="Q6041" s="8"/>
      <c r="R6041" s="8"/>
      <c r="S6041" s="18"/>
      <c r="T6041" s="18"/>
      <c r="U6041" s="6"/>
      <c r="V6041" s="6"/>
      <c r="W6041" s="6"/>
      <c r="X6041" s="6"/>
      <c r="Y6041" s="6"/>
      <c r="Z6041" s="6"/>
    </row>
    <row r="6042" spans="14:26" ht="31.4" customHeight="1" x14ac:dyDescent="0.35">
      <c r="N6042" s="20"/>
      <c r="P6042" s="8"/>
      <c r="Q6042" s="8"/>
      <c r="R6042" s="8"/>
      <c r="S6042" s="18"/>
      <c r="T6042" s="18"/>
      <c r="U6042" s="6"/>
      <c r="V6042" s="6"/>
      <c r="W6042" s="6"/>
      <c r="X6042" s="6"/>
      <c r="Y6042" s="6"/>
      <c r="Z6042" s="6"/>
    </row>
    <row r="6043" spans="14:26" ht="31.4" customHeight="1" x14ac:dyDescent="0.35">
      <c r="N6043" s="20"/>
      <c r="P6043" s="8"/>
      <c r="Q6043" s="8"/>
      <c r="R6043" s="8"/>
      <c r="S6043" s="18"/>
      <c r="T6043" s="18"/>
      <c r="U6043" s="6"/>
      <c r="V6043" s="6"/>
      <c r="W6043" s="6"/>
      <c r="X6043" s="6"/>
      <c r="Y6043" s="6"/>
      <c r="Z6043" s="6"/>
    </row>
    <row r="6044" spans="14:26" ht="31.4" customHeight="1" x14ac:dyDescent="0.35">
      <c r="N6044" s="20"/>
      <c r="P6044" s="8"/>
      <c r="Q6044" s="8"/>
      <c r="R6044" s="8"/>
      <c r="S6044" s="18"/>
      <c r="T6044" s="18"/>
      <c r="U6044" s="6"/>
      <c r="V6044" s="6"/>
      <c r="W6044" s="6"/>
      <c r="X6044" s="6"/>
      <c r="Y6044" s="6"/>
      <c r="Z6044" s="6"/>
    </row>
    <row r="6045" spans="14:26" ht="31.4" customHeight="1" x14ac:dyDescent="0.35">
      <c r="N6045" s="20"/>
      <c r="P6045" s="8"/>
      <c r="Q6045" s="8"/>
      <c r="R6045" s="8"/>
      <c r="S6045" s="18"/>
      <c r="T6045" s="18"/>
      <c r="U6045" s="6"/>
      <c r="V6045" s="6"/>
      <c r="W6045" s="6"/>
      <c r="X6045" s="6"/>
      <c r="Y6045" s="6"/>
      <c r="Z6045" s="6"/>
    </row>
    <row r="6046" spans="14:26" ht="31.4" customHeight="1" x14ac:dyDescent="0.35">
      <c r="N6046" s="20"/>
      <c r="P6046" s="8"/>
      <c r="Q6046" s="8"/>
      <c r="R6046" s="8"/>
      <c r="S6046" s="18"/>
      <c r="T6046" s="18"/>
      <c r="U6046" s="6"/>
      <c r="V6046" s="6"/>
      <c r="W6046" s="6"/>
      <c r="X6046" s="6"/>
      <c r="Y6046" s="6"/>
      <c r="Z6046" s="6"/>
    </row>
    <row r="6047" spans="14:26" ht="31.4" customHeight="1" x14ac:dyDescent="0.35">
      <c r="N6047" s="20"/>
      <c r="P6047" s="8"/>
      <c r="Q6047" s="8"/>
      <c r="R6047" s="8"/>
      <c r="S6047" s="18"/>
      <c r="T6047" s="18"/>
      <c r="U6047" s="6"/>
      <c r="V6047" s="6"/>
      <c r="W6047" s="6"/>
      <c r="X6047" s="6"/>
      <c r="Y6047" s="6"/>
      <c r="Z6047" s="6"/>
    </row>
    <row r="6048" spans="14:26" ht="31.4" customHeight="1" x14ac:dyDescent="0.35">
      <c r="N6048" s="20"/>
      <c r="P6048" s="8"/>
      <c r="Q6048" s="8"/>
      <c r="R6048" s="8"/>
      <c r="S6048" s="18"/>
      <c r="T6048" s="18"/>
      <c r="U6048" s="6"/>
      <c r="V6048" s="6"/>
      <c r="W6048" s="6"/>
      <c r="X6048" s="6"/>
      <c r="Y6048" s="6"/>
      <c r="Z6048" s="6"/>
    </row>
    <row r="6049" spans="14:26" ht="31.4" customHeight="1" x14ac:dyDescent="0.35">
      <c r="N6049" s="20"/>
      <c r="P6049" s="8"/>
      <c r="Q6049" s="8"/>
      <c r="R6049" s="8"/>
      <c r="S6049" s="18"/>
      <c r="T6049" s="18"/>
      <c r="U6049" s="6"/>
      <c r="V6049" s="6"/>
      <c r="W6049" s="6"/>
      <c r="X6049" s="6"/>
      <c r="Y6049" s="6"/>
      <c r="Z6049" s="6"/>
    </row>
    <row r="6050" spans="14:26" ht="31.4" customHeight="1" x14ac:dyDescent="0.35">
      <c r="N6050" s="20"/>
      <c r="P6050" s="8"/>
      <c r="Q6050" s="8"/>
      <c r="R6050" s="8"/>
      <c r="S6050" s="18"/>
      <c r="T6050" s="18"/>
      <c r="U6050" s="6"/>
      <c r="V6050" s="6"/>
      <c r="W6050" s="6"/>
      <c r="X6050" s="6"/>
      <c r="Y6050" s="6"/>
      <c r="Z6050" s="6"/>
    </row>
    <row r="6051" spans="14:26" ht="31.4" customHeight="1" x14ac:dyDescent="0.35">
      <c r="N6051" s="20"/>
      <c r="P6051" s="8"/>
      <c r="Q6051" s="8"/>
      <c r="R6051" s="8"/>
      <c r="S6051" s="18"/>
      <c r="T6051" s="18"/>
      <c r="U6051" s="6"/>
      <c r="V6051" s="6"/>
      <c r="W6051" s="6"/>
      <c r="X6051" s="6"/>
      <c r="Y6051" s="6"/>
      <c r="Z6051" s="6"/>
    </row>
    <row r="6052" spans="14:26" ht="31.4" customHeight="1" x14ac:dyDescent="0.35">
      <c r="N6052" s="20"/>
      <c r="P6052" s="8"/>
      <c r="Q6052" s="8"/>
      <c r="R6052" s="8"/>
      <c r="S6052" s="18"/>
      <c r="T6052" s="18"/>
      <c r="U6052" s="6"/>
      <c r="V6052" s="6"/>
      <c r="W6052" s="6"/>
      <c r="X6052" s="6"/>
      <c r="Y6052" s="6"/>
      <c r="Z6052" s="6"/>
    </row>
    <row r="6053" spans="14:26" ht="31.4" customHeight="1" x14ac:dyDescent="0.35">
      <c r="N6053" s="20"/>
      <c r="P6053" s="8"/>
      <c r="Q6053" s="8"/>
      <c r="R6053" s="8"/>
      <c r="S6053" s="18"/>
      <c r="T6053" s="18"/>
      <c r="U6053" s="6"/>
      <c r="V6053" s="6"/>
      <c r="W6053" s="6"/>
      <c r="X6053" s="6"/>
      <c r="Y6053" s="6"/>
      <c r="Z6053" s="6"/>
    </row>
    <row r="6054" spans="14:26" ht="31.4" customHeight="1" x14ac:dyDescent="0.35">
      <c r="N6054" s="20"/>
      <c r="P6054" s="8"/>
      <c r="Q6054" s="8"/>
      <c r="R6054" s="8"/>
      <c r="S6054" s="18"/>
      <c r="T6054" s="18"/>
      <c r="U6054" s="6"/>
      <c r="V6054" s="6"/>
      <c r="W6054" s="6"/>
      <c r="X6054" s="6"/>
      <c r="Y6054" s="6"/>
      <c r="Z6054" s="6"/>
    </row>
    <row r="6055" spans="14:26" ht="31.4" customHeight="1" x14ac:dyDescent="0.35">
      <c r="N6055" s="20"/>
      <c r="P6055" s="8"/>
      <c r="Q6055" s="8"/>
      <c r="R6055" s="8"/>
      <c r="S6055" s="18"/>
      <c r="T6055" s="18"/>
      <c r="U6055" s="6"/>
      <c r="V6055" s="6"/>
      <c r="W6055" s="6"/>
      <c r="X6055" s="6"/>
      <c r="Y6055" s="6"/>
      <c r="Z6055" s="6"/>
    </row>
    <row r="6056" spans="14:26" ht="31.4" customHeight="1" x14ac:dyDescent="0.35">
      <c r="N6056" s="20"/>
      <c r="P6056" s="8"/>
      <c r="Q6056" s="8"/>
      <c r="R6056" s="8"/>
      <c r="S6056" s="18"/>
      <c r="T6056" s="18"/>
      <c r="U6056" s="6"/>
      <c r="V6056" s="6"/>
      <c r="W6056" s="6"/>
      <c r="X6056" s="6"/>
      <c r="Y6056" s="6"/>
      <c r="Z6056" s="6"/>
    </row>
    <row r="6057" spans="14:26" ht="31.4" customHeight="1" x14ac:dyDescent="0.35">
      <c r="N6057" s="20"/>
      <c r="P6057" s="8"/>
      <c r="Q6057" s="8"/>
      <c r="R6057" s="8"/>
      <c r="S6057" s="18"/>
      <c r="T6057" s="18"/>
      <c r="U6057" s="6"/>
      <c r="V6057" s="6"/>
      <c r="W6057" s="6"/>
      <c r="X6057" s="6"/>
      <c r="Y6057" s="6"/>
      <c r="Z6057" s="6"/>
    </row>
    <row r="6058" spans="14:26" ht="31.4" customHeight="1" x14ac:dyDescent="0.35">
      <c r="N6058" s="20"/>
      <c r="P6058" s="8"/>
      <c r="Q6058" s="8"/>
      <c r="R6058" s="8"/>
      <c r="S6058" s="18"/>
      <c r="T6058" s="18"/>
      <c r="U6058" s="6"/>
      <c r="V6058" s="6"/>
      <c r="W6058" s="6"/>
      <c r="X6058" s="6"/>
      <c r="Y6058" s="6"/>
      <c r="Z6058" s="6"/>
    </row>
    <row r="6059" spans="14:26" ht="31.4" customHeight="1" x14ac:dyDescent="0.35">
      <c r="N6059" s="20"/>
      <c r="P6059" s="8"/>
      <c r="Q6059" s="8"/>
      <c r="R6059" s="8"/>
      <c r="S6059" s="18"/>
      <c r="T6059" s="18"/>
      <c r="U6059" s="6"/>
      <c r="V6059" s="6"/>
      <c r="W6059" s="6"/>
      <c r="X6059" s="6"/>
      <c r="Y6059" s="6"/>
      <c r="Z6059" s="6"/>
    </row>
    <row r="6060" spans="14:26" ht="31.4" customHeight="1" x14ac:dyDescent="0.35">
      <c r="N6060" s="20"/>
      <c r="P6060" s="8"/>
      <c r="Q6060" s="8"/>
      <c r="R6060" s="8"/>
      <c r="S6060" s="18"/>
      <c r="T6060" s="18"/>
      <c r="U6060" s="6"/>
      <c r="V6060" s="6"/>
      <c r="W6060" s="6"/>
      <c r="X6060" s="6"/>
      <c r="Y6060" s="6"/>
      <c r="Z6060" s="6"/>
    </row>
    <row r="6061" spans="14:26" ht="31.4" customHeight="1" x14ac:dyDescent="0.35">
      <c r="N6061" s="20"/>
      <c r="P6061" s="8"/>
      <c r="Q6061" s="8"/>
      <c r="R6061" s="8"/>
      <c r="S6061" s="18"/>
      <c r="T6061" s="18"/>
      <c r="U6061" s="6"/>
      <c r="V6061" s="6"/>
      <c r="W6061" s="6"/>
      <c r="X6061" s="6"/>
      <c r="Y6061" s="6"/>
      <c r="Z6061" s="6"/>
    </row>
    <row r="6062" spans="14:26" ht="31.4" customHeight="1" x14ac:dyDescent="0.35">
      <c r="N6062" s="20"/>
      <c r="P6062" s="8"/>
      <c r="Q6062" s="8"/>
      <c r="R6062" s="8"/>
      <c r="S6062" s="18"/>
      <c r="T6062" s="18"/>
      <c r="U6062" s="6"/>
      <c r="V6062" s="6"/>
      <c r="W6062" s="6"/>
      <c r="X6062" s="6"/>
      <c r="Y6062" s="6"/>
      <c r="Z6062" s="6"/>
    </row>
    <row r="6063" spans="14:26" ht="31.4" customHeight="1" x14ac:dyDescent="0.35">
      <c r="N6063" s="20"/>
      <c r="P6063" s="8"/>
      <c r="Q6063" s="8"/>
      <c r="R6063" s="8"/>
      <c r="S6063" s="18"/>
      <c r="T6063" s="18"/>
      <c r="U6063" s="6"/>
      <c r="V6063" s="6"/>
      <c r="W6063" s="6"/>
      <c r="X6063" s="6"/>
      <c r="Y6063" s="6"/>
      <c r="Z6063" s="6"/>
    </row>
    <row r="6064" spans="14:26" ht="31.4" customHeight="1" x14ac:dyDescent="0.35">
      <c r="N6064" s="20"/>
      <c r="P6064" s="8"/>
      <c r="Q6064" s="8"/>
      <c r="R6064" s="8"/>
      <c r="S6064" s="18"/>
      <c r="T6064" s="18"/>
      <c r="U6064" s="6"/>
      <c r="V6064" s="6"/>
      <c r="W6064" s="6"/>
      <c r="X6064" s="6"/>
      <c r="Y6064" s="6"/>
      <c r="Z6064" s="6"/>
    </row>
    <row r="6065" spans="14:26" ht="31.4" customHeight="1" x14ac:dyDescent="0.35">
      <c r="N6065" s="20"/>
      <c r="P6065" s="8"/>
      <c r="Q6065" s="8"/>
      <c r="R6065" s="8"/>
      <c r="S6065" s="18"/>
      <c r="T6065" s="18"/>
      <c r="U6065" s="6"/>
      <c r="V6065" s="6"/>
      <c r="W6065" s="6"/>
      <c r="X6065" s="6"/>
      <c r="Y6065" s="6"/>
      <c r="Z6065" s="6"/>
    </row>
    <row r="6066" spans="14:26" ht="31.4" customHeight="1" x14ac:dyDescent="0.35">
      <c r="N6066" s="20"/>
      <c r="P6066" s="8"/>
      <c r="Q6066" s="8"/>
      <c r="R6066" s="8"/>
      <c r="S6066" s="18"/>
      <c r="T6066" s="18"/>
      <c r="U6066" s="6"/>
      <c r="V6066" s="6"/>
      <c r="W6066" s="6"/>
      <c r="X6066" s="6"/>
      <c r="Y6066" s="6"/>
      <c r="Z6066" s="6"/>
    </row>
    <row r="6067" spans="14:26" ht="31.4" customHeight="1" x14ac:dyDescent="0.35">
      <c r="N6067" s="20"/>
      <c r="P6067" s="8"/>
      <c r="Q6067" s="8"/>
      <c r="R6067" s="8"/>
      <c r="S6067" s="18"/>
      <c r="T6067" s="18"/>
      <c r="U6067" s="6"/>
      <c r="V6067" s="6"/>
      <c r="W6067" s="6"/>
      <c r="X6067" s="6"/>
      <c r="Y6067" s="6"/>
      <c r="Z6067" s="6"/>
    </row>
    <row r="6068" spans="14:26" ht="31.4" customHeight="1" x14ac:dyDescent="0.35">
      <c r="N6068" s="20"/>
      <c r="P6068" s="8"/>
      <c r="Q6068" s="8"/>
      <c r="R6068" s="8"/>
      <c r="S6068" s="18"/>
      <c r="T6068" s="18"/>
      <c r="U6068" s="6"/>
      <c r="V6068" s="6"/>
      <c r="W6068" s="6"/>
      <c r="X6068" s="6"/>
      <c r="Y6068" s="6"/>
      <c r="Z6068" s="6"/>
    </row>
    <row r="6069" spans="14:26" ht="31.4" customHeight="1" x14ac:dyDescent="0.35">
      <c r="N6069" s="20"/>
      <c r="P6069" s="8"/>
      <c r="Q6069" s="8"/>
      <c r="R6069" s="8"/>
      <c r="S6069" s="18"/>
      <c r="T6069" s="18"/>
      <c r="U6069" s="6"/>
      <c r="V6069" s="6"/>
      <c r="W6069" s="6"/>
      <c r="X6069" s="6"/>
      <c r="Y6069" s="6"/>
      <c r="Z6069" s="6"/>
    </row>
    <row r="6070" spans="14:26" ht="31.4" customHeight="1" x14ac:dyDescent="0.35">
      <c r="N6070" s="20"/>
      <c r="P6070" s="8"/>
      <c r="Q6070" s="8"/>
      <c r="R6070" s="8"/>
      <c r="S6070" s="18"/>
      <c r="T6070" s="18"/>
      <c r="U6070" s="6"/>
      <c r="V6070" s="6"/>
      <c r="W6070" s="6"/>
      <c r="X6070" s="6"/>
      <c r="Y6070" s="6"/>
      <c r="Z6070" s="6"/>
    </row>
    <row r="6071" spans="14:26" ht="31.4" customHeight="1" x14ac:dyDescent="0.35">
      <c r="N6071" s="20"/>
      <c r="P6071" s="8"/>
      <c r="Q6071" s="8"/>
      <c r="R6071" s="8"/>
      <c r="S6071" s="18"/>
      <c r="T6071" s="18"/>
      <c r="U6071" s="6"/>
      <c r="V6071" s="6"/>
      <c r="W6071" s="6"/>
      <c r="X6071" s="6"/>
      <c r="Y6071" s="6"/>
      <c r="Z6071" s="6"/>
    </row>
    <row r="6072" spans="14:26" ht="31.4" customHeight="1" x14ac:dyDescent="0.35">
      <c r="N6072" s="20"/>
      <c r="P6072" s="8"/>
      <c r="Q6072" s="8"/>
      <c r="R6072" s="8"/>
      <c r="S6072" s="18"/>
      <c r="T6072" s="18"/>
      <c r="U6072" s="6"/>
      <c r="V6072" s="6"/>
      <c r="W6072" s="6"/>
      <c r="X6072" s="6"/>
      <c r="Y6072" s="6"/>
      <c r="Z6072" s="6"/>
    </row>
    <row r="6073" spans="14:26" ht="31.4" customHeight="1" x14ac:dyDescent="0.35">
      <c r="N6073" s="20"/>
      <c r="P6073" s="8"/>
      <c r="Q6073" s="8"/>
      <c r="R6073" s="8"/>
      <c r="S6073" s="18"/>
      <c r="T6073" s="18"/>
      <c r="U6073" s="6"/>
      <c r="V6073" s="6"/>
      <c r="W6073" s="6"/>
      <c r="X6073" s="6"/>
      <c r="Y6073" s="6"/>
      <c r="Z6073" s="6"/>
    </row>
    <row r="6074" spans="14:26" ht="31.4" customHeight="1" x14ac:dyDescent="0.35">
      <c r="N6074" s="20"/>
      <c r="P6074" s="8"/>
      <c r="Q6074" s="8"/>
      <c r="R6074" s="8"/>
      <c r="S6074" s="18"/>
      <c r="T6074" s="18"/>
      <c r="U6074" s="6"/>
      <c r="V6074" s="6"/>
      <c r="W6074" s="6"/>
      <c r="X6074" s="6"/>
      <c r="Y6074" s="6"/>
      <c r="Z6074" s="6"/>
    </row>
    <row r="6075" spans="14:26" ht="31.4" customHeight="1" x14ac:dyDescent="0.35">
      <c r="N6075" s="20"/>
      <c r="P6075" s="8"/>
      <c r="Q6075" s="8"/>
      <c r="R6075" s="8"/>
      <c r="S6075" s="18"/>
      <c r="T6075" s="18"/>
      <c r="U6075" s="6"/>
      <c r="V6075" s="6"/>
      <c r="W6075" s="6"/>
      <c r="X6075" s="6"/>
      <c r="Y6075" s="6"/>
      <c r="Z6075" s="6"/>
    </row>
    <row r="6076" spans="14:26" ht="31.4" customHeight="1" x14ac:dyDescent="0.35">
      <c r="N6076" s="20"/>
      <c r="P6076" s="8"/>
      <c r="Q6076" s="8"/>
      <c r="R6076" s="8"/>
      <c r="S6076" s="18"/>
      <c r="T6076" s="18"/>
      <c r="U6076" s="6"/>
      <c r="V6076" s="6"/>
      <c r="W6076" s="6"/>
      <c r="X6076" s="6"/>
      <c r="Y6076" s="6"/>
      <c r="Z6076" s="6"/>
    </row>
    <row r="6077" spans="14:26" ht="31.4" customHeight="1" x14ac:dyDescent="0.35">
      <c r="N6077" s="20"/>
      <c r="P6077" s="8"/>
      <c r="Q6077" s="8"/>
      <c r="R6077" s="8"/>
      <c r="S6077" s="18"/>
      <c r="T6077" s="18"/>
      <c r="U6077" s="6"/>
      <c r="V6077" s="6"/>
      <c r="W6077" s="6"/>
      <c r="X6077" s="6"/>
      <c r="Y6077" s="6"/>
      <c r="Z6077" s="6"/>
    </row>
    <row r="6078" spans="14:26" ht="31.4" customHeight="1" x14ac:dyDescent="0.35">
      <c r="N6078" s="20"/>
      <c r="P6078" s="8"/>
      <c r="Q6078" s="8"/>
      <c r="R6078" s="8"/>
      <c r="S6078" s="18"/>
      <c r="T6078" s="18"/>
      <c r="U6078" s="6"/>
      <c r="V6078" s="6"/>
      <c r="W6078" s="6"/>
      <c r="X6078" s="6"/>
      <c r="Y6078" s="6"/>
      <c r="Z6078" s="6"/>
    </row>
    <row r="6079" spans="14:26" ht="31.4" customHeight="1" x14ac:dyDescent="0.35">
      <c r="N6079" s="20"/>
      <c r="P6079" s="8"/>
      <c r="Q6079" s="8"/>
      <c r="R6079" s="8"/>
      <c r="S6079" s="18"/>
      <c r="T6079" s="18"/>
      <c r="U6079" s="6"/>
      <c r="V6079" s="6"/>
      <c r="W6079" s="6"/>
      <c r="X6079" s="6"/>
      <c r="Y6079" s="6"/>
      <c r="Z6079" s="6"/>
    </row>
    <row r="6080" spans="14:26" ht="31.4" customHeight="1" x14ac:dyDescent="0.35">
      <c r="N6080" s="20"/>
      <c r="P6080" s="8"/>
      <c r="Q6080" s="8"/>
      <c r="R6080" s="8"/>
      <c r="S6080" s="18"/>
      <c r="T6080" s="18"/>
      <c r="U6080" s="6"/>
      <c r="V6080" s="6"/>
      <c r="W6080" s="6"/>
      <c r="X6080" s="6"/>
      <c r="Y6080" s="6"/>
      <c r="Z6080" s="6"/>
    </row>
    <row r="6081" spans="14:26" ht="31.4" customHeight="1" x14ac:dyDescent="0.35">
      <c r="N6081" s="20"/>
      <c r="P6081" s="8"/>
      <c r="Q6081" s="8"/>
      <c r="R6081" s="8"/>
      <c r="S6081" s="18"/>
      <c r="T6081" s="18"/>
      <c r="U6081" s="6"/>
      <c r="V6081" s="6"/>
      <c r="W6081" s="6"/>
      <c r="X6081" s="6"/>
      <c r="Y6081" s="6"/>
      <c r="Z6081" s="6"/>
    </row>
    <row r="6082" spans="14:26" ht="31.4" customHeight="1" x14ac:dyDescent="0.35">
      <c r="N6082" s="20"/>
      <c r="P6082" s="8"/>
      <c r="Q6082" s="8"/>
      <c r="R6082" s="8"/>
      <c r="S6082" s="18"/>
      <c r="T6082" s="18"/>
      <c r="U6082" s="6"/>
      <c r="V6082" s="6"/>
      <c r="W6082" s="6"/>
      <c r="X6082" s="6"/>
      <c r="Y6082" s="6"/>
      <c r="Z6082" s="6"/>
    </row>
    <row r="6083" spans="14:26" ht="31.4" customHeight="1" x14ac:dyDescent="0.35">
      <c r="N6083" s="20"/>
      <c r="P6083" s="8"/>
      <c r="Q6083" s="8"/>
      <c r="R6083" s="8"/>
      <c r="S6083" s="18"/>
      <c r="T6083" s="18"/>
      <c r="U6083" s="6"/>
      <c r="V6083" s="6"/>
      <c r="W6083" s="6"/>
      <c r="X6083" s="6"/>
      <c r="Y6083" s="6"/>
      <c r="Z6083" s="6"/>
    </row>
    <row r="6084" spans="14:26" ht="31.4" customHeight="1" x14ac:dyDescent="0.35">
      <c r="N6084" s="20"/>
      <c r="P6084" s="8"/>
      <c r="Q6084" s="8"/>
      <c r="R6084" s="8"/>
      <c r="S6084" s="18"/>
      <c r="T6084" s="18"/>
      <c r="U6084" s="6"/>
      <c r="V6084" s="6"/>
      <c r="W6084" s="6"/>
      <c r="X6084" s="6"/>
      <c r="Y6084" s="6"/>
      <c r="Z6084" s="6"/>
    </row>
    <row r="6085" spans="14:26" ht="31.4" customHeight="1" x14ac:dyDescent="0.35">
      <c r="N6085" s="20"/>
      <c r="P6085" s="8"/>
      <c r="Q6085" s="8"/>
      <c r="R6085" s="8"/>
      <c r="S6085" s="18"/>
      <c r="T6085" s="18"/>
      <c r="U6085" s="6"/>
      <c r="V6085" s="6"/>
      <c r="W6085" s="6"/>
      <c r="X6085" s="6"/>
      <c r="Y6085" s="6"/>
      <c r="Z6085" s="6"/>
    </row>
    <row r="6086" spans="14:26" ht="31.4" customHeight="1" x14ac:dyDescent="0.35">
      <c r="N6086" s="20"/>
      <c r="P6086" s="8"/>
      <c r="Q6086" s="8"/>
      <c r="R6086" s="8"/>
      <c r="S6086" s="18"/>
      <c r="T6086" s="18"/>
      <c r="U6086" s="6"/>
      <c r="V6086" s="6"/>
      <c r="W6086" s="6"/>
      <c r="X6086" s="6"/>
      <c r="Y6086" s="6"/>
      <c r="Z6086" s="6"/>
    </row>
    <row r="6087" spans="14:26" ht="31.4" customHeight="1" x14ac:dyDescent="0.35">
      <c r="N6087" s="20"/>
      <c r="P6087" s="8"/>
      <c r="Q6087" s="8"/>
      <c r="R6087" s="8"/>
      <c r="S6087" s="18"/>
      <c r="T6087" s="18"/>
      <c r="U6087" s="6"/>
      <c r="V6087" s="6"/>
      <c r="W6087" s="6"/>
      <c r="X6087" s="6"/>
      <c r="Y6087" s="6"/>
      <c r="Z6087" s="6"/>
    </row>
    <row r="6088" spans="14:26" ht="31.4" customHeight="1" x14ac:dyDescent="0.35">
      <c r="N6088" s="20"/>
      <c r="P6088" s="8"/>
      <c r="Q6088" s="8"/>
      <c r="R6088" s="8"/>
      <c r="S6088" s="18"/>
      <c r="T6088" s="18"/>
      <c r="U6088" s="6"/>
      <c r="V6088" s="6"/>
      <c r="W6088" s="6"/>
      <c r="X6088" s="6"/>
      <c r="Y6088" s="6"/>
      <c r="Z6088" s="6"/>
    </row>
    <row r="6089" spans="14:26" ht="31.4" customHeight="1" x14ac:dyDescent="0.35">
      <c r="N6089" s="20"/>
      <c r="P6089" s="8"/>
      <c r="Q6089" s="8"/>
      <c r="R6089" s="8"/>
      <c r="S6089" s="18"/>
      <c r="T6089" s="18"/>
      <c r="U6089" s="6"/>
      <c r="V6089" s="6"/>
      <c r="W6089" s="6"/>
      <c r="X6089" s="6"/>
      <c r="Y6089" s="6"/>
      <c r="Z6089" s="6"/>
    </row>
    <row r="6090" spans="14:26" ht="31.4" customHeight="1" x14ac:dyDescent="0.35">
      <c r="N6090" s="20"/>
      <c r="P6090" s="8"/>
      <c r="Q6090" s="8"/>
      <c r="R6090" s="8"/>
      <c r="S6090" s="18"/>
      <c r="T6090" s="18"/>
      <c r="U6090" s="6"/>
      <c r="V6090" s="6"/>
      <c r="W6090" s="6"/>
      <c r="X6090" s="6"/>
      <c r="Y6090" s="6"/>
      <c r="Z6090" s="6"/>
    </row>
    <row r="6091" spans="14:26" ht="31.4" customHeight="1" x14ac:dyDescent="0.35">
      <c r="N6091" s="20"/>
      <c r="P6091" s="8"/>
      <c r="Q6091" s="8"/>
      <c r="R6091" s="8"/>
      <c r="S6091" s="18"/>
      <c r="T6091" s="18"/>
      <c r="U6091" s="6"/>
      <c r="V6091" s="6"/>
      <c r="W6091" s="6"/>
      <c r="X6091" s="6"/>
      <c r="Y6091" s="6"/>
      <c r="Z6091" s="6"/>
    </row>
    <row r="6092" spans="14:26" ht="31.4" customHeight="1" x14ac:dyDescent="0.35">
      <c r="N6092" s="20"/>
      <c r="P6092" s="8"/>
      <c r="Q6092" s="8"/>
      <c r="R6092" s="8"/>
      <c r="S6092" s="18"/>
      <c r="T6092" s="18"/>
      <c r="U6092" s="6"/>
      <c r="V6092" s="6"/>
      <c r="W6092" s="6"/>
      <c r="X6092" s="6"/>
      <c r="Y6092" s="6"/>
      <c r="Z6092" s="6"/>
    </row>
    <row r="6093" spans="14:26" ht="31.4" customHeight="1" x14ac:dyDescent="0.35">
      <c r="N6093" s="20"/>
      <c r="P6093" s="8"/>
      <c r="Q6093" s="8"/>
      <c r="R6093" s="8"/>
      <c r="S6093" s="18"/>
      <c r="T6093" s="18"/>
      <c r="U6093" s="6"/>
      <c r="V6093" s="6"/>
      <c r="W6093" s="6"/>
      <c r="X6093" s="6"/>
      <c r="Y6093" s="6"/>
      <c r="Z6093" s="6"/>
    </row>
    <row r="6094" spans="14:26" ht="31.4" customHeight="1" x14ac:dyDescent="0.35">
      <c r="N6094" s="20"/>
      <c r="P6094" s="8"/>
      <c r="Q6094" s="8"/>
      <c r="R6094" s="8"/>
      <c r="S6094" s="18"/>
      <c r="T6094" s="18"/>
      <c r="U6094" s="6"/>
      <c r="V6094" s="6"/>
      <c r="W6094" s="6"/>
      <c r="X6094" s="6"/>
      <c r="Y6094" s="6"/>
      <c r="Z6094" s="6"/>
    </row>
    <row r="6095" spans="14:26" ht="31.4" customHeight="1" x14ac:dyDescent="0.35">
      <c r="N6095" s="20"/>
      <c r="P6095" s="8"/>
      <c r="Q6095" s="8"/>
      <c r="R6095" s="8"/>
      <c r="S6095" s="18"/>
      <c r="T6095" s="18"/>
      <c r="U6095" s="6"/>
      <c r="V6095" s="6"/>
      <c r="W6095" s="6"/>
      <c r="X6095" s="6"/>
      <c r="Y6095" s="6"/>
      <c r="Z6095" s="6"/>
    </row>
    <row r="6096" spans="14:26" ht="31.4" customHeight="1" x14ac:dyDescent="0.35">
      <c r="N6096" s="20"/>
      <c r="P6096" s="8"/>
      <c r="Q6096" s="8"/>
      <c r="R6096" s="8"/>
      <c r="S6096" s="18"/>
      <c r="T6096" s="18"/>
      <c r="U6096" s="6"/>
      <c r="V6096" s="6"/>
      <c r="W6096" s="6"/>
      <c r="X6096" s="6"/>
      <c r="Y6096" s="6"/>
      <c r="Z6096" s="6"/>
    </row>
    <row r="6097" spans="14:26" ht="31.4" customHeight="1" x14ac:dyDescent="0.35">
      <c r="N6097" s="20"/>
      <c r="P6097" s="8"/>
      <c r="Q6097" s="8"/>
      <c r="R6097" s="8"/>
      <c r="S6097" s="18"/>
      <c r="T6097" s="18"/>
      <c r="U6097" s="6"/>
      <c r="V6097" s="6"/>
      <c r="W6097" s="6"/>
      <c r="X6097" s="6"/>
      <c r="Y6097" s="6"/>
      <c r="Z6097" s="6"/>
    </row>
    <row r="6098" spans="14:26" ht="31.4" customHeight="1" x14ac:dyDescent="0.35">
      <c r="N6098" s="20"/>
      <c r="P6098" s="8"/>
      <c r="Q6098" s="8"/>
      <c r="R6098" s="8"/>
      <c r="S6098" s="18"/>
      <c r="T6098" s="18"/>
      <c r="U6098" s="6"/>
      <c r="V6098" s="6"/>
      <c r="W6098" s="6"/>
      <c r="X6098" s="6"/>
      <c r="Y6098" s="6"/>
      <c r="Z6098" s="6"/>
    </row>
    <row r="6099" spans="14:26" ht="31.4" customHeight="1" x14ac:dyDescent="0.35">
      <c r="N6099" s="20"/>
      <c r="P6099" s="8"/>
      <c r="Q6099" s="8"/>
      <c r="R6099" s="8"/>
      <c r="S6099" s="18"/>
      <c r="T6099" s="18"/>
      <c r="U6099" s="6"/>
      <c r="V6099" s="6"/>
      <c r="W6099" s="6"/>
      <c r="X6099" s="6"/>
      <c r="Y6099" s="6"/>
      <c r="Z6099" s="6"/>
    </row>
    <row r="6100" spans="14:26" ht="31.4" customHeight="1" x14ac:dyDescent="0.35">
      <c r="N6100" s="20"/>
      <c r="P6100" s="8"/>
      <c r="Q6100" s="8"/>
      <c r="R6100" s="8"/>
      <c r="S6100" s="18"/>
      <c r="T6100" s="18"/>
      <c r="U6100" s="6"/>
      <c r="V6100" s="6"/>
      <c r="W6100" s="6"/>
      <c r="X6100" s="6"/>
      <c r="Y6100" s="6"/>
      <c r="Z6100" s="6"/>
    </row>
    <row r="6101" spans="14:26" ht="31.4" customHeight="1" x14ac:dyDescent="0.35">
      <c r="N6101" s="20"/>
      <c r="P6101" s="8"/>
      <c r="Q6101" s="8"/>
      <c r="R6101" s="8"/>
      <c r="S6101" s="18"/>
      <c r="T6101" s="18"/>
      <c r="U6101" s="6"/>
      <c r="V6101" s="6"/>
      <c r="W6101" s="6"/>
      <c r="X6101" s="6"/>
      <c r="Y6101" s="6"/>
      <c r="Z6101" s="6"/>
    </row>
    <row r="6102" spans="14:26" ht="31.4" customHeight="1" x14ac:dyDescent="0.35">
      <c r="N6102" s="20"/>
      <c r="P6102" s="8"/>
      <c r="Q6102" s="8"/>
      <c r="R6102" s="8"/>
      <c r="S6102" s="18"/>
      <c r="T6102" s="18"/>
      <c r="U6102" s="6"/>
      <c r="V6102" s="6"/>
      <c r="W6102" s="6"/>
      <c r="X6102" s="6"/>
      <c r="Y6102" s="6"/>
      <c r="Z6102" s="6"/>
    </row>
    <row r="6103" spans="14:26" ht="31.4" customHeight="1" x14ac:dyDescent="0.35">
      <c r="N6103" s="20"/>
      <c r="P6103" s="8"/>
      <c r="Q6103" s="8"/>
      <c r="R6103" s="8"/>
      <c r="S6103" s="18"/>
      <c r="T6103" s="18"/>
      <c r="U6103" s="6"/>
      <c r="V6103" s="6"/>
      <c r="W6103" s="6"/>
      <c r="X6103" s="6"/>
      <c r="Y6103" s="6"/>
      <c r="Z6103" s="6"/>
    </row>
    <row r="6104" spans="14:26" ht="31.4" customHeight="1" x14ac:dyDescent="0.35">
      <c r="N6104" s="20"/>
      <c r="P6104" s="8"/>
      <c r="Q6104" s="8"/>
      <c r="R6104" s="8"/>
      <c r="S6104" s="18"/>
      <c r="T6104" s="18"/>
      <c r="U6104" s="6"/>
      <c r="V6104" s="6"/>
      <c r="W6104" s="6"/>
      <c r="X6104" s="6"/>
      <c r="Y6104" s="6"/>
      <c r="Z6104" s="6"/>
    </row>
    <row r="6105" spans="14:26" ht="31.4" customHeight="1" x14ac:dyDescent="0.35">
      <c r="N6105" s="20"/>
      <c r="P6105" s="8"/>
      <c r="Q6105" s="8"/>
      <c r="R6105" s="8"/>
      <c r="S6105" s="18"/>
      <c r="T6105" s="18"/>
      <c r="U6105" s="6"/>
      <c r="V6105" s="6"/>
      <c r="W6105" s="6"/>
      <c r="X6105" s="6"/>
      <c r="Y6105" s="6"/>
      <c r="Z6105" s="6"/>
    </row>
    <row r="6106" spans="14:26" ht="31.4" customHeight="1" x14ac:dyDescent="0.35">
      <c r="N6106" s="20"/>
      <c r="P6106" s="8"/>
      <c r="Q6106" s="8"/>
      <c r="R6106" s="8"/>
      <c r="S6106" s="18"/>
      <c r="T6106" s="18"/>
      <c r="U6106" s="6"/>
      <c r="V6106" s="6"/>
      <c r="W6106" s="6"/>
      <c r="X6106" s="6"/>
      <c r="Y6106" s="6"/>
      <c r="Z6106" s="6"/>
    </row>
    <row r="6107" spans="14:26" ht="31.4" customHeight="1" x14ac:dyDescent="0.35">
      <c r="N6107" s="20"/>
      <c r="P6107" s="8"/>
      <c r="Q6107" s="8"/>
      <c r="R6107" s="8"/>
      <c r="S6107" s="18"/>
      <c r="T6107" s="18"/>
      <c r="U6107" s="6"/>
      <c r="V6107" s="6"/>
      <c r="W6107" s="6"/>
      <c r="X6107" s="6"/>
      <c r="Y6107" s="6"/>
      <c r="Z6107" s="6"/>
    </row>
    <row r="6108" spans="14:26" ht="31.4" customHeight="1" x14ac:dyDescent="0.35">
      <c r="N6108" s="20"/>
      <c r="P6108" s="8"/>
      <c r="Q6108" s="8"/>
      <c r="R6108" s="8"/>
      <c r="S6108" s="18"/>
      <c r="T6108" s="18"/>
      <c r="U6108" s="6"/>
      <c r="V6108" s="6"/>
      <c r="W6108" s="6"/>
      <c r="X6108" s="6"/>
      <c r="Y6108" s="6"/>
      <c r="Z6108" s="6"/>
    </row>
    <row r="6109" spans="14:26" ht="31.4" customHeight="1" x14ac:dyDescent="0.35">
      <c r="N6109" s="20"/>
      <c r="P6109" s="8"/>
      <c r="Q6109" s="8"/>
      <c r="R6109" s="8"/>
      <c r="S6109" s="18"/>
      <c r="T6109" s="18"/>
      <c r="U6109" s="6"/>
      <c r="V6109" s="6"/>
      <c r="W6109" s="6"/>
      <c r="X6109" s="6"/>
      <c r="Y6109" s="6"/>
      <c r="Z6109" s="6"/>
    </row>
    <row r="6110" spans="14:26" ht="31.4" customHeight="1" x14ac:dyDescent="0.35">
      <c r="N6110" s="20"/>
      <c r="P6110" s="8"/>
      <c r="Q6110" s="8"/>
      <c r="R6110" s="8"/>
      <c r="S6110" s="18"/>
      <c r="T6110" s="18"/>
      <c r="U6110" s="6"/>
      <c r="V6110" s="6"/>
      <c r="W6110" s="6"/>
      <c r="X6110" s="6"/>
      <c r="Y6110" s="6"/>
      <c r="Z6110" s="6"/>
    </row>
    <row r="6111" spans="14:26" ht="31.4" customHeight="1" x14ac:dyDescent="0.35">
      <c r="N6111" s="20"/>
      <c r="P6111" s="8"/>
      <c r="Q6111" s="8"/>
      <c r="R6111" s="8"/>
      <c r="S6111" s="18"/>
      <c r="T6111" s="18"/>
      <c r="U6111" s="6"/>
      <c r="V6111" s="6"/>
      <c r="W6111" s="6"/>
      <c r="X6111" s="6"/>
      <c r="Y6111" s="6"/>
      <c r="Z6111" s="6"/>
    </row>
    <row r="6112" spans="14:26" ht="31.4" customHeight="1" x14ac:dyDescent="0.35">
      <c r="N6112" s="20"/>
      <c r="P6112" s="8"/>
      <c r="Q6112" s="8"/>
      <c r="R6112" s="8"/>
      <c r="S6112" s="18"/>
      <c r="T6112" s="18"/>
      <c r="U6112" s="6"/>
      <c r="V6112" s="6"/>
      <c r="W6112" s="6"/>
      <c r="X6112" s="6"/>
      <c r="Y6112" s="6"/>
      <c r="Z6112" s="6"/>
    </row>
    <row r="6113" spans="14:26" ht="31.4" customHeight="1" x14ac:dyDescent="0.35">
      <c r="N6113" s="20"/>
      <c r="P6113" s="8"/>
      <c r="Q6113" s="8"/>
      <c r="R6113" s="8"/>
      <c r="S6113" s="18"/>
      <c r="T6113" s="18"/>
      <c r="U6113" s="6"/>
      <c r="V6113" s="6"/>
      <c r="W6113" s="6"/>
      <c r="X6113" s="6"/>
      <c r="Y6113" s="6"/>
      <c r="Z6113" s="6"/>
    </row>
    <row r="6114" spans="14:26" ht="31.4" customHeight="1" x14ac:dyDescent="0.35">
      <c r="N6114" s="20"/>
      <c r="P6114" s="8"/>
      <c r="Q6114" s="8"/>
      <c r="R6114" s="8"/>
      <c r="S6114" s="18"/>
      <c r="T6114" s="18"/>
      <c r="U6114" s="6"/>
      <c r="V6114" s="6"/>
      <c r="W6114" s="6"/>
      <c r="X6114" s="6"/>
      <c r="Y6114" s="6"/>
      <c r="Z6114" s="6"/>
    </row>
    <row r="6115" spans="14:26" ht="31.4" customHeight="1" x14ac:dyDescent="0.35">
      <c r="N6115" s="20"/>
      <c r="P6115" s="8"/>
      <c r="Q6115" s="8"/>
      <c r="R6115" s="8"/>
      <c r="S6115" s="18"/>
      <c r="T6115" s="18"/>
      <c r="U6115" s="6"/>
      <c r="V6115" s="6"/>
      <c r="W6115" s="6"/>
      <c r="X6115" s="6"/>
      <c r="Y6115" s="6"/>
      <c r="Z6115" s="6"/>
    </row>
    <row r="6116" spans="14:26" ht="31.4" customHeight="1" x14ac:dyDescent="0.35">
      <c r="N6116" s="20"/>
      <c r="P6116" s="8"/>
      <c r="Q6116" s="8"/>
      <c r="R6116" s="8"/>
      <c r="S6116" s="18"/>
      <c r="T6116" s="18"/>
      <c r="U6116" s="6"/>
      <c r="V6116" s="6"/>
      <c r="W6116" s="6"/>
      <c r="X6116" s="6"/>
      <c r="Y6116" s="6"/>
      <c r="Z6116" s="6"/>
    </row>
    <row r="6117" spans="14:26" ht="31.4" customHeight="1" x14ac:dyDescent="0.35">
      <c r="N6117" s="20"/>
      <c r="P6117" s="8"/>
      <c r="Q6117" s="8"/>
      <c r="R6117" s="8"/>
      <c r="S6117" s="18"/>
      <c r="T6117" s="18"/>
      <c r="U6117" s="6"/>
      <c r="V6117" s="6"/>
      <c r="W6117" s="6"/>
      <c r="X6117" s="6"/>
      <c r="Y6117" s="6"/>
      <c r="Z6117" s="6"/>
    </row>
    <row r="6118" spans="14:26" ht="31.4" customHeight="1" x14ac:dyDescent="0.35">
      <c r="N6118" s="20"/>
      <c r="P6118" s="8"/>
      <c r="Q6118" s="8"/>
      <c r="R6118" s="8"/>
      <c r="S6118" s="18"/>
      <c r="T6118" s="18"/>
      <c r="U6118" s="6"/>
      <c r="V6118" s="6"/>
      <c r="W6118" s="6"/>
      <c r="X6118" s="6"/>
      <c r="Y6118" s="6"/>
      <c r="Z6118" s="6"/>
    </row>
    <row r="6119" spans="14:26" ht="31.4" customHeight="1" x14ac:dyDescent="0.35">
      <c r="N6119" s="20"/>
      <c r="P6119" s="8"/>
      <c r="Q6119" s="8"/>
      <c r="R6119" s="8"/>
      <c r="S6119" s="18"/>
      <c r="T6119" s="18"/>
      <c r="U6119" s="6"/>
      <c r="V6119" s="6"/>
      <c r="W6119" s="6"/>
      <c r="X6119" s="6"/>
      <c r="Y6119" s="6"/>
      <c r="Z6119" s="6"/>
    </row>
    <row r="6120" spans="14:26" ht="31.4" customHeight="1" x14ac:dyDescent="0.35">
      <c r="N6120" s="20"/>
      <c r="P6120" s="8"/>
      <c r="Q6120" s="8"/>
      <c r="R6120" s="8"/>
      <c r="S6120" s="18"/>
      <c r="T6120" s="18"/>
      <c r="U6120" s="6"/>
      <c r="V6120" s="6"/>
      <c r="W6120" s="6"/>
      <c r="X6120" s="6"/>
      <c r="Y6120" s="6"/>
      <c r="Z6120" s="6"/>
    </row>
    <row r="6121" spans="14:26" ht="31.4" customHeight="1" x14ac:dyDescent="0.35">
      <c r="N6121" s="20"/>
      <c r="P6121" s="8"/>
      <c r="Q6121" s="8"/>
      <c r="R6121" s="8"/>
      <c r="S6121" s="18"/>
      <c r="T6121" s="18"/>
      <c r="U6121" s="6"/>
      <c r="V6121" s="6"/>
      <c r="W6121" s="6"/>
      <c r="X6121" s="6"/>
      <c r="Y6121" s="6"/>
      <c r="Z6121" s="6"/>
    </row>
    <row r="6122" spans="14:26" ht="31.4" customHeight="1" x14ac:dyDescent="0.35">
      <c r="N6122" s="20"/>
      <c r="P6122" s="8"/>
      <c r="Q6122" s="8"/>
      <c r="R6122" s="8"/>
      <c r="S6122" s="18"/>
      <c r="T6122" s="18"/>
      <c r="U6122" s="6"/>
      <c r="V6122" s="6"/>
      <c r="W6122" s="6"/>
      <c r="X6122" s="6"/>
      <c r="Y6122" s="6"/>
      <c r="Z6122" s="6"/>
    </row>
    <row r="6123" spans="14:26" ht="31.4" customHeight="1" x14ac:dyDescent="0.35">
      <c r="N6123" s="20"/>
      <c r="P6123" s="8"/>
      <c r="Q6123" s="8"/>
      <c r="R6123" s="8"/>
      <c r="S6123" s="18"/>
      <c r="T6123" s="18"/>
      <c r="U6123" s="6"/>
      <c r="V6123" s="6"/>
      <c r="W6123" s="6"/>
      <c r="X6123" s="6"/>
      <c r="Y6123" s="6"/>
      <c r="Z6123" s="6"/>
    </row>
    <row r="6124" spans="14:26" ht="31.4" customHeight="1" x14ac:dyDescent="0.35">
      <c r="N6124" s="20"/>
      <c r="P6124" s="8"/>
      <c r="Q6124" s="8"/>
      <c r="R6124" s="8"/>
      <c r="S6124" s="18"/>
      <c r="T6124" s="18"/>
      <c r="U6124" s="6"/>
      <c r="V6124" s="6"/>
      <c r="W6124" s="6"/>
      <c r="X6124" s="6"/>
      <c r="Y6124" s="6"/>
      <c r="Z6124" s="6"/>
    </row>
    <row r="6125" spans="14:26" ht="31.4" customHeight="1" x14ac:dyDescent="0.35">
      <c r="N6125" s="20"/>
      <c r="P6125" s="8"/>
      <c r="Q6125" s="8"/>
      <c r="R6125" s="8"/>
      <c r="S6125" s="18"/>
      <c r="T6125" s="18"/>
      <c r="U6125" s="6"/>
      <c r="V6125" s="6"/>
      <c r="W6125" s="6"/>
      <c r="X6125" s="6"/>
      <c r="Y6125" s="6"/>
      <c r="Z6125" s="6"/>
    </row>
    <row r="6126" spans="14:26" ht="31.4" customHeight="1" x14ac:dyDescent="0.35">
      <c r="N6126" s="20"/>
      <c r="P6126" s="8"/>
      <c r="Q6126" s="8"/>
      <c r="R6126" s="8"/>
      <c r="S6126" s="18"/>
      <c r="T6126" s="18"/>
      <c r="U6126" s="6"/>
      <c r="V6126" s="6"/>
      <c r="W6126" s="6"/>
      <c r="X6126" s="6"/>
      <c r="Y6126" s="6"/>
      <c r="Z6126" s="6"/>
    </row>
    <row r="6127" spans="14:26" ht="31.4" customHeight="1" x14ac:dyDescent="0.35">
      <c r="N6127" s="20"/>
      <c r="P6127" s="8"/>
      <c r="Q6127" s="8"/>
      <c r="R6127" s="8"/>
      <c r="S6127" s="18"/>
      <c r="T6127" s="18"/>
      <c r="U6127" s="6"/>
      <c r="V6127" s="6"/>
      <c r="W6127" s="6"/>
      <c r="X6127" s="6"/>
      <c r="Y6127" s="6"/>
      <c r="Z6127" s="6"/>
    </row>
    <row r="6128" spans="14:26" ht="31.4" customHeight="1" x14ac:dyDescent="0.35">
      <c r="N6128" s="20"/>
      <c r="P6128" s="8"/>
      <c r="Q6128" s="8"/>
      <c r="R6128" s="8"/>
      <c r="S6128" s="18"/>
      <c r="T6128" s="18"/>
      <c r="U6128" s="6"/>
      <c r="V6128" s="6"/>
      <c r="W6128" s="6"/>
      <c r="X6128" s="6"/>
      <c r="Y6128" s="6"/>
      <c r="Z6128" s="6"/>
    </row>
    <row r="6129" spans="14:26" ht="31.4" customHeight="1" x14ac:dyDescent="0.35">
      <c r="N6129" s="20"/>
      <c r="P6129" s="8"/>
      <c r="Q6129" s="8"/>
      <c r="R6129" s="8"/>
      <c r="S6129" s="18"/>
      <c r="T6129" s="18"/>
      <c r="U6129" s="6"/>
      <c r="V6129" s="6"/>
      <c r="W6129" s="6"/>
      <c r="X6129" s="6"/>
      <c r="Y6129" s="6"/>
      <c r="Z6129" s="6"/>
    </row>
    <row r="6130" spans="14:26" ht="31.4" customHeight="1" x14ac:dyDescent="0.35">
      <c r="N6130" s="20"/>
      <c r="P6130" s="8"/>
      <c r="Q6130" s="8"/>
      <c r="R6130" s="8"/>
      <c r="S6130" s="18"/>
      <c r="T6130" s="18"/>
      <c r="U6130" s="6"/>
      <c r="V6130" s="6"/>
      <c r="W6130" s="6"/>
      <c r="X6130" s="6"/>
      <c r="Y6130" s="6"/>
      <c r="Z6130" s="6"/>
    </row>
    <row r="6131" spans="14:26" ht="31.4" customHeight="1" x14ac:dyDescent="0.35">
      <c r="N6131" s="20"/>
      <c r="P6131" s="8"/>
      <c r="Q6131" s="8"/>
      <c r="R6131" s="8"/>
      <c r="S6131" s="18"/>
      <c r="T6131" s="18"/>
      <c r="U6131" s="6"/>
      <c r="V6131" s="6"/>
      <c r="W6131" s="6"/>
      <c r="X6131" s="6"/>
      <c r="Y6131" s="6"/>
      <c r="Z6131" s="6"/>
    </row>
    <row r="6132" spans="14:26" ht="31.4" customHeight="1" x14ac:dyDescent="0.35">
      <c r="N6132" s="20"/>
      <c r="P6132" s="8"/>
      <c r="Q6132" s="8"/>
      <c r="R6132" s="8"/>
      <c r="S6132" s="18"/>
      <c r="T6132" s="18"/>
      <c r="U6132" s="6"/>
      <c r="V6132" s="6"/>
      <c r="W6132" s="6"/>
      <c r="X6132" s="6"/>
      <c r="Y6132" s="6"/>
      <c r="Z6132" s="6"/>
    </row>
    <row r="6133" spans="14:26" ht="31.4" customHeight="1" x14ac:dyDescent="0.35">
      <c r="N6133" s="20"/>
      <c r="P6133" s="8"/>
      <c r="Q6133" s="8"/>
      <c r="R6133" s="8"/>
      <c r="S6133" s="18"/>
      <c r="T6133" s="18"/>
      <c r="U6133" s="6"/>
      <c r="V6133" s="6"/>
      <c r="W6133" s="6"/>
      <c r="X6133" s="6"/>
      <c r="Y6133" s="6"/>
      <c r="Z6133" s="6"/>
    </row>
    <row r="6134" spans="14:26" ht="31.4" customHeight="1" x14ac:dyDescent="0.35">
      <c r="N6134" s="20"/>
      <c r="P6134" s="8"/>
      <c r="Q6134" s="8"/>
      <c r="R6134" s="8"/>
      <c r="S6134" s="18"/>
      <c r="T6134" s="18"/>
      <c r="U6134" s="6"/>
      <c r="V6134" s="6"/>
      <c r="W6134" s="6"/>
      <c r="X6134" s="6"/>
      <c r="Y6134" s="6"/>
      <c r="Z6134" s="6"/>
    </row>
    <row r="6135" spans="14:26" ht="31.4" customHeight="1" x14ac:dyDescent="0.35">
      <c r="N6135" s="20"/>
      <c r="P6135" s="8"/>
      <c r="Q6135" s="8"/>
      <c r="R6135" s="8"/>
      <c r="S6135" s="18"/>
      <c r="T6135" s="18"/>
      <c r="U6135" s="6"/>
      <c r="V6135" s="6"/>
      <c r="W6135" s="6"/>
      <c r="X6135" s="6"/>
      <c r="Y6135" s="6"/>
      <c r="Z6135" s="6"/>
    </row>
    <row r="6136" spans="14:26" ht="31.4" customHeight="1" x14ac:dyDescent="0.35">
      <c r="N6136" s="20"/>
      <c r="P6136" s="8"/>
      <c r="Q6136" s="8"/>
      <c r="R6136" s="8"/>
      <c r="S6136" s="18"/>
      <c r="T6136" s="18"/>
      <c r="U6136" s="6"/>
      <c r="V6136" s="6"/>
      <c r="W6136" s="6"/>
      <c r="X6136" s="6"/>
      <c r="Y6136" s="6"/>
      <c r="Z6136" s="6"/>
    </row>
    <row r="6137" spans="14:26" ht="31.4" customHeight="1" x14ac:dyDescent="0.35">
      <c r="N6137" s="20"/>
      <c r="P6137" s="8"/>
      <c r="Q6137" s="8"/>
      <c r="R6137" s="8"/>
      <c r="S6137" s="18"/>
      <c r="T6137" s="18"/>
      <c r="U6137" s="6"/>
      <c r="V6137" s="6"/>
      <c r="W6137" s="6"/>
      <c r="X6137" s="6"/>
      <c r="Y6137" s="6"/>
      <c r="Z6137" s="6"/>
    </row>
    <row r="6138" spans="14:26" ht="31.4" customHeight="1" x14ac:dyDescent="0.35">
      <c r="N6138" s="20"/>
      <c r="P6138" s="8"/>
      <c r="Q6138" s="8"/>
      <c r="R6138" s="8"/>
      <c r="S6138" s="18"/>
      <c r="T6138" s="18"/>
      <c r="U6138" s="6"/>
      <c r="V6138" s="6"/>
      <c r="W6138" s="6"/>
      <c r="X6138" s="6"/>
      <c r="Y6138" s="6"/>
      <c r="Z6138" s="6"/>
    </row>
    <row r="6139" spans="14:26" ht="31.4" customHeight="1" x14ac:dyDescent="0.35">
      <c r="N6139" s="20"/>
      <c r="P6139" s="8"/>
      <c r="Q6139" s="8"/>
      <c r="R6139" s="8"/>
      <c r="S6139" s="18"/>
      <c r="T6139" s="18"/>
      <c r="U6139" s="6"/>
      <c r="V6139" s="6"/>
      <c r="W6139" s="6"/>
      <c r="X6139" s="6"/>
      <c r="Y6139" s="6"/>
      <c r="Z6139" s="6"/>
    </row>
    <row r="6140" spans="14:26" ht="31.4" customHeight="1" x14ac:dyDescent="0.35">
      <c r="N6140" s="20"/>
      <c r="P6140" s="8"/>
      <c r="Q6140" s="8"/>
      <c r="R6140" s="8"/>
      <c r="S6140" s="18"/>
      <c r="T6140" s="18"/>
      <c r="U6140" s="6"/>
      <c r="V6140" s="6"/>
      <c r="W6140" s="6"/>
      <c r="X6140" s="6"/>
      <c r="Y6140" s="6"/>
      <c r="Z6140" s="6"/>
    </row>
    <row r="6141" spans="14:26" ht="31.4" customHeight="1" x14ac:dyDescent="0.35">
      <c r="N6141" s="20"/>
      <c r="P6141" s="8"/>
      <c r="Q6141" s="8"/>
      <c r="R6141" s="8"/>
      <c r="S6141" s="18"/>
      <c r="T6141" s="18"/>
      <c r="U6141" s="6"/>
      <c r="V6141" s="6"/>
      <c r="W6141" s="6"/>
      <c r="X6141" s="6"/>
      <c r="Y6141" s="6"/>
      <c r="Z6141" s="6"/>
    </row>
    <row r="6142" spans="14:26" ht="31.4" customHeight="1" x14ac:dyDescent="0.35">
      <c r="N6142" s="20"/>
      <c r="P6142" s="8"/>
      <c r="Q6142" s="8"/>
      <c r="R6142" s="8"/>
      <c r="S6142" s="18"/>
      <c r="T6142" s="18"/>
      <c r="U6142" s="6"/>
      <c r="V6142" s="6"/>
      <c r="W6142" s="6"/>
      <c r="X6142" s="6"/>
      <c r="Y6142" s="6"/>
      <c r="Z6142" s="6"/>
    </row>
    <row r="6143" spans="14:26" ht="31.4" customHeight="1" x14ac:dyDescent="0.35">
      <c r="N6143" s="20"/>
      <c r="P6143" s="8"/>
      <c r="Q6143" s="8"/>
      <c r="R6143" s="8"/>
      <c r="S6143" s="18"/>
      <c r="T6143" s="18"/>
      <c r="U6143" s="6"/>
      <c r="V6143" s="6"/>
      <c r="W6143" s="6"/>
      <c r="X6143" s="6"/>
      <c r="Y6143" s="6"/>
      <c r="Z6143" s="6"/>
    </row>
    <row r="6144" spans="14:26" ht="31.4" customHeight="1" x14ac:dyDescent="0.35">
      <c r="N6144" s="20"/>
      <c r="P6144" s="8"/>
      <c r="Q6144" s="8"/>
      <c r="R6144" s="8"/>
      <c r="S6144" s="18"/>
      <c r="T6144" s="18"/>
      <c r="U6144" s="6"/>
      <c r="V6144" s="6"/>
      <c r="W6144" s="6"/>
      <c r="X6144" s="6"/>
      <c r="Y6144" s="6"/>
      <c r="Z6144" s="6"/>
    </row>
    <row r="6145" spans="14:26" ht="31.4" customHeight="1" x14ac:dyDescent="0.35">
      <c r="N6145" s="20"/>
      <c r="P6145" s="8"/>
      <c r="Q6145" s="8"/>
      <c r="R6145" s="8"/>
      <c r="S6145" s="18"/>
      <c r="T6145" s="18"/>
      <c r="U6145" s="6"/>
      <c r="V6145" s="6"/>
      <c r="W6145" s="6"/>
      <c r="X6145" s="6"/>
      <c r="Y6145" s="6"/>
      <c r="Z6145" s="6"/>
    </row>
    <row r="6146" spans="14:26" ht="31.4" customHeight="1" x14ac:dyDescent="0.35">
      <c r="N6146" s="20"/>
      <c r="P6146" s="8"/>
      <c r="Q6146" s="8"/>
      <c r="R6146" s="8"/>
      <c r="S6146" s="18"/>
      <c r="T6146" s="18"/>
      <c r="U6146" s="6"/>
      <c r="V6146" s="6"/>
      <c r="W6146" s="6"/>
      <c r="X6146" s="6"/>
      <c r="Y6146" s="6"/>
      <c r="Z6146" s="6"/>
    </row>
    <row r="6147" spans="14:26" ht="31.4" customHeight="1" x14ac:dyDescent="0.35">
      <c r="N6147" s="20"/>
      <c r="P6147" s="8"/>
      <c r="Q6147" s="8"/>
      <c r="R6147" s="8"/>
      <c r="S6147" s="18"/>
      <c r="T6147" s="18"/>
      <c r="U6147" s="6"/>
      <c r="V6147" s="6"/>
      <c r="W6147" s="6"/>
      <c r="X6147" s="6"/>
      <c r="Y6147" s="6"/>
      <c r="Z6147" s="6"/>
    </row>
    <row r="6148" spans="14:26" ht="31.4" customHeight="1" x14ac:dyDescent="0.35">
      <c r="N6148" s="20"/>
      <c r="P6148" s="8"/>
      <c r="Q6148" s="8"/>
      <c r="R6148" s="8"/>
      <c r="S6148" s="18"/>
      <c r="T6148" s="18"/>
      <c r="U6148" s="6"/>
      <c r="V6148" s="6"/>
      <c r="W6148" s="6"/>
      <c r="X6148" s="6"/>
      <c r="Y6148" s="6"/>
      <c r="Z6148" s="6"/>
    </row>
    <row r="6149" spans="14:26" ht="31.4" customHeight="1" x14ac:dyDescent="0.35">
      <c r="N6149" s="20"/>
      <c r="P6149" s="8"/>
      <c r="Q6149" s="8"/>
      <c r="R6149" s="8"/>
      <c r="S6149" s="18"/>
      <c r="T6149" s="18"/>
      <c r="U6149" s="6"/>
      <c r="V6149" s="6"/>
      <c r="W6149" s="6"/>
      <c r="X6149" s="6"/>
      <c r="Y6149" s="6"/>
      <c r="Z6149" s="6"/>
    </row>
    <row r="6150" spans="14:26" ht="31.4" customHeight="1" x14ac:dyDescent="0.35">
      <c r="N6150" s="20"/>
      <c r="P6150" s="8"/>
      <c r="Q6150" s="8"/>
      <c r="R6150" s="8"/>
      <c r="S6150" s="18"/>
      <c r="T6150" s="18"/>
      <c r="U6150" s="6"/>
      <c r="V6150" s="6"/>
      <c r="W6150" s="6"/>
      <c r="X6150" s="6"/>
      <c r="Y6150" s="6"/>
      <c r="Z6150" s="6"/>
    </row>
    <row r="6151" spans="14:26" ht="31.4" customHeight="1" x14ac:dyDescent="0.35">
      <c r="N6151" s="20"/>
      <c r="P6151" s="8"/>
      <c r="Q6151" s="8"/>
      <c r="R6151" s="8"/>
      <c r="S6151" s="18"/>
      <c r="T6151" s="18"/>
      <c r="U6151" s="6"/>
      <c r="V6151" s="6"/>
      <c r="W6151" s="6"/>
      <c r="X6151" s="6"/>
      <c r="Y6151" s="6"/>
      <c r="Z6151" s="6"/>
    </row>
    <row r="6152" spans="14:26" ht="31.4" customHeight="1" x14ac:dyDescent="0.35">
      <c r="N6152" s="20"/>
      <c r="P6152" s="8"/>
      <c r="Q6152" s="8"/>
      <c r="R6152" s="8"/>
      <c r="S6152" s="18"/>
      <c r="T6152" s="18"/>
      <c r="U6152" s="6"/>
      <c r="V6152" s="6"/>
      <c r="W6152" s="6"/>
      <c r="X6152" s="6"/>
      <c r="Y6152" s="6"/>
      <c r="Z6152" s="6"/>
    </row>
    <row r="6153" spans="14:26" ht="31.4" customHeight="1" x14ac:dyDescent="0.35">
      <c r="N6153" s="20"/>
      <c r="P6153" s="8"/>
      <c r="Q6153" s="8"/>
      <c r="R6153" s="8"/>
      <c r="S6153" s="18"/>
      <c r="T6153" s="18"/>
      <c r="U6153" s="6"/>
      <c r="V6153" s="6"/>
      <c r="W6153" s="6"/>
      <c r="X6153" s="6"/>
      <c r="Y6153" s="6"/>
      <c r="Z6153" s="6"/>
    </row>
    <row r="6154" spans="14:26" ht="31.4" customHeight="1" x14ac:dyDescent="0.35">
      <c r="N6154" s="20"/>
      <c r="P6154" s="8"/>
      <c r="Q6154" s="8"/>
      <c r="R6154" s="8"/>
      <c r="S6154" s="18"/>
      <c r="T6154" s="18"/>
      <c r="U6154" s="6"/>
      <c r="V6154" s="6"/>
      <c r="W6154" s="6"/>
      <c r="X6154" s="6"/>
      <c r="Y6154" s="6"/>
      <c r="Z6154" s="6"/>
    </row>
    <row r="6155" spans="14:26" ht="31.4" customHeight="1" x14ac:dyDescent="0.35">
      <c r="N6155" s="20"/>
      <c r="P6155" s="8"/>
      <c r="Q6155" s="8"/>
      <c r="R6155" s="8"/>
      <c r="S6155" s="18"/>
      <c r="T6155" s="18"/>
      <c r="U6155" s="6"/>
      <c r="V6155" s="6"/>
      <c r="W6155" s="6"/>
      <c r="X6155" s="6"/>
      <c r="Y6155" s="6"/>
      <c r="Z6155" s="6"/>
    </row>
    <row r="6156" spans="14:26" ht="31.4" customHeight="1" x14ac:dyDescent="0.35">
      <c r="N6156" s="20"/>
      <c r="P6156" s="8"/>
      <c r="Q6156" s="8"/>
      <c r="R6156" s="8"/>
      <c r="S6156" s="18"/>
      <c r="T6156" s="18"/>
      <c r="U6156" s="6"/>
      <c r="V6156" s="6"/>
      <c r="W6156" s="6"/>
      <c r="X6156" s="6"/>
      <c r="Y6156" s="6"/>
      <c r="Z6156" s="6"/>
    </row>
    <row r="6157" spans="14:26" ht="31.4" customHeight="1" x14ac:dyDescent="0.35">
      <c r="N6157" s="20"/>
      <c r="P6157" s="8"/>
      <c r="Q6157" s="8"/>
      <c r="R6157" s="8"/>
      <c r="S6157" s="18"/>
      <c r="T6157" s="18"/>
      <c r="U6157" s="6"/>
      <c r="V6157" s="6"/>
      <c r="W6157" s="6"/>
      <c r="X6157" s="6"/>
      <c r="Y6157" s="6"/>
      <c r="Z6157" s="6"/>
    </row>
    <row r="6158" spans="14:26" ht="31.4" customHeight="1" x14ac:dyDescent="0.35">
      <c r="N6158" s="20"/>
      <c r="P6158" s="8"/>
      <c r="Q6158" s="8"/>
      <c r="R6158" s="8"/>
      <c r="S6158" s="18"/>
      <c r="T6158" s="18"/>
      <c r="U6158" s="6"/>
      <c r="V6158" s="6"/>
      <c r="W6158" s="6"/>
      <c r="X6158" s="6"/>
      <c r="Y6158" s="6"/>
      <c r="Z6158" s="6"/>
    </row>
    <row r="6159" spans="14:26" ht="31.4" customHeight="1" x14ac:dyDescent="0.35">
      <c r="N6159" s="20"/>
      <c r="P6159" s="8"/>
      <c r="Q6159" s="8"/>
      <c r="R6159" s="8"/>
      <c r="S6159" s="18"/>
      <c r="T6159" s="18"/>
      <c r="U6159" s="6"/>
      <c r="V6159" s="6"/>
      <c r="W6159" s="6"/>
      <c r="X6159" s="6"/>
      <c r="Y6159" s="6"/>
      <c r="Z6159" s="6"/>
    </row>
    <row r="6160" spans="14:26" ht="31.4" customHeight="1" x14ac:dyDescent="0.35">
      <c r="N6160" s="20"/>
      <c r="P6160" s="8"/>
      <c r="Q6160" s="8"/>
      <c r="R6160" s="8"/>
      <c r="S6160" s="18"/>
      <c r="T6160" s="18"/>
      <c r="U6160" s="6"/>
      <c r="V6160" s="6"/>
      <c r="W6160" s="6"/>
      <c r="X6160" s="6"/>
      <c r="Y6160" s="6"/>
      <c r="Z6160" s="6"/>
    </row>
    <row r="6161" spans="14:26" ht="31.4" customHeight="1" x14ac:dyDescent="0.35">
      <c r="N6161" s="20"/>
      <c r="P6161" s="8"/>
      <c r="Q6161" s="8"/>
      <c r="R6161" s="8"/>
      <c r="S6161" s="18"/>
      <c r="T6161" s="18"/>
      <c r="U6161" s="6"/>
      <c r="V6161" s="6"/>
      <c r="W6161" s="6"/>
      <c r="X6161" s="6"/>
      <c r="Y6161" s="6"/>
      <c r="Z6161" s="6"/>
    </row>
    <row r="6162" spans="14:26" ht="31.4" customHeight="1" x14ac:dyDescent="0.35">
      <c r="N6162" s="20"/>
      <c r="P6162" s="8"/>
      <c r="Q6162" s="8"/>
      <c r="R6162" s="8"/>
      <c r="S6162" s="18"/>
      <c r="T6162" s="18"/>
      <c r="U6162" s="6"/>
      <c r="V6162" s="6"/>
      <c r="W6162" s="6"/>
      <c r="X6162" s="6"/>
      <c r="Y6162" s="6"/>
      <c r="Z6162" s="6"/>
    </row>
    <row r="6163" spans="14:26" ht="31.4" customHeight="1" x14ac:dyDescent="0.35">
      <c r="N6163" s="20"/>
      <c r="P6163" s="8"/>
      <c r="Q6163" s="8"/>
      <c r="R6163" s="8"/>
      <c r="S6163" s="18"/>
      <c r="T6163" s="18"/>
      <c r="U6163" s="6"/>
      <c r="V6163" s="6"/>
      <c r="W6163" s="6"/>
      <c r="X6163" s="6"/>
      <c r="Y6163" s="6"/>
      <c r="Z6163" s="6"/>
    </row>
    <row r="6164" spans="14:26" ht="31.4" customHeight="1" x14ac:dyDescent="0.35">
      <c r="N6164" s="20"/>
      <c r="P6164" s="8"/>
      <c r="Q6164" s="8"/>
      <c r="R6164" s="8"/>
      <c r="S6164" s="18"/>
      <c r="T6164" s="18"/>
      <c r="U6164" s="6"/>
      <c r="V6164" s="6"/>
      <c r="W6164" s="6"/>
      <c r="X6164" s="6"/>
      <c r="Y6164" s="6"/>
      <c r="Z6164" s="6"/>
    </row>
    <row r="6165" spans="14:26" ht="31.4" customHeight="1" x14ac:dyDescent="0.35">
      <c r="N6165" s="20"/>
      <c r="P6165" s="8"/>
      <c r="Q6165" s="8"/>
      <c r="R6165" s="8"/>
      <c r="S6165" s="18"/>
      <c r="T6165" s="18"/>
      <c r="U6165" s="6"/>
      <c r="V6165" s="6"/>
      <c r="W6165" s="6"/>
      <c r="X6165" s="6"/>
      <c r="Y6165" s="6"/>
      <c r="Z6165" s="6"/>
    </row>
    <row r="6166" spans="14:26" ht="31.4" customHeight="1" x14ac:dyDescent="0.35">
      <c r="N6166" s="20"/>
      <c r="P6166" s="8"/>
      <c r="Q6166" s="8"/>
      <c r="R6166" s="8"/>
      <c r="S6166" s="18"/>
      <c r="T6166" s="18"/>
      <c r="U6166" s="6"/>
      <c r="V6166" s="6"/>
      <c r="W6166" s="6"/>
      <c r="X6166" s="6"/>
      <c r="Y6166" s="6"/>
      <c r="Z6166" s="6"/>
    </row>
    <row r="6167" spans="14:26" ht="31.4" customHeight="1" x14ac:dyDescent="0.35">
      <c r="N6167" s="20"/>
      <c r="P6167" s="8"/>
      <c r="Q6167" s="8"/>
      <c r="R6167" s="8"/>
      <c r="S6167" s="18"/>
      <c r="T6167" s="18"/>
      <c r="U6167" s="6"/>
      <c r="V6167" s="6"/>
      <c r="W6167" s="6"/>
      <c r="X6167" s="6"/>
      <c r="Y6167" s="6"/>
      <c r="Z6167" s="6"/>
    </row>
    <row r="6168" spans="14:26" ht="31.4" customHeight="1" x14ac:dyDescent="0.35">
      <c r="N6168" s="20"/>
      <c r="P6168" s="8"/>
      <c r="Q6168" s="8"/>
      <c r="R6168" s="8"/>
      <c r="S6168" s="18"/>
      <c r="T6168" s="18"/>
      <c r="U6168" s="6"/>
      <c r="V6168" s="6"/>
      <c r="W6168" s="6"/>
      <c r="X6168" s="6"/>
      <c r="Y6168" s="6"/>
      <c r="Z6168" s="6"/>
    </row>
    <row r="6169" spans="14:26" ht="31.4" customHeight="1" x14ac:dyDescent="0.35">
      <c r="N6169" s="20"/>
      <c r="P6169" s="8"/>
      <c r="Q6169" s="8"/>
      <c r="R6169" s="8"/>
      <c r="S6169" s="18"/>
      <c r="T6169" s="18"/>
      <c r="U6169" s="6"/>
      <c r="V6169" s="6"/>
      <c r="W6169" s="6"/>
      <c r="X6169" s="6"/>
      <c r="Y6169" s="6"/>
      <c r="Z6169" s="6"/>
    </row>
    <row r="6170" spans="14:26" ht="31.4" customHeight="1" x14ac:dyDescent="0.35">
      <c r="N6170" s="20"/>
      <c r="P6170" s="8"/>
      <c r="Q6170" s="8"/>
      <c r="R6170" s="8"/>
      <c r="S6170" s="18"/>
      <c r="T6170" s="18"/>
      <c r="U6170" s="6"/>
      <c r="V6170" s="6"/>
      <c r="W6170" s="6"/>
      <c r="X6170" s="6"/>
      <c r="Y6170" s="6"/>
      <c r="Z6170" s="6"/>
    </row>
    <row r="6171" spans="14:26" ht="31.4" customHeight="1" x14ac:dyDescent="0.35">
      <c r="N6171" s="20"/>
      <c r="P6171" s="8"/>
      <c r="Q6171" s="8"/>
      <c r="R6171" s="8"/>
      <c r="S6171" s="18"/>
      <c r="T6171" s="18"/>
      <c r="U6171" s="6"/>
      <c r="V6171" s="6"/>
      <c r="W6171" s="6"/>
      <c r="X6171" s="6"/>
      <c r="Y6171" s="6"/>
      <c r="Z6171" s="6"/>
    </row>
    <row r="6172" spans="14:26" ht="31.4" customHeight="1" x14ac:dyDescent="0.35">
      <c r="N6172" s="20"/>
      <c r="P6172" s="8"/>
      <c r="Q6172" s="8"/>
      <c r="R6172" s="8"/>
      <c r="S6172" s="18"/>
      <c r="T6172" s="18"/>
      <c r="U6172" s="6"/>
      <c r="V6172" s="6"/>
      <c r="W6172" s="6"/>
      <c r="X6172" s="6"/>
      <c r="Y6172" s="6"/>
      <c r="Z6172" s="6"/>
    </row>
    <row r="6173" spans="14:26" ht="31.4" customHeight="1" x14ac:dyDescent="0.35">
      <c r="N6173" s="20"/>
      <c r="P6173" s="8"/>
      <c r="Q6173" s="8"/>
      <c r="R6173" s="8"/>
      <c r="S6173" s="18"/>
      <c r="T6173" s="18"/>
      <c r="U6173" s="6"/>
      <c r="V6173" s="6"/>
      <c r="W6173" s="6"/>
      <c r="X6173" s="6"/>
      <c r="Y6173" s="6"/>
      <c r="Z6173" s="6"/>
    </row>
    <row r="6174" spans="14:26" ht="31.4" customHeight="1" x14ac:dyDescent="0.35">
      <c r="N6174" s="20"/>
      <c r="P6174" s="8"/>
      <c r="Q6174" s="8"/>
      <c r="R6174" s="8"/>
      <c r="S6174" s="18"/>
      <c r="T6174" s="18"/>
      <c r="U6174" s="6"/>
      <c r="V6174" s="6"/>
      <c r="W6174" s="6"/>
      <c r="X6174" s="6"/>
      <c r="Y6174" s="6"/>
      <c r="Z6174" s="6"/>
    </row>
    <row r="6175" spans="14:26" ht="31.4" customHeight="1" x14ac:dyDescent="0.35">
      <c r="N6175" s="20"/>
      <c r="P6175" s="8"/>
      <c r="Q6175" s="8"/>
      <c r="R6175" s="8"/>
      <c r="S6175" s="18"/>
      <c r="T6175" s="18"/>
      <c r="U6175" s="6"/>
      <c r="V6175" s="6"/>
      <c r="W6175" s="6"/>
      <c r="X6175" s="6"/>
      <c r="Y6175" s="6"/>
      <c r="Z6175" s="6"/>
    </row>
    <row r="6176" spans="14:26" ht="31.4" customHeight="1" x14ac:dyDescent="0.35">
      <c r="N6176" s="20"/>
      <c r="P6176" s="8"/>
      <c r="Q6176" s="8"/>
      <c r="R6176" s="8"/>
      <c r="S6176" s="18"/>
      <c r="T6176" s="18"/>
      <c r="U6176" s="6"/>
      <c r="V6176" s="6"/>
      <c r="W6176" s="6"/>
      <c r="X6176" s="6"/>
      <c r="Y6176" s="6"/>
      <c r="Z6176" s="6"/>
    </row>
    <row r="6177" spans="14:26" ht="31.4" customHeight="1" x14ac:dyDescent="0.35">
      <c r="N6177" s="20"/>
      <c r="P6177" s="8"/>
      <c r="Q6177" s="8"/>
      <c r="R6177" s="8"/>
      <c r="S6177" s="18"/>
      <c r="T6177" s="18"/>
      <c r="U6177" s="6"/>
      <c r="V6177" s="6"/>
      <c r="W6177" s="6"/>
      <c r="X6177" s="6"/>
      <c r="Y6177" s="6"/>
      <c r="Z6177" s="6"/>
    </row>
    <row r="6178" spans="14:26" ht="31.4" customHeight="1" x14ac:dyDescent="0.35">
      <c r="N6178" s="20"/>
      <c r="P6178" s="8"/>
      <c r="Q6178" s="8"/>
      <c r="R6178" s="8"/>
      <c r="S6178" s="18"/>
      <c r="T6178" s="18"/>
      <c r="U6178" s="6"/>
      <c r="V6178" s="6"/>
      <c r="W6178" s="6"/>
      <c r="X6178" s="6"/>
      <c r="Y6178" s="6"/>
      <c r="Z6178" s="6"/>
    </row>
    <row r="6179" spans="14:26" ht="31.4" customHeight="1" x14ac:dyDescent="0.35">
      <c r="N6179" s="20"/>
      <c r="P6179" s="8"/>
      <c r="Q6179" s="8"/>
      <c r="R6179" s="8"/>
      <c r="S6179" s="18"/>
      <c r="T6179" s="18"/>
      <c r="U6179" s="6"/>
      <c r="V6179" s="6"/>
      <c r="W6179" s="6"/>
      <c r="X6179" s="6"/>
      <c r="Y6179" s="6"/>
      <c r="Z6179" s="6"/>
    </row>
    <row r="6180" spans="14:26" ht="31.4" customHeight="1" x14ac:dyDescent="0.35">
      <c r="N6180" s="20"/>
      <c r="P6180" s="8"/>
      <c r="Q6180" s="8"/>
      <c r="R6180" s="8"/>
      <c r="S6180" s="18"/>
      <c r="T6180" s="18"/>
      <c r="U6180" s="6"/>
      <c r="V6180" s="6"/>
      <c r="W6180" s="6"/>
      <c r="X6180" s="6"/>
      <c r="Y6180" s="6"/>
      <c r="Z6180" s="6"/>
    </row>
    <row r="6181" spans="14:26" ht="31.4" customHeight="1" x14ac:dyDescent="0.35">
      <c r="N6181" s="20"/>
      <c r="P6181" s="8"/>
      <c r="Q6181" s="8"/>
      <c r="R6181" s="8"/>
      <c r="S6181" s="18"/>
      <c r="T6181" s="18"/>
      <c r="U6181" s="6"/>
      <c r="V6181" s="6"/>
      <c r="W6181" s="6"/>
      <c r="X6181" s="6"/>
      <c r="Y6181" s="6"/>
      <c r="Z6181" s="6"/>
    </row>
    <row r="6182" spans="14:26" ht="31.4" customHeight="1" x14ac:dyDescent="0.35">
      <c r="N6182" s="20"/>
      <c r="P6182" s="8"/>
      <c r="Q6182" s="8"/>
      <c r="R6182" s="8"/>
      <c r="S6182" s="18"/>
      <c r="T6182" s="18"/>
      <c r="U6182" s="6"/>
      <c r="V6182" s="6"/>
      <c r="W6182" s="6"/>
      <c r="X6182" s="6"/>
      <c r="Y6182" s="6"/>
      <c r="Z6182" s="6"/>
    </row>
    <row r="6183" spans="14:26" ht="31.4" customHeight="1" x14ac:dyDescent="0.35">
      <c r="N6183" s="20"/>
      <c r="P6183" s="8"/>
      <c r="Q6183" s="8"/>
      <c r="R6183" s="8"/>
      <c r="S6183" s="18"/>
      <c r="T6183" s="18"/>
      <c r="U6183" s="6"/>
      <c r="V6183" s="6"/>
      <c r="W6183" s="6"/>
      <c r="X6183" s="6"/>
      <c r="Y6183" s="6"/>
      <c r="Z6183" s="6"/>
    </row>
    <row r="6184" spans="14:26" ht="31.4" customHeight="1" x14ac:dyDescent="0.35">
      <c r="N6184" s="20"/>
      <c r="P6184" s="8"/>
      <c r="Q6184" s="8"/>
      <c r="R6184" s="8"/>
      <c r="S6184" s="18"/>
      <c r="T6184" s="18"/>
      <c r="U6184" s="6"/>
      <c r="V6184" s="6"/>
      <c r="W6184" s="6"/>
      <c r="X6184" s="6"/>
      <c r="Y6184" s="6"/>
      <c r="Z6184" s="6"/>
    </row>
    <row r="6185" spans="14:26" ht="31.4" customHeight="1" x14ac:dyDescent="0.35">
      <c r="N6185" s="20"/>
      <c r="P6185" s="8"/>
      <c r="Q6185" s="8"/>
      <c r="R6185" s="8"/>
      <c r="S6185" s="18"/>
      <c r="T6185" s="18"/>
      <c r="U6185" s="6"/>
      <c r="V6185" s="6"/>
      <c r="W6185" s="6"/>
      <c r="X6185" s="6"/>
      <c r="Y6185" s="6"/>
      <c r="Z6185" s="6"/>
    </row>
    <row r="6186" spans="14:26" ht="31.4" customHeight="1" x14ac:dyDescent="0.35">
      <c r="N6186" s="20"/>
      <c r="P6186" s="8"/>
      <c r="Q6186" s="8"/>
      <c r="R6186" s="8"/>
      <c r="S6186" s="18"/>
      <c r="T6186" s="18"/>
      <c r="U6186" s="6"/>
      <c r="V6186" s="6"/>
      <c r="W6186" s="6"/>
      <c r="X6186" s="6"/>
      <c r="Y6186" s="6"/>
      <c r="Z6186" s="6"/>
    </row>
    <row r="6187" spans="14:26" ht="31.4" customHeight="1" x14ac:dyDescent="0.35">
      <c r="N6187" s="20"/>
      <c r="P6187" s="8"/>
      <c r="Q6187" s="8"/>
      <c r="R6187" s="8"/>
      <c r="S6187" s="18"/>
      <c r="T6187" s="18"/>
      <c r="U6187" s="6"/>
      <c r="V6187" s="6"/>
      <c r="W6187" s="6"/>
      <c r="X6187" s="6"/>
      <c r="Y6187" s="6"/>
      <c r="Z6187" s="6"/>
    </row>
    <row r="6188" spans="14:26" ht="31.4" customHeight="1" x14ac:dyDescent="0.35">
      <c r="N6188" s="20"/>
      <c r="P6188" s="8"/>
      <c r="Q6188" s="8"/>
      <c r="R6188" s="8"/>
      <c r="S6188" s="18"/>
      <c r="T6188" s="18"/>
      <c r="U6188" s="6"/>
      <c r="V6188" s="6"/>
      <c r="W6188" s="6"/>
      <c r="X6188" s="6"/>
      <c r="Y6188" s="6"/>
      <c r="Z6188" s="6"/>
    </row>
    <row r="6189" spans="14:26" ht="31.4" customHeight="1" x14ac:dyDescent="0.35">
      <c r="N6189" s="20"/>
      <c r="P6189" s="8"/>
      <c r="Q6189" s="8"/>
      <c r="R6189" s="8"/>
      <c r="S6189" s="18"/>
      <c r="T6189" s="18"/>
      <c r="U6189" s="6"/>
      <c r="V6189" s="6"/>
      <c r="W6189" s="6"/>
      <c r="X6189" s="6"/>
      <c r="Y6189" s="6"/>
      <c r="Z6189" s="6"/>
    </row>
    <row r="6190" spans="14:26" ht="31.4" customHeight="1" x14ac:dyDescent="0.35">
      <c r="N6190" s="20"/>
      <c r="P6190" s="8"/>
      <c r="Q6190" s="8"/>
      <c r="R6190" s="8"/>
      <c r="S6190" s="18"/>
      <c r="T6190" s="18"/>
      <c r="U6190" s="6"/>
      <c r="V6190" s="6"/>
      <c r="W6190" s="6"/>
      <c r="X6190" s="6"/>
      <c r="Y6190" s="6"/>
      <c r="Z6190" s="6"/>
    </row>
    <row r="6191" spans="14:26" ht="31.4" customHeight="1" x14ac:dyDescent="0.35">
      <c r="N6191" s="20"/>
      <c r="P6191" s="8"/>
      <c r="Q6191" s="8"/>
      <c r="R6191" s="8"/>
      <c r="S6191" s="18"/>
      <c r="T6191" s="18"/>
      <c r="U6191" s="6"/>
      <c r="V6191" s="6"/>
      <c r="W6191" s="6"/>
      <c r="X6191" s="6"/>
      <c r="Y6191" s="6"/>
      <c r="Z6191" s="6"/>
    </row>
    <row r="6192" spans="14:26" ht="31.4" customHeight="1" x14ac:dyDescent="0.35">
      <c r="N6192" s="20"/>
      <c r="P6192" s="8"/>
      <c r="Q6192" s="8"/>
      <c r="R6192" s="8"/>
      <c r="S6192" s="18"/>
      <c r="T6192" s="18"/>
      <c r="U6192" s="6"/>
      <c r="V6192" s="6"/>
      <c r="W6192" s="6"/>
      <c r="X6192" s="6"/>
      <c r="Y6192" s="6"/>
      <c r="Z6192" s="6"/>
    </row>
    <row r="6193" spans="14:26" ht="31.4" customHeight="1" x14ac:dyDescent="0.35">
      <c r="N6193" s="20"/>
      <c r="P6193" s="8"/>
      <c r="Q6193" s="8"/>
      <c r="R6193" s="8"/>
      <c r="S6193" s="18"/>
      <c r="T6193" s="18"/>
      <c r="U6193" s="6"/>
      <c r="V6193" s="6"/>
      <c r="W6193" s="6"/>
      <c r="X6193" s="6"/>
      <c r="Y6193" s="6"/>
      <c r="Z6193" s="6"/>
    </row>
    <row r="6194" spans="14:26" ht="31.4" customHeight="1" x14ac:dyDescent="0.35">
      <c r="N6194" s="20"/>
      <c r="P6194" s="8"/>
      <c r="Q6194" s="8"/>
      <c r="R6194" s="8"/>
      <c r="S6194" s="18"/>
      <c r="T6194" s="18"/>
      <c r="U6194" s="6"/>
      <c r="V6194" s="6"/>
      <c r="W6194" s="6"/>
      <c r="X6194" s="6"/>
      <c r="Y6194" s="6"/>
      <c r="Z6194" s="6"/>
    </row>
    <row r="6195" spans="14:26" ht="31.4" customHeight="1" x14ac:dyDescent="0.35">
      <c r="N6195" s="20"/>
      <c r="P6195" s="8"/>
      <c r="Q6195" s="8"/>
      <c r="R6195" s="8"/>
      <c r="S6195" s="18"/>
      <c r="T6195" s="18"/>
      <c r="U6195" s="6"/>
      <c r="V6195" s="6"/>
      <c r="W6195" s="6"/>
      <c r="X6195" s="6"/>
      <c r="Y6195" s="6"/>
      <c r="Z6195" s="6"/>
    </row>
    <row r="6196" spans="14:26" ht="31.4" customHeight="1" x14ac:dyDescent="0.35">
      <c r="N6196" s="20"/>
      <c r="P6196" s="8"/>
      <c r="Q6196" s="8"/>
      <c r="R6196" s="8"/>
      <c r="S6196" s="18"/>
      <c r="T6196" s="18"/>
      <c r="U6196" s="6"/>
      <c r="V6196" s="6"/>
      <c r="W6196" s="6"/>
      <c r="X6196" s="6"/>
      <c r="Y6196" s="6"/>
      <c r="Z6196" s="6"/>
    </row>
    <row r="6197" spans="14:26" ht="31.4" customHeight="1" x14ac:dyDescent="0.35">
      <c r="N6197" s="20"/>
      <c r="P6197" s="8"/>
      <c r="Q6197" s="8"/>
      <c r="R6197" s="8"/>
      <c r="S6197" s="18"/>
      <c r="T6197" s="18"/>
      <c r="U6197" s="6"/>
      <c r="V6197" s="6"/>
      <c r="W6197" s="6"/>
      <c r="X6197" s="6"/>
      <c r="Y6197" s="6"/>
      <c r="Z6197" s="6"/>
    </row>
    <row r="6198" spans="14:26" ht="31.4" customHeight="1" x14ac:dyDescent="0.35">
      <c r="N6198" s="20"/>
      <c r="P6198" s="8"/>
      <c r="Q6198" s="8"/>
      <c r="R6198" s="8"/>
      <c r="S6198" s="18"/>
      <c r="T6198" s="18"/>
      <c r="U6198" s="6"/>
      <c r="V6198" s="6"/>
      <c r="W6198" s="6"/>
      <c r="X6198" s="6"/>
      <c r="Y6198" s="6"/>
      <c r="Z6198" s="6"/>
    </row>
    <row r="6199" spans="14:26" ht="31.4" customHeight="1" x14ac:dyDescent="0.35">
      <c r="N6199" s="20"/>
      <c r="P6199" s="8"/>
      <c r="Q6199" s="8"/>
      <c r="R6199" s="8"/>
      <c r="S6199" s="18"/>
      <c r="T6199" s="18"/>
      <c r="U6199" s="6"/>
      <c r="V6199" s="6"/>
      <c r="W6199" s="6"/>
      <c r="X6199" s="6"/>
      <c r="Y6199" s="6"/>
      <c r="Z6199" s="6"/>
    </row>
    <row r="6200" spans="14:26" ht="31.4" customHeight="1" x14ac:dyDescent="0.35">
      <c r="N6200" s="20"/>
      <c r="P6200" s="8"/>
      <c r="Q6200" s="8"/>
      <c r="R6200" s="8"/>
      <c r="S6200" s="18"/>
      <c r="T6200" s="18"/>
      <c r="U6200" s="6"/>
      <c r="V6200" s="6"/>
      <c r="W6200" s="6"/>
      <c r="X6200" s="6"/>
      <c r="Y6200" s="6"/>
      <c r="Z6200" s="6"/>
    </row>
    <row r="6201" spans="14:26" ht="31.4" customHeight="1" x14ac:dyDescent="0.35">
      <c r="N6201" s="20"/>
      <c r="P6201" s="8"/>
      <c r="Q6201" s="8"/>
      <c r="R6201" s="8"/>
      <c r="S6201" s="18"/>
      <c r="T6201" s="18"/>
      <c r="U6201" s="6"/>
      <c r="V6201" s="6"/>
      <c r="W6201" s="6"/>
      <c r="X6201" s="6"/>
      <c r="Y6201" s="6"/>
      <c r="Z6201" s="6"/>
    </row>
    <row r="6202" spans="14:26" ht="31.4" customHeight="1" x14ac:dyDescent="0.35">
      <c r="N6202" s="20"/>
      <c r="P6202" s="8"/>
      <c r="Q6202" s="8"/>
      <c r="R6202" s="8"/>
      <c r="S6202" s="18"/>
      <c r="T6202" s="18"/>
      <c r="U6202" s="6"/>
      <c r="V6202" s="6"/>
      <c r="W6202" s="6"/>
      <c r="X6202" s="6"/>
      <c r="Y6202" s="6"/>
      <c r="Z6202" s="6"/>
    </row>
    <row r="6203" spans="14:26" ht="31.4" customHeight="1" x14ac:dyDescent="0.35">
      <c r="N6203" s="20"/>
      <c r="P6203" s="8"/>
      <c r="Q6203" s="8"/>
      <c r="R6203" s="8"/>
      <c r="S6203" s="18"/>
      <c r="T6203" s="18"/>
      <c r="U6203" s="6"/>
      <c r="V6203" s="6"/>
      <c r="W6203" s="6"/>
      <c r="X6203" s="6"/>
      <c r="Y6203" s="6"/>
      <c r="Z6203" s="6"/>
    </row>
    <row r="6204" spans="14:26" ht="31.4" customHeight="1" x14ac:dyDescent="0.35">
      <c r="N6204" s="20"/>
      <c r="P6204" s="8"/>
      <c r="Q6204" s="8"/>
      <c r="R6204" s="8"/>
      <c r="S6204" s="18"/>
      <c r="T6204" s="18"/>
      <c r="U6204" s="6"/>
      <c r="V6204" s="6"/>
      <c r="W6204" s="6"/>
      <c r="X6204" s="6"/>
      <c r="Y6204" s="6"/>
      <c r="Z6204" s="6"/>
    </row>
    <row r="6205" spans="14:26" ht="31.4" customHeight="1" x14ac:dyDescent="0.35">
      <c r="N6205" s="20"/>
      <c r="P6205" s="8"/>
      <c r="Q6205" s="8"/>
      <c r="R6205" s="8"/>
      <c r="S6205" s="18"/>
      <c r="T6205" s="18"/>
      <c r="U6205" s="6"/>
      <c r="V6205" s="6"/>
      <c r="W6205" s="6"/>
      <c r="X6205" s="6"/>
      <c r="Y6205" s="6"/>
      <c r="Z6205" s="6"/>
    </row>
    <row r="6206" spans="14:26" ht="31.4" customHeight="1" x14ac:dyDescent="0.35">
      <c r="N6206" s="20"/>
      <c r="P6206" s="8"/>
      <c r="Q6206" s="8"/>
      <c r="R6206" s="8"/>
      <c r="S6206" s="18"/>
      <c r="T6206" s="18"/>
      <c r="U6206" s="6"/>
      <c r="V6206" s="6"/>
      <c r="W6206" s="6"/>
      <c r="X6206" s="6"/>
      <c r="Y6206" s="6"/>
      <c r="Z6206" s="6"/>
    </row>
    <row r="6207" spans="14:26" ht="31.4" customHeight="1" x14ac:dyDescent="0.35">
      <c r="N6207" s="20"/>
      <c r="P6207" s="8"/>
      <c r="Q6207" s="8"/>
      <c r="R6207" s="8"/>
      <c r="S6207" s="18"/>
      <c r="T6207" s="18"/>
      <c r="U6207" s="6"/>
      <c r="V6207" s="6"/>
      <c r="W6207" s="6"/>
      <c r="X6207" s="6"/>
      <c r="Y6207" s="6"/>
      <c r="Z6207" s="6"/>
    </row>
    <row r="6208" spans="14:26" ht="31.4" customHeight="1" x14ac:dyDescent="0.35">
      <c r="N6208" s="20"/>
      <c r="P6208" s="8"/>
      <c r="Q6208" s="8"/>
      <c r="R6208" s="8"/>
      <c r="S6208" s="18"/>
      <c r="T6208" s="18"/>
      <c r="U6208" s="6"/>
      <c r="V6208" s="6"/>
      <c r="W6208" s="6"/>
      <c r="X6208" s="6"/>
      <c r="Y6208" s="6"/>
      <c r="Z6208" s="6"/>
    </row>
    <row r="6209" spans="14:26" ht="31.4" customHeight="1" x14ac:dyDescent="0.35">
      <c r="N6209" s="20"/>
      <c r="P6209" s="8"/>
      <c r="Q6209" s="8"/>
      <c r="R6209" s="8"/>
      <c r="S6209" s="18"/>
      <c r="T6209" s="18"/>
      <c r="U6209" s="6"/>
      <c r="V6209" s="6"/>
      <c r="W6209" s="6"/>
      <c r="X6209" s="6"/>
      <c r="Y6209" s="6"/>
      <c r="Z6209" s="6"/>
    </row>
    <row r="6210" spans="14:26" ht="31.4" customHeight="1" x14ac:dyDescent="0.35">
      <c r="N6210" s="20"/>
      <c r="P6210" s="8"/>
      <c r="Q6210" s="8"/>
      <c r="R6210" s="8"/>
      <c r="S6210" s="18"/>
      <c r="T6210" s="18"/>
      <c r="U6210" s="6"/>
      <c r="V6210" s="6"/>
      <c r="W6210" s="6"/>
      <c r="X6210" s="6"/>
      <c r="Y6210" s="6"/>
      <c r="Z6210" s="6"/>
    </row>
    <row r="6211" spans="14:26" ht="31.4" customHeight="1" x14ac:dyDescent="0.35">
      <c r="N6211" s="20"/>
      <c r="P6211" s="8"/>
      <c r="Q6211" s="8"/>
      <c r="R6211" s="8"/>
      <c r="S6211" s="18"/>
      <c r="T6211" s="18"/>
      <c r="U6211" s="6"/>
      <c r="V6211" s="6"/>
      <c r="W6211" s="6"/>
      <c r="X6211" s="6"/>
      <c r="Y6211" s="6"/>
      <c r="Z6211" s="6"/>
    </row>
    <row r="6212" spans="14:26" ht="31.4" customHeight="1" x14ac:dyDescent="0.35">
      <c r="N6212" s="20"/>
      <c r="P6212" s="8"/>
      <c r="Q6212" s="8"/>
      <c r="R6212" s="8"/>
      <c r="S6212" s="18"/>
      <c r="T6212" s="18"/>
      <c r="U6212" s="6"/>
      <c r="V6212" s="6"/>
      <c r="W6212" s="6"/>
      <c r="X6212" s="6"/>
      <c r="Y6212" s="6"/>
      <c r="Z6212" s="6"/>
    </row>
    <row r="6213" spans="14:26" ht="31.4" customHeight="1" x14ac:dyDescent="0.35">
      <c r="N6213" s="20"/>
      <c r="P6213" s="8"/>
      <c r="Q6213" s="8"/>
      <c r="R6213" s="8"/>
      <c r="S6213" s="18"/>
      <c r="T6213" s="18"/>
      <c r="U6213" s="6"/>
      <c r="V6213" s="6"/>
      <c r="W6213" s="6"/>
      <c r="X6213" s="6"/>
      <c r="Y6213" s="6"/>
      <c r="Z6213" s="6"/>
    </row>
    <row r="6214" spans="14:26" ht="31.4" customHeight="1" x14ac:dyDescent="0.35">
      <c r="N6214" s="20"/>
      <c r="P6214" s="8"/>
      <c r="Q6214" s="8"/>
      <c r="R6214" s="8"/>
      <c r="S6214" s="18"/>
      <c r="T6214" s="18"/>
      <c r="U6214" s="6"/>
      <c r="V6214" s="6"/>
      <c r="W6214" s="6"/>
      <c r="X6214" s="6"/>
      <c r="Y6214" s="6"/>
      <c r="Z6214" s="6"/>
    </row>
    <row r="6215" spans="14:26" ht="31.4" customHeight="1" x14ac:dyDescent="0.35">
      <c r="N6215" s="20"/>
      <c r="P6215" s="8"/>
      <c r="Q6215" s="8"/>
      <c r="R6215" s="8"/>
      <c r="S6215" s="18"/>
      <c r="T6215" s="18"/>
      <c r="U6215" s="6"/>
      <c r="V6215" s="6"/>
      <c r="W6215" s="6"/>
      <c r="X6215" s="6"/>
      <c r="Y6215" s="6"/>
      <c r="Z6215" s="6"/>
    </row>
    <row r="6216" spans="14:26" ht="31.4" customHeight="1" x14ac:dyDescent="0.35">
      <c r="N6216" s="20"/>
      <c r="P6216" s="8"/>
      <c r="Q6216" s="8"/>
      <c r="R6216" s="8"/>
      <c r="S6216" s="18"/>
      <c r="T6216" s="18"/>
      <c r="U6216" s="6"/>
      <c r="V6216" s="6"/>
      <c r="W6216" s="6"/>
      <c r="X6216" s="6"/>
      <c r="Y6216" s="6"/>
      <c r="Z6216" s="6"/>
    </row>
    <row r="6217" spans="14:26" ht="31.4" customHeight="1" x14ac:dyDescent="0.35">
      <c r="N6217" s="20"/>
      <c r="P6217" s="8"/>
      <c r="Q6217" s="8"/>
      <c r="R6217" s="8"/>
      <c r="S6217" s="18"/>
      <c r="T6217" s="18"/>
      <c r="U6217" s="6"/>
      <c r="V6217" s="6"/>
      <c r="W6217" s="6"/>
      <c r="X6217" s="6"/>
      <c r="Y6217" s="6"/>
      <c r="Z6217" s="6"/>
    </row>
    <row r="6218" spans="14:26" ht="31.4" customHeight="1" x14ac:dyDescent="0.35">
      <c r="N6218" s="20"/>
      <c r="P6218" s="8"/>
      <c r="Q6218" s="8"/>
      <c r="R6218" s="8"/>
      <c r="S6218" s="18"/>
      <c r="T6218" s="18"/>
      <c r="U6218" s="6"/>
      <c r="V6218" s="6"/>
      <c r="W6218" s="6"/>
      <c r="X6218" s="6"/>
      <c r="Y6218" s="6"/>
      <c r="Z6218" s="6"/>
    </row>
    <row r="6219" spans="14:26" ht="31.4" customHeight="1" x14ac:dyDescent="0.35">
      <c r="N6219" s="20"/>
      <c r="P6219" s="8"/>
      <c r="Q6219" s="8"/>
      <c r="R6219" s="8"/>
      <c r="S6219" s="18"/>
      <c r="T6219" s="18"/>
      <c r="U6219" s="6"/>
      <c r="V6219" s="6"/>
      <c r="W6219" s="6"/>
      <c r="X6219" s="6"/>
      <c r="Y6219" s="6"/>
      <c r="Z6219" s="6"/>
    </row>
    <row r="6220" spans="14:26" ht="31.4" customHeight="1" x14ac:dyDescent="0.35">
      <c r="N6220" s="20"/>
      <c r="P6220" s="8"/>
      <c r="Q6220" s="8"/>
      <c r="R6220" s="8"/>
      <c r="S6220" s="18"/>
      <c r="T6220" s="18"/>
      <c r="U6220" s="6"/>
      <c r="V6220" s="6"/>
      <c r="W6220" s="6"/>
      <c r="X6220" s="6"/>
      <c r="Y6220" s="6"/>
      <c r="Z6220" s="6"/>
    </row>
    <row r="6221" spans="14:26" ht="31.4" customHeight="1" x14ac:dyDescent="0.35">
      <c r="N6221" s="20"/>
      <c r="P6221" s="8"/>
      <c r="Q6221" s="8"/>
      <c r="R6221" s="8"/>
      <c r="S6221" s="18"/>
      <c r="T6221" s="18"/>
      <c r="U6221" s="6"/>
      <c r="V6221" s="6"/>
      <c r="W6221" s="6"/>
      <c r="X6221" s="6"/>
      <c r="Y6221" s="6"/>
      <c r="Z6221" s="6"/>
    </row>
    <row r="6222" spans="14:26" ht="31.4" customHeight="1" x14ac:dyDescent="0.35">
      <c r="N6222" s="20"/>
      <c r="P6222" s="8"/>
      <c r="Q6222" s="8"/>
      <c r="R6222" s="8"/>
      <c r="S6222" s="18"/>
      <c r="T6222" s="18"/>
      <c r="U6222" s="6"/>
      <c r="V6222" s="6"/>
      <c r="W6222" s="6"/>
      <c r="X6222" s="6"/>
      <c r="Y6222" s="6"/>
      <c r="Z6222" s="6"/>
    </row>
    <row r="6223" spans="14:26" ht="31.4" customHeight="1" x14ac:dyDescent="0.35">
      <c r="N6223" s="20"/>
      <c r="P6223" s="8"/>
      <c r="Q6223" s="8"/>
      <c r="R6223" s="8"/>
      <c r="S6223" s="18"/>
      <c r="T6223" s="18"/>
      <c r="U6223" s="6"/>
      <c r="V6223" s="6"/>
      <c r="W6223" s="6"/>
      <c r="X6223" s="6"/>
      <c r="Y6223" s="6"/>
      <c r="Z6223" s="6"/>
    </row>
    <row r="6224" spans="14:26" ht="31.4" customHeight="1" x14ac:dyDescent="0.35">
      <c r="N6224" s="20"/>
      <c r="P6224" s="8"/>
      <c r="Q6224" s="8"/>
      <c r="R6224" s="8"/>
      <c r="S6224" s="18"/>
      <c r="T6224" s="18"/>
      <c r="U6224" s="6"/>
      <c r="V6224" s="6"/>
      <c r="W6224" s="6"/>
      <c r="X6224" s="6"/>
      <c r="Y6224" s="6"/>
      <c r="Z6224" s="6"/>
    </row>
    <row r="6225" spans="14:26" ht="31.4" customHeight="1" x14ac:dyDescent="0.35">
      <c r="N6225" s="20"/>
      <c r="P6225" s="8"/>
      <c r="Q6225" s="8"/>
      <c r="R6225" s="8"/>
      <c r="S6225" s="18"/>
      <c r="T6225" s="18"/>
      <c r="U6225" s="6"/>
      <c r="V6225" s="6"/>
      <c r="W6225" s="6"/>
      <c r="X6225" s="6"/>
      <c r="Y6225" s="6"/>
      <c r="Z6225" s="6"/>
    </row>
    <row r="6226" spans="14:26" ht="31.4" customHeight="1" x14ac:dyDescent="0.35">
      <c r="N6226" s="20"/>
      <c r="P6226" s="8"/>
      <c r="Q6226" s="8"/>
      <c r="R6226" s="8"/>
      <c r="S6226" s="18"/>
      <c r="T6226" s="18"/>
      <c r="U6226" s="6"/>
      <c r="V6226" s="6"/>
      <c r="W6226" s="6"/>
      <c r="X6226" s="6"/>
      <c r="Y6226" s="6"/>
      <c r="Z6226" s="6"/>
    </row>
    <row r="6227" spans="14:26" ht="31.4" customHeight="1" x14ac:dyDescent="0.35">
      <c r="N6227" s="20"/>
      <c r="P6227" s="8"/>
      <c r="Q6227" s="8"/>
      <c r="R6227" s="8"/>
      <c r="S6227" s="18"/>
      <c r="T6227" s="18"/>
      <c r="U6227" s="6"/>
      <c r="V6227" s="6"/>
      <c r="W6227" s="6"/>
      <c r="X6227" s="6"/>
      <c r="Y6227" s="6"/>
      <c r="Z6227" s="6"/>
    </row>
    <row r="6228" spans="14:26" ht="31.4" customHeight="1" x14ac:dyDescent="0.35">
      <c r="N6228" s="20"/>
      <c r="P6228" s="8"/>
      <c r="Q6228" s="8"/>
      <c r="R6228" s="8"/>
      <c r="S6228" s="18"/>
      <c r="T6228" s="18"/>
      <c r="U6228" s="6"/>
      <c r="V6228" s="6"/>
      <c r="W6228" s="6"/>
      <c r="X6228" s="6"/>
      <c r="Y6228" s="6"/>
      <c r="Z6228" s="6"/>
    </row>
    <row r="6229" spans="14:26" ht="31.4" customHeight="1" x14ac:dyDescent="0.35">
      <c r="N6229" s="20"/>
      <c r="P6229" s="8"/>
      <c r="Q6229" s="8"/>
      <c r="R6229" s="8"/>
      <c r="S6229" s="18"/>
      <c r="T6229" s="18"/>
      <c r="U6229" s="6"/>
      <c r="V6229" s="6"/>
      <c r="W6229" s="6"/>
      <c r="X6229" s="6"/>
      <c r="Y6229" s="6"/>
      <c r="Z6229" s="6"/>
    </row>
    <row r="6230" spans="14:26" ht="31.4" customHeight="1" x14ac:dyDescent="0.35">
      <c r="N6230" s="20"/>
      <c r="P6230" s="8"/>
      <c r="Q6230" s="8"/>
      <c r="R6230" s="8"/>
      <c r="S6230" s="18"/>
      <c r="T6230" s="18"/>
      <c r="U6230" s="6"/>
      <c r="V6230" s="6"/>
      <c r="W6230" s="6"/>
      <c r="X6230" s="6"/>
      <c r="Y6230" s="6"/>
      <c r="Z6230" s="6"/>
    </row>
    <row r="6231" spans="14:26" ht="31.4" customHeight="1" x14ac:dyDescent="0.35">
      <c r="N6231" s="20"/>
      <c r="P6231" s="8"/>
      <c r="Q6231" s="8"/>
      <c r="R6231" s="8"/>
      <c r="S6231" s="18"/>
      <c r="T6231" s="18"/>
      <c r="U6231" s="6"/>
      <c r="V6231" s="6"/>
      <c r="W6231" s="6"/>
      <c r="X6231" s="6"/>
      <c r="Y6231" s="6"/>
      <c r="Z6231" s="6"/>
    </row>
    <row r="6232" spans="14:26" ht="31.4" customHeight="1" x14ac:dyDescent="0.35">
      <c r="N6232" s="20"/>
      <c r="P6232" s="8"/>
      <c r="Q6232" s="8"/>
      <c r="R6232" s="8"/>
      <c r="S6232" s="18"/>
      <c r="T6232" s="18"/>
      <c r="U6232" s="6"/>
      <c r="V6232" s="6"/>
      <c r="W6232" s="6"/>
      <c r="X6232" s="6"/>
      <c r="Y6232" s="6"/>
      <c r="Z6232" s="6"/>
    </row>
    <row r="6233" spans="14:26" ht="31.4" customHeight="1" x14ac:dyDescent="0.35">
      <c r="N6233" s="20"/>
      <c r="P6233" s="8"/>
      <c r="Q6233" s="8"/>
      <c r="R6233" s="8"/>
      <c r="S6233" s="18"/>
      <c r="T6233" s="18"/>
      <c r="U6233" s="6"/>
      <c r="V6233" s="6"/>
      <c r="W6233" s="6"/>
      <c r="X6233" s="6"/>
      <c r="Y6233" s="6"/>
      <c r="Z6233" s="6"/>
    </row>
    <row r="6234" spans="14:26" ht="31.4" customHeight="1" x14ac:dyDescent="0.35">
      <c r="N6234" s="20"/>
      <c r="P6234" s="8"/>
      <c r="Q6234" s="8"/>
      <c r="R6234" s="8"/>
      <c r="S6234" s="18"/>
      <c r="T6234" s="18"/>
      <c r="U6234" s="6"/>
      <c r="V6234" s="6"/>
      <c r="W6234" s="6"/>
      <c r="X6234" s="6"/>
      <c r="Y6234" s="6"/>
      <c r="Z6234" s="6"/>
    </row>
    <row r="6235" spans="14:26" ht="31.4" customHeight="1" x14ac:dyDescent="0.35">
      <c r="N6235" s="20"/>
      <c r="P6235" s="8"/>
      <c r="Q6235" s="8"/>
      <c r="R6235" s="8"/>
      <c r="S6235" s="18"/>
      <c r="T6235" s="18"/>
      <c r="U6235" s="6"/>
      <c r="V6235" s="6"/>
      <c r="W6235" s="6"/>
      <c r="X6235" s="6"/>
      <c r="Y6235" s="6"/>
      <c r="Z6235" s="6"/>
    </row>
    <row r="6236" spans="14:26" ht="31.4" customHeight="1" x14ac:dyDescent="0.35">
      <c r="N6236" s="20"/>
      <c r="P6236" s="8"/>
      <c r="Q6236" s="8"/>
      <c r="R6236" s="8"/>
      <c r="S6236" s="18"/>
      <c r="T6236" s="18"/>
      <c r="U6236" s="6"/>
      <c r="V6236" s="6"/>
      <c r="W6236" s="6"/>
      <c r="X6236" s="6"/>
      <c r="Y6236" s="6"/>
      <c r="Z6236" s="6"/>
    </row>
    <row r="6237" spans="14:26" ht="31.4" customHeight="1" x14ac:dyDescent="0.35">
      <c r="N6237" s="20"/>
      <c r="P6237" s="8"/>
      <c r="Q6237" s="8"/>
      <c r="R6237" s="8"/>
      <c r="S6237" s="18"/>
      <c r="T6237" s="18"/>
      <c r="U6237" s="6"/>
      <c r="V6237" s="6"/>
      <c r="W6237" s="6"/>
      <c r="X6237" s="6"/>
      <c r="Y6237" s="6"/>
      <c r="Z6237" s="6"/>
    </row>
    <row r="6238" spans="14:26" ht="31.4" customHeight="1" x14ac:dyDescent="0.35">
      <c r="N6238" s="20"/>
      <c r="P6238" s="8"/>
      <c r="Q6238" s="8"/>
      <c r="R6238" s="8"/>
      <c r="S6238" s="18"/>
      <c r="T6238" s="18"/>
      <c r="U6238" s="6"/>
      <c r="V6238" s="6"/>
      <c r="W6238" s="6"/>
      <c r="X6238" s="6"/>
      <c r="Y6238" s="6"/>
      <c r="Z6238" s="6"/>
    </row>
    <row r="6239" spans="14:26" ht="31.4" customHeight="1" x14ac:dyDescent="0.35">
      <c r="N6239" s="20"/>
      <c r="P6239" s="8"/>
      <c r="Q6239" s="8"/>
      <c r="R6239" s="8"/>
      <c r="S6239" s="18"/>
      <c r="T6239" s="18"/>
      <c r="U6239" s="6"/>
      <c r="V6239" s="6"/>
      <c r="W6239" s="6"/>
      <c r="X6239" s="6"/>
      <c r="Y6239" s="6"/>
      <c r="Z6239" s="6"/>
    </row>
    <row r="6240" spans="14:26" ht="31.4" customHeight="1" x14ac:dyDescent="0.35">
      <c r="N6240" s="20"/>
      <c r="P6240" s="8"/>
      <c r="Q6240" s="8"/>
      <c r="R6240" s="8"/>
      <c r="S6240" s="18"/>
      <c r="T6240" s="18"/>
      <c r="U6240" s="6"/>
      <c r="V6240" s="6"/>
      <c r="W6240" s="6"/>
      <c r="X6240" s="6"/>
      <c r="Y6240" s="6"/>
      <c r="Z6240" s="6"/>
    </row>
    <row r="6241" spans="14:26" ht="31.4" customHeight="1" x14ac:dyDescent="0.35">
      <c r="N6241" s="20"/>
      <c r="P6241" s="8"/>
      <c r="Q6241" s="8"/>
      <c r="R6241" s="8"/>
      <c r="S6241" s="18"/>
      <c r="T6241" s="18"/>
      <c r="U6241" s="6"/>
      <c r="V6241" s="6"/>
      <c r="W6241" s="6"/>
      <c r="X6241" s="6"/>
      <c r="Y6241" s="6"/>
      <c r="Z6241" s="6"/>
    </row>
    <row r="6242" spans="14:26" ht="31.4" customHeight="1" x14ac:dyDescent="0.35">
      <c r="N6242" s="20"/>
      <c r="P6242" s="8"/>
      <c r="Q6242" s="8"/>
      <c r="R6242" s="8"/>
      <c r="S6242" s="18"/>
      <c r="T6242" s="18"/>
      <c r="U6242" s="6"/>
      <c r="V6242" s="6"/>
      <c r="W6242" s="6"/>
      <c r="X6242" s="6"/>
      <c r="Y6242" s="6"/>
      <c r="Z6242" s="6"/>
    </row>
    <row r="6243" spans="14:26" ht="31.4" customHeight="1" x14ac:dyDescent="0.35">
      <c r="N6243" s="20"/>
      <c r="P6243" s="8"/>
      <c r="Q6243" s="8"/>
      <c r="R6243" s="8"/>
      <c r="S6243" s="18"/>
      <c r="T6243" s="18"/>
      <c r="U6243" s="6"/>
      <c r="V6243" s="6"/>
      <c r="W6243" s="6"/>
      <c r="X6243" s="6"/>
      <c r="Y6243" s="6"/>
      <c r="Z6243" s="6"/>
    </row>
    <row r="6244" spans="14:26" ht="31.4" customHeight="1" x14ac:dyDescent="0.35">
      <c r="N6244" s="20"/>
      <c r="P6244" s="8"/>
      <c r="Q6244" s="8"/>
      <c r="R6244" s="8"/>
      <c r="S6244" s="18"/>
      <c r="T6244" s="18"/>
      <c r="U6244" s="6"/>
      <c r="V6244" s="6"/>
      <c r="W6244" s="6"/>
      <c r="X6244" s="6"/>
      <c r="Y6244" s="6"/>
      <c r="Z6244" s="6"/>
    </row>
    <row r="6245" spans="14:26" ht="31.4" customHeight="1" x14ac:dyDescent="0.35">
      <c r="N6245" s="20"/>
      <c r="P6245" s="8"/>
      <c r="Q6245" s="8"/>
      <c r="R6245" s="8"/>
      <c r="S6245" s="18"/>
      <c r="T6245" s="18"/>
      <c r="U6245" s="6"/>
      <c r="V6245" s="6"/>
      <c r="W6245" s="6"/>
      <c r="X6245" s="6"/>
      <c r="Y6245" s="6"/>
      <c r="Z6245" s="6"/>
    </row>
    <row r="6246" spans="14:26" ht="31.4" customHeight="1" x14ac:dyDescent="0.35">
      <c r="N6246" s="20"/>
      <c r="P6246" s="8"/>
      <c r="Q6246" s="8"/>
      <c r="R6246" s="8"/>
      <c r="S6246" s="18"/>
      <c r="T6246" s="18"/>
      <c r="U6246" s="6"/>
      <c r="V6246" s="6"/>
      <c r="W6246" s="6"/>
      <c r="X6246" s="6"/>
      <c r="Y6246" s="6"/>
      <c r="Z6246" s="6"/>
    </row>
    <row r="6247" spans="14:26" ht="31.4" customHeight="1" x14ac:dyDescent="0.35">
      <c r="N6247" s="20"/>
      <c r="P6247" s="8"/>
      <c r="Q6247" s="8"/>
      <c r="R6247" s="8"/>
      <c r="S6247" s="18"/>
      <c r="T6247" s="18"/>
      <c r="U6247" s="6"/>
      <c r="V6247" s="6"/>
      <c r="W6247" s="6"/>
      <c r="X6247" s="6"/>
      <c r="Y6247" s="6"/>
      <c r="Z6247" s="6"/>
    </row>
    <row r="6248" spans="14:26" ht="31.4" customHeight="1" x14ac:dyDescent="0.35">
      <c r="N6248" s="20"/>
      <c r="P6248" s="8"/>
      <c r="Q6248" s="8"/>
      <c r="R6248" s="8"/>
      <c r="S6248" s="18"/>
      <c r="T6248" s="18"/>
      <c r="U6248" s="6"/>
      <c r="V6248" s="6"/>
      <c r="W6248" s="6"/>
      <c r="X6248" s="6"/>
      <c r="Y6248" s="6"/>
      <c r="Z6248" s="6"/>
    </row>
    <row r="6249" spans="14:26" ht="31.4" customHeight="1" x14ac:dyDescent="0.35">
      <c r="N6249" s="20"/>
      <c r="P6249" s="8"/>
      <c r="Q6249" s="8"/>
      <c r="R6249" s="8"/>
      <c r="S6249" s="18"/>
      <c r="T6249" s="18"/>
      <c r="U6249" s="6"/>
      <c r="V6249" s="6"/>
      <c r="W6249" s="6"/>
      <c r="X6249" s="6"/>
      <c r="Y6249" s="6"/>
      <c r="Z6249" s="6"/>
    </row>
    <row r="6250" spans="14:26" ht="31.4" customHeight="1" x14ac:dyDescent="0.35">
      <c r="N6250" s="20"/>
      <c r="P6250" s="8"/>
      <c r="Q6250" s="8"/>
      <c r="R6250" s="8"/>
      <c r="S6250" s="18"/>
      <c r="T6250" s="18"/>
      <c r="U6250" s="6"/>
      <c r="V6250" s="6"/>
      <c r="W6250" s="6"/>
      <c r="X6250" s="6"/>
      <c r="Y6250" s="6"/>
      <c r="Z6250" s="6"/>
    </row>
    <row r="6251" spans="14:26" ht="31.4" customHeight="1" x14ac:dyDescent="0.35">
      <c r="N6251" s="20"/>
      <c r="P6251" s="8"/>
      <c r="Q6251" s="8"/>
      <c r="R6251" s="8"/>
      <c r="S6251" s="18"/>
      <c r="T6251" s="18"/>
      <c r="U6251" s="6"/>
      <c r="V6251" s="6"/>
      <c r="W6251" s="6"/>
      <c r="X6251" s="6"/>
      <c r="Y6251" s="6"/>
      <c r="Z6251" s="6"/>
    </row>
    <row r="6252" spans="14:26" ht="31.4" customHeight="1" x14ac:dyDescent="0.35">
      <c r="N6252" s="20"/>
      <c r="P6252" s="8"/>
      <c r="Q6252" s="8"/>
      <c r="R6252" s="8"/>
      <c r="S6252" s="18"/>
      <c r="T6252" s="18"/>
      <c r="U6252" s="6"/>
      <c r="V6252" s="6"/>
      <c r="W6252" s="6"/>
      <c r="X6252" s="6"/>
      <c r="Y6252" s="6"/>
      <c r="Z6252" s="6"/>
    </row>
    <row r="6253" spans="14:26" ht="31.4" customHeight="1" x14ac:dyDescent="0.35">
      <c r="N6253" s="20"/>
      <c r="P6253" s="8"/>
      <c r="Q6253" s="8"/>
      <c r="R6253" s="8"/>
      <c r="S6253" s="18"/>
      <c r="T6253" s="18"/>
      <c r="U6253" s="6"/>
      <c r="V6253" s="6"/>
      <c r="W6253" s="6"/>
      <c r="X6253" s="6"/>
      <c r="Y6253" s="6"/>
      <c r="Z6253" s="6"/>
    </row>
    <row r="6254" spans="14:26" ht="31.4" customHeight="1" x14ac:dyDescent="0.35">
      <c r="N6254" s="20"/>
      <c r="P6254" s="8"/>
      <c r="Q6254" s="8"/>
      <c r="R6254" s="8"/>
      <c r="S6254" s="18"/>
      <c r="T6254" s="18"/>
      <c r="U6254" s="6"/>
      <c r="V6254" s="6"/>
      <c r="W6254" s="6"/>
      <c r="X6254" s="6"/>
      <c r="Y6254" s="6"/>
      <c r="Z6254" s="6"/>
    </row>
    <row r="6255" spans="14:26" ht="31.4" customHeight="1" x14ac:dyDescent="0.35">
      <c r="N6255" s="20"/>
      <c r="P6255" s="8"/>
      <c r="Q6255" s="8"/>
      <c r="R6255" s="8"/>
      <c r="S6255" s="18"/>
      <c r="T6255" s="18"/>
      <c r="U6255" s="6"/>
      <c r="V6255" s="6"/>
      <c r="W6255" s="6"/>
      <c r="X6255" s="6"/>
      <c r="Y6255" s="6"/>
      <c r="Z6255" s="6"/>
    </row>
    <row r="6256" spans="14:26" ht="31.4" customHeight="1" x14ac:dyDescent="0.35">
      <c r="N6256" s="20"/>
      <c r="P6256" s="8"/>
      <c r="Q6256" s="8"/>
      <c r="R6256" s="8"/>
      <c r="S6256" s="18"/>
      <c r="T6256" s="18"/>
      <c r="U6256" s="6"/>
      <c r="V6256" s="6"/>
      <c r="W6256" s="6"/>
      <c r="X6256" s="6"/>
      <c r="Y6256" s="6"/>
      <c r="Z6256" s="6"/>
    </row>
    <row r="6257" spans="14:26" ht="31.4" customHeight="1" x14ac:dyDescent="0.35">
      <c r="N6257" s="20"/>
      <c r="P6257" s="8"/>
      <c r="Q6257" s="8"/>
      <c r="R6257" s="8"/>
      <c r="S6257" s="18"/>
      <c r="T6257" s="18"/>
      <c r="U6257" s="6"/>
      <c r="V6257" s="6"/>
      <c r="W6257" s="6"/>
      <c r="X6257" s="6"/>
      <c r="Y6257" s="6"/>
      <c r="Z6257" s="6"/>
    </row>
    <row r="6258" spans="14:26" ht="31.4" customHeight="1" x14ac:dyDescent="0.35">
      <c r="N6258" s="20"/>
      <c r="P6258" s="8"/>
      <c r="Q6258" s="8"/>
      <c r="R6258" s="8"/>
      <c r="S6258" s="18"/>
      <c r="T6258" s="18"/>
      <c r="U6258" s="6"/>
      <c r="V6258" s="6"/>
      <c r="W6258" s="6"/>
      <c r="X6258" s="6"/>
      <c r="Y6258" s="6"/>
      <c r="Z6258" s="6"/>
    </row>
    <row r="6259" spans="14:26" ht="31.4" customHeight="1" x14ac:dyDescent="0.35">
      <c r="N6259" s="20"/>
      <c r="P6259" s="8"/>
      <c r="Q6259" s="8"/>
      <c r="R6259" s="8"/>
      <c r="S6259" s="18"/>
      <c r="T6259" s="18"/>
      <c r="U6259" s="6"/>
      <c r="V6259" s="6"/>
      <c r="W6259" s="6"/>
      <c r="X6259" s="6"/>
      <c r="Y6259" s="6"/>
      <c r="Z6259" s="6"/>
    </row>
    <row r="6260" spans="14:26" ht="31.4" customHeight="1" x14ac:dyDescent="0.35">
      <c r="N6260" s="20"/>
      <c r="P6260" s="8"/>
      <c r="Q6260" s="8"/>
      <c r="R6260" s="8"/>
      <c r="S6260" s="18"/>
      <c r="T6260" s="18"/>
      <c r="U6260" s="6"/>
      <c r="V6260" s="6"/>
      <c r="W6260" s="6"/>
      <c r="X6260" s="6"/>
      <c r="Y6260" s="6"/>
      <c r="Z6260" s="6"/>
    </row>
    <row r="6261" spans="14:26" ht="31.4" customHeight="1" x14ac:dyDescent="0.35">
      <c r="N6261" s="20"/>
      <c r="P6261" s="8"/>
      <c r="Q6261" s="8"/>
      <c r="R6261" s="8"/>
      <c r="S6261" s="18"/>
      <c r="T6261" s="18"/>
      <c r="U6261" s="6"/>
      <c r="V6261" s="6"/>
      <c r="W6261" s="6"/>
      <c r="X6261" s="6"/>
      <c r="Y6261" s="6"/>
      <c r="Z6261" s="6"/>
    </row>
    <row r="6262" spans="14:26" ht="31.4" customHeight="1" x14ac:dyDescent="0.35">
      <c r="N6262" s="20"/>
      <c r="P6262" s="8"/>
      <c r="Q6262" s="8"/>
      <c r="R6262" s="8"/>
      <c r="S6262" s="18"/>
      <c r="T6262" s="18"/>
      <c r="U6262" s="6"/>
      <c r="V6262" s="6"/>
      <c r="W6262" s="6"/>
      <c r="X6262" s="6"/>
      <c r="Y6262" s="6"/>
      <c r="Z6262" s="6"/>
    </row>
    <row r="6263" spans="14:26" ht="31.4" customHeight="1" x14ac:dyDescent="0.35">
      <c r="N6263" s="20"/>
      <c r="P6263" s="8"/>
      <c r="Q6263" s="8"/>
      <c r="R6263" s="8"/>
      <c r="S6263" s="18"/>
      <c r="T6263" s="18"/>
      <c r="U6263" s="6"/>
      <c r="V6263" s="6"/>
      <c r="W6263" s="6"/>
      <c r="X6263" s="6"/>
      <c r="Y6263" s="6"/>
      <c r="Z6263" s="6"/>
    </row>
    <row r="6264" spans="14:26" ht="31.4" customHeight="1" x14ac:dyDescent="0.35">
      <c r="N6264" s="20"/>
      <c r="P6264" s="8"/>
      <c r="Q6264" s="8"/>
      <c r="R6264" s="8"/>
      <c r="S6264" s="18"/>
      <c r="T6264" s="18"/>
      <c r="U6264" s="6"/>
      <c r="V6264" s="6"/>
      <c r="W6264" s="6"/>
      <c r="X6264" s="6"/>
      <c r="Y6264" s="6"/>
      <c r="Z6264" s="6"/>
    </row>
    <row r="6265" spans="14:26" ht="31.4" customHeight="1" x14ac:dyDescent="0.35">
      <c r="N6265" s="20"/>
      <c r="P6265" s="8"/>
      <c r="Q6265" s="8"/>
      <c r="R6265" s="8"/>
      <c r="S6265" s="18"/>
      <c r="T6265" s="18"/>
      <c r="U6265" s="6"/>
      <c r="V6265" s="6"/>
      <c r="W6265" s="6"/>
      <c r="X6265" s="6"/>
      <c r="Y6265" s="6"/>
      <c r="Z6265" s="6"/>
    </row>
    <row r="6266" spans="14:26" ht="31.4" customHeight="1" x14ac:dyDescent="0.35">
      <c r="N6266" s="20"/>
      <c r="P6266" s="8"/>
      <c r="Q6266" s="8"/>
      <c r="R6266" s="8"/>
      <c r="S6266" s="18"/>
      <c r="T6266" s="18"/>
      <c r="U6266" s="6"/>
      <c r="V6266" s="6"/>
      <c r="W6266" s="6"/>
      <c r="X6266" s="6"/>
      <c r="Y6266" s="6"/>
      <c r="Z6266" s="6"/>
    </row>
    <row r="6267" spans="14:26" ht="31.4" customHeight="1" x14ac:dyDescent="0.35">
      <c r="N6267" s="20"/>
      <c r="P6267" s="8"/>
      <c r="Q6267" s="8"/>
      <c r="R6267" s="8"/>
      <c r="S6267" s="18"/>
      <c r="T6267" s="18"/>
      <c r="U6267" s="6"/>
      <c r="V6267" s="6"/>
      <c r="W6267" s="6"/>
      <c r="X6267" s="6"/>
      <c r="Y6267" s="6"/>
      <c r="Z6267" s="6"/>
    </row>
    <row r="6268" spans="14:26" ht="31.4" customHeight="1" x14ac:dyDescent="0.35">
      <c r="N6268" s="20"/>
      <c r="P6268" s="8"/>
      <c r="Q6268" s="8"/>
      <c r="R6268" s="8"/>
      <c r="S6268" s="18"/>
      <c r="T6268" s="18"/>
      <c r="U6268" s="6"/>
      <c r="V6268" s="6"/>
      <c r="W6268" s="6"/>
      <c r="X6268" s="6"/>
      <c r="Y6268" s="6"/>
      <c r="Z6268" s="6"/>
    </row>
    <row r="6269" spans="14:26" ht="31.4" customHeight="1" x14ac:dyDescent="0.35">
      <c r="N6269" s="20"/>
      <c r="P6269" s="8"/>
      <c r="Q6269" s="8"/>
      <c r="R6269" s="8"/>
      <c r="S6269" s="18"/>
      <c r="T6269" s="18"/>
      <c r="U6269" s="6"/>
      <c r="V6269" s="6"/>
      <c r="W6269" s="6"/>
      <c r="X6269" s="6"/>
      <c r="Y6269" s="6"/>
      <c r="Z6269" s="6"/>
    </row>
    <row r="6270" spans="14:26" ht="31.4" customHeight="1" x14ac:dyDescent="0.35">
      <c r="N6270" s="20"/>
      <c r="P6270" s="8"/>
      <c r="Q6270" s="8"/>
      <c r="R6270" s="8"/>
      <c r="S6270" s="18"/>
      <c r="T6270" s="18"/>
      <c r="U6270" s="6"/>
      <c r="V6270" s="6"/>
      <c r="W6270" s="6"/>
      <c r="X6270" s="6"/>
      <c r="Y6270" s="6"/>
      <c r="Z6270" s="6"/>
    </row>
    <row r="6271" spans="14:26" ht="31.4" customHeight="1" x14ac:dyDescent="0.35">
      <c r="N6271" s="20"/>
      <c r="P6271" s="8"/>
      <c r="Q6271" s="8"/>
      <c r="R6271" s="8"/>
      <c r="S6271" s="18"/>
      <c r="T6271" s="18"/>
      <c r="U6271" s="6"/>
      <c r="V6271" s="6"/>
      <c r="W6271" s="6"/>
      <c r="X6271" s="6"/>
      <c r="Y6271" s="6"/>
      <c r="Z6271" s="6"/>
    </row>
    <row r="6272" spans="14:26" ht="31.4" customHeight="1" x14ac:dyDescent="0.35">
      <c r="N6272" s="20"/>
      <c r="P6272" s="8"/>
      <c r="Q6272" s="8"/>
      <c r="R6272" s="8"/>
      <c r="S6272" s="18"/>
      <c r="T6272" s="18"/>
      <c r="U6272" s="6"/>
      <c r="V6272" s="6"/>
      <c r="W6272" s="6"/>
      <c r="X6272" s="6"/>
      <c r="Y6272" s="6"/>
      <c r="Z6272" s="6"/>
    </row>
    <row r="6273" spans="14:26" ht="31.4" customHeight="1" x14ac:dyDescent="0.35">
      <c r="N6273" s="20"/>
      <c r="P6273" s="8"/>
      <c r="Q6273" s="8"/>
      <c r="R6273" s="8"/>
      <c r="S6273" s="18"/>
      <c r="T6273" s="18"/>
      <c r="U6273" s="6"/>
      <c r="V6273" s="6"/>
      <c r="W6273" s="6"/>
      <c r="X6273" s="6"/>
      <c r="Y6273" s="6"/>
      <c r="Z6273" s="6"/>
    </row>
    <row r="6274" spans="14:26" ht="31.4" customHeight="1" x14ac:dyDescent="0.35">
      <c r="N6274" s="20"/>
      <c r="P6274" s="8"/>
      <c r="Q6274" s="8"/>
      <c r="R6274" s="8"/>
      <c r="S6274" s="18"/>
      <c r="T6274" s="18"/>
      <c r="U6274" s="6"/>
      <c r="V6274" s="6"/>
      <c r="W6274" s="6"/>
      <c r="X6274" s="6"/>
      <c r="Y6274" s="6"/>
      <c r="Z6274" s="6"/>
    </row>
    <row r="6275" spans="14:26" ht="31.4" customHeight="1" x14ac:dyDescent="0.35">
      <c r="N6275" s="20"/>
      <c r="P6275" s="8"/>
      <c r="Q6275" s="8"/>
      <c r="R6275" s="8"/>
      <c r="S6275" s="18"/>
      <c r="T6275" s="18"/>
      <c r="U6275" s="6"/>
      <c r="V6275" s="6"/>
      <c r="W6275" s="6"/>
      <c r="X6275" s="6"/>
      <c r="Y6275" s="6"/>
      <c r="Z6275" s="6"/>
    </row>
    <row r="6276" spans="14:26" ht="31.4" customHeight="1" x14ac:dyDescent="0.35">
      <c r="N6276" s="20"/>
      <c r="P6276" s="8"/>
      <c r="Q6276" s="8"/>
      <c r="R6276" s="8"/>
      <c r="S6276" s="18"/>
      <c r="T6276" s="18"/>
      <c r="U6276" s="6"/>
      <c r="V6276" s="6"/>
      <c r="W6276" s="6"/>
      <c r="X6276" s="6"/>
      <c r="Y6276" s="6"/>
      <c r="Z6276" s="6"/>
    </row>
    <row r="6277" spans="14:26" ht="31.4" customHeight="1" x14ac:dyDescent="0.35">
      <c r="N6277" s="20"/>
      <c r="P6277" s="8"/>
      <c r="Q6277" s="8"/>
      <c r="R6277" s="8"/>
      <c r="S6277" s="18"/>
      <c r="T6277" s="18"/>
      <c r="U6277" s="6"/>
      <c r="V6277" s="6"/>
      <c r="W6277" s="6"/>
      <c r="X6277" s="6"/>
      <c r="Y6277" s="6"/>
      <c r="Z6277" s="6"/>
    </row>
    <row r="6278" spans="14:26" ht="31.4" customHeight="1" x14ac:dyDescent="0.35">
      <c r="N6278" s="20"/>
      <c r="P6278" s="8"/>
      <c r="Q6278" s="8"/>
      <c r="R6278" s="8"/>
      <c r="S6278" s="18"/>
      <c r="T6278" s="18"/>
      <c r="U6278" s="6"/>
      <c r="V6278" s="6"/>
      <c r="W6278" s="6"/>
      <c r="X6278" s="6"/>
      <c r="Y6278" s="6"/>
      <c r="Z6278" s="6"/>
    </row>
    <row r="6279" spans="14:26" ht="31.4" customHeight="1" x14ac:dyDescent="0.35">
      <c r="N6279" s="20"/>
      <c r="P6279" s="8"/>
      <c r="Q6279" s="8"/>
      <c r="R6279" s="8"/>
      <c r="S6279" s="18"/>
      <c r="T6279" s="18"/>
      <c r="U6279" s="6"/>
      <c r="V6279" s="6"/>
      <c r="W6279" s="6"/>
      <c r="X6279" s="6"/>
      <c r="Y6279" s="6"/>
      <c r="Z6279" s="6"/>
    </row>
    <row r="6280" spans="14:26" ht="31.4" customHeight="1" x14ac:dyDescent="0.35">
      <c r="N6280" s="20"/>
      <c r="P6280" s="8"/>
      <c r="Q6280" s="8"/>
      <c r="R6280" s="8"/>
      <c r="S6280" s="18"/>
      <c r="T6280" s="18"/>
      <c r="U6280" s="6"/>
      <c r="V6280" s="6"/>
      <c r="W6280" s="6"/>
      <c r="X6280" s="6"/>
      <c r="Y6280" s="6"/>
      <c r="Z6280" s="6"/>
    </row>
    <row r="6281" spans="14:26" ht="31.4" customHeight="1" x14ac:dyDescent="0.35">
      <c r="N6281" s="20"/>
      <c r="P6281" s="8"/>
      <c r="Q6281" s="8"/>
      <c r="R6281" s="8"/>
      <c r="S6281" s="18"/>
      <c r="T6281" s="18"/>
      <c r="U6281" s="6"/>
      <c r="V6281" s="6"/>
      <c r="W6281" s="6"/>
      <c r="X6281" s="6"/>
      <c r="Y6281" s="6"/>
      <c r="Z6281" s="6"/>
    </row>
    <row r="6282" spans="14:26" ht="31.4" customHeight="1" x14ac:dyDescent="0.35">
      <c r="N6282" s="20"/>
      <c r="P6282" s="8"/>
      <c r="Q6282" s="8"/>
      <c r="R6282" s="8"/>
      <c r="S6282" s="18"/>
      <c r="T6282" s="18"/>
      <c r="U6282" s="6"/>
      <c r="V6282" s="6"/>
      <c r="W6282" s="6"/>
      <c r="X6282" s="6"/>
      <c r="Y6282" s="6"/>
      <c r="Z6282" s="6"/>
    </row>
    <row r="6283" spans="14:26" ht="31.4" customHeight="1" x14ac:dyDescent="0.35">
      <c r="N6283" s="20"/>
      <c r="P6283" s="8"/>
      <c r="Q6283" s="8"/>
      <c r="R6283" s="8"/>
      <c r="S6283" s="18"/>
      <c r="T6283" s="18"/>
      <c r="U6283" s="6"/>
      <c r="V6283" s="6"/>
      <c r="W6283" s="6"/>
      <c r="X6283" s="6"/>
      <c r="Y6283" s="6"/>
      <c r="Z6283" s="6"/>
    </row>
    <row r="6284" spans="14:26" ht="31.4" customHeight="1" x14ac:dyDescent="0.35">
      <c r="N6284" s="20"/>
      <c r="P6284" s="8"/>
      <c r="Q6284" s="8"/>
      <c r="R6284" s="8"/>
      <c r="S6284" s="18"/>
      <c r="T6284" s="18"/>
      <c r="U6284" s="6"/>
      <c r="V6284" s="6"/>
      <c r="W6284" s="6"/>
      <c r="X6284" s="6"/>
      <c r="Y6284" s="6"/>
      <c r="Z6284" s="6"/>
    </row>
    <row r="6285" spans="14:26" ht="31.4" customHeight="1" x14ac:dyDescent="0.35">
      <c r="N6285" s="20"/>
      <c r="P6285" s="8"/>
      <c r="Q6285" s="8"/>
      <c r="R6285" s="8"/>
      <c r="S6285" s="18"/>
      <c r="T6285" s="18"/>
      <c r="U6285" s="6"/>
      <c r="V6285" s="6"/>
      <c r="W6285" s="6"/>
      <c r="X6285" s="6"/>
      <c r="Y6285" s="6"/>
      <c r="Z6285" s="6"/>
    </row>
    <row r="6286" spans="14:26" ht="31.4" customHeight="1" x14ac:dyDescent="0.35">
      <c r="N6286" s="20"/>
      <c r="P6286" s="8"/>
      <c r="Q6286" s="8"/>
      <c r="R6286" s="8"/>
      <c r="S6286" s="18"/>
      <c r="T6286" s="18"/>
      <c r="U6286" s="6"/>
      <c r="V6286" s="6"/>
      <c r="W6286" s="6"/>
      <c r="X6286" s="6"/>
      <c r="Y6286" s="6"/>
      <c r="Z6286" s="6"/>
    </row>
    <row r="6287" spans="14:26" ht="31.4" customHeight="1" x14ac:dyDescent="0.35">
      <c r="N6287" s="20"/>
      <c r="P6287" s="8"/>
      <c r="Q6287" s="8"/>
      <c r="R6287" s="8"/>
      <c r="S6287" s="18"/>
      <c r="T6287" s="18"/>
      <c r="U6287" s="6"/>
      <c r="V6287" s="6"/>
      <c r="W6287" s="6"/>
      <c r="X6287" s="6"/>
      <c r="Y6287" s="6"/>
      <c r="Z6287" s="6"/>
    </row>
    <row r="6288" spans="14:26" ht="31.4" customHeight="1" x14ac:dyDescent="0.35">
      <c r="N6288" s="20"/>
      <c r="P6288" s="8"/>
      <c r="Q6288" s="8"/>
      <c r="R6288" s="8"/>
      <c r="S6288" s="18"/>
      <c r="T6288" s="18"/>
      <c r="U6288" s="6"/>
      <c r="V6288" s="6"/>
      <c r="W6288" s="6"/>
      <c r="X6288" s="6"/>
      <c r="Y6288" s="6"/>
      <c r="Z6288" s="6"/>
    </row>
    <row r="6289" spans="14:26" ht="31.4" customHeight="1" x14ac:dyDescent="0.35">
      <c r="N6289" s="20"/>
      <c r="P6289" s="8"/>
      <c r="Q6289" s="8"/>
      <c r="R6289" s="8"/>
      <c r="S6289" s="18"/>
      <c r="T6289" s="18"/>
      <c r="U6289" s="6"/>
      <c r="V6289" s="6"/>
      <c r="W6289" s="6"/>
      <c r="X6289" s="6"/>
      <c r="Y6289" s="6"/>
      <c r="Z6289" s="6"/>
    </row>
    <row r="6290" spans="14:26" ht="31.4" customHeight="1" x14ac:dyDescent="0.35">
      <c r="N6290" s="20"/>
      <c r="P6290" s="8"/>
      <c r="Q6290" s="8"/>
      <c r="R6290" s="8"/>
      <c r="S6290" s="18"/>
      <c r="T6290" s="18"/>
      <c r="U6290" s="6"/>
      <c r="V6290" s="6"/>
      <c r="W6290" s="6"/>
      <c r="X6290" s="6"/>
      <c r="Y6290" s="6"/>
      <c r="Z6290" s="6"/>
    </row>
    <row r="6291" spans="14:26" ht="31.4" customHeight="1" x14ac:dyDescent="0.35">
      <c r="N6291" s="20"/>
      <c r="P6291" s="8"/>
      <c r="Q6291" s="8"/>
      <c r="R6291" s="8"/>
      <c r="S6291" s="18"/>
      <c r="T6291" s="18"/>
      <c r="U6291" s="6"/>
      <c r="V6291" s="6"/>
      <c r="W6291" s="6"/>
      <c r="X6291" s="6"/>
      <c r="Y6291" s="6"/>
      <c r="Z6291" s="6"/>
    </row>
    <row r="6292" spans="14:26" ht="31.4" customHeight="1" x14ac:dyDescent="0.35">
      <c r="N6292" s="20"/>
      <c r="P6292" s="8"/>
      <c r="Q6292" s="8"/>
      <c r="R6292" s="8"/>
      <c r="S6292" s="18"/>
      <c r="T6292" s="18"/>
      <c r="U6292" s="6"/>
      <c r="V6292" s="6"/>
      <c r="W6292" s="6"/>
      <c r="X6292" s="6"/>
      <c r="Y6292" s="6"/>
      <c r="Z6292" s="6"/>
    </row>
    <row r="6293" spans="14:26" ht="31.4" customHeight="1" x14ac:dyDescent="0.35">
      <c r="N6293" s="20"/>
      <c r="P6293" s="8"/>
      <c r="Q6293" s="8"/>
      <c r="R6293" s="8"/>
      <c r="S6293" s="18"/>
      <c r="T6293" s="18"/>
      <c r="U6293" s="6"/>
      <c r="V6293" s="6"/>
      <c r="W6293" s="6"/>
      <c r="X6293" s="6"/>
      <c r="Y6293" s="6"/>
      <c r="Z6293" s="6"/>
    </row>
    <row r="6294" spans="14:26" ht="31.4" customHeight="1" x14ac:dyDescent="0.35">
      <c r="N6294" s="20"/>
      <c r="P6294" s="8"/>
      <c r="Q6294" s="8"/>
      <c r="R6294" s="8"/>
      <c r="S6294" s="18"/>
      <c r="T6294" s="18"/>
      <c r="U6294" s="6"/>
      <c r="V6294" s="6"/>
      <c r="W6294" s="6"/>
      <c r="X6294" s="6"/>
      <c r="Y6294" s="6"/>
      <c r="Z6294" s="6"/>
    </row>
    <row r="6295" spans="14:26" ht="31.4" customHeight="1" x14ac:dyDescent="0.35">
      <c r="N6295" s="20"/>
      <c r="P6295" s="8"/>
      <c r="Q6295" s="8"/>
      <c r="R6295" s="8"/>
      <c r="S6295" s="18"/>
      <c r="T6295" s="18"/>
      <c r="U6295" s="6"/>
      <c r="V6295" s="6"/>
      <c r="W6295" s="6"/>
      <c r="X6295" s="6"/>
      <c r="Y6295" s="6"/>
      <c r="Z6295" s="6"/>
    </row>
    <row r="6296" spans="14:26" ht="31.4" customHeight="1" x14ac:dyDescent="0.35">
      <c r="N6296" s="20"/>
      <c r="P6296" s="8"/>
      <c r="Q6296" s="8"/>
      <c r="R6296" s="8"/>
      <c r="S6296" s="18"/>
      <c r="T6296" s="18"/>
      <c r="U6296" s="6"/>
      <c r="V6296" s="6"/>
      <c r="W6296" s="6"/>
      <c r="X6296" s="6"/>
      <c r="Y6296" s="6"/>
      <c r="Z6296" s="6"/>
    </row>
    <row r="6297" spans="14:26" ht="31.4" customHeight="1" x14ac:dyDescent="0.35">
      <c r="N6297" s="20"/>
      <c r="P6297" s="8"/>
      <c r="Q6297" s="8"/>
      <c r="R6297" s="8"/>
      <c r="S6297" s="18"/>
      <c r="T6297" s="18"/>
      <c r="U6297" s="6"/>
      <c r="V6297" s="6"/>
      <c r="W6297" s="6"/>
      <c r="X6297" s="6"/>
      <c r="Y6297" s="6"/>
      <c r="Z6297" s="6"/>
    </row>
    <row r="6298" spans="14:26" ht="31.4" customHeight="1" x14ac:dyDescent="0.35">
      <c r="N6298" s="20"/>
      <c r="P6298" s="8"/>
      <c r="Q6298" s="8"/>
      <c r="R6298" s="8"/>
      <c r="S6298" s="18"/>
      <c r="T6298" s="18"/>
      <c r="U6298" s="6"/>
      <c r="V6298" s="6"/>
      <c r="W6298" s="6"/>
      <c r="X6298" s="6"/>
      <c r="Y6298" s="6"/>
      <c r="Z6298" s="6"/>
    </row>
    <row r="6299" spans="14:26" ht="31.4" customHeight="1" x14ac:dyDescent="0.35">
      <c r="N6299" s="20"/>
      <c r="P6299" s="8"/>
      <c r="Q6299" s="8"/>
      <c r="R6299" s="8"/>
      <c r="S6299" s="18"/>
      <c r="T6299" s="18"/>
      <c r="U6299" s="6"/>
      <c r="V6299" s="6"/>
      <c r="W6299" s="6"/>
      <c r="X6299" s="6"/>
      <c r="Y6299" s="6"/>
      <c r="Z6299" s="6"/>
    </row>
    <row r="6300" spans="14:26" ht="31.4" customHeight="1" x14ac:dyDescent="0.35">
      <c r="N6300" s="20"/>
      <c r="P6300" s="8"/>
      <c r="Q6300" s="8"/>
      <c r="R6300" s="8"/>
      <c r="S6300" s="18"/>
      <c r="T6300" s="18"/>
      <c r="U6300" s="6"/>
      <c r="V6300" s="6"/>
      <c r="W6300" s="6"/>
      <c r="X6300" s="6"/>
      <c r="Y6300" s="6"/>
      <c r="Z6300" s="6"/>
    </row>
    <row r="6301" spans="14:26" ht="31.4" customHeight="1" x14ac:dyDescent="0.35">
      <c r="N6301" s="20"/>
      <c r="P6301" s="8"/>
      <c r="Q6301" s="8"/>
      <c r="R6301" s="8"/>
      <c r="S6301" s="18"/>
      <c r="T6301" s="18"/>
      <c r="U6301" s="6"/>
      <c r="V6301" s="6"/>
      <c r="W6301" s="6"/>
      <c r="X6301" s="6"/>
      <c r="Y6301" s="6"/>
      <c r="Z6301" s="6"/>
    </row>
    <row r="6302" spans="14:26" ht="31.4" customHeight="1" x14ac:dyDescent="0.35">
      <c r="N6302" s="20"/>
      <c r="P6302" s="8"/>
      <c r="Q6302" s="8"/>
      <c r="R6302" s="8"/>
      <c r="S6302" s="18"/>
      <c r="T6302" s="18"/>
      <c r="U6302" s="6"/>
      <c r="V6302" s="6"/>
      <c r="W6302" s="6"/>
      <c r="X6302" s="6"/>
      <c r="Y6302" s="6"/>
      <c r="Z6302" s="6"/>
    </row>
    <row r="6303" spans="14:26" ht="31.4" customHeight="1" x14ac:dyDescent="0.35">
      <c r="N6303" s="20"/>
      <c r="P6303" s="8"/>
      <c r="Q6303" s="8"/>
      <c r="R6303" s="8"/>
      <c r="S6303" s="18"/>
      <c r="T6303" s="18"/>
      <c r="U6303" s="6"/>
      <c r="V6303" s="6"/>
      <c r="W6303" s="6"/>
      <c r="X6303" s="6"/>
      <c r="Y6303" s="6"/>
      <c r="Z6303" s="6"/>
    </row>
    <row r="6304" spans="14:26" ht="31.4" customHeight="1" x14ac:dyDescent="0.35">
      <c r="N6304" s="20"/>
      <c r="P6304" s="8"/>
      <c r="Q6304" s="8"/>
      <c r="R6304" s="8"/>
      <c r="S6304" s="18"/>
      <c r="T6304" s="18"/>
      <c r="U6304" s="6"/>
      <c r="V6304" s="6"/>
      <c r="W6304" s="6"/>
      <c r="X6304" s="6"/>
      <c r="Y6304" s="6"/>
      <c r="Z6304" s="6"/>
    </row>
    <row r="6305" spans="14:26" ht="31.4" customHeight="1" x14ac:dyDescent="0.35">
      <c r="N6305" s="20"/>
      <c r="P6305" s="8"/>
      <c r="Q6305" s="8"/>
      <c r="R6305" s="8"/>
      <c r="S6305" s="18"/>
      <c r="T6305" s="18"/>
      <c r="U6305" s="6"/>
      <c r="V6305" s="6"/>
      <c r="W6305" s="6"/>
      <c r="X6305" s="6"/>
      <c r="Y6305" s="6"/>
      <c r="Z6305" s="6"/>
    </row>
    <row r="6306" spans="14:26" ht="31.4" customHeight="1" x14ac:dyDescent="0.35">
      <c r="N6306" s="20"/>
      <c r="P6306" s="8"/>
      <c r="Q6306" s="8"/>
      <c r="R6306" s="8"/>
      <c r="S6306" s="18"/>
      <c r="T6306" s="18"/>
      <c r="U6306" s="6"/>
      <c r="V6306" s="6"/>
      <c r="W6306" s="6"/>
      <c r="X6306" s="6"/>
      <c r="Y6306" s="6"/>
      <c r="Z6306" s="6"/>
    </row>
    <row r="6307" spans="14:26" ht="31.4" customHeight="1" x14ac:dyDescent="0.35">
      <c r="N6307" s="20"/>
      <c r="P6307" s="8"/>
      <c r="Q6307" s="8"/>
      <c r="R6307" s="8"/>
      <c r="S6307" s="18"/>
      <c r="T6307" s="18"/>
      <c r="U6307" s="6"/>
      <c r="V6307" s="6"/>
      <c r="W6307" s="6"/>
      <c r="X6307" s="6"/>
      <c r="Y6307" s="6"/>
      <c r="Z6307" s="6"/>
    </row>
    <row r="6308" spans="14:26" ht="31.4" customHeight="1" x14ac:dyDescent="0.35">
      <c r="N6308" s="20"/>
      <c r="P6308" s="8"/>
      <c r="Q6308" s="8"/>
      <c r="R6308" s="8"/>
      <c r="S6308" s="18"/>
      <c r="T6308" s="18"/>
      <c r="U6308" s="6"/>
      <c r="V6308" s="6"/>
      <c r="W6308" s="6"/>
      <c r="X6308" s="6"/>
      <c r="Y6308" s="6"/>
      <c r="Z6308" s="6"/>
    </row>
    <row r="6309" spans="14:26" ht="31.4" customHeight="1" x14ac:dyDescent="0.35">
      <c r="N6309" s="20"/>
      <c r="P6309" s="8"/>
      <c r="Q6309" s="8"/>
      <c r="R6309" s="8"/>
      <c r="S6309" s="18"/>
      <c r="T6309" s="18"/>
      <c r="U6309" s="6"/>
      <c r="V6309" s="6"/>
      <c r="W6309" s="6"/>
      <c r="X6309" s="6"/>
      <c r="Y6309" s="6"/>
      <c r="Z6309" s="6"/>
    </row>
    <row r="6310" spans="14:26" ht="31.4" customHeight="1" x14ac:dyDescent="0.35">
      <c r="N6310" s="20"/>
      <c r="P6310" s="8"/>
      <c r="Q6310" s="8"/>
      <c r="R6310" s="8"/>
      <c r="S6310" s="18"/>
      <c r="T6310" s="18"/>
      <c r="U6310" s="6"/>
      <c r="V6310" s="6"/>
      <c r="W6310" s="6"/>
      <c r="X6310" s="6"/>
      <c r="Y6310" s="6"/>
      <c r="Z6310" s="6"/>
    </row>
    <row r="6311" spans="14:26" ht="31.4" customHeight="1" x14ac:dyDescent="0.35">
      <c r="N6311" s="20"/>
      <c r="P6311" s="8"/>
      <c r="Q6311" s="8"/>
      <c r="R6311" s="8"/>
      <c r="S6311" s="18"/>
      <c r="T6311" s="18"/>
      <c r="U6311" s="6"/>
      <c r="V6311" s="6"/>
      <c r="W6311" s="6"/>
      <c r="X6311" s="6"/>
      <c r="Y6311" s="6"/>
      <c r="Z6311" s="6"/>
    </row>
    <row r="6312" spans="14:26" ht="31.4" customHeight="1" x14ac:dyDescent="0.35">
      <c r="N6312" s="20"/>
      <c r="P6312" s="8"/>
      <c r="Q6312" s="8"/>
      <c r="R6312" s="8"/>
      <c r="S6312" s="18"/>
      <c r="T6312" s="18"/>
      <c r="U6312" s="6"/>
      <c r="V6312" s="6"/>
      <c r="W6312" s="6"/>
      <c r="X6312" s="6"/>
      <c r="Y6312" s="6"/>
      <c r="Z6312" s="6"/>
    </row>
    <row r="6313" spans="14:26" ht="31.4" customHeight="1" x14ac:dyDescent="0.35">
      <c r="N6313" s="20"/>
      <c r="P6313" s="8"/>
      <c r="Q6313" s="8"/>
      <c r="R6313" s="8"/>
      <c r="S6313" s="18"/>
      <c r="T6313" s="18"/>
      <c r="U6313" s="6"/>
      <c r="V6313" s="6"/>
      <c r="W6313" s="6"/>
      <c r="X6313" s="6"/>
      <c r="Y6313" s="6"/>
      <c r="Z6313" s="6"/>
    </row>
    <row r="6314" spans="14:26" ht="31.4" customHeight="1" x14ac:dyDescent="0.35">
      <c r="N6314" s="20"/>
      <c r="P6314" s="8"/>
      <c r="Q6314" s="8"/>
      <c r="R6314" s="8"/>
      <c r="S6314" s="18"/>
      <c r="T6314" s="18"/>
      <c r="U6314" s="6"/>
      <c r="V6314" s="6"/>
      <c r="W6314" s="6"/>
      <c r="X6314" s="6"/>
      <c r="Y6314" s="6"/>
      <c r="Z6314" s="6"/>
    </row>
    <row r="6315" spans="14:26" ht="31.4" customHeight="1" x14ac:dyDescent="0.35">
      <c r="N6315" s="20"/>
      <c r="P6315" s="8"/>
      <c r="Q6315" s="8"/>
      <c r="R6315" s="8"/>
      <c r="S6315" s="18"/>
      <c r="T6315" s="18"/>
      <c r="U6315" s="6"/>
      <c r="V6315" s="6"/>
      <c r="W6315" s="6"/>
      <c r="X6315" s="6"/>
      <c r="Y6315" s="6"/>
      <c r="Z6315" s="6"/>
    </row>
    <row r="6316" spans="14:26" ht="31.4" customHeight="1" x14ac:dyDescent="0.35">
      <c r="N6316" s="20"/>
      <c r="P6316" s="8"/>
      <c r="Q6316" s="8"/>
      <c r="R6316" s="8"/>
      <c r="S6316" s="18"/>
      <c r="T6316" s="18"/>
      <c r="U6316" s="6"/>
      <c r="V6316" s="6"/>
      <c r="W6316" s="6"/>
      <c r="X6316" s="6"/>
      <c r="Y6316" s="6"/>
      <c r="Z6316" s="6"/>
    </row>
    <row r="6317" spans="14:26" ht="31.4" customHeight="1" x14ac:dyDescent="0.35">
      <c r="N6317" s="20"/>
      <c r="P6317" s="8"/>
      <c r="Q6317" s="8"/>
      <c r="R6317" s="8"/>
      <c r="S6317" s="18"/>
      <c r="T6317" s="18"/>
      <c r="U6317" s="6"/>
      <c r="V6317" s="6"/>
      <c r="W6317" s="6"/>
      <c r="X6317" s="6"/>
      <c r="Y6317" s="6"/>
      <c r="Z6317" s="6"/>
    </row>
    <row r="6318" spans="14:26" ht="31.4" customHeight="1" x14ac:dyDescent="0.35">
      <c r="N6318" s="20"/>
      <c r="P6318" s="8"/>
      <c r="Q6318" s="8"/>
      <c r="R6318" s="8"/>
      <c r="S6318" s="18"/>
      <c r="T6318" s="18"/>
      <c r="U6318" s="6"/>
      <c r="V6318" s="6"/>
      <c r="W6318" s="6"/>
      <c r="X6318" s="6"/>
      <c r="Y6318" s="6"/>
      <c r="Z6318" s="6"/>
    </row>
    <row r="6319" spans="14:26" ht="31.4" customHeight="1" x14ac:dyDescent="0.35">
      <c r="N6319" s="20"/>
      <c r="P6319" s="8"/>
      <c r="Q6319" s="8"/>
      <c r="R6319" s="8"/>
      <c r="S6319" s="18"/>
      <c r="T6319" s="18"/>
      <c r="U6319" s="6"/>
      <c r="V6319" s="6"/>
      <c r="W6319" s="6"/>
      <c r="X6319" s="6"/>
      <c r="Y6319" s="6"/>
      <c r="Z6319" s="6"/>
    </row>
    <row r="6320" spans="14:26" ht="31.4" customHeight="1" x14ac:dyDescent="0.35">
      <c r="N6320" s="20"/>
      <c r="P6320" s="8"/>
      <c r="Q6320" s="8"/>
      <c r="R6320" s="8"/>
      <c r="S6320" s="18"/>
      <c r="T6320" s="18"/>
      <c r="U6320" s="6"/>
      <c r="V6320" s="6"/>
      <c r="W6320" s="6"/>
      <c r="X6320" s="6"/>
      <c r="Y6320" s="6"/>
      <c r="Z6320" s="6"/>
    </row>
    <row r="6321" spans="14:26" ht="31.4" customHeight="1" x14ac:dyDescent="0.35">
      <c r="N6321" s="20"/>
      <c r="P6321" s="8"/>
      <c r="Q6321" s="8"/>
      <c r="R6321" s="8"/>
      <c r="S6321" s="18"/>
      <c r="T6321" s="18"/>
      <c r="U6321" s="6"/>
      <c r="V6321" s="6"/>
      <c r="W6321" s="6"/>
      <c r="X6321" s="6"/>
      <c r="Y6321" s="6"/>
      <c r="Z6321" s="6"/>
    </row>
    <row r="6322" spans="14:26" ht="31.4" customHeight="1" x14ac:dyDescent="0.35">
      <c r="N6322" s="20"/>
      <c r="P6322" s="8"/>
      <c r="Q6322" s="8"/>
      <c r="R6322" s="8"/>
      <c r="S6322" s="18"/>
      <c r="T6322" s="18"/>
      <c r="U6322" s="6"/>
      <c r="V6322" s="6"/>
      <c r="W6322" s="6"/>
      <c r="X6322" s="6"/>
      <c r="Y6322" s="6"/>
      <c r="Z6322" s="6"/>
    </row>
    <row r="6323" spans="14:26" ht="31.4" customHeight="1" x14ac:dyDescent="0.35">
      <c r="N6323" s="20"/>
      <c r="P6323" s="8"/>
      <c r="Q6323" s="8"/>
      <c r="R6323" s="8"/>
      <c r="S6323" s="18"/>
      <c r="T6323" s="18"/>
      <c r="U6323" s="6"/>
      <c r="V6323" s="6"/>
      <c r="W6323" s="6"/>
      <c r="X6323" s="6"/>
      <c r="Y6323" s="6"/>
      <c r="Z6323" s="6"/>
    </row>
    <row r="6324" spans="14:26" ht="31.4" customHeight="1" x14ac:dyDescent="0.35">
      <c r="N6324" s="20"/>
      <c r="P6324" s="8"/>
      <c r="Q6324" s="8"/>
      <c r="R6324" s="8"/>
      <c r="S6324" s="18"/>
      <c r="T6324" s="18"/>
      <c r="U6324" s="6"/>
      <c r="V6324" s="6"/>
      <c r="W6324" s="6"/>
      <c r="X6324" s="6"/>
      <c r="Y6324" s="6"/>
      <c r="Z6324" s="6"/>
    </row>
    <row r="6325" spans="14:26" ht="31.4" customHeight="1" x14ac:dyDescent="0.35">
      <c r="N6325" s="20"/>
      <c r="P6325" s="8"/>
      <c r="Q6325" s="8"/>
      <c r="R6325" s="8"/>
      <c r="S6325" s="18"/>
      <c r="T6325" s="18"/>
      <c r="U6325" s="6"/>
      <c r="V6325" s="6"/>
      <c r="W6325" s="6"/>
      <c r="X6325" s="6"/>
      <c r="Y6325" s="6"/>
      <c r="Z6325" s="6"/>
    </row>
    <row r="6326" spans="14:26" ht="31.4" customHeight="1" x14ac:dyDescent="0.35">
      <c r="N6326" s="20"/>
      <c r="P6326" s="8"/>
      <c r="Q6326" s="8"/>
      <c r="R6326" s="8"/>
      <c r="S6326" s="18"/>
      <c r="T6326" s="18"/>
      <c r="U6326" s="6"/>
      <c r="V6326" s="6"/>
      <c r="W6326" s="6"/>
      <c r="X6326" s="6"/>
      <c r="Y6326" s="6"/>
      <c r="Z6326" s="6"/>
    </row>
    <row r="6327" spans="14:26" ht="31.4" customHeight="1" x14ac:dyDescent="0.35">
      <c r="N6327" s="20"/>
      <c r="P6327" s="8"/>
      <c r="Q6327" s="8"/>
      <c r="R6327" s="8"/>
      <c r="S6327" s="18"/>
      <c r="T6327" s="18"/>
      <c r="U6327" s="6"/>
      <c r="V6327" s="6"/>
      <c r="W6327" s="6"/>
      <c r="X6327" s="6"/>
      <c r="Y6327" s="6"/>
      <c r="Z6327" s="6"/>
    </row>
    <row r="6328" spans="14:26" ht="31.4" customHeight="1" x14ac:dyDescent="0.35">
      <c r="N6328" s="20"/>
      <c r="P6328" s="8"/>
      <c r="Q6328" s="8"/>
      <c r="R6328" s="8"/>
      <c r="S6328" s="18"/>
      <c r="T6328" s="18"/>
      <c r="U6328" s="6"/>
      <c r="V6328" s="6"/>
      <c r="W6328" s="6"/>
      <c r="X6328" s="6"/>
      <c r="Y6328" s="6"/>
      <c r="Z6328" s="6"/>
    </row>
    <row r="6329" spans="14:26" ht="31.4" customHeight="1" x14ac:dyDescent="0.35">
      <c r="N6329" s="20"/>
      <c r="P6329" s="8"/>
      <c r="Q6329" s="8"/>
      <c r="R6329" s="8"/>
      <c r="S6329" s="18"/>
      <c r="T6329" s="18"/>
      <c r="U6329" s="6"/>
      <c r="V6329" s="6"/>
      <c r="W6329" s="6"/>
      <c r="X6329" s="6"/>
      <c r="Y6329" s="6"/>
      <c r="Z6329" s="6"/>
    </row>
    <row r="6330" spans="14:26" ht="31.4" customHeight="1" x14ac:dyDescent="0.35">
      <c r="N6330" s="20"/>
      <c r="P6330" s="8"/>
      <c r="Q6330" s="8"/>
      <c r="R6330" s="8"/>
      <c r="S6330" s="18"/>
      <c r="T6330" s="18"/>
      <c r="U6330" s="6"/>
      <c r="V6330" s="6"/>
      <c r="W6330" s="6"/>
      <c r="X6330" s="6"/>
      <c r="Y6330" s="6"/>
      <c r="Z6330" s="6"/>
    </row>
    <row r="6331" spans="14:26" ht="31.4" customHeight="1" x14ac:dyDescent="0.35">
      <c r="N6331" s="20"/>
      <c r="P6331" s="8"/>
      <c r="Q6331" s="8"/>
      <c r="R6331" s="8"/>
      <c r="S6331" s="18"/>
      <c r="T6331" s="18"/>
      <c r="U6331" s="6"/>
      <c r="V6331" s="6"/>
      <c r="W6331" s="6"/>
      <c r="X6331" s="6"/>
      <c r="Y6331" s="6"/>
      <c r="Z6331" s="6"/>
    </row>
    <row r="6332" spans="14:26" ht="31.4" customHeight="1" x14ac:dyDescent="0.35">
      <c r="N6332" s="20"/>
      <c r="P6332" s="8"/>
      <c r="Q6332" s="8"/>
      <c r="R6332" s="8"/>
      <c r="S6332" s="18"/>
      <c r="T6332" s="18"/>
      <c r="U6332" s="6"/>
      <c r="V6332" s="6"/>
      <c r="W6332" s="6"/>
      <c r="X6332" s="6"/>
      <c r="Y6332" s="6"/>
      <c r="Z6332" s="6"/>
    </row>
    <row r="6333" spans="14:26" ht="31.4" customHeight="1" x14ac:dyDescent="0.35">
      <c r="N6333" s="20"/>
      <c r="P6333" s="8"/>
      <c r="Q6333" s="8"/>
      <c r="R6333" s="8"/>
      <c r="S6333" s="18"/>
      <c r="T6333" s="18"/>
      <c r="U6333" s="6"/>
      <c r="V6333" s="6"/>
      <c r="W6333" s="6"/>
      <c r="X6333" s="6"/>
      <c r="Y6333" s="6"/>
      <c r="Z6333" s="6"/>
    </row>
    <row r="6334" spans="14:26" ht="31.4" customHeight="1" x14ac:dyDescent="0.35">
      <c r="N6334" s="20"/>
      <c r="P6334" s="8"/>
      <c r="Q6334" s="8"/>
      <c r="R6334" s="8"/>
      <c r="S6334" s="18"/>
      <c r="T6334" s="18"/>
      <c r="U6334" s="6"/>
      <c r="V6334" s="6"/>
      <c r="W6334" s="6"/>
      <c r="X6334" s="6"/>
      <c r="Y6334" s="6"/>
      <c r="Z6334" s="6"/>
    </row>
    <row r="6335" spans="14:26" ht="31.4" customHeight="1" x14ac:dyDescent="0.35">
      <c r="N6335" s="20"/>
      <c r="P6335" s="8"/>
      <c r="Q6335" s="8"/>
      <c r="R6335" s="8"/>
      <c r="S6335" s="18"/>
      <c r="T6335" s="18"/>
      <c r="U6335" s="6"/>
      <c r="V6335" s="6"/>
      <c r="W6335" s="6"/>
      <c r="X6335" s="6"/>
      <c r="Y6335" s="6"/>
      <c r="Z6335" s="6"/>
    </row>
    <row r="6336" spans="14:26" ht="31.4" customHeight="1" x14ac:dyDescent="0.35">
      <c r="N6336" s="20"/>
      <c r="P6336" s="8"/>
      <c r="Q6336" s="8"/>
      <c r="R6336" s="8"/>
      <c r="S6336" s="18"/>
      <c r="T6336" s="18"/>
      <c r="U6336" s="6"/>
      <c r="V6336" s="6"/>
      <c r="W6336" s="6"/>
      <c r="X6336" s="6"/>
      <c r="Y6336" s="6"/>
      <c r="Z6336" s="6"/>
    </row>
    <row r="6337" spans="14:26" ht="31.4" customHeight="1" x14ac:dyDescent="0.35">
      <c r="N6337" s="20"/>
      <c r="P6337" s="8"/>
      <c r="Q6337" s="8"/>
      <c r="R6337" s="8"/>
      <c r="S6337" s="18"/>
      <c r="T6337" s="18"/>
      <c r="U6337" s="6"/>
      <c r="V6337" s="6"/>
      <c r="W6337" s="6"/>
      <c r="X6337" s="6"/>
      <c r="Y6337" s="6"/>
      <c r="Z6337" s="6"/>
    </row>
    <row r="6338" spans="14:26" ht="31.4" customHeight="1" x14ac:dyDescent="0.35">
      <c r="N6338" s="20"/>
      <c r="P6338" s="8"/>
      <c r="Q6338" s="8"/>
      <c r="R6338" s="8"/>
      <c r="S6338" s="18"/>
      <c r="T6338" s="18"/>
      <c r="U6338" s="6"/>
      <c r="V6338" s="6"/>
      <c r="W6338" s="6"/>
      <c r="X6338" s="6"/>
      <c r="Y6338" s="6"/>
      <c r="Z6338" s="6"/>
    </row>
    <row r="6339" spans="14:26" ht="31.4" customHeight="1" x14ac:dyDescent="0.35">
      <c r="N6339" s="20"/>
      <c r="P6339" s="8"/>
      <c r="Q6339" s="8"/>
      <c r="R6339" s="8"/>
      <c r="S6339" s="18"/>
      <c r="T6339" s="18"/>
      <c r="U6339" s="6"/>
      <c r="V6339" s="6"/>
      <c r="W6339" s="6"/>
      <c r="X6339" s="6"/>
      <c r="Y6339" s="6"/>
      <c r="Z6339" s="6"/>
    </row>
    <row r="6340" spans="14:26" ht="31.4" customHeight="1" x14ac:dyDescent="0.35">
      <c r="N6340" s="20"/>
      <c r="P6340" s="8"/>
      <c r="Q6340" s="8"/>
      <c r="R6340" s="8"/>
      <c r="S6340" s="18"/>
      <c r="T6340" s="18"/>
      <c r="U6340" s="6"/>
      <c r="V6340" s="6"/>
      <c r="W6340" s="6"/>
      <c r="X6340" s="6"/>
      <c r="Y6340" s="6"/>
      <c r="Z6340" s="6"/>
    </row>
    <row r="6341" spans="14:26" ht="31.4" customHeight="1" x14ac:dyDescent="0.35">
      <c r="N6341" s="20"/>
      <c r="P6341" s="8"/>
      <c r="Q6341" s="8"/>
      <c r="R6341" s="8"/>
      <c r="S6341" s="18"/>
      <c r="T6341" s="18"/>
      <c r="U6341" s="6"/>
      <c r="V6341" s="6"/>
      <c r="W6341" s="6"/>
      <c r="X6341" s="6"/>
      <c r="Y6341" s="6"/>
      <c r="Z6341" s="6"/>
    </row>
    <row r="6342" spans="14:26" ht="31.4" customHeight="1" x14ac:dyDescent="0.35">
      <c r="N6342" s="20"/>
      <c r="P6342" s="8"/>
      <c r="Q6342" s="8"/>
      <c r="R6342" s="8"/>
      <c r="S6342" s="18"/>
      <c r="T6342" s="18"/>
      <c r="U6342" s="6"/>
      <c r="V6342" s="6"/>
      <c r="W6342" s="6"/>
      <c r="X6342" s="6"/>
      <c r="Y6342" s="6"/>
      <c r="Z6342" s="6"/>
    </row>
    <row r="6343" spans="14:26" ht="31.4" customHeight="1" x14ac:dyDescent="0.35">
      <c r="N6343" s="20"/>
      <c r="P6343" s="8"/>
      <c r="Q6343" s="8"/>
      <c r="R6343" s="8"/>
      <c r="S6343" s="18"/>
      <c r="T6343" s="18"/>
      <c r="U6343" s="6"/>
      <c r="V6343" s="6"/>
      <c r="W6343" s="6"/>
      <c r="X6343" s="6"/>
      <c r="Y6343" s="6"/>
      <c r="Z6343" s="6"/>
    </row>
    <row r="6344" spans="14:26" ht="31.4" customHeight="1" x14ac:dyDescent="0.35">
      <c r="N6344" s="20"/>
      <c r="P6344" s="8"/>
      <c r="Q6344" s="8"/>
      <c r="R6344" s="8"/>
      <c r="S6344" s="18"/>
      <c r="T6344" s="18"/>
      <c r="U6344" s="6"/>
      <c r="V6344" s="6"/>
      <c r="W6344" s="6"/>
      <c r="X6344" s="6"/>
      <c r="Y6344" s="6"/>
      <c r="Z6344" s="6"/>
    </row>
    <row r="6345" spans="14:26" ht="31.4" customHeight="1" x14ac:dyDescent="0.35">
      <c r="N6345" s="20"/>
      <c r="P6345" s="8"/>
      <c r="Q6345" s="8"/>
      <c r="R6345" s="8"/>
      <c r="S6345" s="18"/>
      <c r="T6345" s="18"/>
      <c r="U6345" s="6"/>
      <c r="V6345" s="6"/>
      <c r="W6345" s="6"/>
      <c r="X6345" s="6"/>
      <c r="Y6345" s="6"/>
      <c r="Z6345" s="6"/>
    </row>
    <row r="6346" spans="14:26" ht="31.4" customHeight="1" x14ac:dyDescent="0.35">
      <c r="N6346" s="20"/>
      <c r="P6346" s="8"/>
      <c r="Q6346" s="8"/>
      <c r="R6346" s="8"/>
      <c r="S6346" s="18"/>
      <c r="T6346" s="18"/>
      <c r="U6346" s="6"/>
      <c r="V6346" s="6"/>
      <c r="W6346" s="6"/>
      <c r="X6346" s="6"/>
      <c r="Y6346" s="6"/>
      <c r="Z6346" s="6"/>
    </row>
    <row r="6347" spans="14:26" ht="31.4" customHeight="1" x14ac:dyDescent="0.35">
      <c r="N6347" s="20"/>
      <c r="P6347" s="8"/>
      <c r="Q6347" s="8"/>
      <c r="R6347" s="8"/>
      <c r="S6347" s="18"/>
      <c r="T6347" s="18"/>
      <c r="U6347" s="6"/>
      <c r="V6347" s="6"/>
      <c r="W6347" s="6"/>
      <c r="X6347" s="6"/>
      <c r="Y6347" s="6"/>
      <c r="Z6347" s="6"/>
    </row>
    <row r="6348" spans="14:26" ht="31.4" customHeight="1" x14ac:dyDescent="0.35">
      <c r="N6348" s="20"/>
      <c r="P6348" s="8"/>
      <c r="Q6348" s="8"/>
      <c r="R6348" s="8"/>
      <c r="S6348" s="18"/>
      <c r="T6348" s="18"/>
      <c r="U6348" s="6"/>
      <c r="V6348" s="6"/>
      <c r="W6348" s="6"/>
      <c r="X6348" s="6"/>
      <c r="Y6348" s="6"/>
      <c r="Z6348" s="6"/>
    </row>
    <row r="6349" spans="14:26" ht="31.4" customHeight="1" x14ac:dyDescent="0.35">
      <c r="N6349" s="20"/>
      <c r="P6349" s="8"/>
      <c r="Q6349" s="8"/>
      <c r="R6349" s="8"/>
      <c r="S6349" s="18"/>
      <c r="T6349" s="18"/>
      <c r="U6349" s="6"/>
      <c r="V6349" s="6"/>
      <c r="W6349" s="6"/>
      <c r="X6349" s="6"/>
      <c r="Y6349" s="6"/>
      <c r="Z6349" s="6"/>
    </row>
    <row r="6350" spans="14:26" ht="31.4" customHeight="1" x14ac:dyDescent="0.35">
      <c r="N6350" s="20"/>
      <c r="P6350" s="8"/>
      <c r="Q6350" s="8"/>
      <c r="R6350" s="8"/>
      <c r="S6350" s="18"/>
      <c r="T6350" s="18"/>
      <c r="U6350" s="6"/>
      <c r="V6350" s="6"/>
      <c r="W6350" s="6"/>
      <c r="X6350" s="6"/>
      <c r="Y6350" s="6"/>
      <c r="Z6350" s="6"/>
    </row>
    <row r="6351" spans="14:26" ht="31.4" customHeight="1" x14ac:dyDescent="0.35">
      <c r="N6351" s="20"/>
      <c r="P6351" s="8"/>
      <c r="Q6351" s="8"/>
      <c r="R6351" s="8"/>
      <c r="S6351" s="18"/>
      <c r="T6351" s="18"/>
      <c r="U6351" s="6"/>
      <c r="V6351" s="6"/>
      <c r="W6351" s="6"/>
      <c r="X6351" s="6"/>
      <c r="Y6351" s="6"/>
      <c r="Z6351" s="6"/>
    </row>
    <row r="6352" spans="14:26" ht="31.4" customHeight="1" x14ac:dyDescent="0.35">
      <c r="N6352" s="20"/>
      <c r="P6352" s="8"/>
      <c r="Q6352" s="8"/>
      <c r="R6352" s="8"/>
      <c r="S6352" s="18"/>
      <c r="T6352" s="18"/>
      <c r="U6352" s="6"/>
      <c r="V6352" s="6"/>
      <c r="W6352" s="6"/>
      <c r="X6352" s="6"/>
      <c r="Y6352" s="6"/>
      <c r="Z6352" s="6"/>
    </row>
    <row r="6353" spans="14:26" ht="31.4" customHeight="1" x14ac:dyDescent="0.35">
      <c r="N6353" s="20"/>
      <c r="P6353" s="8"/>
      <c r="Q6353" s="8"/>
      <c r="R6353" s="8"/>
      <c r="S6353" s="18"/>
      <c r="T6353" s="18"/>
      <c r="U6353" s="6"/>
      <c r="V6353" s="6"/>
      <c r="W6353" s="6"/>
      <c r="X6353" s="6"/>
      <c r="Y6353" s="6"/>
      <c r="Z6353" s="6"/>
    </row>
    <row r="6354" spans="14:26" ht="31.4" customHeight="1" x14ac:dyDescent="0.35">
      <c r="N6354" s="20"/>
      <c r="P6354" s="8"/>
      <c r="Q6354" s="8"/>
      <c r="R6354" s="8"/>
      <c r="S6354" s="18"/>
      <c r="T6354" s="18"/>
      <c r="U6354" s="6"/>
      <c r="V6354" s="6"/>
      <c r="W6354" s="6"/>
      <c r="X6354" s="6"/>
      <c r="Y6354" s="6"/>
      <c r="Z6354" s="6"/>
    </row>
    <row r="6355" spans="14:26" ht="31.4" customHeight="1" x14ac:dyDescent="0.35">
      <c r="N6355" s="20"/>
      <c r="P6355" s="8"/>
      <c r="Q6355" s="8"/>
      <c r="R6355" s="8"/>
      <c r="S6355" s="18"/>
      <c r="T6355" s="18"/>
      <c r="U6355" s="6"/>
      <c r="V6355" s="6"/>
      <c r="W6355" s="6"/>
      <c r="X6355" s="6"/>
      <c r="Y6355" s="6"/>
      <c r="Z6355" s="6"/>
    </row>
    <row r="6356" spans="14:26" ht="31.4" customHeight="1" x14ac:dyDescent="0.35">
      <c r="N6356" s="20"/>
      <c r="P6356" s="8"/>
      <c r="Q6356" s="8"/>
      <c r="R6356" s="8"/>
      <c r="S6356" s="18"/>
      <c r="T6356" s="18"/>
      <c r="U6356" s="6"/>
      <c r="V6356" s="6"/>
      <c r="W6356" s="6"/>
      <c r="X6356" s="6"/>
      <c r="Y6356" s="6"/>
      <c r="Z6356" s="6"/>
    </row>
    <row r="6357" spans="14:26" ht="31.4" customHeight="1" x14ac:dyDescent="0.35">
      <c r="N6357" s="20"/>
      <c r="P6357" s="8"/>
      <c r="Q6357" s="8"/>
      <c r="R6357" s="8"/>
      <c r="S6357" s="18"/>
      <c r="T6357" s="18"/>
      <c r="U6357" s="6"/>
      <c r="V6357" s="6"/>
      <c r="W6357" s="6"/>
      <c r="X6357" s="6"/>
      <c r="Y6357" s="6"/>
      <c r="Z6357" s="6"/>
    </row>
    <row r="6358" spans="14:26" ht="31.4" customHeight="1" x14ac:dyDescent="0.35">
      <c r="N6358" s="20"/>
      <c r="P6358" s="8"/>
      <c r="Q6358" s="8"/>
      <c r="R6358" s="8"/>
      <c r="S6358" s="18"/>
      <c r="T6358" s="18"/>
      <c r="U6358" s="6"/>
      <c r="V6358" s="6"/>
      <c r="W6358" s="6"/>
      <c r="X6358" s="6"/>
      <c r="Y6358" s="6"/>
      <c r="Z6358" s="6"/>
    </row>
    <row r="6359" spans="14:26" ht="31.4" customHeight="1" x14ac:dyDescent="0.35">
      <c r="N6359" s="20"/>
      <c r="P6359" s="8"/>
      <c r="Q6359" s="8"/>
      <c r="R6359" s="8"/>
      <c r="S6359" s="18"/>
      <c r="T6359" s="18"/>
      <c r="U6359" s="6"/>
      <c r="V6359" s="6"/>
      <c r="W6359" s="6"/>
      <c r="X6359" s="6"/>
      <c r="Y6359" s="6"/>
      <c r="Z6359" s="6"/>
    </row>
    <row r="6360" spans="14:26" ht="31.4" customHeight="1" x14ac:dyDescent="0.35">
      <c r="N6360" s="20"/>
      <c r="P6360" s="8"/>
      <c r="Q6360" s="8"/>
      <c r="R6360" s="8"/>
      <c r="S6360" s="18"/>
      <c r="T6360" s="18"/>
      <c r="U6360" s="6"/>
      <c r="V6360" s="6"/>
      <c r="W6360" s="6"/>
      <c r="X6360" s="6"/>
      <c r="Y6360" s="6"/>
      <c r="Z6360" s="6"/>
    </row>
    <row r="6361" spans="14:26" ht="31.4" customHeight="1" x14ac:dyDescent="0.35">
      <c r="N6361" s="20"/>
      <c r="P6361" s="8"/>
      <c r="Q6361" s="8"/>
      <c r="R6361" s="8"/>
      <c r="S6361" s="18"/>
      <c r="T6361" s="18"/>
      <c r="U6361" s="6"/>
      <c r="V6361" s="6"/>
      <c r="W6361" s="6"/>
      <c r="X6361" s="6"/>
      <c r="Y6361" s="6"/>
      <c r="Z6361" s="6"/>
    </row>
    <row r="6362" spans="14:26" ht="31.4" customHeight="1" x14ac:dyDescent="0.35">
      <c r="N6362" s="20"/>
      <c r="P6362" s="8"/>
      <c r="Q6362" s="8"/>
      <c r="R6362" s="8"/>
      <c r="S6362" s="18"/>
      <c r="T6362" s="18"/>
      <c r="U6362" s="6"/>
      <c r="V6362" s="6"/>
      <c r="W6362" s="6"/>
      <c r="X6362" s="6"/>
      <c r="Y6362" s="6"/>
      <c r="Z6362" s="6"/>
    </row>
    <row r="6363" spans="14:26" ht="31.4" customHeight="1" x14ac:dyDescent="0.35">
      <c r="N6363" s="20"/>
      <c r="P6363" s="8"/>
      <c r="Q6363" s="8"/>
      <c r="R6363" s="8"/>
      <c r="S6363" s="18"/>
      <c r="T6363" s="18"/>
      <c r="U6363" s="6"/>
      <c r="V6363" s="6"/>
      <c r="W6363" s="6"/>
      <c r="X6363" s="6"/>
      <c r="Y6363" s="6"/>
      <c r="Z6363" s="6"/>
    </row>
    <row r="6364" spans="14:26" ht="31.4" customHeight="1" x14ac:dyDescent="0.35">
      <c r="N6364" s="20"/>
      <c r="P6364" s="8"/>
      <c r="Q6364" s="8"/>
      <c r="R6364" s="8"/>
      <c r="S6364" s="18"/>
      <c r="T6364" s="18"/>
      <c r="U6364" s="6"/>
      <c r="V6364" s="6"/>
      <c r="W6364" s="6"/>
      <c r="X6364" s="6"/>
      <c r="Y6364" s="6"/>
      <c r="Z6364" s="6"/>
    </row>
    <row r="6365" spans="14:26" ht="31.4" customHeight="1" x14ac:dyDescent="0.35">
      <c r="N6365" s="20"/>
      <c r="P6365" s="8"/>
      <c r="Q6365" s="8"/>
      <c r="R6365" s="8"/>
      <c r="S6365" s="18"/>
      <c r="T6365" s="18"/>
      <c r="U6365" s="6"/>
      <c r="V6365" s="6"/>
      <c r="W6365" s="6"/>
      <c r="X6365" s="6"/>
      <c r="Y6365" s="6"/>
      <c r="Z6365" s="6"/>
    </row>
    <row r="6366" spans="14:26" ht="31.4" customHeight="1" x14ac:dyDescent="0.35">
      <c r="N6366" s="20"/>
      <c r="P6366" s="8"/>
      <c r="Q6366" s="8"/>
      <c r="R6366" s="8"/>
      <c r="S6366" s="18"/>
      <c r="T6366" s="18"/>
      <c r="U6366" s="6"/>
      <c r="V6366" s="6"/>
      <c r="W6366" s="6"/>
      <c r="X6366" s="6"/>
      <c r="Y6366" s="6"/>
      <c r="Z6366" s="6"/>
    </row>
    <row r="6367" spans="14:26" ht="31.4" customHeight="1" x14ac:dyDescent="0.35">
      <c r="N6367" s="20"/>
      <c r="P6367" s="8"/>
      <c r="Q6367" s="8"/>
      <c r="R6367" s="8"/>
      <c r="S6367" s="18"/>
      <c r="T6367" s="18"/>
      <c r="U6367" s="6"/>
      <c r="V6367" s="6"/>
      <c r="W6367" s="6"/>
      <c r="X6367" s="6"/>
      <c r="Y6367" s="6"/>
      <c r="Z6367" s="6"/>
    </row>
    <row r="6368" spans="14:26" ht="31.4" customHeight="1" x14ac:dyDescent="0.35">
      <c r="N6368" s="20"/>
      <c r="P6368" s="8"/>
      <c r="Q6368" s="8"/>
      <c r="R6368" s="8"/>
      <c r="S6368" s="18"/>
      <c r="T6368" s="18"/>
      <c r="U6368" s="6"/>
      <c r="V6368" s="6"/>
      <c r="W6368" s="6"/>
      <c r="X6368" s="6"/>
      <c r="Y6368" s="6"/>
      <c r="Z6368" s="6"/>
    </row>
    <row r="6369" spans="14:26" ht="31.4" customHeight="1" x14ac:dyDescent="0.35">
      <c r="N6369" s="20"/>
      <c r="P6369" s="8"/>
      <c r="Q6369" s="8"/>
      <c r="R6369" s="8"/>
      <c r="S6369" s="18"/>
      <c r="T6369" s="18"/>
      <c r="U6369" s="6"/>
      <c r="V6369" s="6"/>
      <c r="W6369" s="6"/>
      <c r="X6369" s="6"/>
      <c r="Y6369" s="6"/>
      <c r="Z6369" s="6"/>
    </row>
    <row r="6370" spans="14:26" ht="31.4" customHeight="1" x14ac:dyDescent="0.35">
      <c r="N6370" s="20"/>
      <c r="P6370" s="8"/>
      <c r="Q6370" s="8"/>
      <c r="R6370" s="8"/>
      <c r="S6370" s="18"/>
      <c r="T6370" s="18"/>
      <c r="U6370" s="6"/>
      <c r="V6370" s="6"/>
      <c r="W6370" s="6"/>
      <c r="X6370" s="6"/>
      <c r="Y6370" s="6"/>
      <c r="Z6370" s="6"/>
    </row>
    <row r="6371" spans="14:26" ht="31.4" customHeight="1" x14ac:dyDescent="0.35">
      <c r="N6371" s="20"/>
      <c r="P6371" s="8"/>
      <c r="Q6371" s="8"/>
      <c r="R6371" s="8"/>
      <c r="S6371" s="18"/>
      <c r="T6371" s="18"/>
      <c r="U6371" s="6"/>
      <c r="V6371" s="6"/>
      <c r="W6371" s="6"/>
      <c r="X6371" s="6"/>
      <c r="Y6371" s="6"/>
      <c r="Z6371" s="6"/>
    </row>
    <row r="6372" spans="14:26" ht="31.4" customHeight="1" x14ac:dyDescent="0.35">
      <c r="N6372" s="20"/>
      <c r="P6372" s="8"/>
      <c r="Q6372" s="8"/>
      <c r="R6372" s="8"/>
      <c r="S6372" s="18"/>
      <c r="T6372" s="18"/>
      <c r="U6372" s="6"/>
      <c r="V6372" s="6"/>
      <c r="W6372" s="6"/>
      <c r="X6372" s="6"/>
      <c r="Y6372" s="6"/>
      <c r="Z6372" s="6"/>
    </row>
    <row r="6373" spans="14:26" ht="31.4" customHeight="1" x14ac:dyDescent="0.35">
      <c r="N6373" s="20"/>
      <c r="P6373" s="8"/>
      <c r="Q6373" s="8"/>
      <c r="R6373" s="8"/>
      <c r="S6373" s="18"/>
      <c r="T6373" s="18"/>
      <c r="U6373" s="6"/>
      <c r="V6373" s="6"/>
      <c r="W6373" s="6"/>
      <c r="X6373" s="6"/>
      <c r="Y6373" s="6"/>
      <c r="Z6373" s="6"/>
    </row>
    <row r="6374" spans="14:26" ht="31.4" customHeight="1" x14ac:dyDescent="0.35">
      <c r="N6374" s="20"/>
      <c r="P6374" s="8"/>
      <c r="Q6374" s="8"/>
      <c r="R6374" s="8"/>
      <c r="S6374" s="18"/>
      <c r="T6374" s="18"/>
      <c r="U6374" s="6"/>
      <c r="V6374" s="6"/>
      <c r="W6374" s="6"/>
      <c r="X6374" s="6"/>
      <c r="Y6374" s="6"/>
      <c r="Z6374" s="6"/>
    </row>
    <row r="6375" spans="14:26" ht="31.4" customHeight="1" x14ac:dyDescent="0.35">
      <c r="N6375" s="20"/>
      <c r="P6375" s="8"/>
      <c r="Q6375" s="8"/>
      <c r="R6375" s="8"/>
      <c r="S6375" s="18"/>
      <c r="T6375" s="18"/>
      <c r="U6375" s="6"/>
      <c r="V6375" s="6"/>
      <c r="W6375" s="6"/>
      <c r="X6375" s="6"/>
      <c r="Y6375" s="6"/>
      <c r="Z6375" s="6"/>
    </row>
    <row r="6376" spans="14:26" ht="31.4" customHeight="1" x14ac:dyDescent="0.35">
      <c r="N6376" s="20"/>
      <c r="P6376" s="8"/>
      <c r="Q6376" s="8"/>
      <c r="R6376" s="8"/>
      <c r="S6376" s="18"/>
      <c r="T6376" s="18"/>
      <c r="U6376" s="6"/>
      <c r="V6376" s="6"/>
      <c r="W6376" s="6"/>
      <c r="X6376" s="6"/>
      <c r="Y6376" s="6"/>
      <c r="Z6376" s="6"/>
    </row>
    <row r="6377" spans="14:26" ht="31.4" customHeight="1" x14ac:dyDescent="0.35">
      <c r="N6377" s="20"/>
      <c r="P6377" s="8"/>
      <c r="Q6377" s="8"/>
      <c r="R6377" s="8"/>
      <c r="S6377" s="18"/>
      <c r="T6377" s="18"/>
      <c r="U6377" s="6"/>
      <c r="V6377" s="6"/>
      <c r="W6377" s="6"/>
      <c r="X6377" s="6"/>
      <c r="Y6377" s="6"/>
      <c r="Z6377" s="6"/>
    </row>
    <row r="6378" spans="14:26" ht="31.4" customHeight="1" x14ac:dyDescent="0.35">
      <c r="N6378" s="20"/>
      <c r="P6378" s="8"/>
      <c r="Q6378" s="8"/>
      <c r="R6378" s="8"/>
      <c r="S6378" s="18"/>
      <c r="T6378" s="18"/>
      <c r="U6378" s="6"/>
      <c r="V6378" s="6"/>
      <c r="W6378" s="6"/>
      <c r="X6378" s="6"/>
      <c r="Y6378" s="6"/>
      <c r="Z6378" s="6"/>
    </row>
    <row r="6379" spans="14:26" ht="31.4" customHeight="1" x14ac:dyDescent="0.35">
      <c r="N6379" s="20"/>
      <c r="P6379" s="8"/>
      <c r="Q6379" s="8"/>
      <c r="R6379" s="8"/>
      <c r="S6379" s="18"/>
      <c r="T6379" s="18"/>
      <c r="U6379" s="6"/>
      <c r="V6379" s="6"/>
      <c r="W6379" s="6"/>
      <c r="X6379" s="6"/>
      <c r="Y6379" s="6"/>
      <c r="Z6379" s="6"/>
    </row>
    <row r="6380" spans="14:26" ht="31.4" customHeight="1" x14ac:dyDescent="0.35">
      <c r="N6380" s="20"/>
      <c r="P6380" s="8"/>
      <c r="Q6380" s="8"/>
      <c r="R6380" s="8"/>
      <c r="S6380" s="18"/>
      <c r="T6380" s="18"/>
      <c r="U6380" s="6"/>
      <c r="V6380" s="6"/>
      <c r="W6380" s="6"/>
      <c r="X6380" s="6"/>
      <c r="Y6380" s="6"/>
      <c r="Z6380" s="6"/>
    </row>
    <row r="6381" spans="14:26" ht="31.4" customHeight="1" x14ac:dyDescent="0.35">
      <c r="N6381" s="20"/>
      <c r="P6381" s="8"/>
      <c r="Q6381" s="8"/>
      <c r="R6381" s="8"/>
      <c r="S6381" s="18"/>
      <c r="T6381" s="18"/>
      <c r="U6381" s="6"/>
      <c r="V6381" s="6"/>
      <c r="W6381" s="6"/>
      <c r="X6381" s="6"/>
      <c r="Y6381" s="6"/>
      <c r="Z6381" s="6"/>
    </row>
    <row r="6382" spans="14:26" ht="31.4" customHeight="1" x14ac:dyDescent="0.35">
      <c r="N6382" s="20"/>
      <c r="P6382" s="8"/>
      <c r="Q6382" s="8"/>
      <c r="R6382" s="8"/>
      <c r="S6382" s="18"/>
      <c r="T6382" s="18"/>
      <c r="U6382" s="6"/>
      <c r="V6382" s="6"/>
      <c r="W6382" s="6"/>
      <c r="X6382" s="6"/>
      <c r="Y6382" s="6"/>
      <c r="Z6382" s="6"/>
    </row>
    <row r="6383" spans="14:26" ht="31.4" customHeight="1" x14ac:dyDescent="0.35">
      <c r="N6383" s="20"/>
      <c r="P6383" s="8"/>
      <c r="Q6383" s="8"/>
      <c r="R6383" s="8"/>
      <c r="S6383" s="18"/>
      <c r="T6383" s="18"/>
      <c r="U6383" s="6"/>
      <c r="V6383" s="6"/>
      <c r="W6383" s="6"/>
      <c r="X6383" s="6"/>
      <c r="Y6383" s="6"/>
      <c r="Z6383" s="6"/>
    </row>
    <row r="6384" spans="14:26" ht="31.4" customHeight="1" x14ac:dyDescent="0.35">
      <c r="N6384" s="20"/>
      <c r="P6384" s="8"/>
      <c r="Q6384" s="8"/>
      <c r="R6384" s="8"/>
      <c r="S6384" s="18"/>
      <c r="T6384" s="18"/>
      <c r="U6384" s="6"/>
      <c r="V6384" s="6"/>
      <c r="W6384" s="6"/>
      <c r="X6384" s="6"/>
      <c r="Y6384" s="6"/>
      <c r="Z6384" s="6"/>
    </row>
    <row r="6385" spans="14:26" ht="31.4" customHeight="1" x14ac:dyDescent="0.35">
      <c r="N6385" s="20"/>
      <c r="P6385" s="8"/>
      <c r="Q6385" s="8"/>
      <c r="R6385" s="8"/>
      <c r="S6385" s="18"/>
      <c r="T6385" s="18"/>
      <c r="U6385" s="6"/>
      <c r="V6385" s="6"/>
      <c r="W6385" s="6"/>
      <c r="X6385" s="6"/>
      <c r="Y6385" s="6"/>
      <c r="Z6385" s="6"/>
    </row>
    <row r="6386" spans="14:26" ht="31.4" customHeight="1" x14ac:dyDescent="0.35">
      <c r="N6386" s="20"/>
      <c r="P6386" s="8"/>
      <c r="Q6386" s="8"/>
      <c r="R6386" s="8"/>
      <c r="S6386" s="18"/>
      <c r="T6386" s="18"/>
      <c r="U6386" s="6"/>
      <c r="V6386" s="6"/>
      <c r="W6386" s="6"/>
      <c r="X6386" s="6"/>
      <c r="Y6386" s="6"/>
      <c r="Z6386" s="6"/>
    </row>
    <row r="6387" spans="14:26" ht="31.4" customHeight="1" x14ac:dyDescent="0.35">
      <c r="N6387" s="20"/>
      <c r="P6387" s="8"/>
      <c r="Q6387" s="8"/>
      <c r="R6387" s="8"/>
      <c r="S6387" s="18"/>
      <c r="T6387" s="18"/>
      <c r="U6387" s="6"/>
      <c r="V6387" s="6"/>
      <c r="W6387" s="6"/>
      <c r="X6387" s="6"/>
      <c r="Y6387" s="6"/>
      <c r="Z6387" s="6"/>
    </row>
    <row r="6388" spans="14:26" ht="31.4" customHeight="1" x14ac:dyDescent="0.35">
      <c r="N6388" s="20"/>
      <c r="P6388" s="8"/>
      <c r="Q6388" s="8"/>
      <c r="R6388" s="8"/>
      <c r="S6388" s="18"/>
      <c r="T6388" s="18"/>
      <c r="U6388" s="6"/>
      <c r="V6388" s="6"/>
      <c r="W6388" s="6"/>
      <c r="X6388" s="6"/>
      <c r="Y6388" s="6"/>
      <c r="Z6388" s="6"/>
    </row>
    <row r="6389" spans="14:26" ht="31.4" customHeight="1" x14ac:dyDescent="0.35">
      <c r="N6389" s="20"/>
      <c r="P6389" s="8"/>
      <c r="Q6389" s="8"/>
      <c r="R6389" s="8"/>
      <c r="S6389" s="18"/>
      <c r="T6389" s="18"/>
      <c r="U6389" s="6"/>
      <c r="V6389" s="6"/>
      <c r="W6389" s="6"/>
      <c r="X6389" s="6"/>
      <c r="Y6389" s="6"/>
      <c r="Z6389" s="6"/>
    </row>
    <row r="6390" spans="14:26" ht="31.4" customHeight="1" x14ac:dyDescent="0.35">
      <c r="N6390" s="20"/>
      <c r="P6390" s="8"/>
      <c r="Q6390" s="8"/>
      <c r="R6390" s="8"/>
      <c r="S6390" s="18"/>
      <c r="T6390" s="18"/>
      <c r="U6390" s="6"/>
      <c r="V6390" s="6"/>
      <c r="W6390" s="6"/>
      <c r="X6390" s="6"/>
      <c r="Y6390" s="6"/>
      <c r="Z6390" s="6"/>
    </row>
    <row r="6391" spans="14:26" ht="31.4" customHeight="1" x14ac:dyDescent="0.35">
      <c r="N6391" s="20"/>
      <c r="P6391" s="8"/>
      <c r="Q6391" s="8"/>
      <c r="R6391" s="8"/>
      <c r="S6391" s="18"/>
      <c r="T6391" s="18"/>
      <c r="U6391" s="6"/>
      <c r="V6391" s="6"/>
      <c r="W6391" s="6"/>
      <c r="X6391" s="6"/>
      <c r="Y6391" s="6"/>
      <c r="Z6391" s="6"/>
    </row>
    <row r="6392" spans="14:26" ht="31.4" customHeight="1" x14ac:dyDescent="0.35">
      <c r="N6392" s="20"/>
      <c r="P6392" s="8"/>
      <c r="Q6392" s="8"/>
      <c r="R6392" s="8"/>
      <c r="S6392" s="18"/>
      <c r="T6392" s="18"/>
      <c r="U6392" s="6"/>
      <c r="V6392" s="6"/>
      <c r="W6392" s="6"/>
      <c r="X6392" s="6"/>
      <c r="Y6392" s="6"/>
      <c r="Z6392" s="6"/>
    </row>
    <row r="6393" spans="14:26" ht="31.4" customHeight="1" x14ac:dyDescent="0.35">
      <c r="N6393" s="20"/>
      <c r="P6393" s="8"/>
      <c r="Q6393" s="8"/>
      <c r="R6393" s="8"/>
      <c r="S6393" s="18"/>
      <c r="T6393" s="18"/>
      <c r="U6393" s="6"/>
      <c r="V6393" s="6"/>
      <c r="W6393" s="6"/>
      <c r="X6393" s="6"/>
      <c r="Y6393" s="6"/>
      <c r="Z6393" s="6"/>
    </row>
    <row r="6394" spans="14:26" ht="31.4" customHeight="1" x14ac:dyDescent="0.35">
      <c r="N6394" s="20"/>
      <c r="P6394" s="8"/>
      <c r="Q6394" s="8"/>
      <c r="R6394" s="8"/>
      <c r="S6394" s="18"/>
      <c r="T6394" s="18"/>
      <c r="U6394" s="6"/>
      <c r="V6394" s="6"/>
      <c r="W6394" s="6"/>
      <c r="X6394" s="6"/>
      <c r="Y6394" s="6"/>
      <c r="Z6394" s="6"/>
    </row>
    <row r="6395" spans="14:26" ht="31.4" customHeight="1" x14ac:dyDescent="0.35">
      <c r="N6395" s="20"/>
      <c r="P6395" s="8"/>
      <c r="Q6395" s="8"/>
      <c r="R6395" s="8"/>
      <c r="S6395" s="18"/>
      <c r="T6395" s="18"/>
      <c r="U6395" s="6"/>
      <c r="V6395" s="6"/>
      <c r="W6395" s="6"/>
      <c r="X6395" s="6"/>
      <c r="Y6395" s="6"/>
      <c r="Z6395" s="6"/>
    </row>
    <row r="6396" spans="14:26" ht="31.4" customHeight="1" x14ac:dyDescent="0.35">
      <c r="N6396" s="20"/>
      <c r="P6396" s="8"/>
      <c r="Q6396" s="8"/>
      <c r="R6396" s="8"/>
      <c r="S6396" s="18"/>
      <c r="T6396" s="18"/>
      <c r="U6396" s="6"/>
      <c r="V6396" s="6"/>
      <c r="W6396" s="6"/>
      <c r="X6396" s="6"/>
      <c r="Y6396" s="6"/>
      <c r="Z6396" s="6"/>
    </row>
    <row r="6397" spans="14:26" ht="31.4" customHeight="1" x14ac:dyDescent="0.35">
      <c r="N6397" s="20"/>
      <c r="P6397" s="8"/>
      <c r="Q6397" s="8"/>
      <c r="R6397" s="8"/>
      <c r="S6397" s="18"/>
      <c r="T6397" s="18"/>
      <c r="U6397" s="6"/>
      <c r="V6397" s="6"/>
      <c r="W6397" s="6"/>
      <c r="X6397" s="6"/>
      <c r="Y6397" s="6"/>
      <c r="Z6397" s="6"/>
    </row>
    <row r="6398" spans="14:26" ht="31.4" customHeight="1" x14ac:dyDescent="0.35">
      <c r="N6398" s="20"/>
      <c r="P6398" s="8"/>
      <c r="Q6398" s="8"/>
      <c r="R6398" s="8"/>
      <c r="S6398" s="18"/>
      <c r="T6398" s="18"/>
      <c r="U6398" s="6"/>
      <c r="V6398" s="6"/>
      <c r="W6398" s="6"/>
      <c r="X6398" s="6"/>
      <c r="Y6398" s="6"/>
      <c r="Z6398" s="6"/>
    </row>
    <row r="6399" spans="14:26" ht="31.4" customHeight="1" x14ac:dyDescent="0.35">
      <c r="N6399" s="20"/>
      <c r="P6399" s="8"/>
      <c r="Q6399" s="8"/>
      <c r="R6399" s="8"/>
      <c r="S6399" s="18"/>
      <c r="T6399" s="18"/>
      <c r="U6399" s="6"/>
      <c r="V6399" s="6"/>
      <c r="W6399" s="6"/>
      <c r="X6399" s="6"/>
      <c r="Y6399" s="6"/>
      <c r="Z6399" s="6"/>
    </row>
    <row r="6400" spans="14:26" ht="31.4" customHeight="1" x14ac:dyDescent="0.35">
      <c r="N6400" s="20"/>
      <c r="P6400" s="8"/>
      <c r="Q6400" s="8"/>
      <c r="R6400" s="8"/>
      <c r="S6400" s="18"/>
      <c r="T6400" s="18"/>
      <c r="U6400" s="6"/>
      <c r="V6400" s="6"/>
      <c r="W6400" s="6"/>
      <c r="X6400" s="6"/>
      <c r="Y6400" s="6"/>
      <c r="Z6400" s="6"/>
    </row>
    <row r="6401" spans="14:26" ht="31.4" customHeight="1" x14ac:dyDescent="0.35">
      <c r="N6401" s="20"/>
      <c r="P6401" s="8"/>
      <c r="Q6401" s="8"/>
      <c r="R6401" s="8"/>
      <c r="S6401" s="18"/>
      <c r="T6401" s="18"/>
      <c r="U6401" s="6"/>
      <c r="V6401" s="6"/>
      <c r="W6401" s="6"/>
      <c r="X6401" s="6"/>
      <c r="Y6401" s="6"/>
      <c r="Z6401" s="6"/>
    </row>
    <row r="6402" spans="14:26" ht="31.4" customHeight="1" x14ac:dyDescent="0.35">
      <c r="N6402" s="20"/>
      <c r="P6402" s="8"/>
      <c r="Q6402" s="8"/>
      <c r="R6402" s="8"/>
      <c r="S6402" s="18"/>
      <c r="T6402" s="18"/>
      <c r="U6402" s="6"/>
      <c r="V6402" s="6"/>
      <c r="W6402" s="6"/>
      <c r="X6402" s="6"/>
      <c r="Y6402" s="6"/>
      <c r="Z6402" s="6"/>
    </row>
    <row r="6403" spans="14:26" ht="31.4" customHeight="1" x14ac:dyDescent="0.35">
      <c r="N6403" s="20"/>
      <c r="P6403" s="8"/>
      <c r="Q6403" s="8"/>
      <c r="R6403" s="8"/>
      <c r="S6403" s="18"/>
      <c r="T6403" s="18"/>
      <c r="U6403" s="6"/>
      <c r="V6403" s="6"/>
      <c r="W6403" s="6"/>
      <c r="X6403" s="6"/>
      <c r="Y6403" s="6"/>
      <c r="Z6403" s="6"/>
    </row>
    <row r="6404" spans="14:26" ht="31.4" customHeight="1" x14ac:dyDescent="0.35">
      <c r="N6404" s="20"/>
      <c r="P6404" s="8"/>
      <c r="Q6404" s="8"/>
      <c r="R6404" s="8"/>
      <c r="S6404" s="18"/>
      <c r="T6404" s="18"/>
      <c r="U6404" s="6"/>
      <c r="V6404" s="6"/>
      <c r="W6404" s="6"/>
      <c r="X6404" s="6"/>
      <c r="Y6404" s="6"/>
      <c r="Z6404" s="6"/>
    </row>
    <row r="6405" spans="14:26" ht="31.4" customHeight="1" x14ac:dyDescent="0.35">
      <c r="N6405" s="20"/>
      <c r="P6405" s="8"/>
      <c r="Q6405" s="8"/>
      <c r="R6405" s="8"/>
      <c r="S6405" s="18"/>
      <c r="T6405" s="18"/>
      <c r="U6405" s="6"/>
      <c r="V6405" s="6"/>
      <c r="W6405" s="6"/>
      <c r="X6405" s="6"/>
      <c r="Y6405" s="6"/>
      <c r="Z6405" s="6"/>
    </row>
    <row r="6406" spans="14:26" ht="31.4" customHeight="1" x14ac:dyDescent="0.35">
      <c r="N6406" s="20"/>
      <c r="P6406" s="8"/>
      <c r="Q6406" s="8"/>
      <c r="R6406" s="8"/>
      <c r="S6406" s="18"/>
      <c r="T6406" s="18"/>
      <c r="U6406" s="6"/>
      <c r="V6406" s="6"/>
      <c r="W6406" s="6"/>
      <c r="X6406" s="6"/>
      <c r="Y6406" s="6"/>
      <c r="Z6406" s="6"/>
    </row>
    <row r="6407" spans="14:26" ht="31.4" customHeight="1" x14ac:dyDescent="0.35">
      <c r="N6407" s="20"/>
      <c r="P6407" s="8"/>
      <c r="Q6407" s="8"/>
      <c r="R6407" s="8"/>
      <c r="S6407" s="18"/>
      <c r="T6407" s="18"/>
      <c r="U6407" s="6"/>
      <c r="V6407" s="6"/>
      <c r="W6407" s="6"/>
      <c r="X6407" s="6"/>
      <c r="Y6407" s="6"/>
      <c r="Z6407" s="6"/>
    </row>
    <row r="6408" spans="14:26" ht="31.4" customHeight="1" x14ac:dyDescent="0.35">
      <c r="N6408" s="20"/>
      <c r="P6408" s="8"/>
      <c r="Q6408" s="8"/>
      <c r="R6408" s="8"/>
      <c r="S6408" s="18"/>
      <c r="T6408" s="18"/>
      <c r="U6408" s="6"/>
      <c r="V6408" s="6"/>
      <c r="W6408" s="6"/>
      <c r="X6408" s="6"/>
      <c r="Y6408" s="6"/>
      <c r="Z6408" s="6"/>
    </row>
    <row r="6409" spans="14:26" ht="31.4" customHeight="1" x14ac:dyDescent="0.35">
      <c r="N6409" s="20"/>
      <c r="P6409" s="8"/>
      <c r="Q6409" s="8"/>
      <c r="R6409" s="8"/>
      <c r="S6409" s="18"/>
      <c r="T6409" s="18"/>
      <c r="U6409" s="6"/>
      <c r="V6409" s="6"/>
      <c r="W6409" s="6"/>
      <c r="X6409" s="6"/>
      <c r="Y6409" s="6"/>
      <c r="Z6409" s="6"/>
    </row>
    <row r="6410" spans="14:26" ht="31.4" customHeight="1" x14ac:dyDescent="0.35">
      <c r="N6410" s="20"/>
      <c r="P6410" s="8"/>
      <c r="Q6410" s="8"/>
      <c r="R6410" s="8"/>
      <c r="S6410" s="18"/>
      <c r="T6410" s="18"/>
      <c r="U6410" s="6"/>
      <c r="V6410" s="6"/>
      <c r="W6410" s="6"/>
      <c r="X6410" s="6"/>
      <c r="Y6410" s="6"/>
      <c r="Z6410" s="6"/>
    </row>
    <row r="6411" spans="14:26" ht="31.4" customHeight="1" x14ac:dyDescent="0.35">
      <c r="N6411" s="20"/>
      <c r="P6411" s="8"/>
      <c r="Q6411" s="8"/>
      <c r="R6411" s="8"/>
      <c r="S6411" s="18"/>
      <c r="T6411" s="18"/>
      <c r="U6411" s="6"/>
      <c r="V6411" s="6"/>
      <c r="W6411" s="6"/>
      <c r="X6411" s="6"/>
      <c r="Y6411" s="6"/>
      <c r="Z6411" s="6"/>
    </row>
    <row r="6412" spans="14:26" ht="31.4" customHeight="1" x14ac:dyDescent="0.35">
      <c r="N6412" s="20"/>
      <c r="P6412" s="8"/>
      <c r="Q6412" s="8"/>
      <c r="R6412" s="8"/>
      <c r="S6412" s="18"/>
      <c r="T6412" s="18"/>
      <c r="U6412" s="6"/>
      <c r="V6412" s="6"/>
      <c r="W6412" s="6"/>
      <c r="X6412" s="6"/>
      <c r="Y6412" s="6"/>
      <c r="Z6412" s="6"/>
    </row>
    <row r="6413" spans="14:26" ht="31.4" customHeight="1" x14ac:dyDescent="0.35">
      <c r="N6413" s="20"/>
      <c r="P6413" s="8"/>
      <c r="Q6413" s="8"/>
      <c r="R6413" s="8"/>
      <c r="S6413" s="18"/>
      <c r="T6413" s="18"/>
      <c r="U6413" s="6"/>
      <c r="V6413" s="6"/>
      <c r="W6413" s="6"/>
      <c r="X6413" s="6"/>
      <c r="Y6413" s="6"/>
      <c r="Z6413" s="6"/>
    </row>
    <row r="6414" spans="14:26" ht="31.4" customHeight="1" x14ac:dyDescent="0.35">
      <c r="N6414" s="20"/>
      <c r="P6414" s="8"/>
      <c r="Q6414" s="8"/>
      <c r="R6414" s="8"/>
      <c r="S6414" s="18"/>
      <c r="T6414" s="18"/>
      <c r="U6414" s="6"/>
      <c r="V6414" s="6"/>
      <c r="W6414" s="6"/>
      <c r="X6414" s="6"/>
      <c r="Y6414" s="6"/>
      <c r="Z6414" s="6"/>
    </row>
    <row r="6415" spans="14:26" ht="31.4" customHeight="1" x14ac:dyDescent="0.35">
      <c r="N6415" s="20"/>
      <c r="P6415" s="8"/>
      <c r="Q6415" s="8"/>
      <c r="R6415" s="8"/>
      <c r="S6415" s="18"/>
      <c r="T6415" s="18"/>
      <c r="U6415" s="6"/>
      <c r="V6415" s="6"/>
      <c r="W6415" s="6"/>
      <c r="X6415" s="6"/>
      <c r="Y6415" s="6"/>
      <c r="Z6415" s="6"/>
    </row>
    <row r="6416" spans="14:26" ht="31.4" customHeight="1" x14ac:dyDescent="0.35">
      <c r="N6416" s="20"/>
      <c r="P6416" s="8"/>
      <c r="Q6416" s="8"/>
      <c r="R6416" s="8"/>
      <c r="S6416" s="18"/>
      <c r="T6416" s="18"/>
      <c r="U6416" s="6"/>
      <c r="V6416" s="6"/>
      <c r="W6416" s="6"/>
      <c r="X6416" s="6"/>
      <c r="Y6416" s="6"/>
      <c r="Z6416" s="6"/>
    </row>
    <row r="6417" spans="14:26" ht="31.4" customHeight="1" x14ac:dyDescent="0.35">
      <c r="N6417" s="20"/>
      <c r="P6417" s="8"/>
      <c r="Q6417" s="8"/>
      <c r="R6417" s="8"/>
      <c r="S6417" s="18"/>
      <c r="T6417" s="18"/>
      <c r="U6417" s="6"/>
      <c r="V6417" s="6"/>
      <c r="W6417" s="6"/>
      <c r="X6417" s="6"/>
      <c r="Y6417" s="6"/>
      <c r="Z6417" s="6"/>
    </row>
    <row r="6418" spans="14:26" ht="31.4" customHeight="1" x14ac:dyDescent="0.35">
      <c r="N6418" s="20"/>
      <c r="P6418" s="8"/>
      <c r="Q6418" s="8"/>
      <c r="R6418" s="8"/>
      <c r="S6418" s="18"/>
      <c r="T6418" s="18"/>
      <c r="U6418" s="6"/>
      <c r="V6418" s="6"/>
      <c r="W6418" s="6"/>
      <c r="X6418" s="6"/>
      <c r="Y6418" s="6"/>
      <c r="Z6418" s="6"/>
    </row>
    <row r="6419" spans="14:26" ht="31.4" customHeight="1" x14ac:dyDescent="0.35">
      <c r="N6419" s="20"/>
      <c r="P6419" s="8"/>
      <c r="Q6419" s="8"/>
      <c r="R6419" s="8"/>
      <c r="S6419" s="18"/>
      <c r="T6419" s="18"/>
      <c r="U6419" s="6"/>
      <c r="V6419" s="6"/>
      <c r="W6419" s="6"/>
      <c r="X6419" s="6"/>
      <c r="Y6419" s="6"/>
      <c r="Z6419" s="6"/>
    </row>
    <row r="6420" spans="14:26" ht="31.4" customHeight="1" x14ac:dyDescent="0.35">
      <c r="N6420" s="20"/>
      <c r="P6420" s="8"/>
      <c r="Q6420" s="8"/>
      <c r="R6420" s="8"/>
      <c r="S6420" s="18"/>
      <c r="T6420" s="18"/>
      <c r="U6420" s="6"/>
      <c r="V6420" s="6"/>
      <c r="W6420" s="6"/>
      <c r="X6420" s="6"/>
      <c r="Y6420" s="6"/>
      <c r="Z6420" s="6"/>
    </row>
    <row r="6421" spans="14:26" ht="31.4" customHeight="1" x14ac:dyDescent="0.35">
      <c r="N6421" s="20"/>
      <c r="P6421" s="8"/>
      <c r="Q6421" s="8"/>
      <c r="R6421" s="8"/>
      <c r="S6421" s="18"/>
      <c r="T6421" s="18"/>
      <c r="U6421" s="6"/>
      <c r="V6421" s="6"/>
      <c r="W6421" s="6"/>
      <c r="X6421" s="6"/>
      <c r="Y6421" s="6"/>
      <c r="Z6421" s="6"/>
    </row>
    <row r="6422" spans="14:26" ht="31.4" customHeight="1" x14ac:dyDescent="0.35">
      <c r="N6422" s="20"/>
      <c r="P6422" s="8"/>
      <c r="Q6422" s="8"/>
      <c r="R6422" s="8"/>
      <c r="S6422" s="18"/>
      <c r="T6422" s="18"/>
      <c r="U6422" s="6"/>
      <c r="V6422" s="6"/>
      <c r="W6422" s="6"/>
      <c r="X6422" s="6"/>
      <c r="Y6422" s="6"/>
      <c r="Z6422" s="6"/>
    </row>
    <row r="6423" spans="14:26" ht="31.4" customHeight="1" x14ac:dyDescent="0.35">
      <c r="N6423" s="20"/>
      <c r="P6423" s="8"/>
      <c r="Q6423" s="8"/>
      <c r="R6423" s="8"/>
      <c r="S6423" s="18"/>
      <c r="T6423" s="18"/>
      <c r="U6423" s="6"/>
      <c r="V6423" s="6"/>
      <c r="W6423" s="6"/>
      <c r="X6423" s="6"/>
      <c r="Y6423" s="6"/>
      <c r="Z6423" s="6"/>
    </row>
    <row r="6424" spans="14:26" ht="31.4" customHeight="1" x14ac:dyDescent="0.35">
      <c r="N6424" s="20"/>
      <c r="P6424" s="8"/>
      <c r="Q6424" s="8"/>
      <c r="R6424" s="8"/>
      <c r="S6424" s="18"/>
      <c r="T6424" s="18"/>
      <c r="U6424" s="6"/>
      <c r="V6424" s="6"/>
      <c r="W6424" s="6"/>
      <c r="X6424" s="6"/>
      <c r="Y6424" s="6"/>
      <c r="Z6424" s="6"/>
    </row>
    <row r="6425" spans="14:26" ht="31.4" customHeight="1" x14ac:dyDescent="0.35">
      <c r="N6425" s="20"/>
      <c r="P6425" s="8"/>
      <c r="Q6425" s="8"/>
      <c r="R6425" s="8"/>
      <c r="S6425" s="18"/>
      <c r="T6425" s="18"/>
      <c r="U6425" s="6"/>
      <c r="V6425" s="6"/>
      <c r="W6425" s="6"/>
      <c r="X6425" s="6"/>
      <c r="Y6425" s="6"/>
      <c r="Z6425" s="6"/>
    </row>
    <row r="6426" spans="14:26" ht="31.4" customHeight="1" x14ac:dyDescent="0.35">
      <c r="N6426" s="20"/>
      <c r="P6426" s="8"/>
      <c r="Q6426" s="8"/>
      <c r="R6426" s="8"/>
      <c r="S6426" s="18"/>
      <c r="T6426" s="18"/>
      <c r="U6426" s="6"/>
      <c r="V6426" s="6"/>
      <c r="W6426" s="6"/>
      <c r="X6426" s="6"/>
      <c r="Y6426" s="6"/>
      <c r="Z6426" s="6"/>
    </row>
    <row r="6427" spans="14:26" ht="31.4" customHeight="1" x14ac:dyDescent="0.35">
      <c r="N6427" s="20"/>
      <c r="P6427" s="8"/>
      <c r="Q6427" s="8"/>
      <c r="R6427" s="8"/>
      <c r="S6427" s="18"/>
      <c r="T6427" s="18"/>
      <c r="U6427" s="6"/>
      <c r="V6427" s="6"/>
      <c r="W6427" s="6"/>
      <c r="X6427" s="6"/>
      <c r="Y6427" s="6"/>
      <c r="Z6427" s="6"/>
    </row>
    <row r="6428" spans="14:26" ht="31.4" customHeight="1" x14ac:dyDescent="0.35">
      <c r="N6428" s="20"/>
      <c r="P6428" s="8"/>
      <c r="Q6428" s="8"/>
      <c r="R6428" s="8"/>
      <c r="S6428" s="18"/>
      <c r="T6428" s="18"/>
      <c r="U6428" s="6"/>
      <c r="V6428" s="6"/>
      <c r="W6428" s="6"/>
      <c r="X6428" s="6"/>
      <c r="Y6428" s="6"/>
      <c r="Z6428" s="6"/>
    </row>
    <row r="6429" spans="14:26" ht="31.4" customHeight="1" x14ac:dyDescent="0.35">
      <c r="N6429" s="20"/>
      <c r="P6429" s="8"/>
      <c r="Q6429" s="8"/>
      <c r="R6429" s="8"/>
      <c r="S6429" s="18"/>
      <c r="T6429" s="18"/>
      <c r="U6429" s="6"/>
      <c r="V6429" s="6"/>
      <c r="W6429" s="6"/>
      <c r="X6429" s="6"/>
      <c r="Y6429" s="6"/>
      <c r="Z6429" s="6"/>
    </row>
    <row r="6430" spans="14:26" ht="31.4" customHeight="1" x14ac:dyDescent="0.35">
      <c r="N6430" s="20"/>
      <c r="P6430" s="8"/>
      <c r="Q6430" s="8"/>
      <c r="R6430" s="8"/>
      <c r="S6430" s="18"/>
      <c r="T6430" s="18"/>
      <c r="U6430" s="6"/>
      <c r="V6430" s="6"/>
      <c r="W6430" s="6"/>
      <c r="X6430" s="6"/>
      <c r="Y6430" s="6"/>
      <c r="Z6430" s="6"/>
    </row>
    <row r="6431" spans="14:26" ht="31.4" customHeight="1" x14ac:dyDescent="0.35">
      <c r="N6431" s="20"/>
      <c r="P6431" s="8"/>
      <c r="Q6431" s="8"/>
      <c r="R6431" s="8"/>
      <c r="S6431" s="18"/>
      <c r="T6431" s="18"/>
      <c r="U6431" s="6"/>
      <c r="V6431" s="6"/>
      <c r="W6431" s="6"/>
      <c r="X6431" s="6"/>
      <c r="Y6431" s="6"/>
      <c r="Z6431" s="6"/>
    </row>
    <row r="6432" spans="14:26" ht="31.4" customHeight="1" x14ac:dyDescent="0.35">
      <c r="N6432" s="20"/>
      <c r="P6432" s="8"/>
      <c r="Q6432" s="8"/>
      <c r="R6432" s="8"/>
      <c r="S6432" s="18"/>
      <c r="T6432" s="18"/>
      <c r="U6432" s="6"/>
      <c r="V6432" s="6"/>
      <c r="W6432" s="6"/>
      <c r="X6432" s="6"/>
      <c r="Y6432" s="6"/>
      <c r="Z6432" s="6"/>
    </row>
    <row r="6433" spans="14:26" ht="31.4" customHeight="1" x14ac:dyDescent="0.35">
      <c r="N6433" s="20"/>
      <c r="P6433" s="8"/>
      <c r="Q6433" s="8"/>
      <c r="R6433" s="8"/>
      <c r="S6433" s="18"/>
      <c r="T6433" s="18"/>
      <c r="U6433" s="6"/>
      <c r="V6433" s="6"/>
      <c r="W6433" s="6"/>
      <c r="X6433" s="6"/>
      <c r="Y6433" s="6"/>
      <c r="Z6433" s="6"/>
    </row>
    <row r="6434" spans="14:26" ht="31.4" customHeight="1" x14ac:dyDescent="0.35">
      <c r="N6434" s="20"/>
      <c r="P6434" s="8"/>
      <c r="Q6434" s="8"/>
      <c r="R6434" s="8"/>
      <c r="S6434" s="18"/>
      <c r="T6434" s="18"/>
      <c r="U6434" s="6"/>
      <c r="V6434" s="6"/>
      <c r="W6434" s="6"/>
      <c r="X6434" s="6"/>
      <c r="Y6434" s="6"/>
      <c r="Z6434" s="6"/>
    </row>
    <row r="6435" spans="14:26" ht="31.4" customHeight="1" x14ac:dyDescent="0.35">
      <c r="N6435" s="20"/>
      <c r="P6435" s="8"/>
      <c r="Q6435" s="8"/>
      <c r="R6435" s="8"/>
      <c r="S6435" s="18"/>
      <c r="T6435" s="18"/>
      <c r="U6435" s="6"/>
      <c r="V6435" s="6"/>
      <c r="W6435" s="6"/>
      <c r="X6435" s="6"/>
      <c r="Y6435" s="6"/>
      <c r="Z6435" s="6"/>
    </row>
    <row r="6436" spans="14:26" ht="31.4" customHeight="1" x14ac:dyDescent="0.35">
      <c r="N6436" s="20"/>
      <c r="P6436" s="8"/>
      <c r="Q6436" s="8"/>
      <c r="R6436" s="8"/>
      <c r="S6436" s="18"/>
      <c r="T6436" s="18"/>
      <c r="U6436" s="6"/>
      <c r="V6436" s="6"/>
      <c r="W6436" s="6"/>
      <c r="X6436" s="6"/>
      <c r="Y6436" s="6"/>
      <c r="Z6436" s="6"/>
    </row>
    <row r="6437" spans="14:26" ht="31.4" customHeight="1" x14ac:dyDescent="0.35">
      <c r="N6437" s="20"/>
      <c r="P6437" s="8"/>
      <c r="Q6437" s="8"/>
      <c r="R6437" s="8"/>
      <c r="S6437" s="18"/>
      <c r="T6437" s="18"/>
      <c r="U6437" s="6"/>
      <c r="V6437" s="6"/>
      <c r="W6437" s="6"/>
      <c r="X6437" s="6"/>
      <c r="Y6437" s="6"/>
      <c r="Z6437" s="6"/>
    </row>
    <row r="6438" spans="14:26" ht="31.4" customHeight="1" x14ac:dyDescent="0.35">
      <c r="N6438" s="20"/>
      <c r="P6438" s="8"/>
      <c r="Q6438" s="8"/>
      <c r="R6438" s="8"/>
      <c r="S6438" s="18"/>
      <c r="T6438" s="18"/>
      <c r="U6438" s="6"/>
      <c r="V6438" s="6"/>
      <c r="W6438" s="6"/>
      <c r="X6438" s="6"/>
      <c r="Y6438" s="6"/>
      <c r="Z6438" s="6"/>
    </row>
    <row r="6439" spans="14:26" ht="31.4" customHeight="1" x14ac:dyDescent="0.35">
      <c r="N6439" s="20"/>
      <c r="P6439" s="8"/>
      <c r="Q6439" s="8"/>
      <c r="R6439" s="8"/>
      <c r="S6439" s="18"/>
      <c r="T6439" s="18"/>
      <c r="U6439" s="6"/>
      <c r="V6439" s="6"/>
      <c r="W6439" s="6"/>
      <c r="X6439" s="6"/>
      <c r="Y6439" s="6"/>
      <c r="Z6439" s="6"/>
    </row>
    <row r="6440" spans="14:26" ht="31.4" customHeight="1" x14ac:dyDescent="0.35">
      <c r="N6440" s="20"/>
      <c r="P6440" s="8"/>
      <c r="Q6440" s="8"/>
      <c r="R6440" s="8"/>
      <c r="S6440" s="18"/>
      <c r="T6440" s="18"/>
      <c r="U6440" s="6"/>
      <c r="V6440" s="6"/>
      <c r="W6440" s="6"/>
      <c r="X6440" s="6"/>
      <c r="Y6440" s="6"/>
      <c r="Z6440" s="6"/>
    </row>
    <row r="6441" spans="14:26" ht="31.4" customHeight="1" x14ac:dyDescent="0.35">
      <c r="N6441" s="20"/>
      <c r="P6441" s="8"/>
      <c r="Q6441" s="8"/>
      <c r="R6441" s="8"/>
      <c r="S6441" s="18"/>
      <c r="T6441" s="18"/>
      <c r="U6441" s="6"/>
      <c r="V6441" s="6"/>
      <c r="W6441" s="6"/>
      <c r="X6441" s="6"/>
      <c r="Y6441" s="6"/>
      <c r="Z6441" s="6"/>
    </row>
    <row r="6442" spans="14:26" ht="31.4" customHeight="1" x14ac:dyDescent="0.35">
      <c r="N6442" s="20"/>
      <c r="P6442" s="8"/>
      <c r="Q6442" s="8"/>
      <c r="R6442" s="8"/>
      <c r="S6442" s="18"/>
      <c r="T6442" s="18"/>
      <c r="U6442" s="6"/>
      <c r="V6442" s="6"/>
      <c r="W6442" s="6"/>
      <c r="X6442" s="6"/>
      <c r="Y6442" s="6"/>
      <c r="Z6442" s="6"/>
    </row>
    <row r="6443" spans="14:26" ht="31.4" customHeight="1" x14ac:dyDescent="0.35">
      <c r="N6443" s="20"/>
      <c r="P6443" s="8"/>
      <c r="Q6443" s="8"/>
      <c r="R6443" s="8"/>
      <c r="S6443" s="18"/>
      <c r="T6443" s="18"/>
      <c r="U6443" s="6"/>
      <c r="V6443" s="6"/>
      <c r="W6443" s="6"/>
      <c r="X6443" s="6"/>
      <c r="Y6443" s="6"/>
      <c r="Z6443" s="6"/>
    </row>
    <row r="6444" spans="14:26" ht="31.4" customHeight="1" x14ac:dyDescent="0.35">
      <c r="N6444" s="20"/>
      <c r="P6444" s="8"/>
      <c r="Q6444" s="8"/>
      <c r="R6444" s="8"/>
      <c r="S6444" s="18"/>
      <c r="T6444" s="18"/>
      <c r="U6444" s="6"/>
      <c r="V6444" s="6"/>
      <c r="W6444" s="6"/>
      <c r="X6444" s="6"/>
      <c r="Y6444" s="6"/>
      <c r="Z6444" s="6"/>
    </row>
    <row r="6445" spans="14:26" ht="31.4" customHeight="1" x14ac:dyDescent="0.35">
      <c r="N6445" s="20"/>
      <c r="P6445" s="8"/>
      <c r="Q6445" s="8"/>
      <c r="R6445" s="8"/>
      <c r="S6445" s="18"/>
      <c r="T6445" s="18"/>
      <c r="U6445" s="6"/>
      <c r="V6445" s="6"/>
      <c r="W6445" s="6"/>
      <c r="X6445" s="6"/>
      <c r="Y6445" s="6"/>
      <c r="Z6445" s="6"/>
    </row>
    <row r="6446" spans="14:26" ht="31.4" customHeight="1" x14ac:dyDescent="0.35">
      <c r="N6446" s="20"/>
      <c r="P6446" s="8"/>
      <c r="Q6446" s="8"/>
      <c r="R6446" s="8"/>
      <c r="S6446" s="18"/>
      <c r="T6446" s="18"/>
      <c r="U6446" s="6"/>
      <c r="V6446" s="6"/>
      <c r="W6446" s="6"/>
      <c r="X6446" s="6"/>
      <c r="Y6446" s="6"/>
      <c r="Z6446" s="6"/>
    </row>
    <row r="6447" spans="14:26" ht="31.4" customHeight="1" x14ac:dyDescent="0.35">
      <c r="N6447" s="20"/>
      <c r="P6447" s="8"/>
      <c r="Q6447" s="8"/>
      <c r="R6447" s="8"/>
      <c r="S6447" s="18"/>
      <c r="T6447" s="18"/>
      <c r="U6447" s="6"/>
      <c r="V6447" s="6"/>
      <c r="W6447" s="6"/>
      <c r="X6447" s="6"/>
      <c r="Y6447" s="6"/>
      <c r="Z6447" s="6"/>
    </row>
    <row r="6448" spans="14:26" ht="31.4" customHeight="1" x14ac:dyDescent="0.35">
      <c r="N6448" s="20"/>
      <c r="P6448" s="8"/>
      <c r="Q6448" s="8"/>
      <c r="R6448" s="8"/>
      <c r="S6448" s="18"/>
      <c r="T6448" s="18"/>
      <c r="U6448" s="6"/>
      <c r="V6448" s="6"/>
      <c r="W6448" s="6"/>
      <c r="X6448" s="6"/>
      <c r="Y6448" s="6"/>
      <c r="Z6448" s="6"/>
    </row>
    <row r="6449" spans="14:26" ht="31.4" customHeight="1" x14ac:dyDescent="0.35">
      <c r="N6449" s="20"/>
      <c r="P6449" s="8"/>
      <c r="Q6449" s="8"/>
      <c r="R6449" s="8"/>
      <c r="S6449" s="18"/>
      <c r="T6449" s="18"/>
      <c r="U6449" s="6"/>
      <c r="V6449" s="6"/>
      <c r="W6449" s="6"/>
      <c r="X6449" s="6"/>
      <c r="Y6449" s="6"/>
      <c r="Z6449" s="6"/>
    </row>
    <row r="6450" spans="14:26" ht="31.4" customHeight="1" x14ac:dyDescent="0.35">
      <c r="N6450" s="20"/>
      <c r="P6450" s="8"/>
      <c r="Q6450" s="8"/>
      <c r="R6450" s="8"/>
      <c r="S6450" s="18"/>
      <c r="T6450" s="18"/>
      <c r="U6450" s="6"/>
      <c r="V6450" s="6"/>
      <c r="W6450" s="6"/>
      <c r="X6450" s="6"/>
      <c r="Y6450" s="6"/>
      <c r="Z6450" s="6"/>
    </row>
    <row r="6451" spans="14:26" ht="31.4" customHeight="1" x14ac:dyDescent="0.35">
      <c r="N6451" s="20"/>
      <c r="P6451" s="8"/>
      <c r="Q6451" s="8"/>
      <c r="R6451" s="8"/>
      <c r="S6451" s="18"/>
      <c r="T6451" s="18"/>
      <c r="U6451" s="6"/>
      <c r="V6451" s="6"/>
      <c r="W6451" s="6"/>
      <c r="X6451" s="6"/>
      <c r="Y6451" s="6"/>
      <c r="Z6451" s="6"/>
    </row>
    <row r="6452" spans="14:26" ht="31.4" customHeight="1" x14ac:dyDescent="0.35">
      <c r="N6452" s="20"/>
      <c r="P6452" s="8"/>
      <c r="Q6452" s="8"/>
      <c r="R6452" s="8"/>
      <c r="S6452" s="18"/>
      <c r="T6452" s="18"/>
      <c r="U6452" s="6"/>
      <c r="V6452" s="6"/>
      <c r="W6452" s="6"/>
      <c r="X6452" s="6"/>
      <c r="Y6452" s="6"/>
      <c r="Z6452" s="6"/>
    </row>
    <row r="6453" spans="14:26" ht="31.4" customHeight="1" x14ac:dyDescent="0.35">
      <c r="N6453" s="20"/>
      <c r="P6453" s="8"/>
      <c r="Q6453" s="8"/>
      <c r="R6453" s="8"/>
      <c r="S6453" s="18"/>
      <c r="T6453" s="18"/>
      <c r="U6453" s="6"/>
      <c r="V6453" s="6"/>
      <c r="W6453" s="6"/>
      <c r="X6453" s="6"/>
      <c r="Y6453" s="6"/>
      <c r="Z6453" s="6"/>
    </row>
    <row r="6454" spans="14:26" ht="31.4" customHeight="1" x14ac:dyDescent="0.35">
      <c r="N6454" s="20"/>
      <c r="P6454" s="8"/>
      <c r="Q6454" s="8"/>
      <c r="R6454" s="8"/>
      <c r="S6454" s="18"/>
      <c r="T6454" s="18"/>
      <c r="U6454" s="6"/>
      <c r="V6454" s="6"/>
      <c r="W6454" s="6"/>
      <c r="X6454" s="6"/>
      <c r="Y6454" s="6"/>
      <c r="Z6454" s="6"/>
    </row>
    <row r="6455" spans="14:26" ht="31.4" customHeight="1" x14ac:dyDescent="0.35">
      <c r="N6455" s="20"/>
      <c r="P6455" s="8"/>
      <c r="Q6455" s="8"/>
      <c r="R6455" s="8"/>
      <c r="S6455" s="18"/>
      <c r="T6455" s="18"/>
      <c r="U6455" s="6"/>
      <c r="V6455" s="6"/>
      <c r="W6455" s="6"/>
      <c r="X6455" s="6"/>
      <c r="Y6455" s="6"/>
      <c r="Z6455" s="6"/>
    </row>
    <row r="6456" spans="14:26" ht="31.4" customHeight="1" x14ac:dyDescent="0.35">
      <c r="N6456" s="20"/>
      <c r="P6456" s="8"/>
      <c r="Q6456" s="8"/>
      <c r="R6456" s="8"/>
      <c r="S6456" s="18"/>
      <c r="T6456" s="18"/>
      <c r="U6456" s="6"/>
      <c r="V6456" s="6"/>
      <c r="W6456" s="6"/>
      <c r="X6456" s="6"/>
      <c r="Y6456" s="6"/>
      <c r="Z6456" s="6"/>
    </row>
    <row r="6457" spans="14:26" ht="31.4" customHeight="1" x14ac:dyDescent="0.35">
      <c r="N6457" s="20"/>
      <c r="P6457" s="8"/>
      <c r="Q6457" s="8"/>
      <c r="R6457" s="8"/>
      <c r="S6457" s="18"/>
      <c r="T6457" s="18"/>
      <c r="U6457" s="6"/>
      <c r="V6457" s="6"/>
      <c r="W6457" s="6"/>
      <c r="X6457" s="6"/>
      <c r="Y6457" s="6"/>
      <c r="Z6457" s="6"/>
    </row>
    <row r="6458" spans="14:26" ht="31.4" customHeight="1" x14ac:dyDescent="0.35">
      <c r="N6458" s="20"/>
      <c r="P6458" s="8"/>
      <c r="Q6458" s="8"/>
      <c r="R6458" s="8"/>
      <c r="S6458" s="18"/>
      <c r="T6458" s="18"/>
      <c r="U6458" s="6"/>
      <c r="V6458" s="6"/>
      <c r="W6458" s="6"/>
      <c r="X6458" s="6"/>
      <c r="Y6458" s="6"/>
      <c r="Z6458" s="6"/>
    </row>
    <row r="6459" spans="14:26" ht="31.4" customHeight="1" x14ac:dyDescent="0.35">
      <c r="N6459" s="20"/>
      <c r="P6459" s="8"/>
      <c r="Q6459" s="8"/>
      <c r="R6459" s="8"/>
      <c r="S6459" s="18"/>
      <c r="T6459" s="18"/>
      <c r="U6459" s="6"/>
      <c r="V6459" s="6"/>
      <c r="W6459" s="6"/>
      <c r="X6459" s="6"/>
      <c r="Y6459" s="6"/>
      <c r="Z6459" s="6"/>
    </row>
    <row r="6460" spans="14:26" ht="31.4" customHeight="1" x14ac:dyDescent="0.35">
      <c r="N6460" s="20"/>
      <c r="P6460" s="8"/>
      <c r="Q6460" s="8"/>
      <c r="R6460" s="8"/>
      <c r="S6460" s="18"/>
      <c r="T6460" s="18"/>
      <c r="U6460" s="6"/>
      <c r="V6460" s="6"/>
      <c r="W6460" s="6"/>
      <c r="X6460" s="6"/>
      <c r="Y6460" s="6"/>
      <c r="Z6460" s="6"/>
    </row>
    <row r="6461" spans="14:26" ht="31.4" customHeight="1" x14ac:dyDescent="0.35">
      <c r="N6461" s="20"/>
      <c r="P6461" s="8"/>
      <c r="Q6461" s="8"/>
      <c r="R6461" s="8"/>
      <c r="S6461" s="18"/>
      <c r="T6461" s="18"/>
      <c r="U6461" s="6"/>
      <c r="V6461" s="6"/>
      <c r="W6461" s="6"/>
      <c r="X6461" s="6"/>
      <c r="Y6461" s="6"/>
      <c r="Z6461" s="6"/>
    </row>
    <row r="6462" spans="14:26" ht="31.4" customHeight="1" x14ac:dyDescent="0.35">
      <c r="N6462" s="20"/>
      <c r="P6462" s="8"/>
      <c r="Q6462" s="8"/>
      <c r="R6462" s="8"/>
      <c r="S6462" s="18"/>
      <c r="T6462" s="18"/>
      <c r="U6462" s="6"/>
      <c r="V6462" s="6"/>
      <c r="W6462" s="6"/>
      <c r="X6462" s="6"/>
      <c r="Y6462" s="6"/>
      <c r="Z6462" s="6"/>
    </row>
    <row r="6463" spans="14:26" ht="31.4" customHeight="1" x14ac:dyDescent="0.35">
      <c r="N6463" s="20"/>
      <c r="P6463" s="8"/>
      <c r="Q6463" s="8"/>
      <c r="R6463" s="8"/>
      <c r="S6463" s="18"/>
      <c r="T6463" s="18"/>
      <c r="U6463" s="6"/>
      <c r="V6463" s="6"/>
      <c r="W6463" s="6"/>
      <c r="X6463" s="6"/>
      <c r="Y6463" s="6"/>
      <c r="Z6463" s="6"/>
    </row>
    <row r="6464" spans="14:26" ht="31.4" customHeight="1" x14ac:dyDescent="0.35">
      <c r="N6464" s="20"/>
      <c r="P6464" s="8"/>
      <c r="Q6464" s="8"/>
      <c r="R6464" s="8"/>
      <c r="S6464" s="18"/>
      <c r="T6464" s="18"/>
      <c r="U6464" s="6"/>
      <c r="V6464" s="6"/>
      <c r="W6464" s="6"/>
      <c r="X6464" s="6"/>
      <c r="Y6464" s="6"/>
      <c r="Z6464" s="6"/>
    </row>
    <row r="6465" spans="14:26" ht="31.4" customHeight="1" x14ac:dyDescent="0.35">
      <c r="N6465" s="20"/>
      <c r="P6465" s="8"/>
      <c r="Q6465" s="8"/>
      <c r="R6465" s="8"/>
      <c r="S6465" s="18"/>
      <c r="T6465" s="18"/>
      <c r="U6465" s="6"/>
      <c r="V6465" s="6"/>
      <c r="W6465" s="6"/>
      <c r="X6465" s="6"/>
      <c r="Y6465" s="6"/>
      <c r="Z6465" s="6"/>
    </row>
    <row r="6466" spans="14:26" ht="31.4" customHeight="1" x14ac:dyDescent="0.35">
      <c r="N6466" s="20"/>
      <c r="P6466" s="8"/>
      <c r="Q6466" s="8"/>
      <c r="R6466" s="8"/>
      <c r="S6466" s="18"/>
      <c r="T6466" s="18"/>
      <c r="U6466" s="6"/>
      <c r="V6466" s="6"/>
      <c r="W6466" s="6"/>
      <c r="X6466" s="6"/>
      <c r="Y6466" s="6"/>
      <c r="Z6466" s="6"/>
    </row>
    <row r="6467" spans="14:26" ht="31.4" customHeight="1" x14ac:dyDescent="0.35">
      <c r="N6467" s="20"/>
      <c r="P6467" s="8"/>
      <c r="Q6467" s="8"/>
      <c r="R6467" s="8"/>
      <c r="S6467" s="18"/>
      <c r="T6467" s="18"/>
      <c r="U6467" s="6"/>
      <c r="V6467" s="6"/>
      <c r="W6467" s="6"/>
      <c r="X6467" s="6"/>
      <c r="Y6467" s="6"/>
      <c r="Z6467" s="6"/>
    </row>
    <row r="6468" spans="14:26" ht="31.4" customHeight="1" x14ac:dyDescent="0.35">
      <c r="N6468" s="20"/>
      <c r="P6468" s="8"/>
      <c r="Q6468" s="8"/>
      <c r="R6468" s="8"/>
      <c r="S6468" s="18"/>
      <c r="T6468" s="18"/>
      <c r="U6468" s="6"/>
      <c r="V6468" s="6"/>
      <c r="W6468" s="6"/>
      <c r="X6468" s="6"/>
      <c r="Y6468" s="6"/>
      <c r="Z6468" s="6"/>
    </row>
    <row r="6469" spans="14:26" ht="31.4" customHeight="1" x14ac:dyDescent="0.35">
      <c r="N6469" s="20"/>
      <c r="P6469" s="8"/>
      <c r="Q6469" s="8"/>
      <c r="R6469" s="8"/>
      <c r="S6469" s="18"/>
      <c r="T6469" s="18"/>
      <c r="U6469" s="6"/>
      <c r="V6469" s="6"/>
      <c r="W6469" s="6"/>
      <c r="X6469" s="6"/>
      <c r="Y6469" s="6"/>
      <c r="Z6469" s="6"/>
    </row>
    <row r="6470" spans="14:26" ht="31.4" customHeight="1" x14ac:dyDescent="0.35">
      <c r="N6470" s="20"/>
      <c r="P6470" s="8"/>
      <c r="Q6470" s="8"/>
      <c r="R6470" s="8"/>
      <c r="S6470" s="18"/>
      <c r="T6470" s="18"/>
      <c r="U6470" s="6"/>
      <c r="V6470" s="6"/>
      <c r="W6470" s="6"/>
      <c r="X6470" s="6"/>
      <c r="Y6470" s="6"/>
      <c r="Z6470" s="6"/>
    </row>
    <row r="6471" spans="14:26" ht="31.4" customHeight="1" x14ac:dyDescent="0.35">
      <c r="N6471" s="20"/>
      <c r="P6471" s="8"/>
      <c r="Q6471" s="8"/>
      <c r="R6471" s="8"/>
      <c r="S6471" s="18"/>
      <c r="T6471" s="18"/>
      <c r="U6471" s="6"/>
      <c r="V6471" s="6"/>
      <c r="W6471" s="6"/>
      <c r="X6471" s="6"/>
      <c r="Y6471" s="6"/>
      <c r="Z6471" s="6"/>
    </row>
    <row r="6472" spans="14:26" ht="31.4" customHeight="1" x14ac:dyDescent="0.35">
      <c r="N6472" s="20"/>
      <c r="P6472" s="8"/>
      <c r="Q6472" s="8"/>
      <c r="R6472" s="8"/>
      <c r="S6472" s="18"/>
      <c r="T6472" s="18"/>
      <c r="U6472" s="6"/>
      <c r="V6472" s="6"/>
      <c r="W6472" s="6"/>
      <c r="X6472" s="6"/>
      <c r="Y6472" s="6"/>
      <c r="Z6472" s="6"/>
    </row>
    <row r="6473" spans="14:26" ht="31.4" customHeight="1" x14ac:dyDescent="0.35">
      <c r="N6473" s="20"/>
      <c r="P6473" s="8"/>
      <c r="Q6473" s="8"/>
      <c r="R6473" s="8"/>
      <c r="S6473" s="18"/>
      <c r="T6473" s="18"/>
      <c r="U6473" s="6"/>
      <c r="V6473" s="6"/>
      <c r="W6473" s="6"/>
      <c r="X6473" s="6"/>
      <c r="Y6473" s="6"/>
      <c r="Z6473" s="6"/>
    </row>
    <row r="6474" spans="14:26" ht="31.4" customHeight="1" x14ac:dyDescent="0.35">
      <c r="N6474" s="20"/>
      <c r="P6474" s="8"/>
      <c r="Q6474" s="8"/>
      <c r="R6474" s="8"/>
      <c r="S6474" s="18"/>
      <c r="T6474" s="18"/>
      <c r="U6474" s="6"/>
      <c r="V6474" s="6"/>
      <c r="W6474" s="6"/>
      <c r="X6474" s="6"/>
      <c r="Y6474" s="6"/>
      <c r="Z6474" s="6"/>
    </row>
    <row r="6475" spans="14:26" ht="31.4" customHeight="1" x14ac:dyDescent="0.35">
      <c r="N6475" s="20"/>
      <c r="P6475" s="8"/>
      <c r="Q6475" s="8"/>
      <c r="R6475" s="8"/>
      <c r="S6475" s="18"/>
      <c r="T6475" s="18"/>
      <c r="U6475" s="6"/>
      <c r="V6475" s="6"/>
      <c r="W6475" s="6"/>
      <c r="X6475" s="6"/>
      <c r="Y6475" s="6"/>
      <c r="Z6475" s="6"/>
    </row>
    <row r="6476" spans="14:26" ht="31.4" customHeight="1" x14ac:dyDescent="0.35">
      <c r="N6476" s="20"/>
      <c r="P6476" s="8"/>
      <c r="Q6476" s="8"/>
      <c r="R6476" s="8"/>
      <c r="S6476" s="18"/>
      <c r="T6476" s="18"/>
      <c r="U6476" s="6"/>
      <c r="V6476" s="6"/>
      <c r="W6476" s="6"/>
      <c r="X6476" s="6"/>
      <c r="Y6476" s="6"/>
      <c r="Z6476" s="6"/>
    </row>
    <row r="6477" spans="14:26" ht="31.4" customHeight="1" x14ac:dyDescent="0.35">
      <c r="N6477" s="20"/>
      <c r="P6477" s="8"/>
      <c r="Q6477" s="8"/>
      <c r="R6477" s="8"/>
      <c r="S6477" s="18"/>
      <c r="T6477" s="18"/>
      <c r="U6477" s="6"/>
      <c r="V6477" s="6"/>
      <c r="W6477" s="6"/>
      <c r="X6477" s="6"/>
      <c r="Y6477" s="6"/>
      <c r="Z6477" s="6"/>
    </row>
    <row r="6478" spans="14:26" ht="31.4" customHeight="1" x14ac:dyDescent="0.35">
      <c r="N6478" s="20"/>
      <c r="P6478" s="8"/>
      <c r="Q6478" s="8"/>
      <c r="R6478" s="8"/>
      <c r="S6478" s="18"/>
      <c r="T6478" s="18"/>
      <c r="U6478" s="6"/>
      <c r="V6478" s="6"/>
      <c r="W6478" s="6"/>
      <c r="X6478" s="6"/>
      <c r="Y6478" s="6"/>
      <c r="Z6478" s="6"/>
    </row>
    <row r="6479" spans="14:26" ht="31.4" customHeight="1" x14ac:dyDescent="0.35">
      <c r="N6479" s="20"/>
      <c r="P6479" s="8"/>
      <c r="Q6479" s="8"/>
      <c r="R6479" s="8"/>
      <c r="S6479" s="18"/>
      <c r="T6479" s="18"/>
      <c r="U6479" s="6"/>
      <c r="V6479" s="6"/>
      <c r="W6479" s="6"/>
      <c r="X6479" s="6"/>
      <c r="Y6479" s="6"/>
      <c r="Z6479" s="6"/>
    </row>
    <row r="6480" spans="14:26" ht="31.4" customHeight="1" x14ac:dyDescent="0.35">
      <c r="N6480" s="20"/>
      <c r="P6480" s="8"/>
      <c r="Q6480" s="8"/>
      <c r="R6480" s="8"/>
      <c r="S6480" s="18"/>
      <c r="T6480" s="18"/>
      <c r="U6480" s="6"/>
      <c r="V6480" s="6"/>
      <c r="W6480" s="6"/>
      <c r="X6480" s="6"/>
      <c r="Y6480" s="6"/>
      <c r="Z6480" s="6"/>
    </row>
    <row r="6481" spans="14:26" ht="31.4" customHeight="1" x14ac:dyDescent="0.35">
      <c r="N6481" s="20"/>
      <c r="P6481" s="8"/>
      <c r="Q6481" s="8"/>
      <c r="R6481" s="8"/>
      <c r="S6481" s="18"/>
      <c r="T6481" s="18"/>
      <c r="U6481" s="6"/>
      <c r="V6481" s="6"/>
      <c r="W6481" s="6"/>
      <c r="X6481" s="6"/>
      <c r="Y6481" s="6"/>
      <c r="Z6481" s="6"/>
    </row>
    <row r="6482" spans="14:26" ht="31.4" customHeight="1" x14ac:dyDescent="0.35">
      <c r="N6482" s="20"/>
      <c r="P6482" s="8"/>
      <c r="Q6482" s="8"/>
      <c r="R6482" s="8"/>
      <c r="S6482" s="18"/>
      <c r="T6482" s="18"/>
      <c r="U6482" s="6"/>
      <c r="V6482" s="6"/>
      <c r="W6482" s="6"/>
      <c r="X6482" s="6"/>
      <c r="Y6482" s="6"/>
      <c r="Z6482" s="6"/>
    </row>
    <row r="6483" spans="14:26" ht="31.4" customHeight="1" x14ac:dyDescent="0.35">
      <c r="N6483" s="20"/>
      <c r="P6483" s="8"/>
      <c r="Q6483" s="8"/>
      <c r="R6483" s="8"/>
      <c r="S6483" s="18"/>
      <c r="T6483" s="18"/>
      <c r="U6483" s="6"/>
      <c r="V6483" s="6"/>
      <c r="W6483" s="6"/>
      <c r="X6483" s="6"/>
      <c r="Y6483" s="6"/>
      <c r="Z6483" s="6"/>
    </row>
    <row r="6484" spans="14:26" ht="31.4" customHeight="1" x14ac:dyDescent="0.35">
      <c r="N6484" s="20"/>
      <c r="P6484" s="8"/>
      <c r="Q6484" s="8"/>
      <c r="R6484" s="8"/>
      <c r="S6484" s="18"/>
      <c r="T6484" s="18"/>
      <c r="U6484" s="6"/>
      <c r="V6484" s="6"/>
      <c r="W6484" s="6"/>
      <c r="X6484" s="6"/>
      <c r="Y6484" s="6"/>
      <c r="Z6484" s="6"/>
    </row>
    <row r="6485" spans="14:26" ht="31.4" customHeight="1" x14ac:dyDescent="0.35">
      <c r="N6485" s="20"/>
      <c r="P6485" s="8"/>
      <c r="Q6485" s="8"/>
      <c r="R6485" s="8"/>
      <c r="S6485" s="18"/>
      <c r="T6485" s="18"/>
      <c r="U6485" s="6"/>
      <c r="V6485" s="6"/>
      <c r="W6485" s="6"/>
      <c r="X6485" s="6"/>
      <c r="Y6485" s="6"/>
      <c r="Z6485" s="6"/>
    </row>
    <row r="6486" spans="14:26" ht="31.4" customHeight="1" x14ac:dyDescent="0.35">
      <c r="N6486" s="20"/>
      <c r="P6486" s="8"/>
      <c r="Q6486" s="8"/>
      <c r="R6486" s="8"/>
      <c r="S6486" s="18"/>
      <c r="T6486" s="18"/>
      <c r="U6486" s="6"/>
      <c r="V6486" s="6"/>
      <c r="W6486" s="6"/>
      <c r="X6486" s="6"/>
      <c r="Y6486" s="6"/>
      <c r="Z6486" s="6"/>
    </row>
    <row r="6487" spans="14:26" ht="31.4" customHeight="1" x14ac:dyDescent="0.35">
      <c r="N6487" s="20"/>
      <c r="P6487" s="8"/>
      <c r="Q6487" s="8"/>
      <c r="R6487" s="8"/>
      <c r="S6487" s="18"/>
      <c r="T6487" s="18"/>
      <c r="U6487" s="6"/>
      <c r="V6487" s="6"/>
      <c r="W6487" s="6"/>
      <c r="X6487" s="6"/>
      <c r="Y6487" s="6"/>
      <c r="Z6487" s="6"/>
    </row>
    <row r="6488" spans="14:26" ht="31.4" customHeight="1" x14ac:dyDescent="0.35">
      <c r="N6488" s="20"/>
      <c r="P6488" s="8"/>
      <c r="Q6488" s="8"/>
      <c r="R6488" s="8"/>
      <c r="S6488" s="18"/>
      <c r="T6488" s="18"/>
      <c r="U6488" s="6"/>
      <c r="V6488" s="6"/>
      <c r="W6488" s="6"/>
      <c r="X6488" s="6"/>
      <c r="Y6488" s="6"/>
      <c r="Z6488" s="6"/>
    </row>
    <row r="6489" spans="14:26" ht="31.4" customHeight="1" x14ac:dyDescent="0.35">
      <c r="N6489" s="20"/>
      <c r="P6489" s="8"/>
      <c r="Q6489" s="8"/>
      <c r="R6489" s="8"/>
      <c r="S6489" s="18"/>
      <c r="T6489" s="18"/>
      <c r="U6489" s="6"/>
      <c r="V6489" s="6"/>
      <c r="W6489" s="6"/>
      <c r="X6489" s="6"/>
      <c r="Y6489" s="6"/>
      <c r="Z6489" s="6"/>
    </row>
    <row r="6490" spans="14:26" ht="31.4" customHeight="1" x14ac:dyDescent="0.35">
      <c r="N6490" s="20"/>
      <c r="P6490" s="8"/>
      <c r="Q6490" s="8"/>
      <c r="R6490" s="8"/>
      <c r="S6490" s="18"/>
      <c r="T6490" s="18"/>
      <c r="U6490" s="6"/>
      <c r="V6490" s="6"/>
      <c r="W6490" s="6"/>
      <c r="X6490" s="6"/>
      <c r="Y6490" s="6"/>
      <c r="Z6490" s="6"/>
    </row>
    <row r="6491" spans="14:26" ht="31.4" customHeight="1" x14ac:dyDescent="0.35">
      <c r="N6491" s="20"/>
      <c r="P6491" s="8"/>
      <c r="Q6491" s="8"/>
      <c r="R6491" s="8"/>
      <c r="S6491" s="18"/>
      <c r="T6491" s="18"/>
      <c r="U6491" s="6"/>
      <c r="V6491" s="6"/>
      <c r="W6491" s="6"/>
      <c r="X6491" s="6"/>
      <c r="Y6491" s="6"/>
      <c r="Z6491" s="6"/>
    </row>
    <row r="6492" spans="14:26" ht="31.4" customHeight="1" x14ac:dyDescent="0.35">
      <c r="N6492" s="20"/>
      <c r="P6492" s="8"/>
      <c r="Q6492" s="8"/>
      <c r="R6492" s="8"/>
      <c r="S6492" s="18"/>
      <c r="T6492" s="18"/>
      <c r="U6492" s="6"/>
      <c r="V6492" s="6"/>
      <c r="W6492" s="6"/>
      <c r="X6492" s="6"/>
      <c r="Y6492" s="6"/>
      <c r="Z6492" s="6"/>
    </row>
    <row r="6493" spans="14:26" ht="31.4" customHeight="1" x14ac:dyDescent="0.35">
      <c r="N6493" s="20"/>
      <c r="P6493" s="8"/>
      <c r="Q6493" s="8"/>
      <c r="R6493" s="8"/>
      <c r="S6493" s="18"/>
      <c r="T6493" s="18"/>
      <c r="U6493" s="6"/>
      <c r="V6493" s="6"/>
      <c r="W6493" s="6"/>
      <c r="X6493" s="6"/>
      <c r="Y6493" s="6"/>
      <c r="Z6493" s="6"/>
    </row>
    <row r="6494" spans="14:26" ht="31.4" customHeight="1" x14ac:dyDescent="0.35">
      <c r="N6494" s="20"/>
      <c r="P6494" s="8"/>
      <c r="Q6494" s="8"/>
      <c r="R6494" s="8"/>
      <c r="S6494" s="18"/>
      <c r="T6494" s="18"/>
      <c r="U6494" s="6"/>
      <c r="V6494" s="6"/>
      <c r="W6494" s="6"/>
      <c r="X6494" s="6"/>
      <c r="Y6494" s="6"/>
      <c r="Z6494" s="6"/>
    </row>
    <row r="6495" spans="14:26" ht="31.4" customHeight="1" x14ac:dyDescent="0.35">
      <c r="N6495" s="20"/>
      <c r="P6495" s="8"/>
      <c r="Q6495" s="8"/>
      <c r="R6495" s="8"/>
      <c r="S6495" s="18"/>
      <c r="T6495" s="18"/>
      <c r="U6495" s="6"/>
      <c r="V6495" s="6"/>
      <c r="W6495" s="6"/>
      <c r="X6495" s="6"/>
      <c r="Y6495" s="6"/>
      <c r="Z6495" s="6"/>
    </row>
    <row r="6496" spans="14:26" ht="31.4" customHeight="1" x14ac:dyDescent="0.35">
      <c r="N6496" s="20"/>
      <c r="P6496" s="8"/>
      <c r="Q6496" s="8"/>
      <c r="R6496" s="8"/>
      <c r="S6496" s="18"/>
      <c r="T6496" s="18"/>
      <c r="U6496" s="6"/>
      <c r="V6496" s="6"/>
      <c r="W6496" s="6"/>
      <c r="X6496" s="6"/>
      <c r="Y6496" s="6"/>
      <c r="Z6496" s="6"/>
    </row>
    <row r="6497" spans="14:26" ht="31.4" customHeight="1" x14ac:dyDescent="0.35">
      <c r="N6497" s="20"/>
      <c r="P6497" s="8"/>
      <c r="Q6497" s="8"/>
      <c r="R6497" s="8"/>
      <c r="S6497" s="18"/>
      <c r="T6497" s="18"/>
      <c r="U6497" s="6"/>
      <c r="V6497" s="6"/>
      <c r="W6497" s="6"/>
      <c r="X6497" s="6"/>
      <c r="Y6497" s="6"/>
      <c r="Z6497" s="6"/>
    </row>
    <row r="6498" spans="14:26" ht="31.4" customHeight="1" x14ac:dyDescent="0.35">
      <c r="N6498" s="20"/>
      <c r="P6498" s="8"/>
      <c r="Q6498" s="8"/>
      <c r="R6498" s="8"/>
      <c r="S6498" s="18"/>
      <c r="T6498" s="18"/>
      <c r="U6498" s="6"/>
      <c r="V6498" s="6"/>
      <c r="W6498" s="6"/>
      <c r="X6498" s="6"/>
      <c r="Y6498" s="6"/>
      <c r="Z6498" s="6"/>
    </row>
    <row r="6499" spans="14:26" ht="31.4" customHeight="1" x14ac:dyDescent="0.35">
      <c r="N6499" s="20"/>
      <c r="P6499" s="8"/>
      <c r="Q6499" s="8"/>
      <c r="R6499" s="8"/>
      <c r="S6499" s="18"/>
      <c r="T6499" s="18"/>
      <c r="U6499" s="6"/>
      <c r="V6499" s="6"/>
      <c r="W6499" s="6"/>
      <c r="X6499" s="6"/>
      <c r="Y6499" s="6"/>
      <c r="Z6499" s="6"/>
    </row>
    <row r="6500" spans="14:26" ht="31.4" customHeight="1" x14ac:dyDescent="0.35">
      <c r="N6500" s="20"/>
      <c r="P6500" s="8"/>
      <c r="Q6500" s="8"/>
      <c r="R6500" s="8"/>
      <c r="S6500" s="18"/>
      <c r="T6500" s="18"/>
      <c r="U6500" s="6"/>
      <c r="V6500" s="6"/>
      <c r="W6500" s="6"/>
      <c r="X6500" s="6"/>
      <c r="Y6500" s="6"/>
      <c r="Z6500" s="6"/>
    </row>
    <row r="6501" spans="14:26" ht="31.4" customHeight="1" x14ac:dyDescent="0.35">
      <c r="N6501" s="20"/>
      <c r="P6501" s="8"/>
      <c r="Q6501" s="8"/>
      <c r="R6501" s="8"/>
      <c r="S6501" s="18"/>
      <c r="T6501" s="18"/>
      <c r="U6501" s="6"/>
      <c r="V6501" s="6"/>
      <c r="W6501" s="6"/>
      <c r="X6501" s="6"/>
      <c r="Y6501" s="6"/>
      <c r="Z6501" s="6"/>
    </row>
    <row r="6502" spans="14:26" ht="31.4" customHeight="1" x14ac:dyDescent="0.35">
      <c r="N6502" s="20"/>
      <c r="P6502" s="8"/>
      <c r="Q6502" s="8"/>
      <c r="R6502" s="8"/>
      <c r="S6502" s="18"/>
      <c r="T6502" s="18"/>
      <c r="U6502" s="6"/>
      <c r="V6502" s="6"/>
      <c r="W6502" s="6"/>
      <c r="X6502" s="6"/>
      <c r="Y6502" s="6"/>
      <c r="Z6502" s="6"/>
    </row>
    <row r="6503" spans="14:26" ht="31.4" customHeight="1" x14ac:dyDescent="0.35">
      <c r="N6503" s="20"/>
      <c r="P6503" s="8"/>
      <c r="Q6503" s="8"/>
      <c r="R6503" s="8"/>
      <c r="S6503" s="18"/>
      <c r="T6503" s="18"/>
      <c r="U6503" s="6"/>
      <c r="V6503" s="6"/>
      <c r="W6503" s="6"/>
      <c r="X6503" s="6"/>
      <c r="Y6503" s="6"/>
      <c r="Z6503" s="6"/>
    </row>
    <row r="6504" spans="14:26" ht="31.4" customHeight="1" x14ac:dyDescent="0.35">
      <c r="N6504" s="20"/>
      <c r="P6504" s="8"/>
      <c r="Q6504" s="8"/>
      <c r="R6504" s="8"/>
      <c r="S6504" s="18"/>
      <c r="T6504" s="18"/>
      <c r="U6504" s="6"/>
      <c r="V6504" s="6"/>
      <c r="W6504" s="6"/>
      <c r="X6504" s="6"/>
      <c r="Y6504" s="6"/>
      <c r="Z6504" s="6"/>
    </row>
    <row r="6505" spans="14:26" ht="31.4" customHeight="1" x14ac:dyDescent="0.35">
      <c r="N6505" s="20"/>
      <c r="P6505" s="8"/>
      <c r="Q6505" s="8"/>
      <c r="R6505" s="8"/>
      <c r="S6505" s="18"/>
      <c r="T6505" s="18"/>
      <c r="U6505" s="6"/>
      <c r="V6505" s="6"/>
      <c r="W6505" s="6"/>
      <c r="X6505" s="6"/>
      <c r="Y6505" s="6"/>
      <c r="Z6505" s="6"/>
    </row>
    <row r="6506" spans="14:26" ht="31.4" customHeight="1" x14ac:dyDescent="0.35">
      <c r="N6506" s="20"/>
      <c r="P6506" s="8"/>
      <c r="Q6506" s="8"/>
      <c r="R6506" s="8"/>
      <c r="S6506" s="18"/>
      <c r="T6506" s="18"/>
      <c r="U6506" s="6"/>
      <c r="V6506" s="6"/>
      <c r="W6506" s="6"/>
      <c r="X6506" s="6"/>
      <c r="Y6506" s="6"/>
      <c r="Z6506" s="6"/>
    </row>
    <row r="6507" spans="14:26" ht="31.4" customHeight="1" x14ac:dyDescent="0.35">
      <c r="N6507" s="20"/>
      <c r="P6507" s="8"/>
      <c r="Q6507" s="8"/>
      <c r="R6507" s="8"/>
      <c r="S6507" s="18"/>
      <c r="T6507" s="18"/>
      <c r="U6507" s="6"/>
      <c r="V6507" s="6"/>
      <c r="W6507" s="6"/>
      <c r="X6507" s="6"/>
      <c r="Y6507" s="6"/>
      <c r="Z6507" s="6"/>
    </row>
    <row r="6508" spans="14:26" ht="31.4" customHeight="1" x14ac:dyDescent="0.35">
      <c r="N6508" s="20"/>
      <c r="P6508" s="8"/>
      <c r="Q6508" s="8"/>
      <c r="R6508" s="8"/>
      <c r="S6508" s="18"/>
      <c r="T6508" s="18"/>
      <c r="U6508" s="6"/>
      <c r="V6508" s="6"/>
      <c r="W6508" s="6"/>
      <c r="X6508" s="6"/>
      <c r="Y6508" s="6"/>
      <c r="Z6508" s="6"/>
    </row>
    <row r="6509" spans="14:26" ht="31.4" customHeight="1" x14ac:dyDescent="0.35">
      <c r="N6509" s="20"/>
      <c r="P6509" s="8"/>
      <c r="Q6509" s="8"/>
      <c r="R6509" s="8"/>
      <c r="S6509" s="18"/>
      <c r="T6509" s="18"/>
      <c r="U6509" s="6"/>
      <c r="V6509" s="6"/>
      <c r="W6509" s="6"/>
      <c r="X6509" s="6"/>
      <c r="Y6509" s="6"/>
      <c r="Z6509" s="6"/>
    </row>
    <row r="6510" spans="14:26" ht="31.4" customHeight="1" x14ac:dyDescent="0.35">
      <c r="N6510" s="20"/>
      <c r="P6510" s="8"/>
      <c r="Q6510" s="8"/>
      <c r="R6510" s="8"/>
      <c r="S6510" s="18"/>
      <c r="T6510" s="18"/>
      <c r="U6510" s="6"/>
      <c r="V6510" s="6"/>
      <c r="W6510" s="6"/>
      <c r="X6510" s="6"/>
      <c r="Y6510" s="6"/>
      <c r="Z6510" s="6"/>
    </row>
    <row r="6511" spans="14:26" ht="31.4" customHeight="1" x14ac:dyDescent="0.35">
      <c r="N6511" s="20"/>
      <c r="P6511" s="8"/>
      <c r="Q6511" s="8"/>
      <c r="R6511" s="8"/>
      <c r="S6511" s="18"/>
      <c r="T6511" s="18"/>
      <c r="U6511" s="6"/>
      <c r="V6511" s="6"/>
      <c r="W6511" s="6"/>
      <c r="X6511" s="6"/>
      <c r="Y6511" s="6"/>
      <c r="Z6511" s="6"/>
    </row>
    <row r="6512" spans="14:26" ht="31.4" customHeight="1" x14ac:dyDescent="0.35">
      <c r="N6512" s="20"/>
      <c r="P6512" s="8"/>
      <c r="Q6512" s="8"/>
      <c r="R6512" s="8"/>
      <c r="S6512" s="18"/>
      <c r="T6512" s="18"/>
      <c r="U6512" s="6"/>
      <c r="V6512" s="6"/>
      <c r="W6512" s="6"/>
      <c r="X6512" s="6"/>
      <c r="Y6512" s="6"/>
      <c r="Z6512" s="6"/>
    </row>
    <row r="6513" spans="14:26" ht="31.4" customHeight="1" x14ac:dyDescent="0.35">
      <c r="N6513" s="20"/>
      <c r="P6513" s="8"/>
      <c r="Q6513" s="8"/>
      <c r="R6513" s="8"/>
      <c r="S6513" s="18"/>
      <c r="T6513" s="18"/>
      <c r="U6513" s="6"/>
      <c r="V6513" s="6"/>
      <c r="W6513" s="6"/>
      <c r="X6513" s="6"/>
      <c r="Y6513" s="6"/>
      <c r="Z6513" s="6"/>
    </row>
    <row r="6514" spans="14:26" ht="31.4" customHeight="1" x14ac:dyDescent="0.35">
      <c r="N6514" s="20"/>
      <c r="P6514" s="8"/>
      <c r="Q6514" s="8"/>
      <c r="R6514" s="8"/>
      <c r="S6514" s="18"/>
      <c r="T6514" s="18"/>
      <c r="U6514" s="6"/>
      <c r="V6514" s="6"/>
      <c r="W6514" s="6"/>
      <c r="X6514" s="6"/>
      <c r="Y6514" s="6"/>
      <c r="Z6514" s="6"/>
    </row>
    <row r="6515" spans="14:26" ht="31.4" customHeight="1" x14ac:dyDescent="0.35">
      <c r="N6515" s="20"/>
      <c r="P6515" s="8"/>
      <c r="Q6515" s="8"/>
      <c r="R6515" s="8"/>
      <c r="S6515" s="18"/>
      <c r="T6515" s="18"/>
      <c r="U6515" s="6"/>
      <c r="V6515" s="6"/>
      <c r="W6515" s="6"/>
      <c r="X6515" s="6"/>
      <c r="Y6515" s="6"/>
      <c r="Z6515" s="6"/>
    </row>
    <row r="6516" spans="14:26" ht="31.4" customHeight="1" x14ac:dyDescent="0.35">
      <c r="N6516" s="20"/>
      <c r="P6516" s="8"/>
      <c r="Q6516" s="8"/>
      <c r="R6516" s="8"/>
      <c r="S6516" s="18"/>
      <c r="T6516" s="18"/>
      <c r="U6516" s="6"/>
      <c r="V6516" s="6"/>
      <c r="W6516" s="6"/>
      <c r="X6516" s="6"/>
      <c r="Y6516" s="6"/>
      <c r="Z6516" s="6"/>
    </row>
    <row r="6517" spans="14:26" ht="31.4" customHeight="1" x14ac:dyDescent="0.35">
      <c r="N6517" s="20"/>
      <c r="P6517" s="8"/>
      <c r="Q6517" s="8"/>
      <c r="R6517" s="8"/>
      <c r="S6517" s="18"/>
      <c r="T6517" s="18"/>
      <c r="U6517" s="6"/>
      <c r="V6517" s="6"/>
      <c r="W6517" s="6"/>
      <c r="X6517" s="6"/>
      <c r="Y6517" s="6"/>
      <c r="Z6517" s="6"/>
    </row>
    <row r="6518" spans="14:26" ht="31.4" customHeight="1" x14ac:dyDescent="0.35">
      <c r="N6518" s="20"/>
      <c r="P6518" s="8"/>
      <c r="Q6518" s="8"/>
      <c r="R6518" s="8"/>
      <c r="S6518" s="18"/>
      <c r="T6518" s="18"/>
      <c r="U6518" s="6"/>
      <c r="V6518" s="6"/>
      <c r="W6518" s="6"/>
      <c r="X6518" s="6"/>
      <c r="Y6518" s="6"/>
      <c r="Z6518" s="6"/>
    </row>
    <row r="6519" spans="14:26" ht="31.4" customHeight="1" x14ac:dyDescent="0.35">
      <c r="N6519" s="20"/>
      <c r="P6519" s="8"/>
      <c r="Q6519" s="8"/>
      <c r="R6519" s="8"/>
      <c r="S6519" s="18"/>
      <c r="T6519" s="18"/>
      <c r="U6519" s="6"/>
      <c r="V6519" s="6"/>
      <c r="W6519" s="6"/>
      <c r="X6519" s="6"/>
      <c r="Y6519" s="6"/>
      <c r="Z6519" s="6"/>
    </row>
    <row r="6520" spans="14:26" ht="31.4" customHeight="1" x14ac:dyDescent="0.35">
      <c r="N6520" s="20"/>
      <c r="P6520" s="8"/>
      <c r="Q6520" s="8"/>
      <c r="R6520" s="8"/>
      <c r="S6520" s="18"/>
      <c r="T6520" s="18"/>
      <c r="U6520" s="6"/>
      <c r="V6520" s="6"/>
      <c r="W6520" s="6"/>
      <c r="X6520" s="6"/>
      <c r="Y6520" s="6"/>
      <c r="Z6520" s="6"/>
    </row>
    <row r="6521" spans="14:26" ht="31.4" customHeight="1" x14ac:dyDescent="0.35">
      <c r="N6521" s="20"/>
      <c r="P6521" s="8"/>
      <c r="Q6521" s="8"/>
      <c r="R6521" s="8"/>
      <c r="S6521" s="18"/>
      <c r="T6521" s="18"/>
      <c r="U6521" s="6"/>
      <c r="V6521" s="6"/>
      <c r="W6521" s="6"/>
      <c r="X6521" s="6"/>
      <c r="Y6521" s="6"/>
      <c r="Z6521" s="6"/>
    </row>
    <row r="6522" spans="14:26" ht="31.4" customHeight="1" x14ac:dyDescent="0.35">
      <c r="N6522" s="20"/>
      <c r="P6522" s="8"/>
      <c r="Q6522" s="8"/>
      <c r="R6522" s="8"/>
      <c r="S6522" s="18"/>
      <c r="T6522" s="18"/>
      <c r="U6522" s="6"/>
      <c r="V6522" s="6"/>
      <c r="W6522" s="6"/>
      <c r="X6522" s="6"/>
      <c r="Y6522" s="6"/>
      <c r="Z6522" s="6"/>
    </row>
    <row r="6523" spans="14:26" ht="31.4" customHeight="1" x14ac:dyDescent="0.35">
      <c r="N6523" s="20"/>
      <c r="P6523" s="8"/>
      <c r="Q6523" s="8"/>
      <c r="R6523" s="8"/>
      <c r="S6523" s="18"/>
      <c r="T6523" s="18"/>
      <c r="U6523" s="6"/>
      <c r="V6523" s="6"/>
      <c r="W6523" s="6"/>
      <c r="X6523" s="6"/>
      <c r="Y6523" s="6"/>
      <c r="Z6523" s="6"/>
    </row>
    <row r="6524" spans="14:26" ht="31.4" customHeight="1" x14ac:dyDescent="0.35">
      <c r="N6524" s="20"/>
      <c r="P6524" s="8"/>
      <c r="Q6524" s="8"/>
      <c r="R6524" s="8"/>
      <c r="S6524" s="18"/>
      <c r="T6524" s="18"/>
      <c r="U6524" s="6"/>
      <c r="V6524" s="6"/>
      <c r="W6524" s="6"/>
      <c r="X6524" s="6"/>
      <c r="Y6524" s="6"/>
      <c r="Z6524" s="6"/>
    </row>
    <row r="6525" spans="14:26" ht="31.4" customHeight="1" x14ac:dyDescent="0.35">
      <c r="N6525" s="20"/>
      <c r="P6525" s="8"/>
      <c r="Q6525" s="8"/>
      <c r="R6525" s="8"/>
      <c r="S6525" s="18"/>
      <c r="T6525" s="18"/>
      <c r="U6525" s="6"/>
      <c r="V6525" s="6"/>
      <c r="W6525" s="6"/>
      <c r="X6525" s="6"/>
      <c r="Y6525" s="6"/>
      <c r="Z6525" s="6"/>
    </row>
    <row r="6526" spans="14:26" ht="31.4" customHeight="1" x14ac:dyDescent="0.35">
      <c r="N6526" s="20"/>
      <c r="P6526" s="8"/>
      <c r="Q6526" s="8"/>
      <c r="R6526" s="8"/>
      <c r="S6526" s="18"/>
      <c r="T6526" s="18"/>
      <c r="U6526" s="6"/>
      <c r="V6526" s="6"/>
      <c r="W6526" s="6"/>
      <c r="X6526" s="6"/>
      <c r="Y6526" s="6"/>
      <c r="Z6526" s="6"/>
    </row>
    <row r="6527" spans="14:26" ht="31.4" customHeight="1" x14ac:dyDescent="0.35">
      <c r="N6527" s="20"/>
      <c r="P6527" s="8"/>
      <c r="Q6527" s="8"/>
      <c r="R6527" s="8"/>
      <c r="S6527" s="18"/>
      <c r="T6527" s="18"/>
      <c r="U6527" s="6"/>
      <c r="V6527" s="6"/>
      <c r="W6527" s="6"/>
      <c r="X6527" s="6"/>
      <c r="Y6527" s="6"/>
      <c r="Z6527" s="6"/>
    </row>
    <row r="6528" spans="14:26" ht="31.4" customHeight="1" x14ac:dyDescent="0.35">
      <c r="N6528" s="20"/>
      <c r="P6528" s="8"/>
      <c r="Q6528" s="8"/>
      <c r="R6528" s="8"/>
      <c r="S6528" s="18"/>
      <c r="T6528" s="18"/>
      <c r="U6528" s="6"/>
      <c r="V6528" s="6"/>
      <c r="W6528" s="6"/>
      <c r="X6528" s="6"/>
      <c r="Y6528" s="6"/>
      <c r="Z6528" s="6"/>
    </row>
    <row r="6529" spans="14:26" ht="31.4" customHeight="1" x14ac:dyDescent="0.35">
      <c r="N6529" s="20"/>
      <c r="P6529" s="8"/>
      <c r="Q6529" s="8"/>
      <c r="R6529" s="8"/>
      <c r="S6529" s="18"/>
      <c r="T6529" s="18"/>
      <c r="U6529" s="6"/>
      <c r="V6529" s="6"/>
      <c r="W6529" s="6"/>
      <c r="X6529" s="6"/>
      <c r="Y6529" s="6"/>
      <c r="Z6529" s="6"/>
    </row>
    <row r="6530" spans="14:26" ht="31.4" customHeight="1" x14ac:dyDescent="0.35">
      <c r="N6530" s="20"/>
      <c r="P6530" s="8"/>
      <c r="Q6530" s="8"/>
      <c r="R6530" s="8"/>
      <c r="S6530" s="18"/>
      <c r="T6530" s="18"/>
      <c r="U6530" s="6"/>
      <c r="V6530" s="6"/>
      <c r="W6530" s="6"/>
      <c r="X6530" s="6"/>
      <c r="Y6530" s="6"/>
      <c r="Z6530" s="6"/>
    </row>
    <row r="6531" spans="14:26" ht="31.4" customHeight="1" x14ac:dyDescent="0.35">
      <c r="N6531" s="20"/>
      <c r="P6531" s="8"/>
      <c r="Q6531" s="8"/>
      <c r="R6531" s="8"/>
      <c r="S6531" s="18"/>
      <c r="T6531" s="18"/>
      <c r="U6531" s="6"/>
      <c r="V6531" s="6"/>
      <c r="W6531" s="6"/>
      <c r="X6531" s="6"/>
      <c r="Y6531" s="6"/>
      <c r="Z6531" s="6"/>
    </row>
    <row r="6532" spans="14:26" ht="31.4" customHeight="1" x14ac:dyDescent="0.35">
      <c r="N6532" s="20"/>
      <c r="P6532" s="8"/>
      <c r="Q6532" s="8"/>
      <c r="R6532" s="8"/>
      <c r="S6532" s="18"/>
      <c r="T6532" s="18"/>
      <c r="U6532" s="6"/>
      <c r="V6532" s="6"/>
      <c r="W6532" s="6"/>
      <c r="X6532" s="6"/>
      <c r="Y6532" s="6"/>
      <c r="Z6532" s="6"/>
    </row>
    <row r="6533" spans="14:26" ht="31.4" customHeight="1" x14ac:dyDescent="0.35">
      <c r="N6533" s="20"/>
      <c r="P6533" s="8"/>
      <c r="Q6533" s="8"/>
      <c r="R6533" s="8"/>
      <c r="S6533" s="18"/>
      <c r="T6533" s="18"/>
      <c r="U6533" s="6"/>
      <c r="V6533" s="6"/>
      <c r="W6533" s="6"/>
      <c r="X6533" s="6"/>
      <c r="Y6533" s="6"/>
      <c r="Z6533" s="6"/>
    </row>
    <row r="6534" spans="14:26" ht="31.4" customHeight="1" x14ac:dyDescent="0.35">
      <c r="N6534" s="20"/>
      <c r="P6534" s="8"/>
      <c r="Q6534" s="8"/>
      <c r="R6534" s="8"/>
      <c r="S6534" s="18"/>
      <c r="T6534" s="18"/>
      <c r="U6534" s="6"/>
      <c r="V6534" s="6"/>
      <c r="W6534" s="6"/>
      <c r="X6534" s="6"/>
      <c r="Y6534" s="6"/>
      <c r="Z6534" s="6"/>
    </row>
    <row r="6535" spans="14:26" ht="31.4" customHeight="1" x14ac:dyDescent="0.35">
      <c r="N6535" s="20"/>
      <c r="P6535" s="8"/>
      <c r="Q6535" s="8"/>
      <c r="R6535" s="8"/>
      <c r="S6535" s="18"/>
      <c r="T6535" s="18"/>
      <c r="U6535" s="6"/>
      <c r="V6535" s="6"/>
      <c r="W6535" s="6"/>
      <c r="X6535" s="6"/>
      <c r="Y6535" s="6"/>
      <c r="Z6535" s="6"/>
    </row>
    <row r="6536" spans="14:26" ht="31.4" customHeight="1" x14ac:dyDescent="0.35">
      <c r="N6536" s="20"/>
      <c r="P6536" s="8"/>
      <c r="Q6536" s="8"/>
      <c r="R6536" s="8"/>
      <c r="S6536" s="18"/>
      <c r="T6536" s="18"/>
      <c r="U6536" s="6"/>
      <c r="V6536" s="6"/>
      <c r="W6536" s="6"/>
      <c r="X6536" s="6"/>
      <c r="Y6536" s="6"/>
      <c r="Z6536" s="6"/>
    </row>
    <row r="6537" spans="14:26" ht="31.4" customHeight="1" x14ac:dyDescent="0.35">
      <c r="N6537" s="20"/>
      <c r="P6537" s="8"/>
      <c r="Q6537" s="8"/>
      <c r="R6537" s="8"/>
      <c r="S6537" s="18"/>
      <c r="T6537" s="18"/>
      <c r="U6537" s="6"/>
      <c r="V6537" s="6"/>
      <c r="W6537" s="6"/>
      <c r="X6537" s="6"/>
      <c r="Y6537" s="6"/>
      <c r="Z6537" s="6"/>
    </row>
    <row r="6538" spans="14:26" ht="31.4" customHeight="1" x14ac:dyDescent="0.35">
      <c r="N6538" s="20"/>
      <c r="P6538" s="8"/>
      <c r="Q6538" s="8"/>
      <c r="R6538" s="8"/>
      <c r="S6538" s="18"/>
      <c r="T6538" s="18"/>
      <c r="U6538" s="6"/>
      <c r="V6538" s="6"/>
      <c r="W6538" s="6"/>
      <c r="X6538" s="6"/>
      <c r="Y6538" s="6"/>
      <c r="Z6538" s="6"/>
    </row>
    <row r="6539" spans="14:26" ht="31.4" customHeight="1" x14ac:dyDescent="0.35">
      <c r="N6539" s="20"/>
      <c r="P6539" s="8"/>
      <c r="Q6539" s="8"/>
      <c r="R6539" s="8"/>
      <c r="S6539" s="18"/>
      <c r="T6539" s="18"/>
      <c r="U6539" s="6"/>
      <c r="V6539" s="6"/>
      <c r="W6539" s="6"/>
      <c r="X6539" s="6"/>
      <c r="Y6539" s="6"/>
      <c r="Z6539" s="6"/>
    </row>
    <row r="6540" spans="14:26" ht="31.4" customHeight="1" x14ac:dyDescent="0.35">
      <c r="N6540" s="20"/>
      <c r="P6540" s="8"/>
      <c r="Q6540" s="8"/>
      <c r="R6540" s="8"/>
      <c r="S6540" s="18"/>
      <c r="T6540" s="18"/>
      <c r="U6540" s="6"/>
      <c r="V6540" s="6"/>
      <c r="W6540" s="6"/>
      <c r="X6540" s="6"/>
      <c r="Y6540" s="6"/>
      <c r="Z6540" s="6"/>
    </row>
    <row r="6541" spans="14:26" ht="31.4" customHeight="1" x14ac:dyDescent="0.35">
      <c r="N6541" s="20"/>
      <c r="P6541" s="8"/>
      <c r="Q6541" s="8"/>
      <c r="R6541" s="8"/>
      <c r="S6541" s="18"/>
      <c r="T6541" s="18"/>
      <c r="U6541" s="6"/>
      <c r="V6541" s="6"/>
      <c r="W6541" s="6"/>
      <c r="X6541" s="6"/>
      <c r="Y6541" s="6"/>
      <c r="Z6541" s="6"/>
    </row>
    <row r="6542" spans="14:26" ht="31.4" customHeight="1" x14ac:dyDescent="0.35">
      <c r="N6542" s="20"/>
      <c r="P6542" s="8"/>
      <c r="Q6542" s="8"/>
      <c r="R6542" s="8"/>
      <c r="S6542" s="18"/>
      <c r="T6542" s="18"/>
      <c r="U6542" s="6"/>
      <c r="V6542" s="6"/>
      <c r="W6542" s="6"/>
      <c r="X6542" s="6"/>
      <c r="Y6542" s="6"/>
      <c r="Z6542" s="6"/>
    </row>
    <row r="6543" spans="14:26" ht="31.4" customHeight="1" x14ac:dyDescent="0.35">
      <c r="N6543" s="20"/>
      <c r="P6543" s="8"/>
      <c r="Q6543" s="8"/>
      <c r="R6543" s="8"/>
      <c r="S6543" s="18"/>
      <c r="T6543" s="18"/>
      <c r="U6543" s="6"/>
      <c r="V6543" s="6"/>
      <c r="W6543" s="6"/>
      <c r="X6543" s="6"/>
      <c r="Y6543" s="6"/>
      <c r="Z6543" s="6"/>
    </row>
    <row r="6544" spans="14:26" ht="31.4" customHeight="1" x14ac:dyDescent="0.35">
      <c r="N6544" s="20"/>
      <c r="P6544" s="8"/>
      <c r="Q6544" s="8"/>
      <c r="R6544" s="8"/>
      <c r="S6544" s="18"/>
      <c r="T6544" s="18"/>
      <c r="U6544" s="6"/>
      <c r="V6544" s="6"/>
      <c r="W6544" s="6"/>
      <c r="X6544" s="6"/>
      <c r="Y6544" s="6"/>
      <c r="Z6544" s="6"/>
    </row>
    <row r="6545" spans="14:26" ht="31.4" customHeight="1" x14ac:dyDescent="0.35">
      <c r="N6545" s="20"/>
      <c r="P6545" s="8"/>
      <c r="Q6545" s="8"/>
      <c r="R6545" s="8"/>
      <c r="S6545" s="18"/>
      <c r="T6545" s="18"/>
      <c r="U6545" s="6"/>
      <c r="V6545" s="6"/>
      <c r="W6545" s="6"/>
      <c r="X6545" s="6"/>
      <c r="Y6545" s="6"/>
      <c r="Z6545" s="6"/>
    </row>
    <row r="6546" spans="14:26" ht="31.4" customHeight="1" x14ac:dyDescent="0.35">
      <c r="N6546" s="20"/>
      <c r="P6546" s="8"/>
      <c r="Q6546" s="8"/>
      <c r="R6546" s="8"/>
      <c r="S6546" s="18"/>
      <c r="T6546" s="18"/>
      <c r="U6546" s="6"/>
      <c r="V6546" s="6"/>
      <c r="W6546" s="6"/>
      <c r="X6546" s="6"/>
      <c r="Y6546" s="6"/>
      <c r="Z6546" s="6"/>
    </row>
    <row r="6547" spans="14:26" ht="31.4" customHeight="1" x14ac:dyDescent="0.35">
      <c r="N6547" s="20"/>
      <c r="P6547" s="8"/>
      <c r="Q6547" s="8"/>
      <c r="R6547" s="8"/>
      <c r="S6547" s="18"/>
      <c r="T6547" s="18"/>
      <c r="U6547" s="6"/>
      <c r="V6547" s="6"/>
      <c r="W6547" s="6"/>
      <c r="X6547" s="6"/>
      <c r="Y6547" s="6"/>
      <c r="Z6547" s="6"/>
    </row>
    <row r="6548" spans="14:26" ht="31.4" customHeight="1" x14ac:dyDescent="0.35">
      <c r="N6548" s="20"/>
      <c r="P6548" s="8"/>
      <c r="Q6548" s="8"/>
      <c r="R6548" s="8"/>
      <c r="S6548" s="18"/>
      <c r="T6548" s="18"/>
      <c r="U6548" s="6"/>
      <c r="V6548" s="6"/>
      <c r="W6548" s="6"/>
      <c r="X6548" s="6"/>
      <c r="Y6548" s="6"/>
      <c r="Z6548" s="6"/>
    </row>
    <row r="6549" spans="14:26" ht="31.4" customHeight="1" x14ac:dyDescent="0.35">
      <c r="N6549" s="20"/>
      <c r="P6549" s="8"/>
      <c r="Q6549" s="8"/>
      <c r="R6549" s="8"/>
      <c r="S6549" s="18"/>
      <c r="T6549" s="18"/>
      <c r="U6549" s="6"/>
      <c r="V6549" s="6"/>
      <c r="W6549" s="6"/>
      <c r="X6549" s="6"/>
      <c r="Y6549" s="6"/>
      <c r="Z6549" s="6"/>
    </row>
    <row r="6550" spans="14:26" ht="31.4" customHeight="1" x14ac:dyDescent="0.35">
      <c r="N6550" s="20"/>
      <c r="P6550" s="8"/>
      <c r="Q6550" s="8"/>
      <c r="R6550" s="8"/>
      <c r="S6550" s="18"/>
      <c r="T6550" s="18"/>
      <c r="U6550" s="6"/>
      <c r="V6550" s="6"/>
      <c r="W6550" s="6"/>
      <c r="X6550" s="6"/>
      <c r="Y6550" s="6"/>
      <c r="Z6550" s="6"/>
    </row>
    <row r="6551" spans="14:26" ht="31.4" customHeight="1" x14ac:dyDescent="0.35">
      <c r="N6551" s="20"/>
      <c r="P6551" s="8"/>
      <c r="Q6551" s="8"/>
      <c r="R6551" s="8"/>
      <c r="S6551" s="18"/>
      <c r="T6551" s="18"/>
      <c r="U6551" s="6"/>
      <c r="V6551" s="6"/>
      <c r="W6551" s="6"/>
      <c r="X6551" s="6"/>
      <c r="Y6551" s="6"/>
      <c r="Z6551" s="6"/>
    </row>
    <row r="6552" spans="14:26" ht="31.4" customHeight="1" x14ac:dyDescent="0.35">
      <c r="N6552" s="20"/>
      <c r="P6552" s="8"/>
      <c r="Q6552" s="8"/>
      <c r="R6552" s="8"/>
      <c r="S6552" s="18"/>
      <c r="T6552" s="18"/>
      <c r="U6552" s="6"/>
      <c r="V6552" s="6"/>
      <c r="W6552" s="6"/>
      <c r="X6552" s="6"/>
      <c r="Y6552" s="6"/>
      <c r="Z6552" s="6"/>
    </row>
    <row r="6553" spans="14:26" ht="31.4" customHeight="1" x14ac:dyDescent="0.35">
      <c r="N6553" s="20"/>
      <c r="P6553" s="8"/>
      <c r="Q6553" s="8"/>
      <c r="R6553" s="8"/>
      <c r="S6553" s="18"/>
      <c r="T6553" s="18"/>
      <c r="U6553" s="6"/>
      <c r="V6553" s="6"/>
      <c r="W6553" s="6"/>
      <c r="X6553" s="6"/>
      <c r="Y6553" s="6"/>
      <c r="Z6553" s="6"/>
    </row>
    <row r="6554" spans="14:26" ht="31.4" customHeight="1" x14ac:dyDescent="0.35">
      <c r="N6554" s="20"/>
      <c r="P6554" s="8"/>
      <c r="Q6554" s="8"/>
      <c r="R6554" s="8"/>
      <c r="S6554" s="18"/>
      <c r="T6554" s="18"/>
      <c r="U6554" s="6"/>
      <c r="V6554" s="6"/>
      <c r="W6554" s="6"/>
      <c r="X6554" s="6"/>
      <c r="Y6554" s="6"/>
      <c r="Z6554" s="6"/>
    </row>
    <row r="6555" spans="14:26" ht="31.4" customHeight="1" x14ac:dyDescent="0.35">
      <c r="N6555" s="20"/>
      <c r="P6555" s="8"/>
      <c r="Q6555" s="8"/>
      <c r="R6555" s="8"/>
      <c r="S6555" s="18"/>
      <c r="T6555" s="18"/>
      <c r="U6555" s="6"/>
      <c r="V6555" s="6"/>
      <c r="W6555" s="6"/>
      <c r="X6555" s="6"/>
      <c r="Y6555" s="6"/>
      <c r="Z6555" s="6"/>
    </row>
    <row r="6556" spans="14:26" ht="31.4" customHeight="1" x14ac:dyDescent="0.35">
      <c r="N6556" s="20"/>
      <c r="P6556" s="8"/>
      <c r="Q6556" s="8"/>
      <c r="R6556" s="8"/>
      <c r="S6556" s="18"/>
      <c r="T6556" s="18"/>
      <c r="U6556" s="6"/>
      <c r="V6556" s="6"/>
      <c r="W6556" s="6"/>
      <c r="X6556" s="6"/>
      <c r="Y6556" s="6"/>
      <c r="Z6556" s="6"/>
    </row>
    <row r="6557" spans="14:26" ht="31.4" customHeight="1" x14ac:dyDescent="0.35">
      <c r="N6557" s="20"/>
      <c r="P6557" s="8"/>
      <c r="Q6557" s="8"/>
      <c r="R6557" s="8"/>
      <c r="S6557" s="18"/>
      <c r="T6557" s="18"/>
      <c r="U6557" s="6"/>
      <c r="V6557" s="6"/>
      <c r="W6557" s="6"/>
      <c r="X6557" s="6"/>
      <c r="Y6557" s="6"/>
      <c r="Z6557" s="6"/>
    </row>
    <row r="6558" spans="14:26" ht="31.4" customHeight="1" x14ac:dyDescent="0.35">
      <c r="N6558" s="20"/>
      <c r="P6558" s="8"/>
      <c r="Q6558" s="8"/>
      <c r="R6558" s="8"/>
      <c r="S6558" s="18"/>
      <c r="T6558" s="18"/>
      <c r="U6558" s="6"/>
      <c r="V6558" s="6"/>
      <c r="W6558" s="6"/>
      <c r="X6558" s="6"/>
      <c r="Y6558" s="6"/>
      <c r="Z6558" s="6"/>
    </row>
    <row r="6559" spans="14:26" ht="31.4" customHeight="1" x14ac:dyDescent="0.35">
      <c r="N6559" s="20"/>
      <c r="P6559" s="8"/>
      <c r="Q6559" s="8"/>
      <c r="R6559" s="8"/>
      <c r="S6559" s="18"/>
      <c r="T6559" s="18"/>
      <c r="U6559" s="6"/>
      <c r="V6559" s="6"/>
      <c r="W6559" s="6"/>
      <c r="X6559" s="6"/>
      <c r="Y6559" s="6"/>
      <c r="Z6559" s="6"/>
    </row>
    <row r="6560" spans="14:26" ht="31.4" customHeight="1" x14ac:dyDescent="0.35">
      <c r="N6560" s="20"/>
      <c r="P6560" s="8"/>
      <c r="Q6560" s="8"/>
      <c r="R6560" s="8"/>
      <c r="S6560" s="18"/>
      <c r="T6560" s="18"/>
      <c r="U6560" s="6"/>
      <c r="V6560" s="6"/>
      <c r="W6560" s="6"/>
      <c r="X6560" s="6"/>
      <c r="Y6560" s="6"/>
      <c r="Z6560" s="6"/>
    </row>
    <row r="6561" spans="14:26" ht="31.4" customHeight="1" x14ac:dyDescent="0.35">
      <c r="N6561" s="20"/>
      <c r="P6561" s="8"/>
      <c r="Q6561" s="8"/>
      <c r="R6561" s="8"/>
      <c r="S6561" s="18"/>
      <c r="T6561" s="18"/>
      <c r="U6561" s="6"/>
      <c r="V6561" s="6"/>
      <c r="W6561" s="6"/>
      <c r="X6561" s="6"/>
      <c r="Y6561" s="6"/>
      <c r="Z6561" s="6"/>
    </row>
    <row r="6562" spans="14:26" ht="31.4" customHeight="1" x14ac:dyDescent="0.35">
      <c r="N6562" s="20"/>
      <c r="P6562" s="8"/>
      <c r="Q6562" s="8"/>
      <c r="R6562" s="8"/>
      <c r="S6562" s="18"/>
      <c r="T6562" s="18"/>
      <c r="U6562" s="6"/>
      <c r="V6562" s="6"/>
      <c r="W6562" s="6"/>
      <c r="X6562" s="6"/>
      <c r="Y6562" s="6"/>
      <c r="Z6562" s="6"/>
    </row>
    <row r="6563" spans="14:26" ht="31.4" customHeight="1" x14ac:dyDescent="0.35">
      <c r="N6563" s="20"/>
      <c r="P6563" s="8"/>
      <c r="Q6563" s="8"/>
      <c r="R6563" s="8"/>
      <c r="S6563" s="18"/>
      <c r="T6563" s="18"/>
      <c r="U6563" s="6"/>
      <c r="V6563" s="6"/>
      <c r="W6563" s="6"/>
      <c r="X6563" s="6"/>
      <c r="Y6563" s="6"/>
      <c r="Z6563" s="6"/>
    </row>
    <row r="6564" spans="14:26" ht="31.4" customHeight="1" x14ac:dyDescent="0.35">
      <c r="N6564" s="20"/>
      <c r="P6564" s="8"/>
      <c r="Q6564" s="8"/>
      <c r="R6564" s="8"/>
      <c r="S6564" s="18"/>
      <c r="T6564" s="18"/>
      <c r="U6564" s="6"/>
      <c r="V6564" s="6"/>
      <c r="W6564" s="6"/>
      <c r="X6564" s="6"/>
      <c r="Y6564" s="6"/>
      <c r="Z6564" s="6"/>
    </row>
    <row r="6565" spans="14:26" ht="31.4" customHeight="1" x14ac:dyDescent="0.35">
      <c r="N6565" s="20"/>
      <c r="P6565" s="8"/>
      <c r="Q6565" s="8"/>
      <c r="R6565" s="8"/>
      <c r="S6565" s="18"/>
      <c r="T6565" s="18"/>
      <c r="U6565" s="6"/>
      <c r="V6565" s="6"/>
      <c r="W6565" s="6"/>
      <c r="X6565" s="6"/>
      <c r="Y6565" s="6"/>
      <c r="Z6565" s="6"/>
    </row>
    <row r="6566" spans="14:26" ht="31.4" customHeight="1" x14ac:dyDescent="0.35">
      <c r="N6566" s="20"/>
      <c r="P6566" s="8"/>
      <c r="Q6566" s="8"/>
      <c r="R6566" s="8"/>
      <c r="S6566" s="18"/>
      <c r="T6566" s="18"/>
      <c r="U6566" s="6"/>
      <c r="V6566" s="6"/>
      <c r="W6566" s="6"/>
      <c r="X6566" s="6"/>
      <c r="Y6566" s="6"/>
      <c r="Z6566" s="6"/>
    </row>
    <row r="6567" spans="14:26" ht="31.4" customHeight="1" x14ac:dyDescent="0.35">
      <c r="N6567" s="20"/>
      <c r="P6567" s="8"/>
      <c r="Q6567" s="8"/>
      <c r="R6567" s="8"/>
      <c r="S6567" s="18"/>
      <c r="T6567" s="18"/>
      <c r="U6567" s="6"/>
      <c r="V6567" s="6"/>
      <c r="W6567" s="6"/>
      <c r="X6567" s="6"/>
      <c r="Y6567" s="6"/>
      <c r="Z6567" s="6"/>
    </row>
    <row r="6568" spans="14:26" ht="31.4" customHeight="1" x14ac:dyDescent="0.35">
      <c r="N6568" s="20"/>
      <c r="P6568" s="8"/>
      <c r="Q6568" s="8"/>
      <c r="R6568" s="8"/>
      <c r="S6568" s="18"/>
      <c r="T6568" s="18"/>
      <c r="U6568" s="6"/>
      <c r="V6568" s="6"/>
      <c r="W6568" s="6"/>
      <c r="X6568" s="6"/>
      <c r="Y6568" s="6"/>
      <c r="Z6568" s="6"/>
    </row>
    <row r="6569" spans="14:26" ht="31.4" customHeight="1" x14ac:dyDescent="0.35">
      <c r="N6569" s="20"/>
      <c r="P6569" s="8"/>
      <c r="Q6569" s="8"/>
      <c r="R6569" s="8"/>
      <c r="S6569" s="18"/>
      <c r="T6569" s="18"/>
      <c r="U6569" s="6"/>
      <c r="V6569" s="6"/>
      <c r="W6569" s="6"/>
      <c r="X6569" s="6"/>
      <c r="Y6569" s="6"/>
      <c r="Z6569" s="6"/>
    </row>
    <row r="6570" spans="14:26" ht="31.4" customHeight="1" x14ac:dyDescent="0.35">
      <c r="N6570" s="20"/>
      <c r="P6570" s="8"/>
      <c r="Q6570" s="8"/>
      <c r="R6570" s="8"/>
      <c r="S6570" s="18"/>
      <c r="T6570" s="18"/>
      <c r="U6570" s="6"/>
      <c r="V6570" s="6"/>
      <c r="W6570" s="6"/>
      <c r="X6570" s="6"/>
      <c r="Y6570" s="6"/>
      <c r="Z6570" s="6"/>
    </row>
    <row r="6571" spans="14:26" ht="31.4" customHeight="1" x14ac:dyDescent="0.35">
      <c r="N6571" s="20"/>
      <c r="P6571" s="8"/>
      <c r="Q6571" s="8"/>
      <c r="R6571" s="8"/>
      <c r="S6571" s="18"/>
      <c r="T6571" s="18"/>
      <c r="U6571" s="6"/>
      <c r="V6571" s="6"/>
      <c r="W6571" s="6"/>
      <c r="X6571" s="6"/>
      <c r="Y6571" s="6"/>
      <c r="Z6571" s="6"/>
    </row>
    <row r="6572" spans="14:26" ht="31.4" customHeight="1" x14ac:dyDescent="0.35">
      <c r="N6572" s="20"/>
      <c r="P6572" s="8"/>
      <c r="Q6572" s="8"/>
      <c r="R6572" s="8"/>
      <c r="S6572" s="18"/>
      <c r="T6572" s="18"/>
      <c r="U6572" s="6"/>
      <c r="V6572" s="6"/>
      <c r="W6572" s="6"/>
      <c r="X6572" s="6"/>
      <c r="Y6572" s="6"/>
      <c r="Z6572" s="6"/>
    </row>
    <row r="6573" spans="14:26" ht="31.4" customHeight="1" x14ac:dyDescent="0.35">
      <c r="N6573" s="20"/>
      <c r="P6573" s="8"/>
      <c r="Q6573" s="8"/>
      <c r="R6573" s="8"/>
      <c r="S6573" s="18"/>
      <c r="T6573" s="18"/>
      <c r="U6573" s="6"/>
      <c r="V6573" s="6"/>
      <c r="W6573" s="6"/>
      <c r="X6573" s="6"/>
      <c r="Y6573" s="6"/>
      <c r="Z6573" s="6"/>
    </row>
    <row r="6574" spans="14:26" ht="31.4" customHeight="1" x14ac:dyDescent="0.35">
      <c r="N6574" s="20"/>
      <c r="P6574" s="8"/>
      <c r="Q6574" s="8"/>
      <c r="R6574" s="8"/>
      <c r="S6574" s="18"/>
      <c r="T6574" s="18"/>
      <c r="U6574" s="6"/>
      <c r="V6574" s="6"/>
      <c r="W6574" s="6"/>
      <c r="X6574" s="6"/>
      <c r="Y6574" s="6"/>
      <c r="Z6574" s="6"/>
    </row>
    <row r="6575" spans="14:26" ht="31.4" customHeight="1" x14ac:dyDescent="0.35">
      <c r="N6575" s="20"/>
      <c r="P6575" s="8"/>
      <c r="Q6575" s="8"/>
      <c r="R6575" s="8"/>
      <c r="S6575" s="18"/>
      <c r="T6575" s="18"/>
      <c r="U6575" s="6"/>
      <c r="V6575" s="6"/>
      <c r="W6575" s="6"/>
      <c r="X6575" s="6"/>
      <c r="Y6575" s="6"/>
      <c r="Z6575" s="6"/>
    </row>
    <row r="6576" spans="14:26" ht="31.4" customHeight="1" x14ac:dyDescent="0.35">
      <c r="N6576" s="20"/>
      <c r="P6576" s="8"/>
      <c r="Q6576" s="8"/>
      <c r="R6576" s="8"/>
      <c r="S6576" s="18"/>
      <c r="T6576" s="18"/>
      <c r="U6576" s="6"/>
      <c r="V6576" s="6"/>
      <c r="W6576" s="6"/>
      <c r="X6576" s="6"/>
      <c r="Y6576" s="6"/>
      <c r="Z6576" s="6"/>
    </row>
    <row r="6577" spans="14:26" ht="31.4" customHeight="1" x14ac:dyDescent="0.35">
      <c r="N6577" s="20"/>
      <c r="P6577" s="8"/>
      <c r="Q6577" s="8"/>
      <c r="R6577" s="8"/>
      <c r="S6577" s="18"/>
      <c r="T6577" s="18"/>
      <c r="U6577" s="6"/>
      <c r="V6577" s="6"/>
      <c r="W6577" s="6"/>
      <c r="X6577" s="6"/>
      <c r="Y6577" s="6"/>
      <c r="Z6577" s="6"/>
    </row>
    <row r="6578" spans="14:26" ht="31.4" customHeight="1" x14ac:dyDescent="0.35">
      <c r="N6578" s="20"/>
      <c r="P6578" s="8"/>
      <c r="Q6578" s="8"/>
      <c r="R6578" s="8"/>
      <c r="S6578" s="18"/>
      <c r="T6578" s="18"/>
      <c r="U6578" s="6"/>
      <c r="V6578" s="6"/>
      <c r="W6578" s="6"/>
      <c r="X6578" s="6"/>
      <c r="Y6578" s="6"/>
      <c r="Z6578" s="6"/>
    </row>
    <row r="6579" spans="14:26" ht="31.4" customHeight="1" x14ac:dyDescent="0.35">
      <c r="N6579" s="20"/>
      <c r="P6579" s="8"/>
      <c r="Q6579" s="8"/>
      <c r="R6579" s="8"/>
      <c r="S6579" s="18"/>
      <c r="T6579" s="18"/>
      <c r="U6579" s="6"/>
      <c r="V6579" s="6"/>
      <c r="W6579" s="6"/>
      <c r="X6579" s="6"/>
      <c r="Y6579" s="6"/>
      <c r="Z6579" s="6"/>
    </row>
    <row r="6580" spans="14:26" ht="31.4" customHeight="1" x14ac:dyDescent="0.35">
      <c r="N6580" s="20"/>
      <c r="P6580" s="8"/>
      <c r="Q6580" s="8"/>
      <c r="R6580" s="8"/>
      <c r="S6580" s="18"/>
      <c r="T6580" s="18"/>
      <c r="U6580" s="6"/>
      <c r="V6580" s="6"/>
      <c r="W6580" s="6"/>
      <c r="X6580" s="6"/>
      <c r="Y6580" s="6"/>
      <c r="Z6580" s="6"/>
    </row>
    <row r="6581" spans="14:26" ht="31.4" customHeight="1" x14ac:dyDescent="0.35">
      <c r="N6581" s="20"/>
      <c r="P6581" s="8"/>
      <c r="Q6581" s="8"/>
      <c r="R6581" s="8"/>
      <c r="S6581" s="18"/>
      <c r="T6581" s="18"/>
      <c r="U6581" s="6"/>
      <c r="V6581" s="6"/>
      <c r="W6581" s="6"/>
      <c r="X6581" s="6"/>
      <c r="Y6581" s="6"/>
      <c r="Z6581" s="6"/>
    </row>
    <row r="6582" spans="14:26" ht="31.4" customHeight="1" x14ac:dyDescent="0.35">
      <c r="N6582" s="20"/>
      <c r="P6582" s="8"/>
      <c r="Q6582" s="8"/>
      <c r="R6582" s="8"/>
      <c r="S6582" s="18"/>
      <c r="T6582" s="18"/>
      <c r="U6582" s="6"/>
      <c r="V6582" s="6"/>
      <c r="W6582" s="6"/>
      <c r="X6582" s="6"/>
      <c r="Y6582" s="6"/>
      <c r="Z6582" s="6"/>
    </row>
    <row r="6583" spans="14:26" ht="31.4" customHeight="1" x14ac:dyDescent="0.35">
      <c r="N6583" s="20"/>
      <c r="P6583" s="8"/>
      <c r="Q6583" s="8"/>
      <c r="R6583" s="8"/>
      <c r="S6583" s="18"/>
      <c r="T6583" s="18"/>
      <c r="U6583" s="6"/>
      <c r="V6583" s="6"/>
      <c r="W6583" s="6"/>
      <c r="X6583" s="6"/>
      <c r="Y6583" s="6"/>
      <c r="Z6583" s="6"/>
    </row>
    <row r="6584" spans="14:26" ht="31.4" customHeight="1" x14ac:dyDescent="0.35">
      <c r="N6584" s="20"/>
      <c r="P6584" s="8"/>
      <c r="Q6584" s="8"/>
      <c r="R6584" s="8"/>
      <c r="S6584" s="18"/>
      <c r="T6584" s="18"/>
      <c r="U6584" s="6"/>
      <c r="V6584" s="6"/>
      <c r="W6584" s="6"/>
      <c r="X6584" s="6"/>
      <c r="Y6584" s="6"/>
      <c r="Z6584" s="6"/>
    </row>
    <row r="6585" spans="14:26" ht="31.4" customHeight="1" x14ac:dyDescent="0.35">
      <c r="N6585" s="20"/>
      <c r="P6585" s="8"/>
      <c r="Q6585" s="8"/>
      <c r="R6585" s="8"/>
      <c r="S6585" s="18"/>
      <c r="T6585" s="18"/>
      <c r="U6585" s="6"/>
      <c r="V6585" s="6"/>
      <c r="W6585" s="6"/>
      <c r="X6585" s="6"/>
      <c r="Y6585" s="6"/>
      <c r="Z6585" s="6"/>
    </row>
    <row r="6586" spans="14:26" ht="31.4" customHeight="1" x14ac:dyDescent="0.35">
      <c r="N6586" s="20"/>
      <c r="P6586" s="8"/>
      <c r="Q6586" s="8"/>
      <c r="R6586" s="8"/>
      <c r="S6586" s="18"/>
      <c r="T6586" s="18"/>
      <c r="U6586" s="6"/>
      <c r="V6586" s="6"/>
      <c r="W6586" s="6"/>
      <c r="X6586" s="6"/>
      <c r="Y6586" s="6"/>
      <c r="Z6586" s="6"/>
    </row>
    <row r="6587" spans="14:26" ht="31.4" customHeight="1" x14ac:dyDescent="0.35">
      <c r="N6587" s="20"/>
      <c r="P6587" s="8"/>
      <c r="Q6587" s="8"/>
      <c r="R6587" s="8"/>
      <c r="S6587" s="18"/>
      <c r="T6587" s="18"/>
      <c r="U6587" s="6"/>
      <c r="V6587" s="6"/>
      <c r="W6587" s="6"/>
      <c r="X6587" s="6"/>
      <c r="Y6587" s="6"/>
      <c r="Z6587" s="6"/>
    </row>
    <row r="6588" spans="14:26" ht="31.4" customHeight="1" x14ac:dyDescent="0.35">
      <c r="N6588" s="20"/>
      <c r="P6588" s="8"/>
      <c r="Q6588" s="8"/>
      <c r="R6588" s="8"/>
      <c r="S6588" s="18"/>
      <c r="T6588" s="18"/>
      <c r="U6588" s="6"/>
      <c r="V6588" s="6"/>
      <c r="W6588" s="6"/>
      <c r="X6588" s="6"/>
      <c r="Y6588" s="6"/>
      <c r="Z6588" s="6"/>
    </row>
    <row r="6589" spans="14:26" ht="31.4" customHeight="1" x14ac:dyDescent="0.35">
      <c r="N6589" s="20"/>
      <c r="P6589" s="8"/>
      <c r="Q6589" s="8"/>
      <c r="R6589" s="8"/>
      <c r="S6589" s="18"/>
      <c r="T6589" s="18"/>
      <c r="U6589" s="6"/>
      <c r="V6589" s="6"/>
      <c r="W6589" s="6"/>
      <c r="X6589" s="6"/>
      <c r="Y6589" s="6"/>
      <c r="Z6589" s="6"/>
    </row>
    <row r="6590" spans="14:26" ht="31.4" customHeight="1" x14ac:dyDescent="0.35">
      <c r="N6590" s="20"/>
      <c r="P6590" s="8"/>
      <c r="Q6590" s="8"/>
      <c r="R6590" s="8"/>
      <c r="S6590" s="18"/>
      <c r="T6590" s="18"/>
      <c r="U6590" s="6"/>
      <c r="V6590" s="6"/>
      <c r="W6590" s="6"/>
      <c r="X6590" s="6"/>
      <c r="Y6590" s="6"/>
      <c r="Z6590" s="6"/>
    </row>
    <row r="6591" spans="14:26" ht="31.4" customHeight="1" x14ac:dyDescent="0.35">
      <c r="N6591" s="20"/>
      <c r="P6591" s="8"/>
      <c r="Q6591" s="8"/>
      <c r="R6591" s="8"/>
      <c r="S6591" s="18"/>
      <c r="T6591" s="18"/>
      <c r="U6591" s="6"/>
      <c r="V6591" s="6"/>
      <c r="W6591" s="6"/>
      <c r="X6591" s="6"/>
      <c r="Y6591" s="6"/>
      <c r="Z6591" s="6"/>
    </row>
    <row r="6592" spans="14:26" ht="31.4" customHeight="1" x14ac:dyDescent="0.35">
      <c r="N6592" s="20"/>
      <c r="P6592" s="8"/>
      <c r="Q6592" s="8"/>
      <c r="R6592" s="8"/>
      <c r="S6592" s="18"/>
      <c r="T6592" s="18"/>
      <c r="U6592" s="6"/>
      <c r="V6592" s="6"/>
      <c r="W6592" s="6"/>
      <c r="X6592" s="6"/>
      <c r="Y6592" s="6"/>
      <c r="Z6592" s="6"/>
    </row>
    <row r="6593" spans="14:26" ht="31.4" customHeight="1" x14ac:dyDescent="0.35">
      <c r="N6593" s="20"/>
      <c r="P6593" s="8"/>
      <c r="Q6593" s="8"/>
      <c r="R6593" s="8"/>
      <c r="S6593" s="18"/>
      <c r="T6593" s="18"/>
      <c r="U6593" s="6"/>
      <c r="V6593" s="6"/>
      <c r="W6593" s="6"/>
      <c r="X6593" s="6"/>
      <c r="Y6593" s="6"/>
      <c r="Z6593" s="6"/>
    </row>
    <row r="6594" spans="14:26" ht="31.4" customHeight="1" x14ac:dyDescent="0.35">
      <c r="N6594" s="20"/>
      <c r="P6594" s="8"/>
      <c r="Q6594" s="8"/>
      <c r="R6594" s="8"/>
      <c r="S6594" s="18"/>
      <c r="T6594" s="18"/>
      <c r="U6594" s="6"/>
      <c r="V6594" s="6"/>
      <c r="W6594" s="6"/>
      <c r="X6594" s="6"/>
      <c r="Y6594" s="6"/>
      <c r="Z6594" s="6"/>
    </row>
    <row r="6595" spans="14:26" ht="31.4" customHeight="1" x14ac:dyDescent="0.35">
      <c r="N6595" s="20"/>
      <c r="P6595" s="8"/>
      <c r="Q6595" s="8"/>
      <c r="R6595" s="8"/>
      <c r="S6595" s="18"/>
      <c r="T6595" s="18"/>
      <c r="U6595" s="6"/>
      <c r="V6595" s="6"/>
      <c r="W6595" s="6"/>
      <c r="X6595" s="6"/>
      <c r="Y6595" s="6"/>
      <c r="Z6595" s="6"/>
    </row>
    <row r="6596" spans="14:26" ht="31.4" customHeight="1" x14ac:dyDescent="0.35">
      <c r="N6596" s="20"/>
      <c r="P6596" s="8"/>
      <c r="Q6596" s="8"/>
      <c r="R6596" s="8"/>
      <c r="S6596" s="18"/>
      <c r="T6596" s="18"/>
      <c r="U6596" s="6"/>
      <c r="V6596" s="6"/>
      <c r="W6596" s="6"/>
      <c r="X6596" s="6"/>
      <c r="Y6596" s="6"/>
      <c r="Z6596" s="6"/>
    </row>
    <row r="6597" spans="14:26" ht="31.4" customHeight="1" x14ac:dyDescent="0.35">
      <c r="N6597" s="20"/>
      <c r="P6597" s="8"/>
      <c r="Q6597" s="8"/>
      <c r="R6597" s="8"/>
      <c r="S6597" s="18"/>
      <c r="T6597" s="18"/>
      <c r="U6597" s="6"/>
      <c r="V6597" s="6"/>
      <c r="W6597" s="6"/>
      <c r="X6597" s="6"/>
      <c r="Y6597" s="6"/>
      <c r="Z6597" s="6"/>
    </row>
    <row r="6598" spans="14:26" ht="31.4" customHeight="1" x14ac:dyDescent="0.35">
      <c r="N6598" s="20"/>
      <c r="P6598" s="8"/>
      <c r="Q6598" s="8"/>
      <c r="R6598" s="8"/>
      <c r="S6598" s="18"/>
      <c r="T6598" s="18"/>
      <c r="U6598" s="6"/>
      <c r="V6598" s="6"/>
      <c r="W6598" s="6"/>
      <c r="X6598" s="6"/>
      <c r="Y6598" s="6"/>
      <c r="Z6598" s="6"/>
    </row>
    <row r="6599" spans="14:26" ht="31.4" customHeight="1" x14ac:dyDescent="0.35">
      <c r="N6599" s="20"/>
      <c r="P6599" s="8"/>
      <c r="Q6599" s="8"/>
      <c r="R6599" s="8"/>
      <c r="S6599" s="18"/>
      <c r="T6599" s="18"/>
      <c r="U6599" s="6"/>
      <c r="V6599" s="6"/>
      <c r="W6599" s="6"/>
      <c r="X6599" s="6"/>
      <c r="Y6599" s="6"/>
      <c r="Z6599" s="6"/>
    </row>
    <row r="6600" spans="14:26" ht="31.4" customHeight="1" x14ac:dyDescent="0.35">
      <c r="N6600" s="20"/>
      <c r="P6600" s="8"/>
      <c r="Q6600" s="8"/>
      <c r="R6600" s="8"/>
      <c r="S6600" s="18"/>
      <c r="T6600" s="18"/>
      <c r="U6600" s="6"/>
      <c r="V6600" s="6"/>
      <c r="W6600" s="6"/>
      <c r="X6600" s="6"/>
      <c r="Y6600" s="6"/>
      <c r="Z6600" s="6"/>
    </row>
    <row r="6601" spans="14:26" ht="31.4" customHeight="1" x14ac:dyDescent="0.35">
      <c r="N6601" s="20"/>
      <c r="P6601" s="8"/>
      <c r="Q6601" s="8"/>
      <c r="R6601" s="8"/>
      <c r="S6601" s="18"/>
      <c r="T6601" s="18"/>
      <c r="U6601" s="6"/>
      <c r="V6601" s="6"/>
      <c r="W6601" s="6"/>
      <c r="X6601" s="6"/>
      <c r="Y6601" s="6"/>
      <c r="Z6601" s="6"/>
    </row>
    <row r="6602" spans="14:26" ht="31.4" customHeight="1" x14ac:dyDescent="0.35">
      <c r="N6602" s="20"/>
      <c r="P6602" s="8"/>
      <c r="Q6602" s="8"/>
      <c r="R6602" s="8"/>
      <c r="S6602" s="18"/>
      <c r="T6602" s="18"/>
      <c r="U6602" s="6"/>
      <c r="V6602" s="6"/>
      <c r="W6602" s="6"/>
      <c r="X6602" s="6"/>
      <c r="Y6602" s="6"/>
      <c r="Z6602" s="6"/>
    </row>
    <row r="6603" spans="14:26" ht="31.4" customHeight="1" x14ac:dyDescent="0.35">
      <c r="N6603" s="20"/>
      <c r="P6603" s="8"/>
      <c r="Q6603" s="8"/>
      <c r="R6603" s="8"/>
      <c r="S6603" s="18"/>
      <c r="T6603" s="18"/>
      <c r="U6603" s="6"/>
      <c r="V6603" s="6"/>
      <c r="W6603" s="6"/>
      <c r="X6603" s="6"/>
      <c r="Y6603" s="6"/>
      <c r="Z6603" s="6"/>
    </row>
    <row r="6604" spans="14:26" ht="31.4" customHeight="1" x14ac:dyDescent="0.35">
      <c r="N6604" s="20"/>
      <c r="P6604" s="8"/>
      <c r="Q6604" s="8"/>
      <c r="R6604" s="8"/>
      <c r="S6604" s="18"/>
      <c r="T6604" s="18"/>
      <c r="U6604" s="6"/>
      <c r="V6604" s="6"/>
      <c r="W6604" s="6"/>
      <c r="X6604" s="6"/>
      <c r="Y6604" s="6"/>
      <c r="Z6604" s="6"/>
    </row>
    <row r="6605" spans="14:26" ht="31.4" customHeight="1" x14ac:dyDescent="0.35">
      <c r="N6605" s="20"/>
      <c r="P6605" s="8"/>
      <c r="Q6605" s="8"/>
      <c r="R6605" s="8"/>
      <c r="S6605" s="18"/>
      <c r="T6605" s="18"/>
      <c r="U6605" s="6"/>
      <c r="V6605" s="6"/>
      <c r="W6605" s="6"/>
      <c r="X6605" s="6"/>
      <c r="Y6605" s="6"/>
      <c r="Z6605" s="6"/>
    </row>
    <row r="6606" spans="14:26" ht="31.4" customHeight="1" x14ac:dyDescent="0.35">
      <c r="N6606" s="20"/>
      <c r="P6606" s="8"/>
      <c r="Q6606" s="8"/>
      <c r="R6606" s="8"/>
      <c r="S6606" s="18"/>
      <c r="T6606" s="18"/>
      <c r="U6606" s="6"/>
      <c r="V6606" s="6"/>
      <c r="W6606" s="6"/>
      <c r="X6606" s="6"/>
      <c r="Y6606" s="6"/>
      <c r="Z6606" s="6"/>
    </row>
    <row r="6607" spans="14:26" ht="31.4" customHeight="1" x14ac:dyDescent="0.35">
      <c r="N6607" s="20"/>
      <c r="P6607" s="8"/>
      <c r="Q6607" s="8"/>
      <c r="R6607" s="8"/>
      <c r="S6607" s="18"/>
      <c r="T6607" s="18"/>
      <c r="U6607" s="6"/>
      <c r="V6607" s="6"/>
      <c r="W6607" s="6"/>
      <c r="X6607" s="6"/>
      <c r="Y6607" s="6"/>
      <c r="Z6607" s="6"/>
    </row>
    <row r="6608" spans="14:26" ht="31.4" customHeight="1" x14ac:dyDescent="0.35">
      <c r="N6608" s="20"/>
      <c r="P6608" s="8"/>
      <c r="Q6608" s="8"/>
      <c r="R6608" s="8"/>
      <c r="S6608" s="18"/>
      <c r="T6608" s="18"/>
      <c r="U6608" s="6"/>
      <c r="V6608" s="6"/>
      <c r="W6608" s="6"/>
      <c r="X6608" s="6"/>
      <c r="Y6608" s="6"/>
      <c r="Z6608" s="6"/>
    </row>
    <row r="6609" spans="14:26" ht="31.4" customHeight="1" x14ac:dyDescent="0.35">
      <c r="N6609" s="20"/>
      <c r="P6609" s="8"/>
      <c r="Q6609" s="8"/>
      <c r="R6609" s="8"/>
      <c r="S6609" s="18"/>
      <c r="T6609" s="18"/>
      <c r="U6609" s="6"/>
      <c r="V6609" s="6"/>
      <c r="W6609" s="6"/>
      <c r="X6609" s="6"/>
      <c r="Y6609" s="6"/>
      <c r="Z6609" s="6"/>
    </row>
    <row r="6610" spans="14:26" ht="31.4" customHeight="1" x14ac:dyDescent="0.35">
      <c r="N6610" s="20"/>
      <c r="P6610" s="8"/>
      <c r="Q6610" s="8"/>
      <c r="R6610" s="8"/>
      <c r="S6610" s="18"/>
      <c r="T6610" s="18"/>
      <c r="U6610" s="6"/>
      <c r="V6610" s="6"/>
      <c r="W6610" s="6"/>
      <c r="X6610" s="6"/>
      <c r="Y6610" s="6"/>
      <c r="Z6610" s="6"/>
    </row>
    <row r="6611" spans="14:26" ht="31.4" customHeight="1" x14ac:dyDescent="0.35">
      <c r="N6611" s="20"/>
      <c r="P6611" s="8"/>
      <c r="Q6611" s="8"/>
      <c r="R6611" s="8"/>
      <c r="S6611" s="18"/>
      <c r="T6611" s="18"/>
      <c r="U6611" s="6"/>
      <c r="V6611" s="6"/>
      <c r="W6611" s="6"/>
      <c r="X6611" s="6"/>
      <c r="Y6611" s="6"/>
      <c r="Z6611" s="6"/>
    </row>
    <row r="6612" spans="14:26" ht="31.4" customHeight="1" x14ac:dyDescent="0.35">
      <c r="N6612" s="20"/>
      <c r="P6612" s="8"/>
      <c r="Q6612" s="8"/>
      <c r="R6612" s="8"/>
      <c r="S6612" s="18"/>
      <c r="T6612" s="18"/>
      <c r="U6612" s="6"/>
      <c r="V6612" s="6"/>
      <c r="W6612" s="6"/>
      <c r="X6612" s="6"/>
      <c r="Y6612" s="6"/>
      <c r="Z6612" s="6"/>
    </row>
    <row r="6613" spans="14:26" ht="31.4" customHeight="1" x14ac:dyDescent="0.35">
      <c r="N6613" s="20"/>
      <c r="P6613" s="8"/>
      <c r="Q6613" s="8"/>
      <c r="R6613" s="8"/>
      <c r="S6613" s="18"/>
      <c r="T6613" s="18"/>
      <c r="U6613" s="6"/>
      <c r="V6613" s="6"/>
      <c r="W6613" s="6"/>
      <c r="X6613" s="6"/>
      <c r="Y6613" s="6"/>
      <c r="Z6613" s="6"/>
    </row>
    <row r="6614" spans="14:26" ht="31.4" customHeight="1" x14ac:dyDescent="0.35">
      <c r="N6614" s="20"/>
      <c r="P6614" s="8"/>
      <c r="Q6614" s="8"/>
      <c r="R6614" s="8"/>
      <c r="S6614" s="18"/>
      <c r="T6614" s="18"/>
      <c r="U6614" s="6"/>
      <c r="V6614" s="6"/>
      <c r="W6614" s="6"/>
      <c r="X6614" s="6"/>
      <c r="Y6614" s="6"/>
      <c r="Z6614" s="6"/>
    </row>
    <row r="6615" spans="14:26" ht="31.4" customHeight="1" x14ac:dyDescent="0.35">
      <c r="N6615" s="20"/>
      <c r="P6615" s="8"/>
      <c r="Q6615" s="8"/>
      <c r="R6615" s="8"/>
      <c r="S6615" s="18"/>
      <c r="T6615" s="18"/>
      <c r="U6615" s="6"/>
      <c r="V6615" s="6"/>
      <c r="W6615" s="6"/>
      <c r="X6615" s="6"/>
      <c r="Y6615" s="6"/>
      <c r="Z6615" s="6"/>
    </row>
    <row r="6616" spans="14:26" ht="31.4" customHeight="1" x14ac:dyDescent="0.35">
      <c r="N6616" s="20"/>
      <c r="P6616" s="8"/>
      <c r="Q6616" s="8"/>
      <c r="R6616" s="8"/>
      <c r="S6616" s="18"/>
      <c r="T6616" s="18"/>
      <c r="U6616" s="6"/>
      <c r="V6616" s="6"/>
      <c r="W6616" s="6"/>
      <c r="X6616" s="6"/>
      <c r="Y6616" s="6"/>
      <c r="Z6616" s="6"/>
    </row>
    <row r="6617" spans="14:26" ht="31.4" customHeight="1" x14ac:dyDescent="0.35">
      <c r="N6617" s="20"/>
      <c r="P6617" s="8"/>
      <c r="Q6617" s="8"/>
      <c r="R6617" s="8"/>
      <c r="S6617" s="18"/>
      <c r="T6617" s="18"/>
      <c r="U6617" s="6"/>
      <c r="V6617" s="6"/>
      <c r="W6617" s="6"/>
      <c r="X6617" s="6"/>
      <c r="Y6617" s="6"/>
      <c r="Z6617" s="6"/>
    </row>
    <row r="6618" spans="14:26" ht="31.4" customHeight="1" x14ac:dyDescent="0.35">
      <c r="N6618" s="20"/>
      <c r="P6618" s="8"/>
      <c r="Q6618" s="8"/>
      <c r="R6618" s="8"/>
      <c r="S6618" s="18"/>
      <c r="T6618" s="18"/>
      <c r="U6618" s="6"/>
      <c r="V6618" s="6"/>
      <c r="W6618" s="6"/>
      <c r="X6618" s="6"/>
      <c r="Y6618" s="6"/>
      <c r="Z6618" s="6"/>
    </row>
    <row r="6619" spans="14:26" ht="31.4" customHeight="1" x14ac:dyDescent="0.35">
      <c r="N6619" s="20"/>
      <c r="P6619" s="8"/>
      <c r="Q6619" s="8"/>
      <c r="R6619" s="8"/>
      <c r="S6619" s="18"/>
      <c r="T6619" s="18"/>
      <c r="U6619" s="6"/>
      <c r="V6619" s="6"/>
      <c r="W6619" s="6"/>
      <c r="X6619" s="6"/>
      <c r="Y6619" s="6"/>
      <c r="Z6619" s="6"/>
    </row>
    <row r="6620" spans="14:26" ht="31.4" customHeight="1" x14ac:dyDescent="0.35">
      <c r="N6620" s="20"/>
      <c r="P6620" s="8"/>
      <c r="Q6620" s="8"/>
      <c r="R6620" s="8"/>
      <c r="S6620" s="18"/>
      <c r="T6620" s="18"/>
      <c r="U6620" s="6"/>
      <c r="V6620" s="6"/>
      <c r="W6620" s="6"/>
      <c r="X6620" s="6"/>
      <c r="Y6620" s="6"/>
      <c r="Z6620" s="6"/>
    </row>
    <row r="6621" spans="14:26" ht="31.4" customHeight="1" x14ac:dyDescent="0.35">
      <c r="N6621" s="20"/>
      <c r="P6621" s="8"/>
      <c r="Q6621" s="8"/>
      <c r="R6621" s="8"/>
      <c r="S6621" s="18"/>
      <c r="T6621" s="18"/>
      <c r="U6621" s="6"/>
      <c r="V6621" s="6"/>
      <c r="W6621" s="6"/>
      <c r="X6621" s="6"/>
      <c r="Y6621" s="6"/>
      <c r="Z6621" s="6"/>
    </row>
    <row r="6622" spans="14:26" ht="31.4" customHeight="1" x14ac:dyDescent="0.35">
      <c r="N6622" s="20"/>
      <c r="P6622" s="8"/>
      <c r="Q6622" s="8"/>
      <c r="R6622" s="8"/>
      <c r="S6622" s="18"/>
      <c r="T6622" s="18"/>
      <c r="U6622" s="6"/>
      <c r="V6622" s="6"/>
      <c r="W6622" s="6"/>
      <c r="X6622" s="6"/>
      <c r="Y6622" s="6"/>
      <c r="Z6622" s="6"/>
    </row>
    <row r="6623" spans="14:26" ht="31.4" customHeight="1" x14ac:dyDescent="0.35">
      <c r="N6623" s="20"/>
      <c r="P6623" s="8"/>
      <c r="Q6623" s="8"/>
      <c r="R6623" s="8"/>
      <c r="S6623" s="18"/>
      <c r="T6623" s="18"/>
      <c r="U6623" s="6"/>
      <c r="V6623" s="6"/>
      <c r="W6623" s="6"/>
      <c r="X6623" s="6"/>
      <c r="Y6623" s="6"/>
      <c r="Z6623" s="6"/>
    </row>
    <row r="6624" spans="14:26" ht="31.4" customHeight="1" x14ac:dyDescent="0.35">
      <c r="N6624" s="20"/>
      <c r="P6624" s="8"/>
      <c r="Q6624" s="8"/>
      <c r="R6624" s="8"/>
      <c r="S6624" s="18"/>
      <c r="T6624" s="18"/>
      <c r="U6624" s="6"/>
      <c r="V6624" s="6"/>
      <c r="W6624" s="6"/>
      <c r="X6624" s="6"/>
      <c r="Y6624" s="6"/>
      <c r="Z6624" s="6"/>
    </row>
    <row r="6625" spans="14:26" ht="31.4" customHeight="1" x14ac:dyDescent="0.35">
      <c r="N6625" s="20"/>
      <c r="P6625" s="8"/>
      <c r="Q6625" s="8"/>
      <c r="R6625" s="8"/>
      <c r="S6625" s="18"/>
      <c r="T6625" s="18"/>
      <c r="U6625" s="6"/>
      <c r="V6625" s="6"/>
      <c r="W6625" s="6"/>
      <c r="X6625" s="6"/>
      <c r="Y6625" s="6"/>
      <c r="Z6625" s="6"/>
    </row>
    <row r="6626" spans="14:26" ht="31.4" customHeight="1" x14ac:dyDescent="0.35">
      <c r="N6626" s="20"/>
      <c r="P6626" s="8"/>
      <c r="Q6626" s="8"/>
      <c r="R6626" s="8"/>
      <c r="S6626" s="18"/>
      <c r="T6626" s="18"/>
      <c r="U6626" s="6"/>
      <c r="V6626" s="6"/>
      <c r="W6626" s="6"/>
      <c r="X6626" s="6"/>
      <c r="Y6626" s="6"/>
      <c r="Z6626" s="6"/>
    </row>
    <row r="6627" spans="14:26" ht="31.4" customHeight="1" x14ac:dyDescent="0.35">
      <c r="N6627" s="20"/>
      <c r="P6627" s="8"/>
      <c r="Q6627" s="8"/>
      <c r="R6627" s="8"/>
      <c r="S6627" s="18"/>
      <c r="T6627" s="18"/>
      <c r="U6627" s="6"/>
      <c r="V6627" s="6"/>
      <c r="W6627" s="6"/>
      <c r="X6627" s="6"/>
      <c r="Y6627" s="6"/>
      <c r="Z6627" s="6"/>
    </row>
    <row r="6628" spans="14:26" ht="31.4" customHeight="1" x14ac:dyDescent="0.35">
      <c r="N6628" s="20"/>
      <c r="P6628" s="8"/>
      <c r="Q6628" s="8"/>
      <c r="R6628" s="8"/>
      <c r="S6628" s="18"/>
      <c r="T6628" s="18"/>
      <c r="U6628" s="6"/>
      <c r="V6628" s="6"/>
      <c r="W6628" s="6"/>
      <c r="X6628" s="6"/>
      <c r="Y6628" s="6"/>
      <c r="Z6628" s="6"/>
    </row>
    <row r="6629" spans="14:26" ht="31.4" customHeight="1" x14ac:dyDescent="0.35">
      <c r="N6629" s="20"/>
      <c r="P6629" s="8"/>
      <c r="Q6629" s="8"/>
      <c r="R6629" s="8"/>
      <c r="S6629" s="18"/>
      <c r="T6629" s="18"/>
      <c r="U6629" s="6"/>
      <c r="V6629" s="6"/>
      <c r="W6629" s="6"/>
      <c r="X6629" s="6"/>
      <c r="Y6629" s="6"/>
      <c r="Z6629" s="6"/>
    </row>
    <row r="6630" spans="14:26" ht="31.4" customHeight="1" x14ac:dyDescent="0.35">
      <c r="N6630" s="20"/>
      <c r="P6630" s="8"/>
      <c r="Q6630" s="8"/>
      <c r="R6630" s="8"/>
      <c r="S6630" s="18"/>
      <c r="T6630" s="18"/>
      <c r="U6630" s="6"/>
      <c r="V6630" s="6"/>
      <c r="W6630" s="6"/>
      <c r="X6630" s="6"/>
      <c r="Y6630" s="6"/>
      <c r="Z6630" s="6"/>
    </row>
    <row r="6631" spans="14:26" ht="31.4" customHeight="1" x14ac:dyDescent="0.35">
      <c r="N6631" s="20"/>
      <c r="P6631" s="8"/>
      <c r="Q6631" s="8"/>
      <c r="R6631" s="8"/>
      <c r="S6631" s="18"/>
      <c r="T6631" s="18"/>
      <c r="U6631" s="6"/>
      <c r="V6631" s="6"/>
      <c r="W6631" s="6"/>
      <c r="X6631" s="6"/>
      <c r="Y6631" s="6"/>
      <c r="Z6631" s="6"/>
    </row>
    <row r="6632" spans="14:26" ht="31.4" customHeight="1" x14ac:dyDescent="0.35">
      <c r="N6632" s="20"/>
      <c r="P6632" s="8"/>
      <c r="Q6632" s="8"/>
      <c r="R6632" s="8"/>
      <c r="S6632" s="18"/>
      <c r="T6632" s="18"/>
      <c r="U6632" s="6"/>
      <c r="V6632" s="6"/>
      <c r="W6632" s="6"/>
      <c r="X6632" s="6"/>
      <c r="Y6632" s="6"/>
      <c r="Z6632" s="6"/>
    </row>
    <row r="6633" spans="14:26" ht="31.4" customHeight="1" x14ac:dyDescent="0.35">
      <c r="N6633" s="20"/>
      <c r="P6633" s="8"/>
      <c r="Q6633" s="8"/>
      <c r="R6633" s="8"/>
      <c r="S6633" s="18"/>
      <c r="T6633" s="18"/>
      <c r="U6633" s="6"/>
      <c r="V6633" s="6"/>
      <c r="W6633" s="6"/>
      <c r="X6633" s="6"/>
      <c r="Y6633" s="6"/>
      <c r="Z6633" s="6"/>
    </row>
    <row r="6634" spans="14:26" ht="31.4" customHeight="1" x14ac:dyDescent="0.35">
      <c r="N6634" s="20"/>
      <c r="P6634" s="8"/>
      <c r="Q6634" s="8"/>
      <c r="R6634" s="8"/>
      <c r="S6634" s="18"/>
      <c r="T6634" s="18"/>
      <c r="U6634" s="6"/>
      <c r="V6634" s="6"/>
      <c r="W6634" s="6"/>
      <c r="X6634" s="6"/>
      <c r="Y6634" s="6"/>
      <c r="Z6634" s="6"/>
    </row>
    <row r="6635" spans="14:26" ht="31.4" customHeight="1" x14ac:dyDescent="0.35">
      <c r="N6635" s="20"/>
      <c r="P6635" s="8"/>
      <c r="Q6635" s="8"/>
      <c r="R6635" s="8"/>
      <c r="S6635" s="18"/>
      <c r="T6635" s="18"/>
      <c r="U6635" s="6"/>
      <c r="V6635" s="6"/>
      <c r="W6635" s="6"/>
      <c r="X6635" s="6"/>
      <c r="Y6635" s="6"/>
      <c r="Z6635" s="6"/>
    </row>
    <row r="6636" spans="14:26" ht="31.4" customHeight="1" x14ac:dyDescent="0.35">
      <c r="N6636" s="20"/>
      <c r="P6636" s="8"/>
      <c r="Q6636" s="8"/>
      <c r="R6636" s="8"/>
      <c r="S6636" s="18"/>
      <c r="T6636" s="18"/>
      <c r="U6636" s="6"/>
      <c r="V6636" s="6"/>
      <c r="W6636" s="6"/>
      <c r="X6636" s="6"/>
      <c r="Y6636" s="6"/>
      <c r="Z6636" s="6"/>
    </row>
    <row r="6637" spans="14:26" ht="31.4" customHeight="1" x14ac:dyDescent="0.35">
      <c r="N6637" s="20"/>
      <c r="P6637" s="8"/>
      <c r="Q6637" s="8"/>
      <c r="R6637" s="8"/>
      <c r="S6637" s="18"/>
      <c r="T6637" s="18"/>
      <c r="U6637" s="6"/>
      <c r="V6637" s="6"/>
      <c r="W6637" s="6"/>
      <c r="X6637" s="6"/>
      <c r="Y6637" s="6"/>
      <c r="Z6637" s="6"/>
    </row>
    <row r="6638" spans="14:26" ht="31.4" customHeight="1" x14ac:dyDescent="0.35">
      <c r="N6638" s="20"/>
      <c r="P6638" s="8"/>
      <c r="Q6638" s="8"/>
      <c r="R6638" s="8"/>
      <c r="S6638" s="18"/>
      <c r="T6638" s="18"/>
      <c r="U6638" s="6"/>
      <c r="V6638" s="6"/>
      <c r="W6638" s="6"/>
      <c r="X6638" s="6"/>
      <c r="Y6638" s="6"/>
      <c r="Z6638" s="6"/>
    </row>
    <row r="6639" spans="14:26" ht="31.4" customHeight="1" x14ac:dyDescent="0.35">
      <c r="N6639" s="20"/>
      <c r="P6639" s="8"/>
      <c r="Q6639" s="8"/>
      <c r="R6639" s="8"/>
      <c r="S6639" s="18"/>
      <c r="T6639" s="18"/>
      <c r="U6639" s="6"/>
      <c r="V6639" s="6"/>
      <c r="W6639" s="6"/>
      <c r="X6639" s="6"/>
      <c r="Y6639" s="6"/>
      <c r="Z6639" s="6"/>
    </row>
    <row r="6640" spans="14:26" ht="31.4" customHeight="1" x14ac:dyDescent="0.35">
      <c r="N6640" s="20"/>
      <c r="P6640" s="8"/>
      <c r="Q6640" s="8"/>
      <c r="R6640" s="8"/>
      <c r="S6640" s="18"/>
      <c r="T6640" s="18"/>
      <c r="U6640" s="6"/>
      <c r="V6640" s="6"/>
      <c r="W6640" s="6"/>
      <c r="X6640" s="6"/>
      <c r="Y6640" s="6"/>
      <c r="Z6640" s="6"/>
    </row>
    <row r="6641" spans="14:26" ht="31.4" customHeight="1" x14ac:dyDescent="0.35">
      <c r="N6641" s="20"/>
      <c r="P6641" s="8"/>
      <c r="Q6641" s="8"/>
      <c r="R6641" s="8"/>
      <c r="S6641" s="18"/>
      <c r="T6641" s="18"/>
      <c r="U6641" s="6"/>
      <c r="V6641" s="6"/>
      <c r="W6641" s="6"/>
      <c r="X6641" s="6"/>
      <c r="Y6641" s="6"/>
      <c r="Z6641" s="6"/>
    </row>
    <row r="6642" spans="14:26" ht="31.4" customHeight="1" x14ac:dyDescent="0.35">
      <c r="N6642" s="20"/>
      <c r="P6642" s="8"/>
      <c r="Q6642" s="8"/>
      <c r="R6642" s="8"/>
      <c r="S6642" s="18"/>
      <c r="T6642" s="18"/>
      <c r="U6642" s="6"/>
      <c r="V6642" s="6"/>
      <c r="W6642" s="6"/>
      <c r="X6642" s="6"/>
      <c r="Y6642" s="6"/>
      <c r="Z6642" s="6"/>
    </row>
    <row r="6643" spans="14:26" ht="31.4" customHeight="1" x14ac:dyDescent="0.35">
      <c r="N6643" s="20"/>
      <c r="P6643" s="8"/>
      <c r="Q6643" s="8"/>
      <c r="R6643" s="8"/>
      <c r="S6643" s="18"/>
      <c r="T6643" s="18"/>
      <c r="U6643" s="6"/>
      <c r="V6643" s="6"/>
      <c r="W6643" s="6"/>
      <c r="X6643" s="6"/>
      <c r="Y6643" s="6"/>
      <c r="Z6643" s="6"/>
    </row>
    <row r="6644" spans="14:26" ht="31.4" customHeight="1" x14ac:dyDescent="0.35">
      <c r="N6644" s="20"/>
      <c r="P6644" s="8"/>
      <c r="Q6644" s="8"/>
      <c r="R6644" s="8"/>
      <c r="S6644" s="18"/>
      <c r="T6644" s="18"/>
      <c r="U6644" s="6"/>
      <c r="V6644" s="6"/>
      <c r="W6644" s="6"/>
      <c r="X6644" s="6"/>
      <c r="Y6644" s="6"/>
      <c r="Z6644" s="6"/>
    </row>
    <row r="6645" spans="14:26" ht="31.4" customHeight="1" x14ac:dyDescent="0.35">
      <c r="N6645" s="20"/>
      <c r="P6645" s="8"/>
      <c r="Q6645" s="8"/>
      <c r="R6645" s="8"/>
      <c r="S6645" s="18"/>
      <c r="T6645" s="18"/>
      <c r="U6645" s="6"/>
      <c r="V6645" s="6"/>
      <c r="W6645" s="6"/>
      <c r="X6645" s="6"/>
      <c r="Y6645" s="6"/>
      <c r="Z6645" s="6"/>
    </row>
    <row r="6646" spans="14:26" ht="31.4" customHeight="1" x14ac:dyDescent="0.35">
      <c r="N6646" s="20"/>
      <c r="P6646" s="8"/>
      <c r="Q6646" s="8"/>
      <c r="R6646" s="8"/>
      <c r="S6646" s="18"/>
      <c r="T6646" s="18"/>
      <c r="U6646" s="6"/>
      <c r="V6646" s="6"/>
      <c r="W6646" s="6"/>
      <c r="X6646" s="6"/>
      <c r="Y6646" s="6"/>
      <c r="Z6646" s="6"/>
    </row>
    <row r="6647" spans="14:26" ht="31.4" customHeight="1" x14ac:dyDescent="0.35">
      <c r="N6647" s="20"/>
      <c r="P6647" s="8"/>
      <c r="Q6647" s="8"/>
      <c r="R6647" s="8"/>
      <c r="S6647" s="18"/>
      <c r="T6647" s="18"/>
      <c r="U6647" s="6"/>
      <c r="V6647" s="6"/>
      <c r="W6647" s="6"/>
      <c r="X6647" s="6"/>
      <c r="Y6647" s="6"/>
      <c r="Z6647" s="6"/>
    </row>
    <row r="6648" spans="14:26" ht="31.4" customHeight="1" x14ac:dyDescent="0.35">
      <c r="N6648" s="20"/>
      <c r="P6648" s="8"/>
      <c r="Q6648" s="8"/>
      <c r="R6648" s="8"/>
      <c r="S6648" s="18"/>
      <c r="T6648" s="18"/>
      <c r="U6648" s="6"/>
      <c r="V6648" s="6"/>
      <c r="W6648" s="6"/>
      <c r="X6648" s="6"/>
      <c r="Y6648" s="6"/>
      <c r="Z6648" s="6"/>
    </row>
    <row r="6649" spans="14:26" ht="31.4" customHeight="1" x14ac:dyDescent="0.35">
      <c r="N6649" s="20"/>
      <c r="P6649" s="8"/>
      <c r="Q6649" s="8"/>
      <c r="R6649" s="8"/>
      <c r="S6649" s="18"/>
      <c r="T6649" s="18"/>
      <c r="U6649" s="6"/>
      <c r="V6649" s="6"/>
      <c r="W6649" s="6"/>
      <c r="X6649" s="6"/>
      <c r="Y6649" s="6"/>
      <c r="Z6649" s="6"/>
    </row>
    <row r="6650" spans="14:26" ht="31.4" customHeight="1" x14ac:dyDescent="0.35">
      <c r="N6650" s="20"/>
      <c r="P6650" s="8"/>
      <c r="Q6650" s="8"/>
      <c r="R6650" s="8"/>
      <c r="S6650" s="18"/>
      <c r="T6650" s="18"/>
      <c r="U6650" s="6"/>
      <c r="V6650" s="6"/>
      <c r="W6650" s="6"/>
      <c r="X6650" s="6"/>
      <c r="Y6650" s="6"/>
      <c r="Z6650" s="6"/>
    </row>
    <row r="6651" spans="14:26" ht="31.4" customHeight="1" x14ac:dyDescent="0.35">
      <c r="N6651" s="20"/>
      <c r="P6651" s="8"/>
      <c r="Q6651" s="8"/>
      <c r="R6651" s="8"/>
      <c r="S6651" s="18"/>
      <c r="T6651" s="18"/>
      <c r="U6651" s="6"/>
      <c r="V6651" s="6"/>
      <c r="W6651" s="6"/>
      <c r="X6651" s="6"/>
      <c r="Y6651" s="6"/>
      <c r="Z6651" s="6"/>
    </row>
    <row r="6652" spans="14:26" ht="31.4" customHeight="1" x14ac:dyDescent="0.35">
      <c r="N6652" s="20"/>
      <c r="P6652" s="8"/>
      <c r="Q6652" s="8"/>
      <c r="R6652" s="8"/>
      <c r="S6652" s="18"/>
      <c r="T6652" s="18"/>
      <c r="U6652" s="6"/>
      <c r="V6652" s="6"/>
      <c r="W6652" s="6"/>
      <c r="X6652" s="6"/>
      <c r="Y6652" s="6"/>
      <c r="Z6652" s="6"/>
    </row>
    <row r="6653" spans="14:26" ht="31.4" customHeight="1" x14ac:dyDescent="0.35">
      <c r="N6653" s="20"/>
      <c r="P6653" s="8"/>
      <c r="Q6653" s="8"/>
      <c r="R6653" s="8"/>
      <c r="S6653" s="18"/>
      <c r="T6653" s="18"/>
      <c r="U6653" s="6"/>
      <c r="V6653" s="6"/>
      <c r="W6653" s="6"/>
      <c r="X6653" s="6"/>
      <c r="Y6653" s="6"/>
      <c r="Z6653" s="6"/>
    </row>
    <row r="6654" spans="14:26" ht="31.4" customHeight="1" x14ac:dyDescent="0.35">
      <c r="N6654" s="20"/>
      <c r="P6654" s="8"/>
      <c r="Q6654" s="8"/>
      <c r="R6654" s="8"/>
      <c r="S6654" s="18"/>
      <c r="T6654" s="18"/>
      <c r="U6654" s="6"/>
      <c r="V6654" s="6"/>
      <c r="W6654" s="6"/>
      <c r="X6654" s="6"/>
      <c r="Y6654" s="6"/>
      <c r="Z6654" s="6"/>
    </row>
    <row r="6655" spans="14:26" ht="31.4" customHeight="1" x14ac:dyDescent="0.35">
      <c r="N6655" s="20"/>
      <c r="P6655" s="8"/>
      <c r="Q6655" s="8"/>
      <c r="R6655" s="8"/>
      <c r="S6655" s="18"/>
      <c r="T6655" s="18"/>
      <c r="U6655" s="6"/>
      <c r="V6655" s="6"/>
      <c r="W6655" s="6"/>
      <c r="X6655" s="6"/>
      <c r="Y6655" s="6"/>
      <c r="Z6655" s="6"/>
    </row>
    <row r="6656" spans="14:26" ht="31.4" customHeight="1" x14ac:dyDescent="0.35">
      <c r="N6656" s="20"/>
      <c r="P6656" s="8"/>
      <c r="Q6656" s="8"/>
      <c r="R6656" s="8"/>
      <c r="S6656" s="18"/>
      <c r="T6656" s="18"/>
      <c r="U6656" s="6"/>
      <c r="V6656" s="6"/>
      <c r="W6656" s="6"/>
      <c r="X6656" s="6"/>
      <c r="Y6656" s="6"/>
      <c r="Z6656" s="6"/>
    </row>
    <row r="6657" spans="14:26" ht="31.4" customHeight="1" x14ac:dyDescent="0.35">
      <c r="N6657" s="20"/>
      <c r="P6657" s="8"/>
      <c r="Q6657" s="8"/>
      <c r="R6657" s="8"/>
      <c r="S6657" s="18"/>
      <c r="T6657" s="18"/>
      <c r="U6657" s="6"/>
      <c r="V6657" s="6"/>
      <c r="W6657" s="6"/>
      <c r="X6657" s="6"/>
      <c r="Y6657" s="6"/>
      <c r="Z6657" s="6"/>
    </row>
    <row r="6658" spans="14:26" ht="31.4" customHeight="1" x14ac:dyDescent="0.35">
      <c r="N6658" s="20"/>
      <c r="P6658" s="8"/>
      <c r="Q6658" s="8"/>
      <c r="R6658" s="8"/>
      <c r="S6658" s="18"/>
      <c r="T6658" s="18"/>
      <c r="U6658" s="6"/>
      <c r="V6658" s="6"/>
      <c r="W6658" s="6"/>
      <c r="X6658" s="6"/>
      <c r="Y6658" s="6"/>
      <c r="Z6658" s="6"/>
    </row>
    <row r="6659" spans="14:26" ht="31.4" customHeight="1" x14ac:dyDescent="0.35">
      <c r="N6659" s="20"/>
      <c r="P6659" s="8"/>
      <c r="Q6659" s="8"/>
      <c r="R6659" s="8"/>
      <c r="S6659" s="18"/>
      <c r="T6659" s="18"/>
      <c r="U6659" s="6"/>
      <c r="V6659" s="6"/>
      <c r="W6659" s="6"/>
      <c r="X6659" s="6"/>
      <c r="Y6659" s="6"/>
      <c r="Z6659" s="6"/>
    </row>
    <row r="6660" spans="14:26" ht="31.4" customHeight="1" x14ac:dyDescent="0.35">
      <c r="N6660" s="20"/>
      <c r="P6660" s="8"/>
      <c r="Q6660" s="8"/>
      <c r="R6660" s="8"/>
      <c r="S6660" s="18"/>
      <c r="T6660" s="18"/>
      <c r="U6660" s="6"/>
      <c r="V6660" s="6"/>
      <c r="W6660" s="6"/>
      <c r="X6660" s="6"/>
      <c r="Y6660" s="6"/>
      <c r="Z6660" s="6"/>
    </row>
    <row r="6661" spans="14:26" ht="31.4" customHeight="1" x14ac:dyDescent="0.35">
      <c r="N6661" s="20"/>
      <c r="P6661" s="8"/>
      <c r="Q6661" s="8"/>
      <c r="R6661" s="8"/>
      <c r="S6661" s="18"/>
      <c r="T6661" s="18"/>
      <c r="U6661" s="6"/>
      <c r="V6661" s="6"/>
      <c r="W6661" s="6"/>
      <c r="X6661" s="6"/>
      <c r="Y6661" s="6"/>
      <c r="Z6661" s="6"/>
    </row>
    <row r="6662" spans="14:26" ht="31.4" customHeight="1" x14ac:dyDescent="0.35">
      <c r="N6662" s="20"/>
      <c r="P6662" s="8"/>
      <c r="Q6662" s="8"/>
      <c r="R6662" s="8"/>
      <c r="S6662" s="18"/>
      <c r="T6662" s="18"/>
      <c r="U6662" s="6"/>
      <c r="V6662" s="6"/>
      <c r="W6662" s="6"/>
      <c r="X6662" s="6"/>
      <c r="Y6662" s="6"/>
      <c r="Z6662" s="6"/>
    </row>
    <row r="6663" spans="14:26" ht="31.4" customHeight="1" x14ac:dyDescent="0.35">
      <c r="N6663" s="20"/>
      <c r="P6663" s="8"/>
      <c r="Q6663" s="8"/>
      <c r="R6663" s="8"/>
      <c r="S6663" s="18"/>
      <c r="T6663" s="18"/>
      <c r="U6663" s="6"/>
      <c r="V6663" s="6"/>
      <c r="W6663" s="6"/>
      <c r="X6663" s="6"/>
      <c r="Y6663" s="6"/>
      <c r="Z6663" s="6"/>
    </row>
    <row r="6664" spans="14:26" ht="31.4" customHeight="1" x14ac:dyDescent="0.35">
      <c r="N6664" s="20"/>
      <c r="P6664" s="8"/>
      <c r="Q6664" s="8"/>
      <c r="R6664" s="8"/>
      <c r="S6664" s="18"/>
      <c r="T6664" s="18"/>
      <c r="U6664" s="6"/>
      <c r="V6664" s="6"/>
      <c r="W6664" s="6"/>
      <c r="X6664" s="6"/>
      <c r="Y6664" s="6"/>
      <c r="Z6664" s="6"/>
    </row>
    <row r="6665" spans="14:26" ht="31.4" customHeight="1" x14ac:dyDescent="0.35">
      <c r="N6665" s="20"/>
      <c r="P6665" s="8"/>
      <c r="Q6665" s="8"/>
      <c r="R6665" s="8"/>
      <c r="S6665" s="18"/>
      <c r="T6665" s="18"/>
      <c r="U6665" s="6"/>
      <c r="V6665" s="6"/>
      <c r="W6665" s="6"/>
      <c r="X6665" s="6"/>
      <c r="Y6665" s="6"/>
      <c r="Z6665" s="6"/>
    </row>
    <row r="6666" spans="14:26" ht="31.4" customHeight="1" x14ac:dyDescent="0.35">
      <c r="N6666" s="20"/>
      <c r="P6666" s="8"/>
      <c r="Q6666" s="8"/>
      <c r="R6666" s="8"/>
      <c r="S6666" s="18"/>
      <c r="T6666" s="18"/>
      <c r="U6666" s="6"/>
      <c r="V6666" s="6"/>
      <c r="W6666" s="6"/>
      <c r="X6666" s="6"/>
      <c r="Y6666" s="6"/>
      <c r="Z6666" s="6"/>
    </row>
    <row r="6667" spans="14:26" ht="31.4" customHeight="1" x14ac:dyDescent="0.35">
      <c r="N6667" s="20"/>
      <c r="P6667" s="8"/>
      <c r="Q6667" s="8"/>
      <c r="R6667" s="8"/>
      <c r="S6667" s="18"/>
      <c r="T6667" s="18"/>
      <c r="U6667" s="6"/>
      <c r="V6667" s="6"/>
      <c r="W6667" s="6"/>
      <c r="X6667" s="6"/>
      <c r="Y6667" s="6"/>
      <c r="Z6667" s="6"/>
    </row>
    <row r="6668" spans="14:26" ht="31.4" customHeight="1" x14ac:dyDescent="0.35">
      <c r="N6668" s="20"/>
      <c r="P6668" s="8"/>
      <c r="Q6668" s="8"/>
      <c r="R6668" s="8"/>
      <c r="S6668" s="18"/>
      <c r="T6668" s="18"/>
      <c r="U6668" s="6"/>
      <c r="V6668" s="6"/>
      <c r="W6668" s="6"/>
      <c r="X6668" s="6"/>
      <c r="Y6668" s="6"/>
      <c r="Z6668" s="6"/>
    </row>
    <row r="6669" spans="14:26" ht="31.4" customHeight="1" x14ac:dyDescent="0.35">
      <c r="N6669" s="20"/>
      <c r="P6669" s="8"/>
      <c r="Q6669" s="8"/>
      <c r="R6669" s="8"/>
      <c r="S6669" s="18"/>
      <c r="T6669" s="18"/>
      <c r="U6669" s="6"/>
      <c r="V6669" s="6"/>
      <c r="W6669" s="6"/>
      <c r="X6669" s="6"/>
      <c r="Y6669" s="6"/>
      <c r="Z6669" s="6"/>
    </row>
    <row r="6670" spans="14:26" ht="31.4" customHeight="1" x14ac:dyDescent="0.35">
      <c r="N6670" s="20"/>
      <c r="P6670" s="8"/>
      <c r="Q6670" s="8"/>
      <c r="R6670" s="8"/>
      <c r="S6670" s="18"/>
      <c r="T6670" s="18"/>
      <c r="U6670" s="6"/>
      <c r="V6670" s="6"/>
      <c r="W6670" s="6"/>
      <c r="X6670" s="6"/>
      <c r="Y6670" s="6"/>
      <c r="Z6670" s="6"/>
    </row>
    <row r="6671" spans="14:26" ht="31.4" customHeight="1" x14ac:dyDescent="0.35">
      <c r="N6671" s="20"/>
      <c r="P6671" s="8"/>
      <c r="Q6671" s="8"/>
      <c r="R6671" s="8"/>
      <c r="S6671" s="18"/>
      <c r="T6671" s="18"/>
      <c r="U6671" s="6"/>
      <c r="V6671" s="6"/>
      <c r="W6671" s="6"/>
      <c r="X6671" s="6"/>
      <c r="Y6671" s="6"/>
      <c r="Z6671" s="6"/>
    </row>
    <row r="6672" spans="14:26" ht="31.4" customHeight="1" x14ac:dyDescent="0.35">
      <c r="N6672" s="20"/>
      <c r="P6672" s="8"/>
      <c r="Q6672" s="8"/>
      <c r="R6672" s="8"/>
      <c r="S6672" s="18"/>
      <c r="T6672" s="18"/>
      <c r="U6672" s="6"/>
      <c r="V6672" s="6"/>
      <c r="W6672" s="6"/>
      <c r="X6672" s="6"/>
      <c r="Y6672" s="6"/>
      <c r="Z6672" s="6"/>
    </row>
    <row r="6673" spans="14:26" ht="31.4" customHeight="1" x14ac:dyDescent="0.35">
      <c r="N6673" s="20"/>
      <c r="P6673" s="8"/>
      <c r="Q6673" s="8"/>
      <c r="R6673" s="8"/>
      <c r="S6673" s="18"/>
      <c r="T6673" s="18"/>
      <c r="U6673" s="6"/>
      <c r="V6673" s="6"/>
      <c r="W6673" s="6"/>
      <c r="X6673" s="6"/>
      <c r="Y6673" s="6"/>
      <c r="Z6673" s="6"/>
    </row>
    <row r="6674" spans="14:26" ht="31.4" customHeight="1" x14ac:dyDescent="0.35">
      <c r="N6674" s="20"/>
      <c r="P6674" s="8"/>
      <c r="Q6674" s="8"/>
      <c r="R6674" s="8"/>
      <c r="S6674" s="18"/>
      <c r="T6674" s="18"/>
      <c r="U6674" s="6"/>
      <c r="V6674" s="6"/>
      <c r="W6674" s="6"/>
      <c r="X6674" s="6"/>
      <c r="Y6674" s="6"/>
      <c r="Z6674" s="6"/>
    </row>
    <row r="6675" spans="14:26" ht="31.4" customHeight="1" x14ac:dyDescent="0.35">
      <c r="N6675" s="20"/>
      <c r="P6675" s="8"/>
      <c r="Q6675" s="8"/>
      <c r="R6675" s="8"/>
      <c r="S6675" s="18"/>
      <c r="T6675" s="18"/>
      <c r="U6675" s="6"/>
      <c r="V6675" s="6"/>
      <c r="W6675" s="6"/>
      <c r="X6675" s="6"/>
      <c r="Y6675" s="6"/>
      <c r="Z6675" s="6"/>
    </row>
    <row r="6676" spans="14:26" ht="31.4" customHeight="1" x14ac:dyDescent="0.35">
      <c r="N6676" s="20"/>
      <c r="P6676" s="8"/>
      <c r="Q6676" s="8"/>
      <c r="R6676" s="8"/>
      <c r="S6676" s="18"/>
      <c r="T6676" s="18"/>
      <c r="U6676" s="6"/>
      <c r="V6676" s="6"/>
      <c r="W6676" s="6"/>
      <c r="X6676" s="6"/>
      <c r="Y6676" s="6"/>
      <c r="Z6676" s="6"/>
    </row>
    <row r="6677" spans="14:26" ht="31.4" customHeight="1" x14ac:dyDescent="0.35">
      <c r="N6677" s="20"/>
      <c r="P6677" s="8"/>
      <c r="Q6677" s="8"/>
      <c r="R6677" s="8"/>
      <c r="S6677" s="18"/>
      <c r="T6677" s="18"/>
      <c r="U6677" s="6"/>
      <c r="V6677" s="6"/>
      <c r="W6677" s="6"/>
      <c r="X6677" s="6"/>
      <c r="Y6677" s="6"/>
      <c r="Z6677" s="6"/>
    </row>
    <row r="6678" spans="14:26" ht="31.4" customHeight="1" x14ac:dyDescent="0.35">
      <c r="N6678" s="20"/>
      <c r="P6678" s="8"/>
      <c r="Q6678" s="8"/>
      <c r="R6678" s="8"/>
      <c r="S6678" s="18"/>
      <c r="T6678" s="18"/>
      <c r="U6678" s="6"/>
      <c r="V6678" s="6"/>
      <c r="W6678" s="6"/>
      <c r="X6678" s="6"/>
      <c r="Y6678" s="6"/>
      <c r="Z6678" s="6"/>
    </row>
    <row r="6679" spans="14:26" ht="31.4" customHeight="1" x14ac:dyDescent="0.35">
      <c r="N6679" s="20"/>
      <c r="P6679" s="8"/>
      <c r="Q6679" s="8"/>
      <c r="R6679" s="8"/>
      <c r="S6679" s="18"/>
      <c r="T6679" s="18"/>
      <c r="U6679" s="6"/>
      <c r="V6679" s="6"/>
      <c r="W6679" s="6"/>
      <c r="X6679" s="6"/>
      <c r="Y6679" s="6"/>
      <c r="Z6679" s="6"/>
    </row>
    <row r="6680" spans="14:26" ht="31.4" customHeight="1" x14ac:dyDescent="0.35">
      <c r="N6680" s="20"/>
      <c r="P6680" s="8"/>
      <c r="Q6680" s="8"/>
      <c r="R6680" s="8"/>
      <c r="S6680" s="18"/>
      <c r="T6680" s="18"/>
      <c r="U6680" s="6"/>
      <c r="V6680" s="6"/>
      <c r="W6680" s="6"/>
      <c r="X6680" s="6"/>
      <c r="Y6680" s="6"/>
      <c r="Z6680" s="6"/>
    </row>
    <row r="6681" spans="14:26" ht="31.4" customHeight="1" x14ac:dyDescent="0.35">
      <c r="N6681" s="20"/>
      <c r="P6681" s="8"/>
      <c r="Q6681" s="8"/>
      <c r="R6681" s="8"/>
      <c r="S6681" s="18"/>
      <c r="T6681" s="18"/>
      <c r="U6681" s="6"/>
      <c r="V6681" s="6"/>
      <c r="W6681" s="6"/>
      <c r="X6681" s="6"/>
      <c r="Y6681" s="6"/>
      <c r="Z6681" s="6"/>
    </row>
    <row r="6682" spans="14:26" ht="31.4" customHeight="1" x14ac:dyDescent="0.35">
      <c r="N6682" s="20"/>
      <c r="P6682" s="8"/>
      <c r="Q6682" s="8"/>
      <c r="R6682" s="8"/>
      <c r="S6682" s="18"/>
      <c r="T6682" s="18"/>
      <c r="U6682" s="6"/>
      <c r="V6682" s="6"/>
      <c r="W6682" s="6"/>
      <c r="X6682" s="6"/>
      <c r="Y6682" s="6"/>
      <c r="Z6682" s="6"/>
    </row>
    <row r="6683" spans="14:26" ht="31.4" customHeight="1" x14ac:dyDescent="0.35">
      <c r="N6683" s="20"/>
      <c r="P6683" s="8"/>
      <c r="Q6683" s="8"/>
      <c r="R6683" s="8"/>
      <c r="S6683" s="18"/>
      <c r="T6683" s="18"/>
      <c r="U6683" s="6"/>
      <c r="V6683" s="6"/>
      <c r="W6683" s="6"/>
      <c r="X6683" s="6"/>
      <c r="Y6683" s="6"/>
      <c r="Z6683" s="6"/>
    </row>
    <row r="6684" spans="14:26" ht="31.4" customHeight="1" x14ac:dyDescent="0.35">
      <c r="N6684" s="20"/>
      <c r="P6684" s="8"/>
      <c r="Q6684" s="8"/>
      <c r="R6684" s="8"/>
      <c r="S6684" s="18"/>
      <c r="T6684" s="18"/>
      <c r="U6684" s="6"/>
      <c r="V6684" s="6"/>
      <c r="W6684" s="6"/>
      <c r="X6684" s="6"/>
      <c r="Y6684" s="6"/>
      <c r="Z6684" s="6"/>
    </row>
    <row r="6685" spans="14:26" ht="31.4" customHeight="1" x14ac:dyDescent="0.35">
      <c r="N6685" s="20"/>
      <c r="P6685" s="8"/>
      <c r="Q6685" s="8"/>
      <c r="R6685" s="8"/>
      <c r="S6685" s="18"/>
      <c r="T6685" s="18"/>
      <c r="U6685" s="6"/>
      <c r="V6685" s="6"/>
      <c r="W6685" s="6"/>
      <c r="X6685" s="6"/>
      <c r="Y6685" s="6"/>
      <c r="Z6685" s="6"/>
    </row>
    <row r="6686" spans="14:26" ht="31.4" customHeight="1" x14ac:dyDescent="0.35">
      <c r="N6686" s="20"/>
      <c r="P6686" s="8"/>
      <c r="Q6686" s="8"/>
      <c r="R6686" s="8"/>
      <c r="S6686" s="18"/>
      <c r="T6686" s="18"/>
      <c r="U6686" s="6"/>
      <c r="V6686" s="6"/>
      <c r="W6686" s="6"/>
      <c r="X6686" s="6"/>
      <c r="Y6686" s="6"/>
      <c r="Z6686" s="6"/>
    </row>
    <row r="6687" spans="14:26" ht="31.4" customHeight="1" x14ac:dyDescent="0.35">
      <c r="N6687" s="20"/>
      <c r="P6687" s="8"/>
      <c r="Q6687" s="8"/>
      <c r="R6687" s="8"/>
      <c r="S6687" s="18"/>
      <c r="T6687" s="18"/>
      <c r="U6687" s="6"/>
      <c r="V6687" s="6"/>
      <c r="W6687" s="6"/>
      <c r="X6687" s="6"/>
      <c r="Y6687" s="6"/>
      <c r="Z6687" s="6"/>
    </row>
    <row r="6688" spans="14:26" ht="31.4" customHeight="1" x14ac:dyDescent="0.35">
      <c r="N6688" s="20"/>
      <c r="P6688" s="8"/>
      <c r="Q6688" s="8"/>
      <c r="R6688" s="8"/>
      <c r="S6688" s="18"/>
      <c r="T6688" s="18"/>
      <c r="U6688" s="6"/>
      <c r="V6688" s="6"/>
      <c r="W6688" s="6"/>
      <c r="X6688" s="6"/>
      <c r="Y6688" s="6"/>
      <c r="Z6688" s="6"/>
    </row>
    <row r="6689" spans="14:26" ht="31.4" customHeight="1" x14ac:dyDescent="0.35">
      <c r="N6689" s="20"/>
      <c r="P6689" s="8"/>
      <c r="Q6689" s="8"/>
      <c r="R6689" s="8"/>
      <c r="S6689" s="18"/>
      <c r="T6689" s="18"/>
      <c r="U6689" s="6"/>
      <c r="V6689" s="6"/>
      <c r="W6689" s="6"/>
      <c r="X6689" s="6"/>
      <c r="Y6689" s="6"/>
      <c r="Z6689" s="6"/>
    </row>
    <row r="6690" spans="14:26" ht="31.4" customHeight="1" x14ac:dyDescent="0.35">
      <c r="N6690" s="20"/>
      <c r="P6690" s="8"/>
      <c r="Q6690" s="8"/>
      <c r="R6690" s="8"/>
      <c r="S6690" s="18"/>
      <c r="T6690" s="18"/>
      <c r="U6690" s="6"/>
      <c r="V6690" s="6"/>
      <c r="W6690" s="6"/>
      <c r="X6690" s="6"/>
      <c r="Y6690" s="6"/>
      <c r="Z6690" s="6"/>
    </row>
    <row r="6691" spans="14:26" ht="31.4" customHeight="1" x14ac:dyDescent="0.35">
      <c r="N6691" s="20"/>
      <c r="P6691" s="8"/>
      <c r="Q6691" s="8"/>
      <c r="R6691" s="8"/>
      <c r="S6691" s="18"/>
      <c r="T6691" s="18"/>
      <c r="U6691" s="6"/>
      <c r="V6691" s="6"/>
      <c r="W6691" s="6"/>
      <c r="X6691" s="6"/>
      <c r="Y6691" s="6"/>
      <c r="Z6691" s="6"/>
    </row>
    <row r="6692" spans="14:26" ht="31.4" customHeight="1" x14ac:dyDescent="0.35">
      <c r="N6692" s="20"/>
      <c r="P6692" s="8"/>
      <c r="Q6692" s="8"/>
      <c r="R6692" s="8"/>
      <c r="S6692" s="18"/>
      <c r="T6692" s="18"/>
      <c r="U6692" s="6"/>
      <c r="V6692" s="6"/>
      <c r="W6692" s="6"/>
      <c r="X6692" s="6"/>
      <c r="Y6692" s="6"/>
      <c r="Z6692" s="6"/>
    </row>
    <row r="6693" spans="14:26" ht="31.4" customHeight="1" x14ac:dyDescent="0.35">
      <c r="N6693" s="20"/>
      <c r="P6693" s="8"/>
      <c r="Q6693" s="8"/>
      <c r="R6693" s="8"/>
      <c r="S6693" s="18"/>
      <c r="T6693" s="18"/>
      <c r="U6693" s="6"/>
      <c r="V6693" s="6"/>
      <c r="W6693" s="6"/>
      <c r="X6693" s="6"/>
      <c r="Y6693" s="6"/>
      <c r="Z6693" s="6"/>
    </row>
    <row r="6694" spans="14:26" ht="31.4" customHeight="1" x14ac:dyDescent="0.35">
      <c r="N6694" s="20"/>
      <c r="P6694" s="8"/>
      <c r="Q6694" s="8"/>
      <c r="R6694" s="8"/>
      <c r="S6694" s="18"/>
      <c r="T6694" s="18"/>
      <c r="U6694" s="6"/>
      <c r="V6694" s="6"/>
      <c r="W6694" s="6"/>
      <c r="X6694" s="6"/>
      <c r="Y6694" s="6"/>
      <c r="Z6694" s="6"/>
    </row>
    <row r="6695" spans="14:26" ht="31.4" customHeight="1" x14ac:dyDescent="0.35">
      <c r="N6695" s="20"/>
      <c r="P6695" s="8"/>
      <c r="Q6695" s="8"/>
      <c r="R6695" s="8"/>
      <c r="S6695" s="18"/>
      <c r="T6695" s="18"/>
      <c r="U6695" s="6"/>
      <c r="V6695" s="6"/>
      <c r="W6695" s="6"/>
      <c r="X6695" s="6"/>
      <c r="Y6695" s="6"/>
      <c r="Z6695" s="6"/>
    </row>
    <row r="6696" spans="14:26" ht="31.4" customHeight="1" x14ac:dyDescent="0.35">
      <c r="N6696" s="20"/>
      <c r="P6696" s="8"/>
      <c r="Q6696" s="8"/>
      <c r="R6696" s="8"/>
      <c r="S6696" s="18"/>
      <c r="T6696" s="18"/>
      <c r="U6696" s="6"/>
      <c r="V6696" s="6"/>
      <c r="W6696" s="6"/>
      <c r="X6696" s="6"/>
      <c r="Y6696" s="6"/>
      <c r="Z6696" s="6"/>
    </row>
    <row r="6697" spans="14:26" ht="31.4" customHeight="1" x14ac:dyDescent="0.35">
      <c r="N6697" s="20"/>
      <c r="P6697" s="8"/>
      <c r="Q6697" s="8"/>
      <c r="R6697" s="8"/>
      <c r="S6697" s="18"/>
      <c r="T6697" s="18"/>
      <c r="U6697" s="6"/>
      <c r="V6697" s="6"/>
      <c r="W6697" s="6"/>
      <c r="X6697" s="6"/>
      <c r="Y6697" s="6"/>
      <c r="Z6697" s="6"/>
    </row>
    <row r="6698" spans="14:26" ht="31.4" customHeight="1" x14ac:dyDescent="0.35">
      <c r="N6698" s="20"/>
      <c r="P6698" s="8"/>
      <c r="Q6698" s="8"/>
      <c r="R6698" s="8"/>
      <c r="S6698" s="18"/>
      <c r="T6698" s="18"/>
      <c r="U6698" s="6"/>
      <c r="V6698" s="6"/>
      <c r="W6698" s="6"/>
      <c r="X6698" s="6"/>
      <c r="Y6698" s="6"/>
      <c r="Z6698" s="6"/>
    </row>
    <row r="6699" spans="14:26" ht="31.4" customHeight="1" x14ac:dyDescent="0.35">
      <c r="N6699" s="20"/>
      <c r="P6699" s="8"/>
      <c r="Q6699" s="8"/>
      <c r="R6699" s="8"/>
      <c r="S6699" s="18"/>
      <c r="T6699" s="18"/>
      <c r="U6699" s="6"/>
      <c r="V6699" s="6"/>
      <c r="W6699" s="6"/>
      <c r="X6699" s="6"/>
      <c r="Y6699" s="6"/>
      <c r="Z6699" s="6"/>
    </row>
    <row r="6700" spans="14:26" ht="31.4" customHeight="1" x14ac:dyDescent="0.35">
      <c r="N6700" s="20"/>
      <c r="P6700" s="8"/>
      <c r="Q6700" s="8"/>
      <c r="R6700" s="8"/>
      <c r="S6700" s="18"/>
      <c r="T6700" s="18"/>
      <c r="U6700" s="6"/>
      <c r="V6700" s="6"/>
      <c r="W6700" s="6"/>
      <c r="X6700" s="6"/>
      <c r="Y6700" s="6"/>
      <c r="Z6700" s="6"/>
    </row>
    <row r="6701" spans="14:26" ht="31.4" customHeight="1" x14ac:dyDescent="0.35">
      <c r="N6701" s="20"/>
      <c r="P6701" s="8"/>
      <c r="Q6701" s="8"/>
      <c r="R6701" s="8"/>
      <c r="S6701" s="18"/>
      <c r="T6701" s="18"/>
      <c r="U6701" s="6"/>
      <c r="V6701" s="6"/>
      <c r="W6701" s="6"/>
      <c r="X6701" s="6"/>
      <c r="Y6701" s="6"/>
      <c r="Z6701" s="6"/>
    </row>
    <row r="6702" spans="14:26" ht="31.4" customHeight="1" x14ac:dyDescent="0.35">
      <c r="N6702" s="20"/>
      <c r="P6702" s="8"/>
      <c r="Q6702" s="8"/>
      <c r="R6702" s="8"/>
      <c r="S6702" s="18"/>
      <c r="T6702" s="18"/>
      <c r="U6702" s="6"/>
      <c r="V6702" s="6"/>
      <c r="W6702" s="6"/>
      <c r="X6702" s="6"/>
      <c r="Y6702" s="6"/>
      <c r="Z6702" s="6"/>
    </row>
    <row r="6703" spans="14:26" ht="31.4" customHeight="1" x14ac:dyDescent="0.35">
      <c r="N6703" s="20"/>
      <c r="P6703" s="8"/>
      <c r="Q6703" s="8"/>
      <c r="R6703" s="8"/>
      <c r="S6703" s="18"/>
      <c r="T6703" s="18"/>
      <c r="U6703" s="6"/>
      <c r="V6703" s="6"/>
      <c r="W6703" s="6"/>
      <c r="X6703" s="6"/>
      <c r="Y6703" s="6"/>
      <c r="Z6703" s="6"/>
    </row>
    <row r="6704" spans="14:26" ht="31.4" customHeight="1" x14ac:dyDescent="0.35">
      <c r="N6704" s="20"/>
      <c r="P6704" s="8"/>
      <c r="Q6704" s="8"/>
      <c r="R6704" s="8"/>
      <c r="S6704" s="18"/>
      <c r="T6704" s="18"/>
      <c r="U6704" s="6"/>
      <c r="V6704" s="6"/>
      <c r="W6704" s="6"/>
      <c r="X6704" s="6"/>
      <c r="Y6704" s="6"/>
      <c r="Z6704" s="6"/>
    </row>
    <row r="6705" spans="14:26" ht="31.4" customHeight="1" x14ac:dyDescent="0.35">
      <c r="N6705" s="20"/>
      <c r="P6705" s="8"/>
      <c r="Q6705" s="8"/>
      <c r="R6705" s="8"/>
      <c r="S6705" s="18"/>
      <c r="T6705" s="18"/>
      <c r="U6705" s="6"/>
      <c r="V6705" s="6"/>
      <c r="W6705" s="6"/>
      <c r="X6705" s="6"/>
      <c r="Y6705" s="6"/>
      <c r="Z6705" s="6"/>
    </row>
    <row r="6706" spans="14:26" ht="31.4" customHeight="1" x14ac:dyDescent="0.35">
      <c r="N6706" s="20"/>
      <c r="P6706" s="8"/>
      <c r="Q6706" s="8"/>
      <c r="R6706" s="8"/>
      <c r="S6706" s="18"/>
      <c r="T6706" s="18"/>
      <c r="U6706" s="6"/>
      <c r="V6706" s="6"/>
      <c r="W6706" s="6"/>
      <c r="X6706" s="6"/>
      <c r="Y6706" s="6"/>
      <c r="Z6706" s="6"/>
    </row>
    <row r="6707" spans="14:26" ht="31.4" customHeight="1" x14ac:dyDescent="0.35">
      <c r="N6707" s="20"/>
      <c r="P6707" s="8"/>
      <c r="Q6707" s="8"/>
      <c r="R6707" s="8"/>
      <c r="S6707" s="18"/>
      <c r="T6707" s="18"/>
      <c r="U6707" s="6"/>
      <c r="V6707" s="6"/>
      <c r="W6707" s="6"/>
      <c r="X6707" s="6"/>
      <c r="Y6707" s="6"/>
      <c r="Z6707" s="6"/>
    </row>
    <row r="6708" spans="14:26" ht="31.4" customHeight="1" x14ac:dyDescent="0.35">
      <c r="N6708" s="20"/>
      <c r="P6708" s="8"/>
      <c r="Q6708" s="8"/>
      <c r="R6708" s="8"/>
      <c r="S6708" s="18"/>
      <c r="T6708" s="18"/>
      <c r="U6708" s="6"/>
      <c r="V6708" s="6"/>
      <c r="W6708" s="6"/>
      <c r="X6708" s="6"/>
      <c r="Y6708" s="6"/>
      <c r="Z6708" s="6"/>
    </row>
    <row r="6709" spans="14:26" ht="31.4" customHeight="1" x14ac:dyDescent="0.35">
      <c r="N6709" s="20"/>
      <c r="P6709" s="8"/>
      <c r="Q6709" s="8"/>
      <c r="R6709" s="8"/>
      <c r="S6709" s="18"/>
      <c r="T6709" s="18"/>
      <c r="U6709" s="6"/>
      <c r="V6709" s="6"/>
      <c r="W6709" s="6"/>
      <c r="X6709" s="6"/>
      <c r="Y6709" s="6"/>
      <c r="Z6709" s="6"/>
    </row>
    <row r="6710" spans="14:26" ht="31.4" customHeight="1" x14ac:dyDescent="0.35">
      <c r="N6710" s="20"/>
      <c r="P6710" s="8"/>
      <c r="Q6710" s="8"/>
      <c r="R6710" s="8"/>
      <c r="S6710" s="18"/>
      <c r="T6710" s="18"/>
      <c r="U6710" s="6"/>
      <c r="V6710" s="6"/>
      <c r="W6710" s="6"/>
      <c r="X6710" s="6"/>
      <c r="Y6710" s="6"/>
      <c r="Z6710" s="6"/>
    </row>
    <row r="6711" spans="14:26" ht="31.4" customHeight="1" x14ac:dyDescent="0.35">
      <c r="N6711" s="20"/>
      <c r="P6711" s="8"/>
      <c r="Q6711" s="8"/>
      <c r="R6711" s="8"/>
      <c r="S6711" s="18"/>
      <c r="T6711" s="18"/>
      <c r="U6711" s="6"/>
      <c r="V6711" s="6"/>
      <c r="W6711" s="6"/>
      <c r="X6711" s="6"/>
      <c r="Y6711" s="6"/>
      <c r="Z6711" s="6"/>
    </row>
    <row r="6712" spans="14:26" ht="31.4" customHeight="1" x14ac:dyDescent="0.35">
      <c r="N6712" s="20"/>
      <c r="P6712" s="8"/>
      <c r="Q6712" s="8"/>
      <c r="R6712" s="8"/>
      <c r="S6712" s="18"/>
      <c r="T6712" s="18"/>
      <c r="U6712" s="6"/>
      <c r="V6712" s="6"/>
      <c r="W6712" s="6"/>
      <c r="X6712" s="6"/>
      <c r="Y6712" s="6"/>
      <c r="Z6712" s="6"/>
    </row>
    <row r="6713" spans="14:26" ht="31.4" customHeight="1" x14ac:dyDescent="0.35">
      <c r="N6713" s="20"/>
      <c r="P6713" s="8"/>
      <c r="Q6713" s="8"/>
      <c r="R6713" s="8"/>
      <c r="S6713" s="18"/>
      <c r="T6713" s="18"/>
      <c r="U6713" s="6"/>
      <c r="V6713" s="6"/>
      <c r="W6713" s="6"/>
      <c r="X6713" s="6"/>
      <c r="Y6713" s="6"/>
      <c r="Z6713" s="6"/>
    </row>
    <row r="6714" spans="14:26" ht="31.4" customHeight="1" x14ac:dyDescent="0.35">
      <c r="N6714" s="20"/>
      <c r="P6714" s="8"/>
      <c r="Q6714" s="8"/>
      <c r="R6714" s="8"/>
      <c r="S6714" s="18"/>
      <c r="T6714" s="18"/>
      <c r="U6714" s="6"/>
      <c r="V6714" s="6"/>
      <c r="W6714" s="6"/>
      <c r="X6714" s="6"/>
      <c r="Y6714" s="6"/>
      <c r="Z6714" s="6"/>
    </row>
    <row r="6715" spans="14:26" ht="31.4" customHeight="1" x14ac:dyDescent="0.35">
      <c r="N6715" s="20"/>
      <c r="P6715" s="8"/>
      <c r="Q6715" s="8"/>
      <c r="R6715" s="8"/>
      <c r="S6715" s="18"/>
      <c r="T6715" s="18"/>
      <c r="U6715" s="6"/>
      <c r="V6715" s="6"/>
      <c r="W6715" s="6"/>
      <c r="X6715" s="6"/>
      <c r="Y6715" s="6"/>
      <c r="Z6715" s="6"/>
    </row>
    <row r="6716" spans="14:26" ht="31.4" customHeight="1" x14ac:dyDescent="0.35">
      <c r="N6716" s="20"/>
      <c r="P6716" s="8"/>
      <c r="Q6716" s="8"/>
      <c r="R6716" s="8"/>
      <c r="S6716" s="18"/>
      <c r="T6716" s="18"/>
      <c r="U6716" s="6"/>
      <c r="V6716" s="6"/>
      <c r="W6716" s="6"/>
      <c r="X6716" s="6"/>
      <c r="Y6716" s="6"/>
      <c r="Z6716" s="6"/>
    </row>
    <row r="6717" spans="14:26" ht="31.4" customHeight="1" x14ac:dyDescent="0.35">
      <c r="N6717" s="20"/>
      <c r="P6717" s="8"/>
      <c r="Q6717" s="8"/>
      <c r="R6717" s="8"/>
      <c r="S6717" s="18"/>
      <c r="T6717" s="18"/>
      <c r="U6717" s="6"/>
      <c r="V6717" s="6"/>
      <c r="W6717" s="6"/>
      <c r="X6717" s="6"/>
      <c r="Y6717" s="6"/>
      <c r="Z6717" s="6"/>
    </row>
    <row r="6718" spans="14:26" ht="31.4" customHeight="1" x14ac:dyDescent="0.35">
      <c r="N6718" s="20"/>
      <c r="P6718" s="8"/>
      <c r="Q6718" s="8"/>
      <c r="R6718" s="8"/>
      <c r="S6718" s="18"/>
      <c r="T6718" s="18"/>
      <c r="U6718" s="6"/>
      <c r="V6718" s="6"/>
      <c r="W6718" s="6"/>
      <c r="X6718" s="6"/>
      <c r="Y6718" s="6"/>
      <c r="Z6718" s="6"/>
    </row>
    <row r="6719" spans="14:26" ht="31.4" customHeight="1" x14ac:dyDescent="0.35">
      <c r="N6719" s="20"/>
      <c r="P6719" s="8"/>
      <c r="Q6719" s="8"/>
      <c r="R6719" s="8"/>
      <c r="S6719" s="18"/>
      <c r="T6719" s="18"/>
      <c r="U6719" s="6"/>
      <c r="V6719" s="6"/>
      <c r="W6719" s="6"/>
      <c r="X6719" s="6"/>
      <c r="Y6719" s="6"/>
      <c r="Z6719" s="6"/>
    </row>
    <row r="6720" spans="14:26" ht="31.4" customHeight="1" x14ac:dyDescent="0.35">
      <c r="N6720" s="20"/>
      <c r="P6720" s="8"/>
      <c r="Q6720" s="8"/>
      <c r="R6720" s="8"/>
      <c r="S6720" s="18"/>
      <c r="T6720" s="18"/>
      <c r="U6720" s="6"/>
      <c r="V6720" s="6"/>
      <c r="W6720" s="6"/>
      <c r="X6720" s="6"/>
      <c r="Y6720" s="6"/>
      <c r="Z6720" s="6"/>
    </row>
    <row r="6721" spans="14:26" ht="31.4" customHeight="1" x14ac:dyDescent="0.35">
      <c r="N6721" s="20"/>
      <c r="P6721" s="8"/>
      <c r="Q6721" s="8"/>
      <c r="R6721" s="8"/>
      <c r="S6721" s="18"/>
      <c r="T6721" s="18"/>
      <c r="U6721" s="6"/>
      <c r="V6721" s="6"/>
      <c r="W6721" s="6"/>
      <c r="X6721" s="6"/>
      <c r="Y6721" s="6"/>
      <c r="Z6721" s="6"/>
    </row>
    <row r="6722" spans="14:26" ht="31.4" customHeight="1" x14ac:dyDescent="0.35">
      <c r="N6722" s="20"/>
      <c r="P6722" s="8"/>
      <c r="Q6722" s="8"/>
      <c r="R6722" s="8"/>
      <c r="S6722" s="18"/>
      <c r="T6722" s="18"/>
      <c r="U6722" s="6"/>
      <c r="V6722" s="6"/>
      <c r="W6722" s="6"/>
      <c r="X6722" s="6"/>
      <c r="Y6722" s="6"/>
      <c r="Z6722" s="6"/>
    </row>
    <row r="6723" spans="14:26" ht="31.4" customHeight="1" x14ac:dyDescent="0.35">
      <c r="N6723" s="20"/>
      <c r="P6723" s="8"/>
      <c r="Q6723" s="8"/>
      <c r="R6723" s="8"/>
      <c r="S6723" s="18"/>
      <c r="T6723" s="18"/>
      <c r="U6723" s="6"/>
      <c r="V6723" s="6"/>
      <c r="W6723" s="6"/>
      <c r="X6723" s="6"/>
      <c r="Y6723" s="6"/>
      <c r="Z6723" s="6"/>
    </row>
    <row r="6724" spans="14:26" ht="31.4" customHeight="1" x14ac:dyDescent="0.35">
      <c r="N6724" s="20"/>
      <c r="P6724" s="8"/>
      <c r="Q6724" s="8"/>
      <c r="R6724" s="8"/>
      <c r="S6724" s="18"/>
      <c r="T6724" s="18"/>
      <c r="U6724" s="6"/>
      <c r="V6724" s="6"/>
      <c r="W6724" s="6"/>
      <c r="X6724" s="6"/>
      <c r="Y6724" s="6"/>
      <c r="Z6724" s="6"/>
    </row>
    <row r="6725" spans="14:26" ht="31.4" customHeight="1" x14ac:dyDescent="0.35">
      <c r="N6725" s="20"/>
      <c r="P6725" s="8"/>
      <c r="Q6725" s="8"/>
      <c r="R6725" s="8"/>
      <c r="S6725" s="18"/>
      <c r="T6725" s="18"/>
      <c r="U6725" s="6"/>
      <c r="V6725" s="6"/>
      <c r="W6725" s="6"/>
      <c r="X6725" s="6"/>
      <c r="Y6725" s="6"/>
      <c r="Z6725" s="6"/>
    </row>
    <row r="6726" spans="14:26" ht="31.4" customHeight="1" x14ac:dyDescent="0.35">
      <c r="N6726" s="20"/>
      <c r="P6726" s="8"/>
      <c r="Q6726" s="8"/>
      <c r="R6726" s="8"/>
      <c r="S6726" s="18"/>
      <c r="T6726" s="18"/>
      <c r="U6726" s="6"/>
      <c r="V6726" s="6"/>
      <c r="W6726" s="6"/>
      <c r="X6726" s="6"/>
      <c r="Y6726" s="6"/>
      <c r="Z6726" s="6"/>
    </row>
    <row r="6727" spans="14:26" ht="31.4" customHeight="1" x14ac:dyDescent="0.35">
      <c r="N6727" s="20"/>
      <c r="P6727" s="8"/>
      <c r="Q6727" s="8"/>
      <c r="R6727" s="8"/>
      <c r="S6727" s="18"/>
      <c r="T6727" s="18"/>
      <c r="U6727" s="6"/>
      <c r="V6727" s="6"/>
      <c r="W6727" s="6"/>
      <c r="X6727" s="6"/>
      <c r="Y6727" s="6"/>
      <c r="Z6727" s="6"/>
    </row>
    <row r="6728" spans="14:26" ht="31.4" customHeight="1" x14ac:dyDescent="0.35">
      <c r="N6728" s="20"/>
      <c r="P6728" s="8"/>
      <c r="Q6728" s="8"/>
      <c r="R6728" s="8"/>
      <c r="S6728" s="18"/>
      <c r="T6728" s="18"/>
      <c r="U6728" s="6"/>
      <c r="V6728" s="6"/>
      <c r="W6728" s="6"/>
      <c r="X6728" s="6"/>
      <c r="Y6728" s="6"/>
      <c r="Z6728" s="6"/>
    </row>
    <row r="6729" spans="14:26" ht="31.4" customHeight="1" x14ac:dyDescent="0.35">
      <c r="N6729" s="20"/>
      <c r="P6729" s="8"/>
      <c r="Q6729" s="8"/>
      <c r="R6729" s="8"/>
      <c r="S6729" s="18"/>
      <c r="T6729" s="18"/>
      <c r="U6729" s="6"/>
      <c r="V6729" s="6"/>
      <c r="W6729" s="6"/>
      <c r="X6729" s="6"/>
      <c r="Y6729" s="6"/>
      <c r="Z6729" s="6"/>
    </row>
    <row r="6730" spans="14:26" ht="31.4" customHeight="1" x14ac:dyDescent="0.35">
      <c r="N6730" s="20"/>
      <c r="P6730" s="8"/>
      <c r="Q6730" s="8"/>
      <c r="R6730" s="8"/>
      <c r="S6730" s="18"/>
      <c r="T6730" s="18"/>
      <c r="U6730" s="6"/>
      <c r="V6730" s="6"/>
      <c r="W6730" s="6"/>
      <c r="X6730" s="6"/>
      <c r="Y6730" s="6"/>
      <c r="Z6730" s="6"/>
    </row>
    <row r="6731" spans="14:26" ht="31.4" customHeight="1" x14ac:dyDescent="0.35">
      <c r="N6731" s="20"/>
      <c r="P6731" s="8"/>
      <c r="Q6731" s="8"/>
      <c r="R6731" s="8"/>
      <c r="S6731" s="18"/>
      <c r="T6731" s="18"/>
      <c r="U6731" s="6"/>
      <c r="V6731" s="6"/>
      <c r="W6731" s="6"/>
      <c r="X6731" s="6"/>
      <c r="Y6731" s="6"/>
      <c r="Z6731" s="6"/>
    </row>
    <row r="6732" spans="14:26" ht="31.4" customHeight="1" x14ac:dyDescent="0.35">
      <c r="N6732" s="20"/>
      <c r="P6732" s="8"/>
      <c r="Q6732" s="8"/>
      <c r="R6732" s="8"/>
      <c r="S6732" s="18"/>
      <c r="T6732" s="18"/>
      <c r="U6732" s="6"/>
      <c r="V6732" s="6"/>
      <c r="W6732" s="6"/>
      <c r="X6732" s="6"/>
      <c r="Y6732" s="6"/>
      <c r="Z6732" s="6"/>
    </row>
    <row r="6733" spans="14:26" ht="31.4" customHeight="1" x14ac:dyDescent="0.35">
      <c r="N6733" s="20"/>
      <c r="P6733" s="8"/>
      <c r="Q6733" s="8"/>
      <c r="R6733" s="8"/>
      <c r="S6733" s="18"/>
      <c r="T6733" s="18"/>
      <c r="U6733" s="6"/>
      <c r="V6733" s="6"/>
      <c r="W6733" s="6"/>
      <c r="X6733" s="6"/>
      <c r="Y6733" s="6"/>
      <c r="Z6733" s="6"/>
    </row>
    <row r="6734" spans="14:26" ht="31.4" customHeight="1" x14ac:dyDescent="0.35">
      <c r="N6734" s="20"/>
      <c r="P6734" s="8"/>
      <c r="Q6734" s="8"/>
      <c r="R6734" s="8"/>
      <c r="S6734" s="18"/>
      <c r="T6734" s="18"/>
      <c r="U6734" s="6"/>
      <c r="V6734" s="6"/>
      <c r="W6734" s="6"/>
      <c r="X6734" s="6"/>
      <c r="Y6734" s="6"/>
      <c r="Z6734" s="6"/>
    </row>
    <row r="6735" spans="14:26" ht="31.4" customHeight="1" x14ac:dyDescent="0.35">
      <c r="N6735" s="20"/>
      <c r="P6735" s="8"/>
      <c r="Q6735" s="8"/>
      <c r="R6735" s="8"/>
      <c r="S6735" s="18"/>
      <c r="T6735" s="18"/>
      <c r="U6735" s="6"/>
      <c r="V6735" s="6"/>
      <c r="W6735" s="6"/>
      <c r="X6735" s="6"/>
      <c r="Y6735" s="6"/>
      <c r="Z6735" s="6"/>
    </row>
    <row r="6736" spans="14:26" ht="31.4" customHeight="1" x14ac:dyDescent="0.35">
      <c r="N6736" s="20"/>
      <c r="P6736" s="8"/>
      <c r="Q6736" s="8"/>
      <c r="R6736" s="8"/>
      <c r="S6736" s="18"/>
      <c r="T6736" s="18"/>
      <c r="U6736" s="6"/>
      <c r="V6736" s="6"/>
      <c r="W6736" s="6"/>
      <c r="X6736" s="6"/>
      <c r="Y6736" s="6"/>
      <c r="Z6736" s="6"/>
    </row>
    <row r="6737" spans="14:26" ht="31.4" customHeight="1" x14ac:dyDescent="0.35">
      <c r="N6737" s="20"/>
      <c r="P6737" s="8"/>
      <c r="Q6737" s="8"/>
      <c r="R6737" s="8"/>
      <c r="S6737" s="18"/>
      <c r="T6737" s="18"/>
      <c r="U6737" s="6"/>
      <c r="V6737" s="6"/>
      <c r="W6737" s="6"/>
      <c r="X6737" s="6"/>
      <c r="Y6737" s="6"/>
      <c r="Z6737" s="6"/>
    </row>
    <row r="6738" spans="14:26" ht="31.4" customHeight="1" x14ac:dyDescent="0.35">
      <c r="N6738" s="20"/>
      <c r="P6738" s="8"/>
      <c r="Q6738" s="8"/>
      <c r="R6738" s="8"/>
      <c r="S6738" s="18"/>
      <c r="T6738" s="18"/>
      <c r="U6738" s="6"/>
      <c r="V6738" s="6"/>
      <c r="W6738" s="6"/>
      <c r="X6738" s="6"/>
      <c r="Y6738" s="6"/>
      <c r="Z6738" s="6"/>
    </row>
    <row r="6739" spans="14:26" ht="31.4" customHeight="1" x14ac:dyDescent="0.35">
      <c r="N6739" s="20"/>
      <c r="P6739" s="8"/>
      <c r="Q6739" s="8"/>
      <c r="R6739" s="8"/>
      <c r="S6739" s="18"/>
      <c r="T6739" s="18"/>
      <c r="U6739" s="6"/>
      <c r="V6739" s="6"/>
      <c r="W6739" s="6"/>
      <c r="X6739" s="6"/>
      <c r="Y6739" s="6"/>
      <c r="Z6739" s="6"/>
    </row>
    <row r="6740" spans="14:26" ht="31.4" customHeight="1" x14ac:dyDescent="0.35">
      <c r="N6740" s="20"/>
      <c r="P6740" s="8"/>
      <c r="Q6740" s="8"/>
      <c r="R6740" s="8"/>
      <c r="S6740" s="18"/>
      <c r="T6740" s="18"/>
      <c r="U6740" s="6"/>
      <c r="V6740" s="6"/>
      <c r="W6740" s="6"/>
      <c r="X6740" s="6"/>
      <c r="Y6740" s="6"/>
      <c r="Z6740" s="6"/>
    </row>
    <row r="6741" spans="14:26" ht="31.4" customHeight="1" x14ac:dyDescent="0.35">
      <c r="N6741" s="20"/>
      <c r="P6741" s="8"/>
      <c r="Q6741" s="8"/>
      <c r="R6741" s="8"/>
      <c r="S6741" s="18"/>
      <c r="T6741" s="18"/>
      <c r="U6741" s="6"/>
      <c r="V6741" s="6"/>
      <c r="W6741" s="6"/>
      <c r="X6741" s="6"/>
      <c r="Y6741" s="6"/>
      <c r="Z6741" s="6"/>
    </row>
    <row r="6742" spans="14:26" ht="31.4" customHeight="1" x14ac:dyDescent="0.35">
      <c r="N6742" s="20"/>
      <c r="P6742" s="8"/>
      <c r="Q6742" s="8"/>
      <c r="R6742" s="8"/>
      <c r="S6742" s="18"/>
      <c r="T6742" s="18"/>
      <c r="U6742" s="6"/>
      <c r="V6742" s="6"/>
      <c r="W6742" s="6"/>
      <c r="X6742" s="6"/>
      <c r="Y6742" s="6"/>
      <c r="Z6742" s="6"/>
    </row>
    <row r="6743" spans="14:26" ht="31.4" customHeight="1" x14ac:dyDescent="0.35">
      <c r="N6743" s="20"/>
      <c r="P6743" s="8"/>
      <c r="Q6743" s="8"/>
      <c r="R6743" s="8"/>
      <c r="S6743" s="18"/>
      <c r="T6743" s="18"/>
      <c r="U6743" s="6"/>
      <c r="V6743" s="6"/>
      <c r="W6743" s="6"/>
      <c r="X6743" s="6"/>
      <c r="Y6743" s="6"/>
      <c r="Z6743" s="6"/>
    </row>
    <row r="6744" spans="14:26" ht="31.4" customHeight="1" x14ac:dyDescent="0.35">
      <c r="N6744" s="20"/>
      <c r="P6744" s="8"/>
      <c r="Q6744" s="8"/>
      <c r="R6744" s="8"/>
      <c r="S6744" s="18"/>
      <c r="T6744" s="18"/>
      <c r="U6744" s="6"/>
      <c r="V6744" s="6"/>
      <c r="W6744" s="6"/>
      <c r="X6744" s="6"/>
      <c r="Y6744" s="6"/>
      <c r="Z6744" s="6"/>
    </row>
    <row r="6745" spans="14:26" ht="31.4" customHeight="1" x14ac:dyDescent="0.35">
      <c r="N6745" s="20"/>
      <c r="P6745" s="8"/>
      <c r="Q6745" s="8"/>
      <c r="R6745" s="8"/>
      <c r="S6745" s="18"/>
      <c r="T6745" s="18"/>
      <c r="U6745" s="6"/>
      <c r="V6745" s="6"/>
      <c r="W6745" s="6"/>
      <c r="X6745" s="6"/>
      <c r="Y6745" s="6"/>
      <c r="Z6745" s="6"/>
    </row>
    <row r="6746" spans="14:26" ht="31.4" customHeight="1" x14ac:dyDescent="0.35">
      <c r="N6746" s="20"/>
      <c r="P6746" s="8"/>
      <c r="Q6746" s="8"/>
      <c r="R6746" s="8"/>
      <c r="S6746" s="18"/>
      <c r="T6746" s="18"/>
      <c r="U6746" s="6"/>
      <c r="V6746" s="6"/>
      <c r="W6746" s="6"/>
      <c r="X6746" s="6"/>
      <c r="Y6746" s="6"/>
      <c r="Z6746" s="6"/>
    </row>
    <row r="6747" spans="14:26" ht="31.4" customHeight="1" x14ac:dyDescent="0.35">
      <c r="N6747" s="20"/>
      <c r="P6747" s="8"/>
      <c r="Q6747" s="8"/>
      <c r="R6747" s="8"/>
      <c r="S6747" s="18"/>
      <c r="T6747" s="18"/>
      <c r="U6747" s="6"/>
      <c r="V6747" s="6"/>
      <c r="W6747" s="6"/>
      <c r="X6747" s="6"/>
      <c r="Y6747" s="6"/>
      <c r="Z6747" s="6"/>
    </row>
    <row r="6748" spans="14:26" ht="31.4" customHeight="1" x14ac:dyDescent="0.35">
      <c r="N6748" s="20"/>
      <c r="P6748" s="8"/>
      <c r="Q6748" s="8"/>
      <c r="R6748" s="8"/>
      <c r="S6748" s="18"/>
      <c r="T6748" s="18"/>
      <c r="U6748" s="6"/>
      <c r="V6748" s="6"/>
      <c r="W6748" s="6"/>
      <c r="X6748" s="6"/>
      <c r="Y6748" s="6"/>
      <c r="Z6748" s="6"/>
    </row>
    <row r="6749" spans="14:26" ht="31.4" customHeight="1" x14ac:dyDescent="0.35">
      <c r="N6749" s="20"/>
      <c r="P6749" s="8"/>
      <c r="Q6749" s="8"/>
      <c r="R6749" s="8"/>
      <c r="S6749" s="18"/>
      <c r="T6749" s="18"/>
      <c r="U6749" s="6"/>
      <c r="V6749" s="6"/>
      <c r="W6749" s="6"/>
      <c r="X6749" s="6"/>
      <c r="Y6749" s="6"/>
      <c r="Z6749" s="6"/>
    </row>
    <row r="6750" spans="14:26" ht="31.4" customHeight="1" x14ac:dyDescent="0.35">
      <c r="N6750" s="20"/>
      <c r="P6750" s="8"/>
      <c r="Q6750" s="8"/>
      <c r="R6750" s="8"/>
      <c r="S6750" s="18"/>
      <c r="T6750" s="18"/>
      <c r="U6750" s="6"/>
      <c r="V6750" s="6"/>
      <c r="W6750" s="6"/>
      <c r="X6750" s="6"/>
      <c r="Y6750" s="6"/>
      <c r="Z6750" s="6"/>
    </row>
    <row r="6751" spans="14:26" ht="31.4" customHeight="1" x14ac:dyDescent="0.35">
      <c r="N6751" s="20"/>
      <c r="P6751" s="8"/>
      <c r="Q6751" s="8"/>
      <c r="R6751" s="8"/>
      <c r="S6751" s="18"/>
      <c r="T6751" s="18"/>
      <c r="U6751" s="6"/>
      <c r="V6751" s="6"/>
      <c r="W6751" s="6"/>
      <c r="X6751" s="6"/>
      <c r="Y6751" s="6"/>
      <c r="Z6751" s="6"/>
    </row>
    <row r="6752" spans="14:26" ht="31.4" customHeight="1" x14ac:dyDescent="0.35">
      <c r="N6752" s="20"/>
      <c r="P6752" s="8"/>
      <c r="Q6752" s="8"/>
      <c r="R6752" s="8"/>
      <c r="S6752" s="18"/>
      <c r="T6752" s="18"/>
      <c r="U6752" s="6"/>
      <c r="V6752" s="6"/>
      <c r="W6752" s="6"/>
      <c r="X6752" s="6"/>
      <c r="Y6752" s="6"/>
      <c r="Z6752" s="6"/>
    </row>
    <row r="6753" spans="14:26" ht="31.4" customHeight="1" x14ac:dyDescent="0.35">
      <c r="N6753" s="20"/>
      <c r="P6753" s="8"/>
      <c r="Q6753" s="8"/>
      <c r="R6753" s="8"/>
      <c r="S6753" s="18"/>
      <c r="T6753" s="18"/>
      <c r="U6753" s="6"/>
      <c r="V6753" s="6"/>
      <c r="W6753" s="6"/>
      <c r="X6753" s="6"/>
      <c r="Y6753" s="6"/>
      <c r="Z6753" s="6"/>
    </row>
    <row r="6754" spans="14:26" ht="31.4" customHeight="1" x14ac:dyDescent="0.35">
      <c r="N6754" s="20"/>
      <c r="P6754" s="8"/>
      <c r="Q6754" s="8"/>
      <c r="R6754" s="8"/>
      <c r="S6754" s="18"/>
      <c r="T6754" s="18"/>
      <c r="U6754" s="6"/>
      <c r="V6754" s="6"/>
      <c r="W6754" s="6"/>
      <c r="X6754" s="6"/>
      <c r="Y6754" s="6"/>
      <c r="Z6754" s="6"/>
    </row>
    <row r="6755" spans="14:26" ht="31.4" customHeight="1" x14ac:dyDescent="0.35">
      <c r="N6755" s="20"/>
      <c r="P6755" s="8"/>
      <c r="Q6755" s="8"/>
      <c r="R6755" s="8"/>
      <c r="S6755" s="18"/>
      <c r="T6755" s="18"/>
      <c r="U6755" s="6"/>
      <c r="V6755" s="6"/>
      <c r="W6755" s="6"/>
      <c r="X6755" s="6"/>
      <c r="Y6755" s="6"/>
      <c r="Z6755" s="6"/>
    </row>
    <row r="6756" spans="14:26" ht="31.4" customHeight="1" x14ac:dyDescent="0.35">
      <c r="N6756" s="20"/>
      <c r="P6756" s="8"/>
      <c r="Q6756" s="8"/>
      <c r="R6756" s="8"/>
      <c r="S6756" s="18"/>
      <c r="T6756" s="18"/>
      <c r="U6756" s="6"/>
      <c r="V6756" s="6"/>
      <c r="W6756" s="6"/>
      <c r="X6756" s="6"/>
      <c r="Y6756" s="6"/>
      <c r="Z6756" s="6"/>
    </row>
    <row r="6757" spans="14:26" ht="31.4" customHeight="1" x14ac:dyDescent="0.35">
      <c r="N6757" s="20"/>
      <c r="P6757" s="8"/>
      <c r="Q6757" s="8"/>
      <c r="R6757" s="8"/>
      <c r="S6757" s="18"/>
      <c r="T6757" s="18"/>
      <c r="U6757" s="6"/>
      <c r="V6757" s="6"/>
      <c r="W6757" s="6"/>
      <c r="X6757" s="6"/>
      <c r="Y6757" s="6"/>
      <c r="Z6757" s="6"/>
    </row>
    <row r="6758" spans="14:26" ht="31.4" customHeight="1" x14ac:dyDescent="0.35">
      <c r="N6758" s="20"/>
      <c r="P6758" s="8"/>
      <c r="Q6758" s="8"/>
      <c r="R6758" s="8"/>
      <c r="S6758" s="18"/>
      <c r="T6758" s="18"/>
      <c r="U6758" s="6"/>
      <c r="V6758" s="6"/>
      <c r="W6758" s="6"/>
      <c r="X6758" s="6"/>
      <c r="Y6758" s="6"/>
      <c r="Z6758" s="6"/>
    </row>
    <row r="6759" spans="14:26" ht="31.4" customHeight="1" x14ac:dyDescent="0.35">
      <c r="N6759" s="20"/>
      <c r="P6759" s="8"/>
      <c r="Q6759" s="8"/>
      <c r="R6759" s="8"/>
      <c r="S6759" s="18"/>
      <c r="T6759" s="18"/>
      <c r="U6759" s="6"/>
      <c r="V6759" s="6"/>
      <c r="W6759" s="6"/>
      <c r="X6759" s="6"/>
      <c r="Y6759" s="6"/>
      <c r="Z6759" s="6"/>
    </row>
    <row r="6760" spans="14:26" ht="31.4" customHeight="1" x14ac:dyDescent="0.35">
      <c r="N6760" s="20"/>
      <c r="P6760" s="8"/>
      <c r="Q6760" s="8"/>
      <c r="R6760" s="8"/>
      <c r="S6760" s="18"/>
      <c r="T6760" s="18"/>
      <c r="U6760" s="6"/>
      <c r="V6760" s="6"/>
      <c r="W6760" s="6"/>
      <c r="X6760" s="6"/>
      <c r="Y6760" s="6"/>
      <c r="Z6760" s="6"/>
    </row>
    <row r="6761" spans="14:26" ht="31.4" customHeight="1" x14ac:dyDescent="0.35">
      <c r="N6761" s="20"/>
      <c r="P6761" s="8"/>
      <c r="Q6761" s="8"/>
      <c r="R6761" s="8"/>
      <c r="S6761" s="18"/>
      <c r="T6761" s="18"/>
      <c r="U6761" s="6"/>
      <c r="V6761" s="6"/>
      <c r="W6761" s="6"/>
      <c r="X6761" s="6"/>
      <c r="Y6761" s="6"/>
      <c r="Z6761" s="6"/>
    </row>
    <row r="6762" spans="14:26" ht="31.4" customHeight="1" x14ac:dyDescent="0.35">
      <c r="N6762" s="20"/>
      <c r="P6762" s="8"/>
      <c r="Q6762" s="8"/>
      <c r="R6762" s="8"/>
      <c r="S6762" s="18"/>
      <c r="T6762" s="18"/>
      <c r="U6762" s="6"/>
      <c r="V6762" s="6"/>
      <c r="W6762" s="6"/>
      <c r="X6762" s="6"/>
      <c r="Y6762" s="6"/>
      <c r="Z6762" s="6"/>
    </row>
    <row r="6763" spans="14:26" ht="31.4" customHeight="1" x14ac:dyDescent="0.35">
      <c r="N6763" s="20"/>
      <c r="P6763" s="8"/>
      <c r="Q6763" s="8"/>
      <c r="R6763" s="8"/>
      <c r="S6763" s="18"/>
      <c r="T6763" s="18"/>
      <c r="U6763" s="6"/>
      <c r="V6763" s="6"/>
      <c r="W6763" s="6"/>
      <c r="X6763" s="6"/>
      <c r="Y6763" s="6"/>
      <c r="Z6763" s="6"/>
    </row>
    <row r="6764" spans="14:26" ht="31.4" customHeight="1" x14ac:dyDescent="0.35">
      <c r="N6764" s="20"/>
      <c r="P6764" s="8"/>
      <c r="Q6764" s="8"/>
      <c r="R6764" s="8"/>
      <c r="S6764" s="18"/>
      <c r="T6764" s="18"/>
      <c r="U6764" s="6"/>
      <c r="V6764" s="6"/>
      <c r="W6764" s="6"/>
      <c r="X6764" s="6"/>
      <c r="Y6764" s="6"/>
      <c r="Z6764" s="6"/>
    </row>
    <row r="6765" spans="14:26" ht="31.4" customHeight="1" x14ac:dyDescent="0.35">
      <c r="N6765" s="20"/>
      <c r="P6765" s="8"/>
      <c r="Q6765" s="8"/>
      <c r="R6765" s="8"/>
      <c r="S6765" s="18"/>
      <c r="T6765" s="18"/>
      <c r="U6765" s="6"/>
      <c r="V6765" s="6"/>
      <c r="W6765" s="6"/>
      <c r="X6765" s="6"/>
      <c r="Y6765" s="6"/>
      <c r="Z6765" s="6"/>
    </row>
    <row r="6766" spans="14:26" ht="31.4" customHeight="1" x14ac:dyDescent="0.35">
      <c r="N6766" s="20"/>
      <c r="P6766" s="8"/>
      <c r="Q6766" s="8"/>
      <c r="R6766" s="8"/>
      <c r="S6766" s="18"/>
      <c r="T6766" s="18"/>
      <c r="U6766" s="6"/>
      <c r="V6766" s="6"/>
      <c r="W6766" s="6"/>
      <c r="X6766" s="6"/>
      <c r="Y6766" s="6"/>
      <c r="Z6766" s="6"/>
    </row>
    <row r="6767" spans="14:26" ht="31.4" customHeight="1" x14ac:dyDescent="0.35">
      <c r="N6767" s="20"/>
      <c r="P6767" s="8"/>
      <c r="Q6767" s="8"/>
      <c r="R6767" s="8"/>
      <c r="S6767" s="18"/>
      <c r="T6767" s="18"/>
      <c r="U6767" s="6"/>
      <c r="V6767" s="6"/>
      <c r="W6767" s="6"/>
      <c r="X6767" s="6"/>
      <c r="Y6767" s="6"/>
      <c r="Z6767" s="6"/>
    </row>
    <row r="6768" spans="14:26" ht="31.4" customHeight="1" x14ac:dyDescent="0.35">
      <c r="N6768" s="20"/>
      <c r="P6768" s="8"/>
      <c r="Q6768" s="8"/>
      <c r="R6768" s="8"/>
      <c r="S6768" s="18"/>
      <c r="T6768" s="18"/>
      <c r="U6768" s="6"/>
      <c r="V6768" s="6"/>
      <c r="W6768" s="6"/>
      <c r="X6768" s="6"/>
      <c r="Y6768" s="6"/>
      <c r="Z6768" s="6"/>
    </row>
    <row r="6769" spans="14:26" ht="31.4" customHeight="1" x14ac:dyDescent="0.35">
      <c r="N6769" s="20"/>
      <c r="P6769" s="8"/>
      <c r="Q6769" s="8"/>
      <c r="R6769" s="8"/>
      <c r="S6769" s="18"/>
      <c r="T6769" s="18"/>
      <c r="U6769" s="6"/>
      <c r="V6769" s="6"/>
      <c r="W6769" s="6"/>
      <c r="X6769" s="6"/>
      <c r="Y6769" s="6"/>
      <c r="Z6769" s="6"/>
    </row>
    <row r="6770" spans="14:26" ht="31.4" customHeight="1" x14ac:dyDescent="0.35">
      <c r="N6770" s="20"/>
      <c r="P6770" s="8"/>
      <c r="Q6770" s="8"/>
      <c r="R6770" s="8"/>
      <c r="S6770" s="18"/>
      <c r="T6770" s="18"/>
      <c r="U6770" s="6"/>
      <c r="V6770" s="6"/>
      <c r="W6770" s="6"/>
      <c r="X6770" s="6"/>
      <c r="Y6770" s="6"/>
      <c r="Z6770" s="6"/>
    </row>
    <row r="6771" spans="14:26" ht="31.4" customHeight="1" x14ac:dyDescent="0.35">
      <c r="N6771" s="20"/>
      <c r="P6771" s="8"/>
      <c r="Q6771" s="8"/>
      <c r="R6771" s="8"/>
      <c r="S6771" s="18"/>
      <c r="T6771" s="18"/>
      <c r="U6771" s="6"/>
      <c r="V6771" s="6"/>
      <c r="W6771" s="6"/>
      <c r="X6771" s="6"/>
      <c r="Y6771" s="6"/>
      <c r="Z6771" s="6"/>
    </row>
    <row r="6772" spans="14:26" ht="31.4" customHeight="1" x14ac:dyDescent="0.35">
      <c r="N6772" s="20"/>
      <c r="P6772" s="8"/>
      <c r="Q6772" s="8"/>
      <c r="R6772" s="8"/>
      <c r="S6772" s="18"/>
      <c r="T6772" s="18"/>
      <c r="U6772" s="6"/>
      <c r="V6772" s="6"/>
      <c r="W6772" s="6"/>
      <c r="X6772" s="6"/>
      <c r="Y6772" s="6"/>
      <c r="Z6772" s="6"/>
    </row>
    <row r="6773" spans="14:26" ht="31.4" customHeight="1" x14ac:dyDescent="0.35">
      <c r="N6773" s="20"/>
      <c r="P6773" s="8"/>
      <c r="Q6773" s="8"/>
      <c r="R6773" s="8"/>
      <c r="S6773" s="18"/>
      <c r="T6773" s="18"/>
      <c r="U6773" s="6"/>
      <c r="V6773" s="6"/>
      <c r="W6773" s="6"/>
      <c r="X6773" s="6"/>
      <c r="Y6773" s="6"/>
      <c r="Z6773" s="6"/>
    </row>
    <row r="6774" spans="14:26" ht="31.4" customHeight="1" x14ac:dyDescent="0.35">
      <c r="N6774" s="20"/>
      <c r="P6774" s="8"/>
      <c r="Q6774" s="8"/>
      <c r="R6774" s="8"/>
      <c r="S6774" s="18"/>
      <c r="T6774" s="18"/>
      <c r="U6774" s="6"/>
      <c r="V6774" s="6"/>
      <c r="W6774" s="6"/>
      <c r="X6774" s="6"/>
      <c r="Y6774" s="6"/>
      <c r="Z6774" s="6"/>
    </row>
    <row r="6775" spans="14:26" ht="31.4" customHeight="1" x14ac:dyDescent="0.35">
      <c r="N6775" s="20"/>
      <c r="P6775" s="8"/>
      <c r="Q6775" s="8"/>
      <c r="R6775" s="8"/>
      <c r="S6775" s="18"/>
      <c r="T6775" s="18"/>
      <c r="U6775" s="6"/>
      <c r="V6775" s="6"/>
      <c r="W6775" s="6"/>
      <c r="X6775" s="6"/>
      <c r="Y6775" s="6"/>
      <c r="Z6775" s="6"/>
    </row>
    <row r="6776" spans="14:26" ht="31.4" customHeight="1" x14ac:dyDescent="0.35">
      <c r="N6776" s="20"/>
      <c r="P6776" s="8"/>
      <c r="Q6776" s="8"/>
      <c r="R6776" s="8"/>
      <c r="S6776" s="18"/>
      <c r="T6776" s="18"/>
      <c r="U6776" s="6"/>
      <c r="V6776" s="6"/>
      <c r="W6776" s="6"/>
      <c r="X6776" s="6"/>
      <c r="Y6776" s="6"/>
      <c r="Z6776" s="6"/>
    </row>
    <row r="6777" spans="14:26" ht="31.4" customHeight="1" x14ac:dyDescent="0.35">
      <c r="N6777" s="20"/>
      <c r="P6777" s="8"/>
      <c r="Q6777" s="8"/>
      <c r="R6777" s="8"/>
      <c r="S6777" s="18"/>
      <c r="T6777" s="18"/>
      <c r="U6777" s="6"/>
      <c r="V6777" s="6"/>
      <c r="W6777" s="6"/>
      <c r="X6777" s="6"/>
      <c r="Y6777" s="6"/>
      <c r="Z6777" s="6"/>
    </row>
    <row r="6778" spans="14:26" ht="31.4" customHeight="1" x14ac:dyDescent="0.35">
      <c r="N6778" s="20"/>
      <c r="P6778" s="8"/>
      <c r="Q6778" s="8"/>
      <c r="R6778" s="8"/>
      <c r="S6778" s="18"/>
      <c r="T6778" s="18"/>
      <c r="U6778" s="6"/>
      <c r="V6778" s="6"/>
      <c r="W6778" s="6"/>
      <c r="X6778" s="6"/>
      <c r="Y6778" s="6"/>
      <c r="Z6778" s="6"/>
    </row>
    <row r="6779" spans="14:26" ht="31.4" customHeight="1" x14ac:dyDescent="0.35">
      <c r="N6779" s="20"/>
      <c r="P6779" s="8"/>
      <c r="Q6779" s="8"/>
      <c r="R6779" s="8"/>
      <c r="S6779" s="18"/>
      <c r="T6779" s="18"/>
      <c r="U6779" s="6"/>
      <c r="V6779" s="6"/>
      <c r="W6779" s="6"/>
      <c r="X6779" s="6"/>
      <c r="Y6779" s="6"/>
      <c r="Z6779" s="6"/>
    </row>
    <row r="6780" spans="14:26" ht="31.4" customHeight="1" x14ac:dyDescent="0.35">
      <c r="N6780" s="20"/>
      <c r="P6780" s="8"/>
      <c r="Q6780" s="8"/>
      <c r="R6780" s="8"/>
      <c r="S6780" s="18"/>
      <c r="T6780" s="18"/>
      <c r="U6780" s="6"/>
      <c r="V6780" s="6"/>
      <c r="W6780" s="6"/>
      <c r="X6780" s="6"/>
      <c r="Y6780" s="6"/>
      <c r="Z6780" s="6"/>
    </row>
    <row r="6781" spans="14:26" ht="31.4" customHeight="1" x14ac:dyDescent="0.35">
      <c r="N6781" s="20"/>
      <c r="P6781" s="8"/>
      <c r="Q6781" s="8"/>
      <c r="R6781" s="8"/>
      <c r="S6781" s="18"/>
      <c r="T6781" s="18"/>
      <c r="U6781" s="6"/>
      <c r="V6781" s="6"/>
      <c r="W6781" s="6"/>
      <c r="X6781" s="6"/>
      <c r="Y6781" s="6"/>
      <c r="Z6781" s="6"/>
    </row>
    <row r="6782" spans="14:26" ht="31.4" customHeight="1" x14ac:dyDescent="0.35">
      <c r="N6782" s="20"/>
      <c r="P6782" s="8"/>
      <c r="Q6782" s="8"/>
      <c r="R6782" s="8"/>
      <c r="S6782" s="18"/>
      <c r="T6782" s="18"/>
      <c r="U6782" s="6"/>
      <c r="V6782" s="6"/>
      <c r="W6782" s="6"/>
      <c r="X6782" s="6"/>
      <c r="Y6782" s="6"/>
      <c r="Z6782" s="6"/>
    </row>
    <row r="6783" spans="14:26" ht="31.4" customHeight="1" x14ac:dyDescent="0.35">
      <c r="N6783" s="20"/>
      <c r="P6783" s="8"/>
      <c r="Q6783" s="8"/>
      <c r="R6783" s="8"/>
      <c r="S6783" s="18"/>
      <c r="T6783" s="18"/>
      <c r="U6783" s="6"/>
      <c r="V6783" s="6"/>
      <c r="W6783" s="6"/>
      <c r="X6783" s="6"/>
      <c r="Y6783" s="6"/>
      <c r="Z6783" s="6"/>
    </row>
    <row r="6784" spans="14:26" ht="31.4" customHeight="1" x14ac:dyDescent="0.35">
      <c r="N6784" s="20"/>
      <c r="P6784" s="8"/>
      <c r="Q6784" s="8"/>
      <c r="R6784" s="8"/>
      <c r="S6784" s="18"/>
      <c r="T6784" s="18"/>
      <c r="U6784" s="6"/>
      <c r="V6784" s="6"/>
      <c r="W6784" s="6"/>
      <c r="X6784" s="6"/>
      <c r="Y6784" s="6"/>
      <c r="Z6784" s="6"/>
    </row>
    <row r="6785" spans="14:26" ht="31.4" customHeight="1" x14ac:dyDescent="0.35">
      <c r="N6785" s="20"/>
      <c r="P6785" s="8"/>
      <c r="Q6785" s="8"/>
      <c r="R6785" s="8"/>
      <c r="S6785" s="18"/>
      <c r="T6785" s="18"/>
      <c r="U6785" s="6"/>
      <c r="V6785" s="6"/>
      <c r="W6785" s="6"/>
      <c r="X6785" s="6"/>
      <c r="Y6785" s="6"/>
      <c r="Z6785" s="6"/>
    </row>
    <row r="6786" spans="14:26" ht="31.4" customHeight="1" x14ac:dyDescent="0.35">
      <c r="N6786" s="20"/>
      <c r="P6786" s="8"/>
      <c r="Q6786" s="8"/>
      <c r="R6786" s="8"/>
      <c r="S6786" s="18"/>
      <c r="T6786" s="18"/>
      <c r="U6786" s="6"/>
      <c r="V6786" s="6"/>
      <c r="W6786" s="6"/>
      <c r="X6786" s="6"/>
      <c r="Y6786" s="6"/>
      <c r="Z6786" s="6"/>
    </row>
    <row r="6787" spans="14:26" ht="31.4" customHeight="1" x14ac:dyDescent="0.35">
      <c r="N6787" s="20"/>
      <c r="P6787" s="8"/>
      <c r="Q6787" s="8"/>
      <c r="R6787" s="8"/>
      <c r="S6787" s="18"/>
      <c r="T6787" s="18"/>
      <c r="U6787" s="6"/>
      <c r="V6787" s="6"/>
      <c r="W6787" s="6"/>
      <c r="X6787" s="6"/>
      <c r="Y6787" s="6"/>
      <c r="Z6787" s="6"/>
    </row>
    <row r="6788" spans="14:26" ht="31.4" customHeight="1" x14ac:dyDescent="0.35">
      <c r="N6788" s="20"/>
      <c r="P6788" s="8"/>
      <c r="Q6788" s="8"/>
      <c r="R6788" s="8"/>
      <c r="S6788" s="18"/>
      <c r="T6788" s="18"/>
      <c r="U6788" s="6"/>
      <c r="V6788" s="6"/>
      <c r="W6788" s="6"/>
      <c r="X6788" s="6"/>
      <c r="Y6788" s="6"/>
      <c r="Z6788" s="6"/>
    </row>
    <row r="6789" spans="14:26" ht="31.4" customHeight="1" x14ac:dyDescent="0.35">
      <c r="N6789" s="20"/>
      <c r="P6789" s="8"/>
      <c r="Q6789" s="8"/>
      <c r="R6789" s="8"/>
      <c r="S6789" s="18"/>
      <c r="T6789" s="18"/>
      <c r="U6789" s="6"/>
      <c r="V6789" s="6"/>
      <c r="W6789" s="6"/>
      <c r="X6789" s="6"/>
      <c r="Y6789" s="6"/>
      <c r="Z6789" s="6"/>
    </row>
    <row r="6790" spans="14:26" ht="31.4" customHeight="1" x14ac:dyDescent="0.35">
      <c r="N6790" s="20"/>
      <c r="P6790" s="8"/>
      <c r="Q6790" s="8"/>
      <c r="R6790" s="8"/>
      <c r="S6790" s="18"/>
      <c r="T6790" s="18"/>
      <c r="U6790" s="6"/>
      <c r="V6790" s="6"/>
      <c r="W6790" s="6"/>
      <c r="X6790" s="6"/>
      <c r="Y6790" s="6"/>
      <c r="Z6790" s="6"/>
    </row>
    <row r="6791" spans="14:26" ht="31.4" customHeight="1" x14ac:dyDescent="0.35">
      <c r="N6791" s="20"/>
      <c r="P6791" s="8"/>
      <c r="Q6791" s="8"/>
      <c r="R6791" s="8"/>
      <c r="S6791" s="18"/>
      <c r="T6791" s="18"/>
      <c r="U6791" s="6"/>
      <c r="V6791" s="6"/>
      <c r="W6791" s="6"/>
      <c r="X6791" s="6"/>
      <c r="Y6791" s="6"/>
      <c r="Z6791" s="6"/>
    </row>
    <row r="6792" spans="14:26" ht="31.4" customHeight="1" x14ac:dyDescent="0.35">
      <c r="N6792" s="20"/>
      <c r="P6792" s="8"/>
      <c r="Q6792" s="8"/>
      <c r="R6792" s="8"/>
      <c r="S6792" s="18"/>
      <c r="T6792" s="18"/>
      <c r="U6792" s="6"/>
      <c r="V6792" s="6"/>
      <c r="W6792" s="6"/>
      <c r="X6792" s="6"/>
      <c r="Y6792" s="6"/>
      <c r="Z6792" s="6"/>
    </row>
    <row r="6793" spans="14:26" ht="31.4" customHeight="1" x14ac:dyDescent="0.35">
      <c r="N6793" s="20"/>
      <c r="P6793" s="8"/>
      <c r="Q6793" s="8"/>
      <c r="R6793" s="8"/>
      <c r="S6793" s="18"/>
      <c r="T6793" s="18"/>
      <c r="U6793" s="6"/>
      <c r="V6793" s="6"/>
      <c r="W6793" s="6"/>
      <c r="X6793" s="6"/>
      <c r="Y6793" s="6"/>
      <c r="Z6793" s="6"/>
    </row>
    <row r="6794" spans="14:26" ht="31.4" customHeight="1" x14ac:dyDescent="0.35">
      <c r="N6794" s="20"/>
      <c r="P6794" s="8"/>
      <c r="Q6794" s="8"/>
      <c r="R6794" s="8"/>
      <c r="S6794" s="18"/>
      <c r="T6794" s="18"/>
      <c r="U6794" s="6"/>
      <c r="V6794" s="6"/>
      <c r="W6794" s="6"/>
      <c r="X6794" s="6"/>
      <c r="Y6794" s="6"/>
      <c r="Z6794" s="6"/>
    </row>
    <row r="6795" spans="14:26" ht="31.4" customHeight="1" x14ac:dyDescent="0.35">
      <c r="N6795" s="20"/>
      <c r="P6795" s="8"/>
      <c r="Q6795" s="8"/>
      <c r="R6795" s="8"/>
      <c r="S6795" s="18"/>
      <c r="T6795" s="18"/>
      <c r="U6795" s="6"/>
      <c r="V6795" s="6"/>
      <c r="W6795" s="6"/>
      <c r="X6795" s="6"/>
      <c r="Y6795" s="6"/>
      <c r="Z6795" s="6"/>
    </row>
    <row r="6796" spans="14:26" ht="31.4" customHeight="1" x14ac:dyDescent="0.35">
      <c r="N6796" s="20"/>
      <c r="P6796" s="8"/>
      <c r="Q6796" s="8"/>
      <c r="R6796" s="8"/>
      <c r="S6796" s="18"/>
      <c r="T6796" s="18"/>
      <c r="U6796" s="6"/>
      <c r="V6796" s="6"/>
      <c r="W6796" s="6"/>
      <c r="X6796" s="6"/>
      <c r="Y6796" s="6"/>
      <c r="Z6796" s="6"/>
    </row>
    <row r="6797" spans="14:26" ht="31.4" customHeight="1" x14ac:dyDescent="0.35">
      <c r="N6797" s="20"/>
      <c r="P6797" s="8"/>
      <c r="Q6797" s="8"/>
      <c r="R6797" s="8"/>
      <c r="S6797" s="18"/>
      <c r="T6797" s="18"/>
      <c r="U6797" s="6"/>
      <c r="V6797" s="6"/>
      <c r="W6797" s="6"/>
      <c r="X6797" s="6"/>
      <c r="Y6797" s="6"/>
      <c r="Z6797" s="6"/>
    </row>
    <row r="6798" spans="14:26" ht="31.4" customHeight="1" x14ac:dyDescent="0.35">
      <c r="N6798" s="20"/>
      <c r="P6798" s="8"/>
      <c r="Q6798" s="8"/>
      <c r="R6798" s="8"/>
      <c r="S6798" s="18"/>
      <c r="T6798" s="18"/>
      <c r="U6798" s="6"/>
      <c r="V6798" s="6"/>
      <c r="W6798" s="6"/>
      <c r="X6798" s="6"/>
      <c r="Y6798" s="6"/>
      <c r="Z6798" s="6"/>
    </row>
    <row r="6799" spans="14:26" ht="31.4" customHeight="1" x14ac:dyDescent="0.35">
      <c r="N6799" s="20"/>
      <c r="P6799" s="8"/>
      <c r="Q6799" s="8"/>
      <c r="R6799" s="8"/>
      <c r="S6799" s="18"/>
      <c r="T6799" s="18"/>
      <c r="U6799" s="6"/>
      <c r="V6799" s="6"/>
      <c r="W6799" s="6"/>
      <c r="X6799" s="6"/>
      <c r="Y6799" s="6"/>
      <c r="Z6799" s="6"/>
    </row>
    <row r="6800" spans="14:26" ht="31.4" customHeight="1" x14ac:dyDescent="0.35">
      <c r="N6800" s="20"/>
      <c r="P6800" s="8"/>
      <c r="Q6800" s="8"/>
      <c r="R6800" s="8"/>
      <c r="S6800" s="18"/>
      <c r="T6800" s="18"/>
      <c r="U6800" s="6"/>
      <c r="V6800" s="6"/>
      <c r="W6800" s="6"/>
      <c r="X6800" s="6"/>
      <c r="Y6800" s="6"/>
      <c r="Z6800" s="6"/>
    </row>
    <row r="6801" spans="14:26" ht="31.4" customHeight="1" x14ac:dyDescent="0.35">
      <c r="N6801" s="20"/>
      <c r="P6801" s="8"/>
      <c r="Q6801" s="8"/>
      <c r="R6801" s="8"/>
      <c r="S6801" s="18"/>
      <c r="T6801" s="18"/>
      <c r="U6801" s="6"/>
      <c r="V6801" s="6"/>
      <c r="W6801" s="6"/>
      <c r="X6801" s="6"/>
      <c r="Y6801" s="6"/>
      <c r="Z6801" s="6"/>
    </row>
    <row r="6802" spans="14:26" ht="31.4" customHeight="1" x14ac:dyDescent="0.35">
      <c r="N6802" s="20"/>
      <c r="P6802" s="8"/>
      <c r="Q6802" s="8"/>
      <c r="R6802" s="8"/>
      <c r="S6802" s="18"/>
      <c r="T6802" s="18"/>
      <c r="U6802" s="6"/>
      <c r="V6802" s="6"/>
      <c r="W6802" s="6"/>
      <c r="X6802" s="6"/>
      <c r="Y6802" s="6"/>
      <c r="Z6802" s="6"/>
    </row>
    <row r="6803" spans="14:26" ht="31.4" customHeight="1" x14ac:dyDescent="0.35">
      <c r="N6803" s="20"/>
      <c r="P6803" s="8"/>
      <c r="Q6803" s="8"/>
      <c r="R6803" s="8"/>
      <c r="S6803" s="18"/>
      <c r="T6803" s="18"/>
      <c r="U6803" s="6"/>
      <c r="V6803" s="6"/>
      <c r="W6803" s="6"/>
      <c r="X6803" s="6"/>
      <c r="Y6803" s="6"/>
      <c r="Z6803" s="6"/>
    </row>
    <row r="6804" spans="14:26" ht="31.4" customHeight="1" x14ac:dyDescent="0.35">
      <c r="N6804" s="20"/>
      <c r="P6804" s="8"/>
      <c r="Q6804" s="8"/>
      <c r="R6804" s="8"/>
      <c r="S6804" s="18"/>
      <c r="T6804" s="18"/>
      <c r="U6804" s="6"/>
      <c r="V6804" s="6"/>
      <c r="W6804" s="6"/>
      <c r="X6804" s="6"/>
      <c r="Y6804" s="6"/>
      <c r="Z6804" s="6"/>
    </row>
    <row r="6805" spans="14:26" ht="31.4" customHeight="1" x14ac:dyDescent="0.35">
      <c r="N6805" s="20"/>
      <c r="P6805" s="8"/>
      <c r="Q6805" s="8"/>
      <c r="R6805" s="8"/>
      <c r="S6805" s="18"/>
      <c r="T6805" s="18"/>
      <c r="U6805" s="6"/>
      <c r="V6805" s="6"/>
      <c r="W6805" s="6"/>
      <c r="X6805" s="6"/>
      <c r="Y6805" s="6"/>
      <c r="Z6805" s="6"/>
    </row>
    <row r="6806" spans="14:26" ht="31.4" customHeight="1" x14ac:dyDescent="0.35">
      <c r="N6806" s="20"/>
      <c r="P6806" s="8"/>
      <c r="Q6806" s="8"/>
      <c r="R6806" s="8"/>
      <c r="S6806" s="18"/>
      <c r="T6806" s="18"/>
      <c r="U6806" s="6"/>
      <c r="V6806" s="6"/>
      <c r="W6806" s="6"/>
      <c r="X6806" s="6"/>
      <c r="Y6806" s="6"/>
      <c r="Z6806" s="6"/>
    </row>
    <row r="6807" spans="14:26" ht="31.4" customHeight="1" x14ac:dyDescent="0.35">
      <c r="N6807" s="20"/>
      <c r="P6807" s="8"/>
      <c r="Q6807" s="8"/>
      <c r="R6807" s="8"/>
      <c r="S6807" s="18"/>
      <c r="T6807" s="18"/>
      <c r="U6807" s="6"/>
      <c r="V6807" s="6"/>
      <c r="W6807" s="6"/>
      <c r="X6807" s="6"/>
      <c r="Y6807" s="6"/>
      <c r="Z6807" s="6"/>
    </row>
    <row r="6808" spans="14:26" ht="31.4" customHeight="1" x14ac:dyDescent="0.35">
      <c r="N6808" s="20"/>
      <c r="P6808" s="8"/>
      <c r="Q6808" s="8"/>
      <c r="R6808" s="8"/>
      <c r="S6808" s="18"/>
      <c r="T6808" s="18"/>
      <c r="U6808" s="6"/>
      <c r="V6808" s="6"/>
      <c r="W6808" s="6"/>
      <c r="X6808" s="6"/>
      <c r="Y6808" s="6"/>
      <c r="Z6808" s="6"/>
    </row>
    <row r="6809" spans="14:26" ht="31.4" customHeight="1" x14ac:dyDescent="0.35">
      <c r="N6809" s="20"/>
      <c r="P6809" s="8"/>
      <c r="Q6809" s="8"/>
      <c r="R6809" s="8"/>
      <c r="S6809" s="18"/>
      <c r="T6809" s="18"/>
      <c r="U6809" s="6"/>
      <c r="V6809" s="6"/>
      <c r="W6809" s="6"/>
      <c r="X6809" s="6"/>
      <c r="Y6809" s="6"/>
      <c r="Z6809" s="6"/>
    </row>
    <row r="6810" spans="14:26" ht="31.4" customHeight="1" x14ac:dyDescent="0.35">
      <c r="N6810" s="20"/>
      <c r="P6810" s="8"/>
      <c r="Q6810" s="8"/>
      <c r="R6810" s="8"/>
      <c r="S6810" s="18"/>
      <c r="T6810" s="18"/>
      <c r="U6810" s="6"/>
      <c r="V6810" s="6"/>
      <c r="W6810" s="6"/>
      <c r="X6810" s="6"/>
      <c r="Y6810" s="6"/>
      <c r="Z6810" s="6"/>
    </row>
    <row r="6811" spans="14:26" ht="31.4" customHeight="1" x14ac:dyDescent="0.35">
      <c r="N6811" s="20"/>
      <c r="P6811" s="8"/>
      <c r="Q6811" s="8"/>
      <c r="R6811" s="8"/>
      <c r="S6811" s="18"/>
      <c r="T6811" s="18"/>
      <c r="U6811" s="6"/>
      <c r="V6811" s="6"/>
      <c r="W6811" s="6"/>
      <c r="X6811" s="6"/>
      <c r="Y6811" s="6"/>
      <c r="Z6811" s="6"/>
    </row>
    <row r="6812" spans="14:26" ht="31.4" customHeight="1" x14ac:dyDescent="0.35">
      <c r="N6812" s="20"/>
      <c r="P6812" s="8"/>
      <c r="Q6812" s="8"/>
      <c r="R6812" s="8"/>
      <c r="S6812" s="18"/>
      <c r="T6812" s="18"/>
      <c r="U6812" s="6"/>
      <c r="V6812" s="6"/>
      <c r="W6812" s="6"/>
      <c r="X6812" s="6"/>
      <c r="Y6812" s="6"/>
      <c r="Z6812" s="6"/>
    </row>
    <row r="6813" spans="14:26" ht="31.4" customHeight="1" x14ac:dyDescent="0.35">
      <c r="N6813" s="20"/>
      <c r="P6813" s="8"/>
      <c r="Q6813" s="8"/>
      <c r="R6813" s="8"/>
      <c r="S6813" s="18"/>
      <c r="T6813" s="18"/>
      <c r="U6813" s="6"/>
      <c r="V6813" s="6"/>
      <c r="W6813" s="6"/>
      <c r="X6813" s="6"/>
      <c r="Y6813" s="6"/>
      <c r="Z6813" s="6"/>
    </row>
    <row r="6814" spans="14:26" ht="31.4" customHeight="1" x14ac:dyDescent="0.35">
      <c r="N6814" s="20"/>
      <c r="P6814" s="8"/>
      <c r="Q6814" s="8"/>
      <c r="R6814" s="8"/>
      <c r="S6814" s="18"/>
      <c r="T6814" s="18"/>
      <c r="U6814" s="6"/>
      <c r="V6814" s="6"/>
      <c r="W6814" s="6"/>
      <c r="X6814" s="6"/>
      <c r="Y6814" s="6"/>
      <c r="Z6814" s="6"/>
    </row>
    <row r="6815" spans="14:26" ht="31.4" customHeight="1" x14ac:dyDescent="0.35">
      <c r="N6815" s="20"/>
      <c r="P6815" s="8"/>
      <c r="Q6815" s="8"/>
      <c r="R6815" s="8"/>
      <c r="S6815" s="18"/>
      <c r="T6815" s="18"/>
      <c r="U6815" s="6"/>
      <c r="V6815" s="6"/>
      <c r="W6815" s="6"/>
      <c r="X6815" s="6"/>
      <c r="Y6815" s="6"/>
      <c r="Z6815" s="6"/>
    </row>
    <row r="6816" spans="14:26" ht="31.4" customHeight="1" x14ac:dyDescent="0.35">
      <c r="N6816" s="20"/>
      <c r="P6816" s="8"/>
      <c r="Q6816" s="8"/>
      <c r="R6816" s="8"/>
      <c r="S6816" s="18"/>
      <c r="T6816" s="18"/>
      <c r="U6816" s="6"/>
      <c r="V6816" s="6"/>
      <c r="W6816" s="6"/>
      <c r="X6816" s="6"/>
      <c r="Y6816" s="6"/>
      <c r="Z6816" s="6"/>
    </row>
    <row r="6817" spans="14:26" ht="31.4" customHeight="1" x14ac:dyDescent="0.35">
      <c r="N6817" s="20"/>
      <c r="P6817" s="8"/>
      <c r="Q6817" s="8"/>
      <c r="R6817" s="8"/>
      <c r="S6817" s="18"/>
      <c r="T6817" s="18"/>
      <c r="U6817" s="6"/>
      <c r="V6817" s="6"/>
      <c r="W6817" s="6"/>
      <c r="X6817" s="6"/>
      <c r="Y6817" s="6"/>
      <c r="Z6817" s="6"/>
    </row>
    <row r="6818" spans="14:26" ht="31.4" customHeight="1" x14ac:dyDescent="0.35">
      <c r="N6818" s="20"/>
      <c r="P6818" s="8"/>
      <c r="Q6818" s="8"/>
      <c r="R6818" s="8"/>
      <c r="S6818" s="18"/>
      <c r="T6818" s="18"/>
      <c r="U6818" s="6"/>
      <c r="V6818" s="6"/>
      <c r="W6818" s="6"/>
      <c r="X6818" s="6"/>
      <c r="Y6818" s="6"/>
      <c r="Z6818" s="6"/>
    </row>
    <row r="6819" spans="14:26" ht="31.4" customHeight="1" x14ac:dyDescent="0.35">
      <c r="N6819" s="20"/>
      <c r="P6819" s="8"/>
      <c r="Q6819" s="8"/>
      <c r="R6819" s="8"/>
      <c r="S6819" s="18"/>
      <c r="T6819" s="18"/>
      <c r="U6819" s="6"/>
      <c r="V6819" s="6"/>
      <c r="W6819" s="6"/>
      <c r="X6819" s="6"/>
      <c r="Y6819" s="6"/>
      <c r="Z6819" s="6"/>
    </row>
    <row r="6820" spans="14:26" ht="31.4" customHeight="1" x14ac:dyDescent="0.35">
      <c r="N6820" s="20"/>
      <c r="P6820" s="8"/>
      <c r="Q6820" s="8"/>
      <c r="R6820" s="8"/>
      <c r="S6820" s="18"/>
      <c r="T6820" s="18"/>
      <c r="U6820" s="6"/>
      <c r="V6820" s="6"/>
      <c r="W6820" s="6"/>
      <c r="X6820" s="6"/>
      <c r="Y6820" s="6"/>
      <c r="Z6820" s="6"/>
    </row>
    <row r="6821" spans="14:26" ht="31.4" customHeight="1" x14ac:dyDescent="0.35">
      <c r="N6821" s="20"/>
      <c r="P6821" s="8"/>
      <c r="Q6821" s="8"/>
      <c r="R6821" s="8"/>
      <c r="S6821" s="18"/>
      <c r="T6821" s="18"/>
      <c r="U6821" s="6"/>
      <c r="V6821" s="6"/>
      <c r="W6821" s="6"/>
      <c r="X6821" s="6"/>
      <c r="Y6821" s="6"/>
      <c r="Z6821" s="6"/>
    </row>
    <row r="6822" spans="14:26" ht="31.4" customHeight="1" x14ac:dyDescent="0.35">
      <c r="N6822" s="20"/>
      <c r="P6822" s="8"/>
      <c r="Q6822" s="8"/>
      <c r="R6822" s="8"/>
      <c r="S6822" s="18"/>
      <c r="T6822" s="18"/>
      <c r="U6822" s="6"/>
      <c r="V6822" s="6"/>
      <c r="W6822" s="6"/>
      <c r="X6822" s="6"/>
      <c r="Y6822" s="6"/>
      <c r="Z6822" s="6"/>
    </row>
    <row r="6823" spans="14:26" ht="31.4" customHeight="1" x14ac:dyDescent="0.35">
      <c r="N6823" s="20"/>
      <c r="P6823" s="8"/>
      <c r="Q6823" s="8"/>
      <c r="R6823" s="8"/>
      <c r="S6823" s="18"/>
      <c r="T6823" s="18"/>
      <c r="U6823" s="6"/>
      <c r="V6823" s="6"/>
      <c r="W6823" s="6"/>
      <c r="X6823" s="6"/>
      <c r="Y6823" s="6"/>
      <c r="Z6823" s="6"/>
    </row>
    <row r="6824" spans="14:26" ht="31.4" customHeight="1" x14ac:dyDescent="0.35">
      <c r="N6824" s="20"/>
      <c r="P6824" s="8"/>
      <c r="Q6824" s="8"/>
      <c r="R6824" s="8"/>
      <c r="S6824" s="18"/>
      <c r="T6824" s="18"/>
      <c r="U6824" s="6"/>
      <c r="V6824" s="6"/>
      <c r="W6824" s="6"/>
      <c r="X6824" s="6"/>
      <c r="Y6824" s="6"/>
      <c r="Z6824" s="6"/>
    </row>
    <row r="6825" spans="14:26" ht="31.4" customHeight="1" x14ac:dyDescent="0.35">
      <c r="N6825" s="20"/>
      <c r="P6825" s="8"/>
      <c r="Q6825" s="8"/>
      <c r="R6825" s="8"/>
      <c r="S6825" s="18"/>
      <c r="T6825" s="18"/>
      <c r="U6825" s="6"/>
      <c r="V6825" s="6"/>
      <c r="W6825" s="6"/>
      <c r="X6825" s="6"/>
      <c r="Y6825" s="6"/>
      <c r="Z6825" s="6"/>
    </row>
    <row r="6826" spans="14:26" ht="31.4" customHeight="1" x14ac:dyDescent="0.35">
      <c r="N6826" s="20"/>
      <c r="P6826" s="8"/>
      <c r="Q6826" s="8"/>
      <c r="R6826" s="8"/>
      <c r="S6826" s="18"/>
      <c r="T6826" s="18"/>
      <c r="U6826" s="6"/>
      <c r="V6826" s="6"/>
      <c r="W6826" s="6"/>
      <c r="X6826" s="6"/>
      <c r="Y6826" s="6"/>
      <c r="Z6826" s="6"/>
    </row>
    <row r="6827" spans="14:26" ht="31.4" customHeight="1" x14ac:dyDescent="0.35">
      <c r="N6827" s="20"/>
      <c r="P6827" s="8"/>
      <c r="Q6827" s="8"/>
      <c r="R6827" s="8"/>
      <c r="S6827" s="18"/>
      <c r="T6827" s="18"/>
      <c r="U6827" s="6"/>
      <c r="V6827" s="6"/>
      <c r="W6827" s="6"/>
      <c r="X6827" s="6"/>
      <c r="Y6827" s="6"/>
      <c r="Z6827" s="6"/>
    </row>
    <row r="6828" spans="14:26" ht="31.4" customHeight="1" x14ac:dyDescent="0.35">
      <c r="N6828" s="20"/>
      <c r="P6828" s="8"/>
      <c r="Q6828" s="8"/>
      <c r="R6828" s="8"/>
      <c r="S6828" s="18"/>
      <c r="T6828" s="18"/>
      <c r="U6828" s="6"/>
      <c r="V6828" s="6"/>
      <c r="W6828" s="6"/>
      <c r="X6828" s="6"/>
      <c r="Y6828" s="6"/>
      <c r="Z6828" s="6"/>
    </row>
    <row r="6829" spans="14:26" ht="31.4" customHeight="1" x14ac:dyDescent="0.35">
      <c r="N6829" s="20"/>
      <c r="P6829" s="8"/>
      <c r="Q6829" s="8"/>
      <c r="R6829" s="8"/>
      <c r="S6829" s="18"/>
      <c r="T6829" s="18"/>
      <c r="U6829" s="6"/>
      <c r="V6829" s="6"/>
      <c r="W6829" s="6"/>
      <c r="X6829" s="6"/>
      <c r="Y6829" s="6"/>
      <c r="Z6829" s="6"/>
    </row>
    <row r="6830" spans="14:26" ht="31.4" customHeight="1" x14ac:dyDescent="0.35">
      <c r="N6830" s="20"/>
      <c r="P6830" s="8"/>
      <c r="Q6830" s="8"/>
      <c r="R6830" s="8"/>
      <c r="S6830" s="18"/>
      <c r="T6830" s="18"/>
      <c r="U6830" s="6"/>
      <c r="V6830" s="6"/>
      <c r="W6830" s="6"/>
      <c r="X6830" s="6"/>
      <c r="Y6830" s="6"/>
      <c r="Z6830" s="6"/>
    </row>
    <row r="6831" spans="14:26" ht="31.4" customHeight="1" x14ac:dyDescent="0.35">
      <c r="N6831" s="20"/>
      <c r="P6831" s="8"/>
      <c r="Q6831" s="8"/>
      <c r="R6831" s="8"/>
      <c r="S6831" s="18"/>
      <c r="T6831" s="18"/>
      <c r="U6831" s="6"/>
      <c r="V6831" s="6"/>
      <c r="W6831" s="6"/>
      <c r="X6831" s="6"/>
      <c r="Y6831" s="6"/>
      <c r="Z6831" s="6"/>
    </row>
    <row r="6832" spans="14:26" ht="31.4" customHeight="1" x14ac:dyDescent="0.35">
      <c r="N6832" s="20"/>
      <c r="P6832" s="8"/>
      <c r="Q6832" s="8"/>
      <c r="R6832" s="8"/>
      <c r="S6832" s="18"/>
      <c r="T6832" s="18"/>
      <c r="U6832" s="6"/>
      <c r="V6832" s="6"/>
      <c r="W6832" s="6"/>
      <c r="X6832" s="6"/>
      <c r="Y6832" s="6"/>
      <c r="Z6832" s="6"/>
    </row>
    <row r="6833" spans="14:26" ht="31.4" customHeight="1" x14ac:dyDescent="0.35">
      <c r="N6833" s="20"/>
      <c r="P6833" s="8"/>
      <c r="Q6833" s="8"/>
      <c r="R6833" s="8"/>
      <c r="S6833" s="18"/>
      <c r="T6833" s="18"/>
      <c r="U6833" s="6"/>
      <c r="V6833" s="6"/>
      <c r="W6833" s="6"/>
      <c r="X6833" s="6"/>
      <c r="Y6833" s="6"/>
      <c r="Z6833" s="6"/>
    </row>
    <row r="6834" spans="14:26" ht="31.4" customHeight="1" x14ac:dyDescent="0.35">
      <c r="N6834" s="20"/>
      <c r="P6834" s="8"/>
      <c r="Q6834" s="8"/>
      <c r="R6834" s="8"/>
      <c r="S6834" s="18"/>
      <c r="T6834" s="18"/>
      <c r="U6834" s="6"/>
      <c r="V6834" s="6"/>
      <c r="W6834" s="6"/>
      <c r="X6834" s="6"/>
      <c r="Y6834" s="6"/>
      <c r="Z6834" s="6"/>
    </row>
    <row r="6835" spans="14:26" ht="31.4" customHeight="1" x14ac:dyDescent="0.35">
      <c r="N6835" s="20"/>
      <c r="P6835" s="8"/>
      <c r="Q6835" s="8"/>
      <c r="R6835" s="8"/>
      <c r="S6835" s="18"/>
      <c r="T6835" s="18"/>
      <c r="U6835" s="6"/>
      <c r="V6835" s="6"/>
      <c r="W6835" s="6"/>
      <c r="X6835" s="6"/>
      <c r="Y6835" s="6"/>
      <c r="Z6835" s="6"/>
    </row>
    <row r="6836" spans="14:26" ht="31.4" customHeight="1" x14ac:dyDescent="0.35">
      <c r="N6836" s="20"/>
      <c r="P6836" s="8"/>
      <c r="Q6836" s="8"/>
      <c r="R6836" s="8"/>
      <c r="S6836" s="18"/>
      <c r="T6836" s="18"/>
      <c r="U6836" s="6"/>
      <c r="V6836" s="6"/>
      <c r="W6836" s="6"/>
      <c r="X6836" s="6"/>
      <c r="Y6836" s="6"/>
      <c r="Z6836" s="6"/>
    </row>
    <row r="6837" spans="14:26" ht="31.4" customHeight="1" x14ac:dyDescent="0.35">
      <c r="N6837" s="20"/>
      <c r="P6837" s="8"/>
      <c r="Q6837" s="8"/>
      <c r="R6837" s="8"/>
      <c r="S6837" s="18"/>
      <c r="T6837" s="18"/>
      <c r="U6837" s="6"/>
      <c r="V6837" s="6"/>
      <c r="W6837" s="6"/>
      <c r="X6837" s="6"/>
      <c r="Y6837" s="6"/>
      <c r="Z6837" s="6"/>
    </row>
    <row r="6838" spans="14:26" ht="31.4" customHeight="1" x14ac:dyDescent="0.35">
      <c r="N6838" s="20"/>
      <c r="P6838" s="8"/>
      <c r="Q6838" s="8"/>
      <c r="R6838" s="8"/>
      <c r="S6838" s="18"/>
      <c r="T6838" s="18"/>
      <c r="U6838" s="6"/>
      <c r="V6838" s="6"/>
      <c r="W6838" s="6"/>
      <c r="X6838" s="6"/>
      <c r="Y6838" s="6"/>
      <c r="Z6838" s="6"/>
    </row>
    <row r="6839" spans="14:26" ht="31.4" customHeight="1" x14ac:dyDescent="0.35">
      <c r="N6839" s="20"/>
      <c r="P6839" s="8"/>
      <c r="Q6839" s="8"/>
      <c r="R6839" s="8"/>
      <c r="S6839" s="18"/>
      <c r="T6839" s="18"/>
      <c r="U6839" s="6"/>
      <c r="V6839" s="6"/>
      <c r="W6839" s="6"/>
      <c r="X6839" s="6"/>
      <c r="Y6839" s="6"/>
      <c r="Z6839" s="6"/>
    </row>
    <row r="6840" spans="14:26" ht="31.4" customHeight="1" x14ac:dyDescent="0.35">
      <c r="N6840" s="20"/>
      <c r="P6840" s="8"/>
      <c r="Q6840" s="8"/>
      <c r="R6840" s="8"/>
      <c r="S6840" s="18"/>
      <c r="T6840" s="18"/>
      <c r="U6840" s="6"/>
      <c r="V6840" s="6"/>
      <c r="W6840" s="6"/>
      <c r="X6840" s="6"/>
      <c r="Y6840" s="6"/>
      <c r="Z6840" s="6"/>
    </row>
    <row r="6841" spans="14:26" ht="31.4" customHeight="1" x14ac:dyDescent="0.35">
      <c r="N6841" s="20"/>
      <c r="P6841" s="8"/>
      <c r="Q6841" s="8"/>
      <c r="R6841" s="8"/>
      <c r="S6841" s="18"/>
      <c r="T6841" s="18"/>
      <c r="U6841" s="6"/>
      <c r="V6841" s="6"/>
      <c r="W6841" s="6"/>
      <c r="X6841" s="6"/>
      <c r="Y6841" s="6"/>
      <c r="Z6841" s="6"/>
    </row>
    <row r="6842" spans="14:26" ht="31.4" customHeight="1" x14ac:dyDescent="0.35">
      <c r="N6842" s="20"/>
      <c r="P6842" s="8"/>
      <c r="Q6842" s="8"/>
      <c r="R6842" s="8"/>
      <c r="S6842" s="18"/>
      <c r="T6842" s="18"/>
      <c r="U6842" s="6"/>
      <c r="V6842" s="6"/>
      <c r="W6842" s="6"/>
      <c r="X6842" s="6"/>
      <c r="Y6842" s="6"/>
      <c r="Z6842" s="6"/>
    </row>
    <row r="6843" spans="14:26" ht="31.4" customHeight="1" x14ac:dyDescent="0.35">
      <c r="N6843" s="20"/>
      <c r="P6843" s="8"/>
      <c r="Q6843" s="8"/>
      <c r="R6843" s="8"/>
      <c r="S6843" s="18"/>
      <c r="T6843" s="18"/>
      <c r="U6843" s="6"/>
      <c r="V6843" s="6"/>
      <c r="W6843" s="6"/>
      <c r="X6843" s="6"/>
      <c r="Y6843" s="6"/>
      <c r="Z6843" s="6"/>
    </row>
    <row r="6844" spans="14:26" ht="31.4" customHeight="1" x14ac:dyDescent="0.35">
      <c r="N6844" s="20"/>
      <c r="P6844" s="8"/>
      <c r="Q6844" s="8"/>
      <c r="R6844" s="8"/>
      <c r="S6844" s="18"/>
      <c r="T6844" s="18"/>
      <c r="U6844" s="6"/>
      <c r="V6844" s="6"/>
      <c r="W6844" s="6"/>
      <c r="X6844" s="6"/>
      <c r="Y6844" s="6"/>
      <c r="Z6844" s="6"/>
    </row>
    <row r="6845" spans="14:26" ht="31.4" customHeight="1" x14ac:dyDescent="0.35">
      <c r="N6845" s="20"/>
      <c r="P6845" s="8"/>
      <c r="Q6845" s="8"/>
      <c r="R6845" s="8"/>
      <c r="S6845" s="18"/>
      <c r="T6845" s="18"/>
      <c r="U6845" s="6"/>
      <c r="V6845" s="6"/>
      <c r="W6845" s="6"/>
      <c r="X6845" s="6"/>
      <c r="Y6845" s="6"/>
      <c r="Z6845" s="6"/>
    </row>
    <row r="6846" spans="14:26" ht="31.4" customHeight="1" x14ac:dyDescent="0.35">
      <c r="N6846" s="20"/>
      <c r="P6846" s="8"/>
      <c r="Q6846" s="8"/>
      <c r="R6846" s="8"/>
      <c r="S6846" s="18"/>
      <c r="T6846" s="18"/>
      <c r="U6846" s="6"/>
      <c r="V6846" s="6"/>
      <c r="W6846" s="6"/>
      <c r="X6846" s="6"/>
      <c r="Y6846" s="6"/>
      <c r="Z6846" s="6"/>
    </row>
    <row r="6847" spans="14:26" ht="31.4" customHeight="1" x14ac:dyDescent="0.35">
      <c r="N6847" s="20"/>
      <c r="P6847" s="8"/>
      <c r="Q6847" s="8"/>
      <c r="R6847" s="8"/>
      <c r="S6847" s="18"/>
      <c r="T6847" s="18"/>
      <c r="U6847" s="6"/>
      <c r="V6847" s="6"/>
      <c r="W6847" s="6"/>
      <c r="X6847" s="6"/>
      <c r="Y6847" s="6"/>
      <c r="Z6847" s="6"/>
    </row>
    <row r="6848" spans="14:26" ht="31.4" customHeight="1" x14ac:dyDescent="0.35">
      <c r="N6848" s="20"/>
      <c r="P6848" s="8"/>
      <c r="Q6848" s="8"/>
      <c r="R6848" s="8"/>
      <c r="S6848" s="18"/>
      <c r="T6848" s="18"/>
      <c r="U6848" s="6"/>
      <c r="V6848" s="6"/>
      <c r="W6848" s="6"/>
      <c r="X6848" s="6"/>
      <c r="Y6848" s="6"/>
      <c r="Z6848" s="6"/>
    </row>
    <row r="6849" spans="14:26" ht="31.4" customHeight="1" x14ac:dyDescent="0.35">
      <c r="N6849" s="20"/>
      <c r="P6849" s="8"/>
      <c r="Q6849" s="8"/>
      <c r="R6849" s="8"/>
      <c r="S6849" s="18"/>
      <c r="T6849" s="18"/>
      <c r="U6849" s="6"/>
      <c r="V6849" s="6"/>
      <c r="W6849" s="6"/>
      <c r="X6849" s="6"/>
      <c r="Y6849" s="6"/>
      <c r="Z6849" s="6"/>
    </row>
    <row r="6850" spans="14:26" ht="31.4" customHeight="1" x14ac:dyDescent="0.35">
      <c r="N6850" s="20"/>
      <c r="P6850" s="8"/>
      <c r="Q6850" s="8"/>
      <c r="R6850" s="8"/>
      <c r="S6850" s="18"/>
      <c r="T6850" s="18"/>
      <c r="U6850" s="6"/>
      <c r="V6850" s="6"/>
      <c r="W6850" s="6"/>
      <c r="X6850" s="6"/>
      <c r="Y6850" s="6"/>
      <c r="Z6850" s="6"/>
    </row>
    <row r="6851" spans="14:26" ht="31.4" customHeight="1" x14ac:dyDescent="0.35">
      <c r="N6851" s="20"/>
      <c r="P6851" s="8"/>
      <c r="Q6851" s="8"/>
      <c r="R6851" s="8"/>
      <c r="S6851" s="18"/>
      <c r="T6851" s="18"/>
      <c r="U6851" s="6"/>
      <c r="V6851" s="6"/>
      <c r="W6851" s="6"/>
      <c r="X6851" s="6"/>
      <c r="Y6851" s="6"/>
      <c r="Z6851" s="6"/>
    </row>
    <row r="6852" spans="14:26" ht="31.4" customHeight="1" x14ac:dyDescent="0.35">
      <c r="N6852" s="20"/>
      <c r="P6852" s="8"/>
      <c r="Q6852" s="8"/>
      <c r="R6852" s="8"/>
      <c r="S6852" s="18"/>
      <c r="T6852" s="18"/>
      <c r="U6852" s="6"/>
      <c r="V6852" s="6"/>
      <c r="W6852" s="6"/>
      <c r="X6852" s="6"/>
      <c r="Y6852" s="6"/>
      <c r="Z6852" s="6"/>
    </row>
    <row r="6853" spans="14:26" ht="31.4" customHeight="1" x14ac:dyDescent="0.35">
      <c r="N6853" s="20"/>
      <c r="P6853" s="8"/>
      <c r="Q6853" s="8"/>
      <c r="R6853" s="8"/>
      <c r="S6853" s="18"/>
      <c r="T6853" s="18"/>
      <c r="U6853" s="6"/>
      <c r="V6853" s="6"/>
      <c r="W6853" s="6"/>
      <c r="X6853" s="6"/>
      <c r="Y6853" s="6"/>
      <c r="Z6853" s="6"/>
    </row>
    <row r="6854" spans="14:26" ht="31.4" customHeight="1" x14ac:dyDescent="0.35">
      <c r="N6854" s="20"/>
      <c r="P6854" s="8"/>
      <c r="Q6854" s="8"/>
      <c r="R6854" s="8"/>
      <c r="S6854" s="18"/>
      <c r="T6854" s="18"/>
      <c r="U6854" s="6"/>
      <c r="V6854" s="6"/>
      <c r="W6854" s="6"/>
      <c r="X6854" s="6"/>
      <c r="Y6854" s="6"/>
      <c r="Z6854" s="6"/>
    </row>
    <row r="6855" spans="14:26" ht="31.4" customHeight="1" x14ac:dyDescent="0.35">
      <c r="N6855" s="20"/>
      <c r="P6855" s="8"/>
      <c r="Q6855" s="8"/>
      <c r="R6855" s="8"/>
      <c r="S6855" s="18"/>
      <c r="T6855" s="18"/>
      <c r="U6855" s="6"/>
      <c r="V6855" s="6"/>
      <c r="W6855" s="6"/>
      <c r="X6855" s="6"/>
      <c r="Y6855" s="6"/>
      <c r="Z6855" s="6"/>
    </row>
    <row r="6856" spans="14:26" ht="31.4" customHeight="1" x14ac:dyDescent="0.35">
      <c r="N6856" s="20"/>
      <c r="P6856" s="8"/>
      <c r="Q6856" s="8"/>
      <c r="R6856" s="8"/>
      <c r="S6856" s="18"/>
      <c r="T6856" s="18"/>
      <c r="U6856" s="6"/>
      <c r="V6856" s="6"/>
      <c r="W6856" s="6"/>
      <c r="X6856" s="6"/>
      <c r="Y6856" s="6"/>
      <c r="Z6856" s="6"/>
    </row>
    <row r="6857" spans="14:26" ht="31.4" customHeight="1" x14ac:dyDescent="0.35">
      <c r="N6857" s="20"/>
      <c r="P6857" s="8"/>
      <c r="Q6857" s="8"/>
      <c r="R6857" s="8"/>
      <c r="S6857" s="18"/>
      <c r="T6857" s="18"/>
      <c r="U6857" s="6"/>
      <c r="V6857" s="6"/>
      <c r="W6857" s="6"/>
      <c r="X6857" s="6"/>
      <c r="Y6857" s="6"/>
      <c r="Z6857" s="6"/>
    </row>
    <row r="6858" spans="14:26" ht="31.4" customHeight="1" x14ac:dyDescent="0.35">
      <c r="N6858" s="20"/>
      <c r="P6858" s="8"/>
      <c r="Q6858" s="8"/>
      <c r="R6858" s="8"/>
      <c r="S6858" s="18"/>
      <c r="T6858" s="18"/>
      <c r="U6858" s="6"/>
      <c r="V6858" s="6"/>
      <c r="W6858" s="6"/>
      <c r="X6858" s="6"/>
      <c r="Y6858" s="6"/>
      <c r="Z6858" s="6"/>
    </row>
    <row r="6859" spans="14:26" ht="31.4" customHeight="1" x14ac:dyDescent="0.35">
      <c r="N6859" s="20"/>
      <c r="P6859" s="8"/>
      <c r="Q6859" s="8"/>
      <c r="R6859" s="8"/>
      <c r="S6859" s="18"/>
      <c r="T6859" s="18"/>
      <c r="U6859" s="6"/>
      <c r="V6859" s="6"/>
      <c r="W6859" s="6"/>
      <c r="X6859" s="6"/>
      <c r="Y6859" s="6"/>
      <c r="Z6859" s="6"/>
    </row>
    <row r="6860" spans="14:26" ht="31.4" customHeight="1" x14ac:dyDescent="0.35">
      <c r="N6860" s="20"/>
      <c r="P6860" s="8"/>
      <c r="Q6860" s="8"/>
      <c r="R6860" s="8"/>
      <c r="S6860" s="18"/>
      <c r="T6860" s="18"/>
      <c r="U6860" s="6"/>
      <c r="V6860" s="6"/>
      <c r="W6860" s="6"/>
      <c r="X6860" s="6"/>
      <c r="Y6860" s="6"/>
      <c r="Z6860" s="6"/>
    </row>
    <row r="6861" spans="14:26" ht="31.4" customHeight="1" x14ac:dyDescent="0.35">
      <c r="N6861" s="20"/>
      <c r="P6861" s="8"/>
      <c r="Q6861" s="8"/>
      <c r="R6861" s="8"/>
      <c r="S6861" s="18"/>
      <c r="T6861" s="18"/>
      <c r="U6861" s="6"/>
      <c r="V6861" s="6"/>
      <c r="W6861" s="6"/>
      <c r="X6861" s="6"/>
      <c r="Y6861" s="6"/>
      <c r="Z6861" s="6"/>
    </row>
    <row r="6862" spans="14:26" ht="31.4" customHeight="1" x14ac:dyDescent="0.35">
      <c r="N6862" s="20"/>
      <c r="P6862" s="8"/>
      <c r="Q6862" s="8"/>
      <c r="R6862" s="8"/>
      <c r="S6862" s="18"/>
      <c r="T6862" s="18"/>
      <c r="U6862" s="6"/>
      <c r="V6862" s="6"/>
      <c r="W6862" s="6"/>
      <c r="X6862" s="6"/>
      <c r="Y6862" s="6"/>
      <c r="Z6862" s="6"/>
    </row>
    <row r="6863" spans="14:26" ht="31.4" customHeight="1" x14ac:dyDescent="0.35">
      <c r="N6863" s="20"/>
      <c r="P6863" s="8"/>
      <c r="Q6863" s="8"/>
      <c r="R6863" s="8"/>
      <c r="S6863" s="18"/>
      <c r="T6863" s="18"/>
      <c r="U6863" s="6"/>
      <c r="V6863" s="6"/>
      <c r="W6863" s="6"/>
      <c r="X6863" s="6"/>
      <c r="Y6863" s="6"/>
      <c r="Z6863" s="6"/>
    </row>
    <row r="6864" spans="14:26" ht="31.4" customHeight="1" x14ac:dyDescent="0.35">
      <c r="N6864" s="20"/>
      <c r="P6864" s="8"/>
      <c r="Q6864" s="8"/>
      <c r="R6864" s="8"/>
      <c r="S6864" s="18"/>
      <c r="T6864" s="18"/>
      <c r="U6864" s="6"/>
      <c r="V6864" s="6"/>
      <c r="W6864" s="6"/>
      <c r="X6864" s="6"/>
      <c r="Y6864" s="6"/>
      <c r="Z6864" s="6"/>
    </row>
    <row r="6865" spans="14:26" ht="31.4" customHeight="1" x14ac:dyDescent="0.35">
      <c r="N6865" s="20"/>
      <c r="P6865" s="8"/>
      <c r="Q6865" s="8"/>
      <c r="R6865" s="8"/>
      <c r="S6865" s="18"/>
      <c r="T6865" s="18"/>
      <c r="U6865" s="6"/>
      <c r="V6865" s="6"/>
      <c r="W6865" s="6"/>
      <c r="X6865" s="6"/>
      <c r="Y6865" s="6"/>
      <c r="Z6865" s="6"/>
    </row>
    <row r="6866" spans="14:26" ht="31.4" customHeight="1" x14ac:dyDescent="0.35">
      <c r="N6866" s="20"/>
      <c r="P6866" s="8"/>
      <c r="Q6866" s="8"/>
      <c r="R6866" s="8"/>
      <c r="S6866" s="18"/>
      <c r="T6866" s="18"/>
      <c r="U6866" s="6"/>
      <c r="V6866" s="6"/>
      <c r="W6866" s="6"/>
      <c r="X6866" s="6"/>
      <c r="Y6866" s="6"/>
      <c r="Z6866" s="6"/>
    </row>
    <row r="6867" spans="14:26" ht="31.4" customHeight="1" x14ac:dyDescent="0.35">
      <c r="N6867" s="20"/>
      <c r="P6867" s="8"/>
      <c r="Q6867" s="8"/>
      <c r="R6867" s="8"/>
      <c r="S6867" s="18"/>
      <c r="T6867" s="18"/>
      <c r="U6867" s="6"/>
      <c r="V6867" s="6"/>
      <c r="W6867" s="6"/>
      <c r="X6867" s="6"/>
      <c r="Y6867" s="6"/>
      <c r="Z6867" s="6"/>
    </row>
    <row r="6868" spans="14:26" ht="31.4" customHeight="1" x14ac:dyDescent="0.35">
      <c r="N6868" s="20"/>
      <c r="P6868" s="8"/>
      <c r="Q6868" s="8"/>
      <c r="R6868" s="8"/>
      <c r="S6868" s="18"/>
      <c r="T6868" s="18"/>
      <c r="U6868" s="6"/>
      <c r="V6868" s="6"/>
      <c r="W6868" s="6"/>
      <c r="X6868" s="6"/>
      <c r="Y6868" s="6"/>
      <c r="Z6868" s="6"/>
    </row>
    <row r="6869" spans="14:26" ht="31.4" customHeight="1" x14ac:dyDescent="0.35">
      <c r="N6869" s="20"/>
      <c r="P6869" s="8"/>
      <c r="Q6869" s="8"/>
      <c r="R6869" s="8"/>
      <c r="S6869" s="18"/>
      <c r="T6869" s="18"/>
      <c r="U6869" s="6"/>
      <c r="V6869" s="6"/>
      <c r="W6869" s="6"/>
      <c r="X6869" s="6"/>
      <c r="Y6869" s="6"/>
      <c r="Z6869" s="6"/>
    </row>
    <row r="6870" spans="14:26" ht="31.4" customHeight="1" x14ac:dyDescent="0.35">
      <c r="N6870" s="20"/>
      <c r="P6870" s="8"/>
      <c r="Q6870" s="8"/>
      <c r="R6870" s="8"/>
      <c r="S6870" s="18"/>
      <c r="T6870" s="18"/>
      <c r="U6870" s="6"/>
      <c r="V6870" s="6"/>
      <c r="W6870" s="6"/>
      <c r="X6870" s="6"/>
      <c r="Y6870" s="6"/>
      <c r="Z6870" s="6"/>
    </row>
    <row r="6871" spans="14:26" ht="31.4" customHeight="1" x14ac:dyDescent="0.35">
      <c r="N6871" s="20"/>
      <c r="P6871" s="8"/>
      <c r="Q6871" s="8"/>
      <c r="R6871" s="8"/>
      <c r="S6871" s="18"/>
      <c r="T6871" s="18"/>
      <c r="U6871" s="6"/>
      <c r="V6871" s="6"/>
      <c r="W6871" s="6"/>
      <c r="X6871" s="6"/>
      <c r="Y6871" s="6"/>
      <c r="Z6871" s="6"/>
    </row>
    <row r="6872" spans="14:26" ht="31.4" customHeight="1" x14ac:dyDescent="0.35">
      <c r="N6872" s="20"/>
      <c r="P6872" s="8"/>
      <c r="Q6872" s="8"/>
      <c r="R6872" s="8"/>
      <c r="S6872" s="18"/>
      <c r="T6872" s="18"/>
      <c r="U6872" s="6"/>
      <c r="V6872" s="6"/>
      <c r="W6872" s="6"/>
      <c r="X6872" s="6"/>
      <c r="Y6872" s="6"/>
      <c r="Z6872" s="6"/>
    </row>
    <row r="6873" spans="14:26" ht="31.4" customHeight="1" x14ac:dyDescent="0.35">
      <c r="N6873" s="20"/>
      <c r="P6873" s="8"/>
      <c r="Q6873" s="8"/>
      <c r="R6873" s="8"/>
      <c r="S6873" s="18"/>
      <c r="T6873" s="18"/>
      <c r="U6873" s="6"/>
      <c r="V6873" s="6"/>
      <c r="W6873" s="6"/>
      <c r="X6873" s="6"/>
      <c r="Y6873" s="6"/>
      <c r="Z6873" s="6"/>
    </row>
    <row r="6874" spans="14:26" ht="31.4" customHeight="1" x14ac:dyDescent="0.35">
      <c r="N6874" s="20"/>
      <c r="P6874" s="8"/>
      <c r="Q6874" s="8"/>
      <c r="R6874" s="8"/>
      <c r="S6874" s="18"/>
      <c r="T6874" s="18"/>
      <c r="U6874" s="6"/>
      <c r="V6874" s="6"/>
      <c r="W6874" s="6"/>
      <c r="X6874" s="6"/>
      <c r="Y6874" s="6"/>
      <c r="Z6874" s="6"/>
    </row>
    <row r="6875" spans="14:26" ht="31.4" customHeight="1" x14ac:dyDescent="0.35">
      <c r="N6875" s="20"/>
      <c r="P6875" s="8"/>
      <c r="Q6875" s="8"/>
      <c r="R6875" s="8"/>
      <c r="S6875" s="18"/>
      <c r="T6875" s="18"/>
      <c r="U6875" s="6"/>
      <c r="V6875" s="6"/>
      <c r="W6875" s="6"/>
      <c r="X6875" s="6"/>
      <c r="Y6875" s="6"/>
      <c r="Z6875" s="6"/>
    </row>
    <row r="6876" spans="14:26" ht="31.4" customHeight="1" x14ac:dyDescent="0.35">
      <c r="N6876" s="20"/>
      <c r="P6876" s="8"/>
      <c r="Q6876" s="8"/>
      <c r="R6876" s="8"/>
      <c r="S6876" s="18"/>
      <c r="T6876" s="18"/>
      <c r="U6876" s="6"/>
      <c r="V6876" s="6"/>
      <c r="W6876" s="6"/>
      <c r="X6876" s="6"/>
      <c r="Y6876" s="6"/>
      <c r="Z6876" s="6"/>
    </row>
    <row r="6877" spans="14:26" ht="31.4" customHeight="1" x14ac:dyDescent="0.35">
      <c r="N6877" s="20"/>
      <c r="P6877" s="8"/>
      <c r="Q6877" s="8"/>
      <c r="R6877" s="8"/>
      <c r="S6877" s="18"/>
      <c r="T6877" s="18"/>
      <c r="U6877" s="6"/>
      <c r="V6877" s="6"/>
      <c r="W6877" s="6"/>
      <c r="X6877" s="6"/>
      <c r="Y6877" s="6"/>
      <c r="Z6877" s="6"/>
    </row>
    <row r="6878" spans="14:26" ht="31.4" customHeight="1" x14ac:dyDescent="0.35">
      <c r="N6878" s="20"/>
      <c r="P6878" s="8"/>
      <c r="Q6878" s="8"/>
      <c r="R6878" s="8"/>
      <c r="S6878" s="18"/>
      <c r="T6878" s="18"/>
      <c r="U6878" s="6"/>
      <c r="V6878" s="6"/>
      <c r="W6878" s="6"/>
      <c r="X6878" s="6"/>
      <c r="Y6878" s="6"/>
      <c r="Z6878" s="6"/>
    </row>
    <row r="6879" spans="14:26" ht="31.4" customHeight="1" x14ac:dyDescent="0.35">
      <c r="N6879" s="20"/>
      <c r="P6879" s="8"/>
      <c r="Q6879" s="8"/>
      <c r="R6879" s="8"/>
      <c r="S6879" s="18"/>
      <c r="T6879" s="18"/>
      <c r="U6879" s="6"/>
      <c r="V6879" s="6"/>
      <c r="W6879" s="6"/>
      <c r="X6879" s="6"/>
      <c r="Y6879" s="6"/>
      <c r="Z6879" s="6"/>
    </row>
    <row r="6880" spans="14:26" ht="31.4" customHeight="1" x14ac:dyDescent="0.35">
      <c r="N6880" s="20"/>
      <c r="P6880" s="8"/>
      <c r="Q6880" s="8"/>
      <c r="R6880" s="8"/>
      <c r="S6880" s="18"/>
      <c r="T6880" s="18"/>
      <c r="U6880" s="6"/>
      <c r="V6880" s="6"/>
      <c r="W6880" s="6"/>
      <c r="X6880" s="6"/>
      <c r="Y6880" s="6"/>
      <c r="Z6880" s="6"/>
    </row>
    <row r="6881" spans="14:26" ht="31.4" customHeight="1" x14ac:dyDescent="0.35">
      <c r="N6881" s="20"/>
      <c r="P6881" s="8"/>
      <c r="Q6881" s="8"/>
      <c r="R6881" s="8"/>
      <c r="S6881" s="18"/>
      <c r="T6881" s="18"/>
      <c r="U6881" s="6"/>
      <c r="V6881" s="6"/>
      <c r="W6881" s="6"/>
      <c r="X6881" s="6"/>
      <c r="Y6881" s="6"/>
      <c r="Z6881" s="6"/>
    </row>
    <row r="6882" spans="14:26" ht="31.4" customHeight="1" x14ac:dyDescent="0.35">
      <c r="N6882" s="20"/>
      <c r="P6882" s="8"/>
      <c r="Q6882" s="8"/>
      <c r="R6882" s="8"/>
      <c r="S6882" s="18"/>
      <c r="T6882" s="18"/>
      <c r="U6882" s="6"/>
      <c r="V6882" s="6"/>
      <c r="W6882" s="6"/>
      <c r="X6882" s="6"/>
      <c r="Y6882" s="6"/>
      <c r="Z6882" s="6"/>
    </row>
    <row r="6883" spans="14:26" ht="31.4" customHeight="1" x14ac:dyDescent="0.35">
      <c r="N6883" s="20"/>
      <c r="P6883" s="8"/>
      <c r="Q6883" s="8"/>
      <c r="R6883" s="8"/>
      <c r="S6883" s="18"/>
      <c r="T6883" s="18"/>
      <c r="U6883" s="6"/>
      <c r="V6883" s="6"/>
      <c r="W6883" s="6"/>
      <c r="X6883" s="6"/>
      <c r="Y6883" s="6"/>
      <c r="Z6883" s="6"/>
    </row>
    <row r="6884" spans="14:26" ht="31.4" customHeight="1" x14ac:dyDescent="0.35">
      <c r="N6884" s="20"/>
      <c r="P6884" s="8"/>
      <c r="Q6884" s="8"/>
      <c r="R6884" s="8"/>
      <c r="S6884" s="18"/>
      <c r="T6884" s="18"/>
      <c r="U6884" s="6"/>
      <c r="V6884" s="6"/>
      <c r="W6884" s="6"/>
      <c r="X6884" s="6"/>
      <c r="Y6884" s="6"/>
      <c r="Z6884" s="6"/>
    </row>
    <row r="6885" spans="14:26" ht="31.4" customHeight="1" x14ac:dyDescent="0.35">
      <c r="N6885" s="20"/>
      <c r="P6885" s="8"/>
      <c r="Q6885" s="8"/>
      <c r="R6885" s="8"/>
      <c r="S6885" s="18"/>
      <c r="T6885" s="18"/>
      <c r="U6885" s="6"/>
      <c r="V6885" s="6"/>
      <c r="W6885" s="6"/>
      <c r="X6885" s="6"/>
      <c r="Y6885" s="6"/>
      <c r="Z6885" s="6"/>
    </row>
    <row r="6886" spans="14:26" ht="31.4" customHeight="1" x14ac:dyDescent="0.35">
      <c r="N6886" s="20"/>
      <c r="P6886" s="8"/>
      <c r="Q6886" s="8"/>
      <c r="R6886" s="8"/>
      <c r="S6886" s="18"/>
      <c r="T6886" s="18"/>
      <c r="U6886" s="6"/>
      <c r="V6886" s="6"/>
      <c r="W6886" s="6"/>
      <c r="X6886" s="6"/>
      <c r="Y6886" s="6"/>
      <c r="Z6886" s="6"/>
    </row>
    <row r="6887" spans="14:26" ht="31.4" customHeight="1" x14ac:dyDescent="0.35">
      <c r="N6887" s="20"/>
      <c r="P6887" s="8"/>
      <c r="Q6887" s="8"/>
      <c r="R6887" s="8"/>
      <c r="S6887" s="18"/>
      <c r="T6887" s="18"/>
      <c r="U6887" s="6"/>
      <c r="V6887" s="6"/>
      <c r="W6887" s="6"/>
      <c r="X6887" s="6"/>
      <c r="Y6887" s="6"/>
      <c r="Z6887" s="6"/>
    </row>
    <row r="6888" spans="14:26" ht="31.4" customHeight="1" x14ac:dyDescent="0.35">
      <c r="N6888" s="20"/>
      <c r="P6888" s="8"/>
      <c r="Q6888" s="8"/>
      <c r="R6888" s="8"/>
      <c r="S6888" s="18"/>
      <c r="T6888" s="18"/>
      <c r="U6888" s="6"/>
      <c r="V6888" s="6"/>
      <c r="W6888" s="6"/>
      <c r="X6888" s="6"/>
      <c r="Y6888" s="6"/>
      <c r="Z6888" s="6"/>
    </row>
    <row r="6889" spans="14:26" ht="31.4" customHeight="1" x14ac:dyDescent="0.35">
      <c r="N6889" s="20"/>
      <c r="P6889" s="8"/>
      <c r="Q6889" s="8"/>
      <c r="R6889" s="8"/>
      <c r="S6889" s="18"/>
      <c r="T6889" s="18"/>
      <c r="U6889" s="6"/>
      <c r="V6889" s="6"/>
      <c r="W6889" s="6"/>
      <c r="X6889" s="6"/>
      <c r="Y6889" s="6"/>
      <c r="Z6889" s="6"/>
    </row>
    <row r="6890" spans="14:26" ht="31.4" customHeight="1" x14ac:dyDescent="0.35">
      <c r="N6890" s="20"/>
      <c r="P6890" s="8"/>
      <c r="Q6890" s="8"/>
      <c r="R6890" s="8"/>
      <c r="S6890" s="18"/>
      <c r="T6890" s="18"/>
      <c r="U6890" s="6"/>
      <c r="V6890" s="6"/>
      <c r="W6890" s="6"/>
      <c r="X6890" s="6"/>
      <c r="Y6890" s="6"/>
      <c r="Z6890" s="6"/>
    </row>
    <row r="6891" spans="14:26" ht="31.4" customHeight="1" x14ac:dyDescent="0.35">
      <c r="N6891" s="20"/>
      <c r="P6891" s="8"/>
      <c r="Q6891" s="8"/>
      <c r="R6891" s="8"/>
      <c r="S6891" s="18"/>
      <c r="T6891" s="18"/>
      <c r="U6891" s="6"/>
      <c r="V6891" s="6"/>
      <c r="W6891" s="6"/>
      <c r="X6891" s="6"/>
      <c r="Y6891" s="6"/>
      <c r="Z6891" s="6"/>
    </row>
    <row r="6892" spans="14:26" ht="31.4" customHeight="1" x14ac:dyDescent="0.35">
      <c r="N6892" s="20"/>
      <c r="P6892" s="8"/>
      <c r="Q6892" s="8"/>
      <c r="R6892" s="8"/>
      <c r="S6892" s="18"/>
      <c r="T6892" s="18"/>
      <c r="U6892" s="6"/>
      <c r="V6892" s="6"/>
      <c r="W6892" s="6"/>
      <c r="X6892" s="6"/>
      <c r="Y6892" s="6"/>
      <c r="Z6892" s="6"/>
    </row>
    <row r="6893" spans="14:26" ht="31.4" customHeight="1" x14ac:dyDescent="0.35">
      <c r="N6893" s="20"/>
      <c r="P6893" s="8"/>
      <c r="Q6893" s="8"/>
      <c r="R6893" s="8"/>
      <c r="S6893" s="18"/>
      <c r="T6893" s="18"/>
      <c r="U6893" s="6"/>
      <c r="V6893" s="6"/>
      <c r="W6893" s="6"/>
      <c r="X6893" s="6"/>
      <c r="Y6893" s="6"/>
      <c r="Z6893" s="6"/>
    </row>
    <row r="6894" spans="14:26" ht="31.4" customHeight="1" x14ac:dyDescent="0.35">
      <c r="N6894" s="20"/>
      <c r="P6894" s="8"/>
      <c r="Q6894" s="8"/>
      <c r="R6894" s="8"/>
      <c r="S6894" s="18"/>
      <c r="T6894" s="18"/>
      <c r="U6894" s="6"/>
      <c r="V6894" s="6"/>
      <c r="W6894" s="6"/>
      <c r="X6894" s="6"/>
      <c r="Y6894" s="6"/>
      <c r="Z6894" s="6"/>
    </row>
    <row r="6895" spans="14:26" ht="31.4" customHeight="1" x14ac:dyDescent="0.35">
      <c r="N6895" s="20"/>
      <c r="P6895" s="8"/>
      <c r="Q6895" s="8"/>
      <c r="R6895" s="8"/>
      <c r="S6895" s="18"/>
      <c r="T6895" s="18"/>
      <c r="U6895" s="6"/>
      <c r="V6895" s="6"/>
      <c r="W6895" s="6"/>
      <c r="X6895" s="6"/>
      <c r="Y6895" s="6"/>
      <c r="Z6895" s="6"/>
    </row>
    <row r="6896" spans="14:26" ht="31.4" customHeight="1" x14ac:dyDescent="0.35">
      <c r="N6896" s="20"/>
      <c r="P6896" s="8"/>
      <c r="Q6896" s="8"/>
      <c r="R6896" s="8"/>
      <c r="S6896" s="18"/>
      <c r="T6896" s="18"/>
      <c r="U6896" s="6"/>
      <c r="V6896" s="6"/>
      <c r="W6896" s="6"/>
      <c r="X6896" s="6"/>
      <c r="Y6896" s="6"/>
      <c r="Z6896" s="6"/>
    </row>
  </sheetData>
  <sheetProtection sort="0" autoFilter="0"/>
  <autoFilter ref="A1:AK1262" xr:uid="{00000000-0009-0000-0000-000001000000}"/>
  <dataConsolidate/>
  <mergeCells count="9">
    <mergeCell ref="W14:W15"/>
    <mergeCell ref="X14:X15"/>
    <mergeCell ref="Y14:Y15"/>
    <mergeCell ref="Z14:Z15"/>
    <mergeCell ref="AD14:AD15"/>
    <mergeCell ref="X13:AB13"/>
    <mergeCell ref="AA14:AA15"/>
    <mergeCell ref="AC14:AC15"/>
    <mergeCell ref="AB14:AB15"/>
  </mergeCells>
  <phoneticPr fontId="1" type="noConversion"/>
  <conditionalFormatting sqref="J2:J677">
    <cfRule type="cellIs" dxfId="10" priority="3" stopIfTrue="1" operator="between">
      <formula>1</formula>
      <formula>10</formula>
    </cfRule>
  </conditionalFormatting>
  <conditionalFormatting sqref="P1 P1283:P5259 Q6897:Q65536 P5263:P6896">
    <cfRule type="containsText" dxfId="9" priority="15" stopIfTrue="1" operator="containsText" text="N/A">
      <formula>NOT(ISERROR(SEARCH("N/A",P1)))</formula>
    </cfRule>
    <cfRule type="containsText" dxfId="8" priority="16" stopIfTrue="1" operator="containsText" text="No">
      <formula>NOT(ISERROR(SEARCH("No",P1)))</formula>
    </cfRule>
    <cfRule type="containsText" dxfId="7" priority="20" stopIfTrue="1" operator="containsText" text="Yes">
      <formula>NOT(ISERROR(SEARCH("Yes",P1)))</formula>
    </cfRule>
  </conditionalFormatting>
  <conditionalFormatting sqref="P2:P1282">
    <cfRule type="containsText" dxfId="6" priority="1" stopIfTrue="1" operator="containsText" text="No">
      <formula>NOT(ISERROR(SEARCH("No",P2)))</formula>
    </cfRule>
    <cfRule type="containsText" dxfId="5" priority="2" stopIfTrue="1" operator="containsText" text="Yes">
      <formula>NOT(ISERROR(SEARCH("Yes",P2)))</formula>
    </cfRule>
  </conditionalFormatting>
  <conditionalFormatting sqref="P5262">
    <cfRule type="containsText" dxfId="4" priority="10" stopIfTrue="1" operator="containsText" text="No">
      <formula>NOT(ISERROR(SEARCH("No",P5262)))</formula>
    </cfRule>
    <cfRule type="containsText" dxfId="3" priority="11" stopIfTrue="1" operator="containsText" text="Yes">
      <formula>NOT(ISERROR(SEARCH("Yes",P5262)))</formula>
    </cfRule>
  </conditionalFormatting>
  <dataValidations count="3">
    <dataValidation type="list" allowBlank="1" showInputMessage="1" showErrorMessage="1" sqref="L6897:L65536" xr:uid="{00000000-0002-0000-0100-000002000000}">
      <formula1>#REF!</formula1>
    </dataValidation>
    <dataValidation type="list" allowBlank="1" showInputMessage="1" showErrorMessage="1" sqref="K1:K1048576" xr:uid="{AF5BC9AE-D214-4AF3-977D-E5CA30B23CF3}">
      <formula1>"Resources, Growth Enterprise &amp; Environment, Adults &amp; Communities, Children &amp; Families"</formula1>
    </dataValidation>
    <dataValidation type="list" allowBlank="1" showInputMessage="1" showErrorMessage="1" sqref="X6897:X1048576 R1:R5259 V6897:V65536 R5262:R6896 P1283:P5259 P1 P5263:P6896 Q1:Q65536 S1:S6896 T6897:T1048576" xr:uid="{00000000-0002-0000-0100-000001000000}">
      <formula1>#REF!</formula1>
    </dataValidation>
  </dataValidations>
  <pageMargins left="0.74803149606299213" right="0.74803149606299213" top="0.98425196850393704" bottom="0.98425196850393704" header="0.51181102362204722" footer="0.51181102362204722"/>
  <pageSetup paperSize="9" scale="50" fitToWidth="0" fitToHeight="0" orientation="landscape" r:id="rId1"/>
  <headerFooter alignWithMargins="0"/>
  <rowBreaks count="171" manualBreakCount="171">
    <brk id="29" max="16383" man="1"/>
    <brk id="30" max="16383" man="1"/>
    <brk id="35" max="16" man="1"/>
    <brk id="64" max="16383" man="1"/>
    <brk id="93" max="16383" man="1"/>
    <brk id="122" max="16383" man="1"/>
    <brk id="151" max="16383" man="1"/>
    <brk id="180" max="16383" man="1"/>
    <brk id="209" max="16383" man="1"/>
    <brk id="238" max="16383" man="1"/>
    <brk id="267" max="16383" man="1"/>
    <brk id="296" max="16383" man="1"/>
    <brk id="325" max="16383" man="1"/>
    <brk id="354" max="16383" man="1"/>
    <brk id="383" max="16383" man="1"/>
    <brk id="412" max="16383" man="1"/>
    <brk id="442" max="16383" man="1"/>
    <brk id="443" max="16383" man="1"/>
    <brk id="473" max="16383" man="1"/>
    <brk id="474" max="16383" man="1"/>
    <brk id="504" max="16383" man="1"/>
    <brk id="505" max="16383" man="1"/>
    <brk id="535" max="16383" man="1"/>
    <brk id="536" max="16383" man="1"/>
    <brk id="566" max="16383" man="1"/>
    <brk id="567" max="16383" man="1"/>
    <brk id="596" max="16383" man="1"/>
    <brk id="626" max="16383" man="1"/>
    <brk id="627" max="16383" man="1"/>
    <brk id="657" max="16383" man="1"/>
    <brk id="658" max="16383" man="1"/>
    <brk id="688" max="16383" man="1"/>
    <brk id="689" max="16383" man="1"/>
    <brk id="719" max="16383" man="1"/>
    <brk id="720" max="16383" man="1"/>
    <brk id="750" max="16383" man="1"/>
    <brk id="751" max="16383" man="1"/>
    <brk id="781" max="16383" man="1"/>
    <brk id="782" max="16383" man="1"/>
    <brk id="812" max="16383" man="1"/>
    <brk id="813" max="16383" man="1"/>
    <brk id="843" max="16383" man="1"/>
    <brk id="844" max="16383" man="1"/>
    <brk id="874" max="16383" man="1"/>
    <brk id="875" max="16383" man="1"/>
    <brk id="913" max="16383" man="1"/>
    <brk id="984" max="16383" man="1"/>
    <brk id="1055" max="16383" man="1"/>
    <brk id="1127" max="16383" man="1"/>
    <brk id="1200" max="16383" man="1"/>
    <brk id="1272" max="16383" man="1"/>
    <brk id="1344" max="16383" man="1"/>
    <brk id="1416" max="16383" man="1"/>
    <brk id="1488" max="16383" man="1"/>
    <brk id="1560" max="16383" man="1"/>
    <brk id="1632" max="16383" man="1"/>
    <brk id="1704" max="16383" man="1"/>
    <brk id="1776" max="16383" man="1"/>
    <brk id="1848" max="16383" man="1"/>
    <brk id="1920" max="16383" man="1"/>
    <brk id="1992" max="16383" man="1"/>
    <brk id="2064" max="16383" man="1"/>
    <brk id="2136" max="16383" man="1"/>
    <brk id="2208" max="16383" man="1"/>
    <brk id="2280" max="16383" man="1"/>
    <brk id="2352" max="16383" man="1"/>
    <brk id="2424" max="16383" man="1"/>
    <brk id="2496" max="16383" man="1"/>
    <brk id="2568" max="16383" man="1"/>
    <brk id="2640" max="16383" man="1"/>
    <brk id="2712" max="16383" man="1"/>
    <brk id="2784" max="16383" man="1"/>
    <brk id="2856" max="16383" man="1"/>
    <brk id="2928" max="16383" man="1"/>
    <brk id="3000" max="16383" man="1"/>
    <brk id="3072" max="16383" man="1"/>
    <brk id="3144" max="16383" man="1"/>
    <brk id="3216" max="16383" man="1"/>
    <brk id="3288" max="16383" man="1"/>
    <brk id="3360" max="16383" man="1"/>
    <brk id="3432" max="16383" man="1"/>
    <brk id="3504" max="16383" man="1"/>
    <brk id="3576" max="16383" man="1"/>
    <brk id="3648" max="16383" man="1"/>
    <brk id="3720" max="16383" man="1"/>
    <brk id="3792" max="16383" man="1"/>
    <brk id="3864" max="16383" man="1"/>
    <brk id="3936" max="16383" man="1"/>
    <brk id="4008" max="16383" man="1"/>
    <brk id="4080" max="16383" man="1"/>
    <brk id="4152" max="16383" man="1"/>
    <brk id="4224" max="16383" man="1"/>
    <brk id="4296" max="16383" man="1"/>
    <brk id="4368" max="16383" man="1"/>
    <brk id="4440" max="16383" man="1"/>
    <brk id="4512" max="16383" man="1"/>
    <brk id="4584" max="16383" man="1"/>
    <brk id="4656" max="16383" man="1"/>
    <brk id="5331" max="16383" man="1"/>
    <brk id="5403" max="16383" man="1"/>
    <brk id="5475" max="16383" man="1"/>
    <brk id="5547" max="16383" man="1"/>
    <brk id="5619" max="16383" man="1"/>
    <brk id="5691" max="16383" man="1"/>
    <brk id="5763" max="16383" man="1"/>
    <brk id="5835" max="16383" man="1"/>
    <brk id="5907" max="16383" man="1"/>
    <brk id="5979" max="16383" man="1"/>
    <brk id="6051" max="16383" man="1"/>
    <brk id="6123" max="16383" man="1"/>
    <brk id="6195" max="16383" man="1"/>
    <brk id="6267" max="16383" man="1"/>
    <brk id="6339" max="16383" man="1"/>
    <brk id="6411" max="16383" man="1"/>
    <brk id="6483" max="16383" man="1"/>
    <brk id="6555" max="16383" man="1"/>
    <brk id="6627" max="16383" man="1"/>
    <brk id="6699" max="16383" man="1"/>
    <brk id="6771" max="16383" man="1"/>
    <brk id="6843" max="16383" man="1"/>
    <brk id="6915" max="16383" man="1"/>
    <brk id="6987" max="16383" man="1"/>
    <brk id="7059" max="16383" man="1"/>
    <brk id="7131" max="16383" man="1"/>
    <brk id="7203" max="16383" man="1"/>
    <brk id="7275" max="16383" man="1"/>
    <brk id="7347" max="16383" man="1"/>
    <brk id="7419" max="16383" man="1"/>
    <brk id="7491" max="16383" man="1"/>
    <brk id="7563" max="16383" man="1"/>
    <brk id="7635" max="16383" man="1"/>
    <brk id="7707" max="16383" man="1"/>
    <brk id="7779" max="16383" man="1"/>
    <brk id="7851" max="16383" man="1"/>
    <brk id="7923" max="16383" man="1"/>
    <brk id="7995" max="16383" man="1"/>
    <brk id="8067" max="16383" man="1"/>
    <brk id="8139" max="16383" man="1"/>
    <brk id="8211" max="16383" man="1"/>
    <brk id="8283" max="16383" man="1"/>
    <brk id="8355" max="16383" man="1"/>
    <brk id="8427" max="16383" man="1"/>
    <brk id="8499" max="16383" man="1"/>
    <brk id="8571" max="16383" man="1"/>
    <brk id="8643" max="16383" man="1"/>
    <brk id="8715" max="16383" man="1"/>
    <brk id="8787" max="16383" man="1"/>
    <brk id="8859" max="16383" man="1"/>
    <brk id="8931" max="16383" man="1"/>
    <brk id="9003" max="16383" man="1"/>
    <brk id="9075" max="16383" man="1"/>
    <brk id="9147" max="16383" man="1"/>
    <brk id="9219" max="16383" man="1"/>
    <brk id="9291" max="16383" man="1"/>
    <brk id="9363" max="16383" man="1"/>
    <brk id="9435" max="16383" man="1"/>
    <brk id="9507" max="16383" man="1"/>
    <brk id="9579" max="16383" man="1"/>
    <brk id="9651" max="16383" man="1"/>
    <brk id="9723" max="16383" man="1"/>
    <brk id="9795" max="16383" man="1"/>
    <brk id="9867" max="16383" man="1"/>
    <brk id="9939" max="16383" man="1"/>
    <brk id="10011" max="16383" man="1"/>
    <brk id="10083" max="16383" man="1"/>
    <brk id="10155" max="16383" man="1"/>
    <brk id="10227" max="16383" man="1"/>
    <brk id="10299" max="16383" man="1"/>
    <brk id="10371" max="16383" man="1"/>
    <brk id="10443" max="16383" man="1"/>
    <brk id="10515"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B0E92FB0-F28A-41EF-8AE8-8181758B0BC3}">
          <x14:formula1>
            <xm:f>#REF!</xm:f>
          </x14:formula1>
          <xm:sqref>M1 M986:M6896 N6897:N1048576</xm:sqref>
        </x14:dataValidation>
        <x14:dataValidation type="list" allowBlank="1" showInputMessage="1" showErrorMessage="1" xr:uid="{D174A537-3C94-4ACF-97B4-CCD44C0530C9}">
          <x14:formula1>
            <xm:f>#REF!</xm:f>
          </x14:formula1>
          <xm:sqref>M2:M985</xm:sqref>
        </x14:dataValidation>
        <x14:dataValidation type="list" allowBlank="1" showInputMessage="1" showErrorMessage="1" xr:uid="{7863E805-5AFB-4737-96C3-73F2C6C52268}">
          <x14:formula1>
            <xm:f>#REF!</xm:f>
          </x14:formula1>
          <xm:sqref>C2:C820 C822:C1048576</xm:sqref>
        </x14:dataValidation>
        <x14:dataValidation type="list" allowBlank="1" showInputMessage="1" showErrorMessage="1" xr:uid="{E7F71387-4E47-4F9B-847E-37FF09BE0392}">
          <x14:formula1>
            <xm:f>#REF!</xm:f>
          </x14:formula1>
          <xm:sqref>M6897:M1048576 L1:L6896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S1000"/>
  <sheetViews>
    <sheetView zoomScale="70" zoomScaleNormal="70" workbookViewId="0">
      <pane ySplit="1" topLeftCell="A2" activePane="bottomLeft" state="frozen"/>
      <selection pane="bottomLeft" activeCell="X246" sqref="X246"/>
    </sheetView>
  </sheetViews>
  <sheetFormatPr defaultColWidth="9.453125" defaultRowHeight="15" customHeight="1" x14ac:dyDescent="0.35"/>
  <cols>
    <col min="1" max="1" width="16.54296875" style="155" customWidth="1"/>
    <col min="2" max="3" width="29.453125" style="144" customWidth="1"/>
    <col min="4" max="4" width="69" style="144" customWidth="1"/>
    <col min="5" max="5" width="13.453125" style="144" customWidth="1"/>
    <col min="6" max="9" width="13.54296875" style="144" customWidth="1"/>
    <col min="10" max="11" width="12.453125" style="144" customWidth="1"/>
    <col min="12" max="12" width="37.1796875" style="144" customWidth="1"/>
    <col min="13" max="13" width="47.81640625" style="144" customWidth="1"/>
    <col min="14" max="14" width="37.1796875" style="144" customWidth="1"/>
    <col min="15" max="15" width="47.81640625" style="144" customWidth="1"/>
    <col min="16" max="16" width="15" style="144" bestFit="1" customWidth="1"/>
    <col min="17" max="17" width="22.453125" style="144" customWidth="1"/>
    <col min="18" max="18" width="14.453125" style="144" customWidth="1"/>
    <col min="19" max="19" width="20.54296875" style="144" customWidth="1"/>
    <col min="20" max="20" width="19" style="156" bestFit="1" customWidth="1"/>
    <col min="21" max="21" width="25" style="144" bestFit="1" customWidth="1"/>
    <col min="22" max="22" width="21.453125" style="144" customWidth="1"/>
    <col min="23" max="23" width="47.81640625" style="144" customWidth="1"/>
    <col min="24" max="24" width="61.54296875" style="144" customWidth="1"/>
    <col min="25" max="25" width="41.453125" style="144" customWidth="1"/>
    <col min="26" max="26" width="45.54296875" style="144" customWidth="1"/>
    <col min="27" max="27" width="26" style="144" customWidth="1"/>
    <col min="28" max="28" width="17.453125" style="144" customWidth="1"/>
    <col min="29" max="29" width="11.453125" style="144" customWidth="1"/>
    <col min="30" max="34" width="9.453125" style="144"/>
    <col min="35" max="35" width="11" style="144" customWidth="1"/>
    <col min="36" max="49" width="9.453125" style="144"/>
    <col min="50" max="50" width="13" style="144" customWidth="1"/>
    <col min="51" max="16384" width="9.453125" style="144"/>
  </cols>
  <sheetData>
    <row r="1" spans="1:45" ht="56.25" customHeight="1" x14ac:dyDescent="0.35">
      <c r="A1" s="74" t="s">
        <v>96</v>
      </c>
      <c r="B1" s="67" t="s">
        <v>97</v>
      </c>
      <c r="C1" s="67" t="s">
        <v>2</v>
      </c>
      <c r="D1" s="67" t="s">
        <v>98</v>
      </c>
      <c r="E1" s="67" t="s">
        <v>1655</v>
      </c>
      <c r="F1" s="67" t="s">
        <v>100</v>
      </c>
      <c r="G1" s="67" t="s">
        <v>101</v>
      </c>
      <c r="H1" s="67" t="s">
        <v>102</v>
      </c>
      <c r="I1" s="67" t="s">
        <v>1656</v>
      </c>
      <c r="J1" s="67" t="s">
        <v>1657</v>
      </c>
      <c r="K1" s="13" t="s">
        <v>104</v>
      </c>
      <c r="L1" s="67" t="s">
        <v>1658</v>
      </c>
      <c r="M1" s="67" t="s">
        <v>0</v>
      </c>
      <c r="N1" s="67" t="s">
        <v>105</v>
      </c>
      <c r="O1" s="67" t="s">
        <v>1659</v>
      </c>
      <c r="P1" s="67" t="s">
        <v>107</v>
      </c>
      <c r="Q1" s="67" t="s">
        <v>108</v>
      </c>
      <c r="R1" s="67" t="s">
        <v>109</v>
      </c>
      <c r="S1" s="67" t="s">
        <v>1660</v>
      </c>
      <c r="T1" s="67" t="s">
        <v>111</v>
      </c>
      <c r="AS1" s="144" t="s">
        <v>112</v>
      </c>
    </row>
    <row r="2" spans="1:45" ht="30" customHeight="1" x14ac:dyDescent="0.35">
      <c r="A2" s="75">
        <v>1</v>
      </c>
      <c r="B2" s="69" t="s">
        <v>8</v>
      </c>
      <c r="C2" s="69" t="s">
        <v>8</v>
      </c>
      <c r="D2" s="68" t="s">
        <v>1661</v>
      </c>
      <c r="E2" s="72">
        <v>45384</v>
      </c>
      <c r="F2" s="72">
        <f>IF($E2="","",WORKDAY($E2,1,$W$33:$W$42))</f>
        <v>45385</v>
      </c>
      <c r="G2" s="72">
        <f>IF($E2="","",WORKDAY($E2,10,$W$33:$W$42))</f>
        <v>45398</v>
      </c>
      <c r="H2" s="72">
        <f>IF($E2="","",WORKDAY($E2,20,$W$33:$W$42))</f>
        <v>45412</v>
      </c>
      <c r="I2" s="72"/>
      <c r="J2" s="72" t="str">
        <f>IF(ISBLANK(E2),"",TEXT(E2,"mmm"))</f>
        <v>Apr</v>
      </c>
      <c r="K2" s="14" t="str">
        <f ca="1">IF(E2="","",IF(N2="",H2-TODAY(),""))</f>
        <v/>
      </c>
      <c r="L2" s="70" t="s">
        <v>1662</v>
      </c>
      <c r="M2" s="70" t="s">
        <v>24</v>
      </c>
      <c r="N2" s="70">
        <v>45385</v>
      </c>
      <c r="O2" s="145">
        <f>IF($N2="","",NETWORKDAYS($E2,$N2,$X$33:$X$48)-1)</f>
        <v>1</v>
      </c>
      <c r="P2" s="146" t="str">
        <f>IF(ISBLANK(N2),"",IF(N2&gt;H2,"No","Yes"))</f>
        <v>Yes</v>
      </c>
      <c r="Q2" s="71" t="s">
        <v>117</v>
      </c>
      <c r="R2" s="69" t="s">
        <v>118</v>
      </c>
      <c r="S2" s="69"/>
      <c r="T2" s="69"/>
      <c r="V2" s="76" t="s">
        <v>121</v>
      </c>
      <c r="W2" s="76">
        <f>COUNTIF(R$2:R$2102,"Yes")</f>
        <v>0</v>
      </c>
      <c r="X2" s="147">
        <f>W2/W5</f>
        <v>0</v>
      </c>
      <c r="AS2" s="144" t="str" cm="1">
        <f t="array" ref="AS2:AS1000">_xlfn.IFS($J$2:$J$1000="Apr","Quarter 1", $J$2:$J$1000="May","Quarter 1", $J$2:$J$1000="Jun","Quarter 1", $J$2:$J$1000="Jul","Quarter 2", $J$2:$J$1000="Aug","Quarter 2", $J$2:$J$1000="Sep","Quarter 2",$J$2:$J$1000="Oct","Quarter 3", $J$2:$J$1000="Nov","Quarter 3", $J$2:$J$1000="Dec","Quarter 3", $J$2:$J$1000="Jan","Quarter 4", $J$2:$J$1000="Feb","Quarter 4", $J$2:$J$1000="Mar","Quarter 4")</f>
        <v>Quarter 1</v>
      </c>
    </row>
    <row r="3" spans="1:45" ht="30" customHeight="1" x14ac:dyDescent="0.35">
      <c r="A3" s="75">
        <v>2</v>
      </c>
      <c r="B3" s="68" t="s">
        <v>8</v>
      </c>
      <c r="C3" s="68" t="s">
        <v>8</v>
      </c>
      <c r="D3" s="68" t="s">
        <v>1664</v>
      </c>
      <c r="E3" s="72">
        <v>45385</v>
      </c>
      <c r="F3" s="72">
        <f>IF($E3="","",WORKDAY($E3,1,$W$33:$W$42))</f>
        <v>45386</v>
      </c>
      <c r="G3" s="72">
        <f>IF($E3="","",WORKDAY($E3,10,$W$33:$W$42))</f>
        <v>45399</v>
      </c>
      <c r="H3" s="72">
        <f>IF($E3="","",WORKDAY($E3,20,$W$33:$W$42))</f>
        <v>45413</v>
      </c>
      <c r="I3" s="72"/>
      <c r="J3" s="72" t="str">
        <f t="shared" ref="J3:J26" si="0">IF(ISBLANK(E3),"",TEXT(E3,"mmm"))</f>
        <v>Apr</v>
      </c>
      <c r="K3" s="14" t="str">
        <f ca="1">IF(E3="","",IF(N3="",H3-TODAY(),""))</f>
        <v/>
      </c>
      <c r="L3" s="70" t="s">
        <v>1662</v>
      </c>
      <c r="M3" s="70" t="s">
        <v>24</v>
      </c>
      <c r="N3" s="70">
        <v>45385</v>
      </c>
      <c r="O3" s="145">
        <f>IF($N3="","",NETWORKDAYS($E3,$N3,$X$33:$X$48)-1)</f>
        <v>0</v>
      </c>
      <c r="P3" s="146" t="str">
        <f>IF(ISBLANK(N3),"",IF(N3&gt;H3,"No","Yes"))</f>
        <v>Yes</v>
      </c>
      <c r="Q3" s="71" t="s">
        <v>117</v>
      </c>
      <c r="R3" s="69" t="s">
        <v>118</v>
      </c>
      <c r="S3" s="69"/>
      <c r="T3" s="69"/>
      <c r="V3" s="76" t="s">
        <v>127</v>
      </c>
      <c r="W3" s="76">
        <f>COUNTIF(R$2:R$2102,"No")</f>
        <v>0</v>
      </c>
      <c r="AS3" s="144" t="str">
        <v>Quarter 1</v>
      </c>
    </row>
    <row r="4" spans="1:45" ht="30" customHeight="1" x14ac:dyDescent="0.35">
      <c r="A4" s="75">
        <v>3</v>
      </c>
      <c r="B4" s="68" t="s">
        <v>1666</v>
      </c>
      <c r="C4" s="68" t="s">
        <v>6</v>
      </c>
      <c r="D4" s="68" t="s">
        <v>1667</v>
      </c>
      <c r="E4" s="70">
        <v>45386</v>
      </c>
      <c r="F4" s="72">
        <f>IF($E4="","",WORKDAY($E4,1,$W$33:$W$42))</f>
        <v>45387</v>
      </c>
      <c r="G4" s="72">
        <f>IF($E4="","",WORKDAY($E4,10,$W$33:$W$42))</f>
        <v>45400</v>
      </c>
      <c r="H4" s="72">
        <f>IF($E4="","",WORKDAY($E4,20,$W$33:$W$42))</f>
        <v>45414</v>
      </c>
      <c r="I4" s="72"/>
      <c r="J4" s="72" t="str">
        <f t="shared" si="0"/>
        <v>Apr</v>
      </c>
      <c r="K4" s="14" t="str">
        <f ca="1">IF(E4="","",IF(N4="",H4-TODAY(),""))</f>
        <v/>
      </c>
      <c r="L4" s="70" t="s">
        <v>1662</v>
      </c>
      <c r="M4" s="70" t="s">
        <v>24</v>
      </c>
      <c r="N4" s="70">
        <v>45401</v>
      </c>
      <c r="O4" s="145">
        <f>IF($N4="","",NETWORKDAYS($E4,$N4,$X$33:$X$48)-1)</f>
        <v>11</v>
      </c>
      <c r="P4" s="146" t="str">
        <f>IF(ISBLANK(N4),"",IF(N4&gt;H4,"No","Yes"))</f>
        <v>Yes</v>
      </c>
      <c r="Q4" s="71" t="s">
        <v>117</v>
      </c>
      <c r="R4" s="69" t="s">
        <v>150</v>
      </c>
      <c r="S4" s="69"/>
      <c r="T4" s="69"/>
      <c r="V4" s="76" t="s">
        <v>136</v>
      </c>
      <c r="W4" s="76">
        <f>COUNTIF(R$2:R$2102,"N/A")</f>
        <v>0</v>
      </c>
      <c r="X4" s="76"/>
      <c r="AS4" s="144" t="str">
        <v>Quarter 1</v>
      </c>
    </row>
    <row r="5" spans="1:45" ht="30" customHeight="1" x14ac:dyDescent="0.35">
      <c r="A5" s="75">
        <v>4</v>
      </c>
      <c r="B5" s="69" t="s">
        <v>1669</v>
      </c>
      <c r="C5" s="69" t="s">
        <v>13</v>
      </c>
      <c r="D5" s="69" t="s">
        <v>1670</v>
      </c>
      <c r="E5" s="70">
        <v>45390</v>
      </c>
      <c r="F5" s="72">
        <f>IF($E5="","",WORKDAY($E5,1,$W$33:$W$42))</f>
        <v>45391</v>
      </c>
      <c r="G5" s="72">
        <f>IF($E5="","",WORKDAY($E5,10,$W$33:$W$42))</f>
        <v>45404</v>
      </c>
      <c r="H5" s="72">
        <f>IF($E5="","",WORKDAY($E5,20,$W$33:$W$42))</f>
        <v>45419</v>
      </c>
      <c r="I5" s="72"/>
      <c r="J5" s="72" t="str">
        <f t="shared" si="0"/>
        <v>Apr</v>
      </c>
      <c r="K5" s="14" t="str">
        <f ca="1">IF(E5="","",IF(N5="",H5-TODAY(),""))</f>
        <v/>
      </c>
      <c r="L5" s="70" t="s">
        <v>1662</v>
      </c>
      <c r="M5" s="70" t="s">
        <v>24</v>
      </c>
      <c r="N5" s="70">
        <v>45413</v>
      </c>
      <c r="O5" s="145">
        <f>IF($N5="","",NETWORKDAYS($E5,$N5,$X$33:$X$48)-1)</f>
        <v>17</v>
      </c>
      <c r="P5" s="146" t="str">
        <f>IF(ISBLANK(N5),"",IF(N5&gt;H5,"No","Yes"))</f>
        <v>Yes</v>
      </c>
      <c r="Q5" s="71" t="s">
        <v>117</v>
      </c>
      <c r="R5" s="69" t="s">
        <v>118</v>
      </c>
      <c r="S5" s="69"/>
      <c r="T5" s="69"/>
      <c r="V5" s="148" t="s">
        <v>143</v>
      </c>
      <c r="W5" s="144">
        <f>SUM(W16-W4)</f>
        <v>245</v>
      </c>
      <c r="AS5" s="144" t="str">
        <v>Quarter 1</v>
      </c>
    </row>
    <row r="6" spans="1:45" ht="30" customHeight="1" x14ac:dyDescent="0.35">
      <c r="A6" s="75">
        <v>5</v>
      </c>
      <c r="B6" s="69" t="s">
        <v>138</v>
      </c>
      <c r="C6" s="69" t="s">
        <v>19</v>
      </c>
      <c r="D6" s="69" t="s">
        <v>1672</v>
      </c>
      <c r="E6" s="70">
        <v>45392</v>
      </c>
      <c r="F6" s="72">
        <f>IF($E6="","",WORKDAY($E6,1,$W$33:$W$42))</f>
        <v>45393</v>
      </c>
      <c r="G6" s="72">
        <f>IF($E6="","",WORKDAY($E6,10,$W$33:$W$42))</f>
        <v>45406</v>
      </c>
      <c r="H6" s="72">
        <f>IF($E6="","",WORKDAY($E6,20,$W$33:$W$42))</f>
        <v>45421</v>
      </c>
      <c r="I6" s="72"/>
      <c r="J6" s="72" t="str">
        <f t="shared" si="0"/>
        <v>Apr</v>
      </c>
      <c r="K6" s="14" t="str">
        <f ca="1">IF(E6="","",IF(N6="",H6-TODAY(),""))</f>
        <v/>
      </c>
      <c r="L6" s="70" t="s">
        <v>1662</v>
      </c>
      <c r="M6" s="70" t="s">
        <v>24</v>
      </c>
      <c r="N6" s="70">
        <v>45393</v>
      </c>
      <c r="O6" s="145">
        <f>IF($N6="","",NETWORKDAYS($E6,$N6,$X$33:$X$48)-1)</f>
        <v>1</v>
      </c>
      <c r="P6" s="146" t="s">
        <v>116</v>
      </c>
      <c r="Q6" s="71" t="s">
        <v>117</v>
      </c>
      <c r="R6" s="69" t="s">
        <v>118</v>
      </c>
      <c r="S6" s="69"/>
      <c r="T6" s="69"/>
      <c r="V6" s="148"/>
      <c r="AS6" s="144" t="str">
        <v>Quarter 1</v>
      </c>
    </row>
    <row r="7" spans="1:45" ht="30" customHeight="1" x14ac:dyDescent="0.35">
      <c r="A7" s="75">
        <v>6</v>
      </c>
      <c r="B7" s="69" t="s">
        <v>138</v>
      </c>
      <c r="C7" s="69" t="s">
        <v>19</v>
      </c>
      <c r="D7" s="69" t="s">
        <v>1673</v>
      </c>
      <c r="E7" s="72">
        <v>45393</v>
      </c>
      <c r="F7" s="72">
        <f>IF($E7="","",WORKDAY($E7,1,$W$33:$W$42))</f>
        <v>45394</v>
      </c>
      <c r="G7" s="72">
        <f>IF($E7="","",WORKDAY($E7,10,$W$33:$W$42))</f>
        <v>45407</v>
      </c>
      <c r="H7" s="72">
        <f>IF($E7="","",WORKDAY($E7,20,$W$33:$W$42))</f>
        <v>45422</v>
      </c>
      <c r="I7" s="72"/>
      <c r="J7" s="72" t="str">
        <f t="shared" si="0"/>
        <v>Apr</v>
      </c>
      <c r="K7" s="14" t="str">
        <f ca="1">IF(E7="","",IF(N7="",H7-TODAY(),""))</f>
        <v/>
      </c>
      <c r="L7" s="70" t="s">
        <v>1662</v>
      </c>
      <c r="M7" s="70" t="s">
        <v>24</v>
      </c>
      <c r="N7" s="70">
        <v>45393</v>
      </c>
      <c r="O7" s="145">
        <f>IF($N7="","",NETWORKDAYS($E7,$N7,$X$33:$X$48)-1)</f>
        <v>0</v>
      </c>
      <c r="P7" s="146" t="str">
        <f>IF(ISBLANK(N7),"",IF(N7&gt;H7,"No","Yes"))</f>
        <v>Yes</v>
      </c>
      <c r="Q7" s="71" t="s">
        <v>117</v>
      </c>
      <c r="R7" s="69" t="s">
        <v>150</v>
      </c>
      <c r="S7" s="69"/>
      <c r="T7" s="69"/>
      <c r="V7" s="76" t="s">
        <v>117</v>
      </c>
      <c r="W7" s="76">
        <f>COUNTIF(T$2:T2102,"Complete")</f>
        <v>0</v>
      </c>
      <c r="AS7" s="144" t="str">
        <v>Quarter 1</v>
      </c>
    </row>
    <row r="8" spans="1:45" ht="30" customHeight="1" x14ac:dyDescent="0.35">
      <c r="A8" s="75">
        <v>7</v>
      </c>
      <c r="B8" s="68" t="s">
        <v>1674</v>
      </c>
      <c r="C8" s="68" t="s">
        <v>17</v>
      </c>
      <c r="D8" s="68" t="s">
        <v>1675</v>
      </c>
      <c r="E8" s="72">
        <v>45397</v>
      </c>
      <c r="F8" s="72">
        <f>IF($E8="","",WORKDAY($E8,1,$W$33:$W$42))</f>
        <v>45398</v>
      </c>
      <c r="G8" s="72">
        <f>IF($E8="","",WORKDAY($E8,10,$W$33:$W$42))</f>
        <v>45411</v>
      </c>
      <c r="H8" s="72">
        <f>IF($E8="","",WORKDAY($E8,20,$W$33:$W$42))</f>
        <v>45426</v>
      </c>
      <c r="I8" s="72"/>
      <c r="J8" s="72" t="str">
        <f t="shared" si="0"/>
        <v>Apr</v>
      </c>
      <c r="K8" s="14" t="str">
        <f ca="1">IF(E8="","",IF(N8="",H8-TODAY(),""))</f>
        <v/>
      </c>
      <c r="L8" s="70" t="s">
        <v>1662</v>
      </c>
      <c r="M8" s="70" t="s">
        <v>24</v>
      </c>
      <c r="N8" s="70">
        <v>45414</v>
      </c>
      <c r="O8" s="145">
        <f>IF($N8="","",NETWORKDAYS($E8,$N8,$X$33:$X$48)-1)</f>
        <v>13</v>
      </c>
      <c r="P8" s="146" t="str">
        <f>IF(ISBLANK(N8),"",IF(N8&gt;H8,"No","Yes"))</f>
        <v>Yes</v>
      </c>
      <c r="Q8" s="71" t="s">
        <v>117</v>
      </c>
      <c r="R8" s="69" t="s">
        <v>118</v>
      </c>
      <c r="S8" s="69"/>
      <c r="T8" s="69"/>
      <c r="V8" s="76" t="s">
        <v>125</v>
      </c>
      <c r="W8" s="76">
        <f>COUNTIF(T$2:T$2102,"In Progress")</f>
        <v>0</v>
      </c>
      <c r="X8" s="76"/>
      <c r="AS8" s="144" t="str">
        <v>Quarter 1</v>
      </c>
    </row>
    <row r="9" spans="1:45" ht="30" customHeight="1" x14ac:dyDescent="0.35">
      <c r="A9" s="75">
        <v>8</v>
      </c>
      <c r="B9" s="69" t="s">
        <v>8</v>
      </c>
      <c r="C9" s="69" t="s">
        <v>8</v>
      </c>
      <c r="D9" s="69" t="s">
        <v>1676</v>
      </c>
      <c r="E9" s="72">
        <v>45399</v>
      </c>
      <c r="F9" s="72">
        <f>IF($E9="","",WORKDAY($E9,1,$W$33:$W$42))</f>
        <v>45400</v>
      </c>
      <c r="G9" s="72">
        <f>IF($E9="","",WORKDAY($E9,10,$W$33:$W$42))</f>
        <v>45413</v>
      </c>
      <c r="H9" s="72">
        <f>IF($E9="","",WORKDAY($E9,20,$W$33:$W$42))</f>
        <v>45428</v>
      </c>
      <c r="I9" s="72"/>
      <c r="J9" s="72" t="str">
        <f t="shared" si="0"/>
        <v>Apr</v>
      </c>
      <c r="K9" s="14" t="str">
        <f ca="1">IF(E9="","",IF(N9="",H9-TODAY(),""))</f>
        <v/>
      </c>
      <c r="L9" s="70" t="s">
        <v>1662</v>
      </c>
      <c r="M9" s="70" t="s">
        <v>24</v>
      </c>
      <c r="N9" s="70">
        <v>45407</v>
      </c>
      <c r="O9" s="145">
        <f>IF($N9="","",NETWORKDAYS($E9,$N9,$X$33:$X$48)-1)</f>
        <v>6</v>
      </c>
      <c r="P9" s="146" t="str">
        <f>IF(ISBLANK(N9),"",IF(N9&gt;H9,"No","Yes"))</f>
        <v>Yes</v>
      </c>
      <c r="Q9" s="71" t="s">
        <v>117</v>
      </c>
      <c r="R9" s="69" t="s">
        <v>118</v>
      </c>
      <c r="S9" s="69"/>
      <c r="T9" s="69"/>
      <c r="V9" s="76" t="s">
        <v>131</v>
      </c>
      <c r="W9" s="76">
        <f>COUNTIF(T$2:T$2102,"Clarification Sought")</f>
        <v>0</v>
      </c>
      <c r="X9" s="76"/>
      <c r="Y9" s="76"/>
      <c r="AS9" s="144" t="str">
        <v>Quarter 1</v>
      </c>
    </row>
    <row r="10" spans="1:45" ht="30" customHeight="1" x14ac:dyDescent="0.35">
      <c r="A10" s="75">
        <v>9</v>
      </c>
      <c r="B10" s="68" t="s">
        <v>8</v>
      </c>
      <c r="C10" s="68" t="s">
        <v>8</v>
      </c>
      <c r="D10" s="68" t="s">
        <v>1678</v>
      </c>
      <c r="E10" s="149">
        <v>45399</v>
      </c>
      <c r="F10" s="72">
        <f>IF($E10="","",WORKDAY($E10,1,$W$33:$W$42))</f>
        <v>45400</v>
      </c>
      <c r="G10" s="72">
        <f>IF($E10="","",WORKDAY($E10,10,$W$33:$W$42))</f>
        <v>45413</v>
      </c>
      <c r="H10" s="72">
        <f>IF($E10="","",WORKDAY($E10,20,$W$33:$W$42))</f>
        <v>45428</v>
      </c>
      <c r="I10" s="72"/>
      <c r="J10" s="72" t="str">
        <f t="shared" si="0"/>
        <v>Apr</v>
      </c>
      <c r="K10" s="14" t="str">
        <f ca="1">IF(E10="","",IF(N10="",H10-TODAY(),""))</f>
        <v/>
      </c>
      <c r="L10" s="70" t="s">
        <v>1662</v>
      </c>
      <c r="M10" s="70" t="s">
        <v>14</v>
      </c>
      <c r="N10" s="70">
        <v>45400</v>
      </c>
      <c r="O10" s="145">
        <f>IF($N10="","",NETWORKDAYS($E10,$N10,$X$33:$X$48)-1)</f>
        <v>1</v>
      </c>
      <c r="P10" s="146" t="str">
        <f>IF(ISBLANK(N10),"",IF(N10&gt;H10,"No","Yes"))</f>
        <v>Yes</v>
      </c>
      <c r="Q10" s="71" t="s">
        <v>117</v>
      </c>
      <c r="R10" s="69" t="s">
        <v>118</v>
      </c>
      <c r="S10" s="69"/>
      <c r="T10" s="69"/>
      <c r="U10" s="76"/>
      <c r="V10" s="76" t="s">
        <v>140</v>
      </c>
      <c r="W10" s="76">
        <f>COUNTIF(T$2:T$2102,"Withdrawn")</f>
        <v>0</v>
      </c>
      <c r="AS10" s="144" t="str">
        <v>Quarter 1</v>
      </c>
    </row>
    <row r="11" spans="1:45" ht="30" customHeight="1" x14ac:dyDescent="0.35">
      <c r="A11" s="75">
        <v>10</v>
      </c>
      <c r="B11" s="68" t="s">
        <v>8</v>
      </c>
      <c r="C11" s="68" t="s">
        <v>8</v>
      </c>
      <c r="D11" s="68" t="s">
        <v>1676</v>
      </c>
      <c r="E11" s="72">
        <v>45400</v>
      </c>
      <c r="F11" s="72">
        <f>IF($E11="","",WORKDAY($E11,1,$W$33:$W$42))</f>
        <v>45401</v>
      </c>
      <c r="G11" s="72">
        <f>IF($E11="","",WORKDAY($E11,10,$W$33:$W$42))</f>
        <v>45414</v>
      </c>
      <c r="H11" s="72">
        <f>IF($E11="","",WORKDAY($E11,20,$W$33:$W$42))</f>
        <v>45429</v>
      </c>
      <c r="I11" s="72"/>
      <c r="J11" s="72" t="str">
        <f t="shared" si="0"/>
        <v>Apr</v>
      </c>
      <c r="K11" s="14" t="str">
        <f ca="1">IF(E11="","",IF(N11="",H11-TODAY(),""))</f>
        <v/>
      </c>
      <c r="L11" s="70" t="s">
        <v>1662</v>
      </c>
      <c r="M11" s="70" t="s">
        <v>24</v>
      </c>
      <c r="N11" s="70">
        <v>45425</v>
      </c>
      <c r="O11" s="145">
        <f>IF($N11="","",NETWORKDAYS($E11,$N11,$X$33:$X$48)-1)</f>
        <v>17</v>
      </c>
      <c r="P11" s="146" t="str">
        <f>IF(ISBLANK(N11),"",IF(N11&gt;H11,"No","Yes"))</f>
        <v>Yes</v>
      </c>
      <c r="Q11" s="71" t="s">
        <v>117</v>
      </c>
      <c r="R11" s="69" t="s">
        <v>118</v>
      </c>
      <c r="S11" s="69"/>
      <c r="T11" s="69"/>
      <c r="U11" s="76"/>
      <c r="V11" s="76" t="s">
        <v>133</v>
      </c>
      <c r="W11" s="76">
        <f>COUNTIF(T$2:T$2102,"Elapsed")</f>
        <v>0</v>
      </c>
      <c r="Y11" s="76"/>
      <c r="AS11" s="144" t="str">
        <v>Quarter 1</v>
      </c>
    </row>
    <row r="12" spans="1:45" ht="30" customHeight="1" x14ac:dyDescent="0.35">
      <c r="A12" s="75">
        <v>11</v>
      </c>
      <c r="B12" s="69" t="s">
        <v>8</v>
      </c>
      <c r="C12" s="69" t="s">
        <v>8</v>
      </c>
      <c r="D12" s="69" t="s">
        <v>1680</v>
      </c>
      <c r="E12" s="70">
        <v>45404</v>
      </c>
      <c r="F12" s="72">
        <f>IF($E12="","",WORKDAY($E12,1,$W$33:$W$42))</f>
        <v>45405</v>
      </c>
      <c r="G12" s="72">
        <f>IF($E12="","",WORKDAY($E12,10,$W$33:$W$42))</f>
        <v>45419</v>
      </c>
      <c r="H12" s="72">
        <f>IF($E12="","",WORKDAY($E12,20,$W$33:$W$42))</f>
        <v>45433</v>
      </c>
      <c r="I12" s="72"/>
      <c r="J12" s="72" t="str">
        <f t="shared" si="0"/>
        <v>Apr</v>
      </c>
      <c r="K12" s="14" t="str">
        <f ca="1">IF(E12="","",IF(N12="",H12-TODAY(),""))</f>
        <v/>
      </c>
      <c r="L12" s="70" t="s">
        <v>1662</v>
      </c>
      <c r="M12" s="70" t="s">
        <v>20</v>
      </c>
      <c r="N12" s="70">
        <v>45404</v>
      </c>
      <c r="O12" s="145">
        <f>IF($N12="","",NETWORKDAYS($E12,$N12,$X$33:$X$48)-1)</f>
        <v>0</v>
      </c>
      <c r="P12" s="146" t="str">
        <f>IF(ISBLANK(N12),"",IF(N12&gt;H12,"No","Yes"))</f>
        <v>Yes</v>
      </c>
      <c r="Q12" s="71" t="s">
        <v>117</v>
      </c>
      <c r="R12" s="69" t="s">
        <v>118</v>
      </c>
      <c r="S12" s="69"/>
      <c r="T12" s="69" t="s">
        <v>1681</v>
      </c>
      <c r="U12" s="76"/>
      <c r="AS12" s="144" t="str">
        <v>Quarter 1</v>
      </c>
    </row>
    <row r="13" spans="1:45" ht="30" customHeight="1" x14ac:dyDescent="0.35">
      <c r="A13" s="75">
        <v>12</v>
      </c>
      <c r="B13" s="69" t="s">
        <v>8</v>
      </c>
      <c r="C13" s="69" t="s">
        <v>8</v>
      </c>
      <c r="D13" s="69" t="s">
        <v>1676</v>
      </c>
      <c r="E13" s="70">
        <v>45404</v>
      </c>
      <c r="F13" s="72">
        <f>IF($E13="","",WORKDAY($E13,1,$W$33:$W$42))</f>
        <v>45405</v>
      </c>
      <c r="G13" s="72">
        <f>IF($E13="","",WORKDAY($E13,10,$W$33:$W$42))</f>
        <v>45419</v>
      </c>
      <c r="H13" s="72">
        <f>IF($E13="","",WORKDAY($E13,20,$W$33:$W$42))</f>
        <v>45433</v>
      </c>
      <c r="I13" s="72"/>
      <c r="J13" s="72" t="str">
        <f t="shared" si="0"/>
        <v>Apr</v>
      </c>
      <c r="K13" s="14" t="str">
        <f ca="1">IF(E13="","",IF(N13="",H13-TODAY(),""))</f>
        <v/>
      </c>
      <c r="L13" s="70" t="s">
        <v>1662</v>
      </c>
      <c r="M13" s="70" t="s">
        <v>24</v>
      </c>
      <c r="N13" s="70">
        <v>45407</v>
      </c>
      <c r="O13" s="145">
        <f>IF($N13="","",NETWORKDAYS($E13,$N13,$X$33:$X$48)-1)</f>
        <v>3</v>
      </c>
      <c r="P13" s="146" t="str">
        <f>IF(ISBLANK(N13),"",IF(N13&gt;H13,"No","Yes"))</f>
        <v>Yes</v>
      </c>
      <c r="Q13" s="71" t="s">
        <v>117</v>
      </c>
      <c r="R13" s="69" t="s">
        <v>132</v>
      </c>
      <c r="S13" s="69" t="s">
        <v>1679</v>
      </c>
      <c r="T13" s="69" t="s">
        <v>2124</v>
      </c>
      <c r="U13" s="76"/>
      <c r="AS13" s="144" t="str">
        <v>Quarter 1</v>
      </c>
    </row>
    <row r="14" spans="1:45" ht="30" customHeight="1" x14ac:dyDescent="0.35">
      <c r="A14" s="75">
        <v>13</v>
      </c>
      <c r="B14" s="68" t="s">
        <v>1682</v>
      </c>
      <c r="C14" s="68" t="s">
        <v>15</v>
      </c>
      <c r="D14" s="68" t="s">
        <v>1683</v>
      </c>
      <c r="E14" s="72">
        <v>45408</v>
      </c>
      <c r="F14" s="72">
        <f>IF($E14="","",WORKDAY($E14,1,$W$33:$W$42))</f>
        <v>45411</v>
      </c>
      <c r="G14" s="72">
        <f>IF($E14="","",WORKDAY($E14,10,$W$33:$W$42))</f>
        <v>45425</v>
      </c>
      <c r="H14" s="72">
        <f>IF($E14="","",WORKDAY($E14,20,$W$33:$W$42))</f>
        <v>45440</v>
      </c>
      <c r="I14" s="72"/>
      <c r="J14" s="72" t="str">
        <f t="shared" si="0"/>
        <v>Apr</v>
      </c>
      <c r="K14" s="14" t="str">
        <f ca="1">IF(E14="","",IF(N14="",H14-TODAY(),""))</f>
        <v/>
      </c>
      <c r="L14" s="72" t="s">
        <v>1662</v>
      </c>
      <c r="M14" s="70" t="s">
        <v>14</v>
      </c>
      <c r="N14" s="70">
        <v>45426</v>
      </c>
      <c r="O14" s="145">
        <f>IF($N14="","",NETWORKDAYS($E14,$N14,$X$33:$X$48)-1)</f>
        <v>12</v>
      </c>
      <c r="P14" s="146" t="str">
        <f>IF(ISBLANK(N14),"",IF(N14&gt;H14,"No","Yes"))</f>
        <v>Yes</v>
      </c>
      <c r="Q14" s="71" t="s">
        <v>117</v>
      </c>
      <c r="R14" s="69" t="s">
        <v>118</v>
      </c>
      <c r="S14" s="69"/>
      <c r="T14" s="69"/>
      <c r="U14" s="76"/>
      <c r="V14" s="76"/>
      <c r="X14" s="225" t="s">
        <v>166</v>
      </c>
      <c r="Y14" s="226"/>
      <c r="Z14" s="226"/>
      <c r="AA14" s="226"/>
      <c r="AB14" s="226"/>
      <c r="AC14" s="148"/>
      <c r="AS14" s="144" t="str">
        <v>Quarter 1</v>
      </c>
    </row>
    <row r="15" spans="1:45" ht="30" customHeight="1" x14ac:dyDescent="0.35">
      <c r="A15" s="75">
        <v>14</v>
      </c>
      <c r="B15" s="69" t="s">
        <v>8</v>
      </c>
      <c r="C15" s="69" t="s">
        <v>8</v>
      </c>
      <c r="D15" s="69" t="s">
        <v>1684</v>
      </c>
      <c r="E15" s="72">
        <v>45413</v>
      </c>
      <c r="F15" s="72">
        <f>IF($E15="","",WORKDAY($E15,1,$W$33:$W$42))</f>
        <v>45414</v>
      </c>
      <c r="G15" s="72">
        <f>IF($E15="","",WORKDAY($E15,10,$W$33:$W$42))</f>
        <v>45428</v>
      </c>
      <c r="H15" s="72">
        <f>IF($E15="","",WORKDAY($E15,20,$W$33:$W$42))</f>
        <v>45443</v>
      </c>
      <c r="I15" s="72"/>
      <c r="J15" s="72" t="str">
        <f t="shared" si="0"/>
        <v>May</v>
      </c>
      <c r="K15" s="14" t="str">
        <f ca="1">IF(E15="","",IF(N15="",H15-TODAY(),""))</f>
        <v/>
      </c>
      <c r="L15" s="70" t="s">
        <v>1662</v>
      </c>
      <c r="M15" s="70" t="s">
        <v>20</v>
      </c>
      <c r="N15" s="70">
        <v>45551</v>
      </c>
      <c r="O15" s="145">
        <f>IF($N15="","",NETWORKDAYS($E15,$N15,$X$33:$X$48)-1)</f>
        <v>98</v>
      </c>
      <c r="P15" s="146" t="str">
        <f>IF(ISBLANK(N15),"",IF(N15&gt;H15,"No","Yes"))</f>
        <v>No</v>
      </c>
      <c r="Q15" s="71" t="s">
        <v>117</v>
      </c>
      <c r="R15" s="69" t="s">
        <v>118</v>
      </c>
      <c r="S15" s="69"/>
      <c r="T15" s="69"/>
      <c r="U15" s="76"/>
      <c r="V15" s="76"/>
      <c r="W15" s="150" t="s">
        <v>169</v>
      </c>
      <c r="X15" s="143" t="s">
        <v>170</v>
      </c>
      <c r="Y15" s="143" t="s">
        <v>171</v>
      </c>
      <c r="Z15" s="143" t="s">
        <v>132</v>
      </c>
      <c r="AA15" s="143" t="s">
        <v>172</v>
      </c>
      <c r="AB15" s="143" t="s">
        <v>125</v>
      </c>
      <c r="AC15" s="151" t="s">
        <v>1685</v>
      </c>
      <c r="AD15" s="152" t="s">
        <v>140</v>
      </c>
      <c r="AS15" s="144" t="str">
        <v>Quarter 1</v>
      </c>
    </row>
    <row r="16" spans="1:45" ht="30" customHeight="1" x14ac:dyDescent="0.35">
      <c r="A16" s="75">
        <v>15</v>
      </c>
      <c r="B16" s="69" t="s">
        <v>8</v>
      </c>
      <c r="C16" s="69" t="s">
        <v>8</v>
      </c>
      <c r="D16" s="69" t="s">
        <v>1686</v>
      </c>
      <c r="E16" s="72">
        <v>45414</v>
      </c>
      <c r="F16" s="72">
        <f>IF($E16="","",WORKDAY($E16,1,$W$33:$W$42))</f>
        <v>45415</v>
      </c>
      <c r="G16" s="72">
        <f>IF($E16="","",WORKDAY($E16,10,$W$33:$W$42))</f>
        <v>45429</v>
      </c>
      <c r="H16" s="72">
        <f>IF($E16="","",WORKDAY($E16,20,$W$33:$W$42))</f>
        <v>45446</v>
      </c>
      <c r="I16" s="72"/>
      <c r="J16" s="72" t="str">
        <f t="shared" si="0"/>
        <v>May</v>
      </c>
      <c r="K16" s="14" t="str">
        <f ca="1">IF(E16="","",IF(N16="",H16-TODAY(),""))</f>
        <v/>
      </c>
      <c r="L16" s="69" t="s">
        <v>1662</v>
      </c>
      <c r="M16" s="70" t="s">
        <v>20</v>
      </c>
      <c r="N16" s="71">
        <v>45425</v>
      </c>
      <c r="O16" s="145">
        <f>IF($N16="","",NETWORKDAYS($E16,$N16,$X$33:$X$48)-1)</f>
        <v>7</v>
      </c>
      <c r="P16" s="146" t="str">
        <f>IF(ISBLANK(N16),"",IF(N16&gt;H16,"No","Yes"))</f>
        <v>Yes</v>
      </c>
      <c r="Q16" s="71" t="s">
        <v>117</v>
      </c>
      <c r="R16" s="69" t="s">
        <v>118</v>
      </c>
      <c r="S16" s="69"/>
      <c r="T16" s="69"/>
      <c r="U16" s="148"/>
      <c r="V16" s="76" t="s">
        <v>179</v>
      </c>
      <c r="W16" s="76">
        <f>SUM(W18:W29)</f>
        <v>245</v>
      </c>
      <c r="X16" s="76">
        <f>COUNTIF(R$2:R$50,"Full Disclosure")</f>
        <v>44</v>
      </c>
      <c r="Y16" s="76">
        <f>COUNTIF(R$2:R$50,"Partial Disclosure")</f>
        <v>1</v>
      </c>
      <c r="Z16" s="76">
        <f>COUNTIF(R$2:R$50,"Refused")</f>
        <v>1</v>
      </c>
      <c r="AA16" s="76">
        <f>COUNTIF(R$2:R$50,"Information Not Held")</f>
        <v>3</v>
      </c>
      <c r="AB16" s="76">
        <f>COUNTIF(R$2:R$50,"In Progress/Clarification")</f>
        <v>0</v>
      </c>
      <c r="AC16" s="76">
        <f>COUNTIF(T$2:T$2102,"elapsed")</f>
        <v>0</v>
      </c>
      <c r="AD16" s="76">
        <f>COUNTIF(T$2:T$2102,"withdrawn")</f>
        <v>0</v>
      </c>
      <c r="AS16" s="144" t="str">
        <v>Quarter 1</v>
      </c>
    </row>
    <row r="17" spans="1:45" ht="30" customHeight="1" x14ac:dyDescent="0.35">
      <c r="A17" s="75">
        <v>16</v>
      </c>
      <c r="B17" s="68" t="s">
        <v>8</v>
      </c>
      <c r="C17" s="68" t="s">
        <v>8</v>
      </c>
      <c r="D17" s="68" t="s">
        <v>1687</v>
      </c>
      <c r="E17" s="72">
        <v>45419</v>
      </c>
      <c r="F17" s="72">
        <f>IF($E17="","",WORKDAY($E17,1,$W$33:$W$42))</f>
        <v>45420</v>
      </c>
      <c r="G17" s="72">
        <f>IF($E17="","",WORKDAY($E17,10,$W$33:$W$42))</f>
        <v>45433</v>
      </c>
      <c r="H17" s="72">
        <f>IF($E17="","",WORKDAY($E17,20,$W$33:$W$42))</f>
        <v>45448</v>
      </c>
      <c r="I17" s="72"/>
      <c r="J17" s="72" t="str">
        <f t="shared" si="0"/>
        <v>May</v>
      </c>
      <c r="K17" s="14" t="str">
        <f ca="1">IF(E17="","",IF(N17="",H17-TODAY(),""))</f>
        <v/>
      </c>
      <c r="L17" s="69" t="s">
        <v>1662</v>
      </c>
      <c r="M17" s="69" t="s">
        <v>24</v>
      </c>
      <c r="N17" s="70">
        <v>45436</v>
      </c>
      <c r="O17" s="145">
        <f>IF($N17="","",NETWORKDAYS($E17,$N17,$X$33:$X$48)-1)</f>
        <v>13</v>
      </c>
      <c r="P17" s="146" t="str">
        <f>IF(ISBLANK(N17),"",IF(N17&gt;H17,"No","Yes"))</f>
        <v>Yes</v>
      </c>
      <c r="Q17" s="71" t="s">
        <v>117</v>
      </c>
      <c r="R17" s="69" t="s">
        <v>118</v>
      </c>
      <c r="S17" s="69"/>
      <c r="T17" s="69" t="s">
        <v>141</v>
      </c>
      <c r="U17" s="148"/>
      <c r="V17" s="76"/>
      <c r="W17" s="76"/>
      <c r="X17" s="76"/>
      <c r="Y17" s="76"/>
      <c r="Z17" s="76"/>
      <c r="AA17" s="76"/>
      <c r="AB17" s="76"/>
      <c r="AC17" s="76"/>
      <c r="AD17" s="76"/>
      <c r="AS17" s="144" t="str">
        <v>Quarter 1</v>
      </c>
    </row>
    <row r="18" spans="1:45" ht="30" customHeight="1" x14ac:dyDescent="0.35">
      <c r="A18" s="75">
        <v>17</v>
      </c>
      <c r="B18" s="69" t="s">
        <v>1144</v>
      </c>
      <c r="C18" s="69" t="s">
        <v>6</v>
      </c>
      <c r="D18" s="69" t="s">
        <v>1688</v>
      </c>
      <c r="E18" s="72">
        <v>45425</v>
      </c>
      <c r="F18" s="72">
        <f>IF($E18="","",WORKDAY($E18,1,$W$33:$W$42))</f>
        <v>45426</v>
      </c>
      <c r="G18" s="72">
        <f>IF($E18="","",WORKDAY($E18,10,$W$33:$W$42))</f>
        <v>45440</v>
      </c>
      <c r="H18" s="72">
        <f>IF($E18="","",WORKDAY($E18,20,$W$33:$W$42))</f>
        <v>45454</v>
      </c>
      <c r="I18" s="72"/>
      <c r="J18" s="72" t="str">
        <f t="shared" si="0"/>
        <v>May</v>
      </c>
      <c r="K18" s="14" t="str">
        <f ca="1">IF(E18="","",IF(N18="",H18-TODAY(),""))</f>
        <v/>
      </c>
      <c r="L18" s="70" t="s">
        <v>1662</v>
      </c>
      <c r="M18" s="70" t="s">
        <v>24</v>
      </c>
      <c r="N18" s="70">
        <v>45443</v>
      </c>
      <c r="O18" s="145">
        <f>IF($N18="","",NETWORKDAYS($E18,$N18,$X$33:$X$48)-1)</f>
        <v>14</v>
      </c>
      <c r="P18" s="146" t="str">
        <f>IF(ISBLANK(N18),"",IF(N18&gt;H18,"No","Yes"))</f>
        <v>Yes</v>
      </c>
      <c r="Q18" s="71" t="s">
        <v>117</v>
      </c>
      <c r="R18" s="69" t="s">
        <v>118</v>
      </c>
      <c r="S18" s="69"/>
      <c r="T18" s="69" t="s">
        <v>141</v>
      </c>
      <c r="U18" s="148"/>
      <c r="V18" s="76" t="s">
        <v>183</v>
      </c>
      <c r="W18" s="76">
        <f>COUNTIF(J$2:J$2497,"Jan")</f>
        <v>30</v>
      </c>
      <c r="X18" s="76">
        <f>COUNTIFS(J$2:J$2497,"jan",U$2:U$2497,"Full Disclosure")</f>
        <v>0</v>
      </c>
      <c r="Y18" s="76">
        <f>COUNTIFS(J$2:J$2497,"jan",U$2:U$2497,"Partial Disclosure")</f>
        <v>0</v>
      </c>
      <c r="Z18" s="76">
        <f>COUNTIFS(J$2:J$2497,"jan",U$2:U$2497,"Refused")</f>
        <v>0</v>
      </c>
      <c r="AA18" s="76">
        <f>COUNTIFS(J$2:J$2497,"jan",U$2:U$2497,"Information not held")</f>
        <v>0</v>
      </c>
      <c r="AB18" s="76">
        <f>COUNTIFS(J$2:J$2497,"jan",U$2:U$2497,"In Progress")</f>
        <v>0</v>
      </c>
      <c r="AC18" s="76">
        <f>COUNTIFS(J$2:J$2497,"jan",U$2:U$2497,"elapsed")</f>
        <v>0</v>
      </c>
      <c r="AD18" s="76">
        <f>COUNTIFS(J$2:J$2497,"jan",U$2:U$2497,"withdrawn")</f>
        <v>0</v>
      </c>
      <c r="AS18" s="144" t="str">
        <v>Quarter 1</v>
      </c>
    </row>
    <row r="19" spans="1:45" ht="30" customHeight="1" x14ac:dyDescent="0.35">
      <c r="A19" s="75">
        <v>18</v>
      </c>
      <c r="B19" s="69" t="s">
        <v>1689</v>
      </c>
      <c r="C19" s="69" t="s">
        <v>13</v>
      </c>
      <c r="D19" s="69" t="s">
        <v>1690</v>
      </c>
      <c r="E19" s="72">
        <v>45426</v>
      </c>
      <c r="F19" s="72">
        <f>IF($E19="","",WORKDAY($E19,1,$W$33:$W$42))</f>
        <v>45427</v>
      </c>
      <c r="G19" s="72">
        <f>IF($E19="","",WORKDAY($E19,10,$W$33:$W$42))</f>
        <v>45441</v>
      </c>
      <c r="H19" s="72">
        <f>IF($E19="","",WORKDAY($E19,20,$W$33:$W$42))</f>
        <v>45455</v>
      </c>
      <c r="I19" s="72"/>
      <c r="J19" s="72" t="str">
        <f t="shared" si="0"/>
        <v>May</v>
      </c>
      <c r="K19" s="14" t="str">
        <f ca="1">IF(E19="","",IF(N19="",H19-TODAY(),""))</f>
        <v/>
      </c>
      <c r="L19" s="70" t="s">
        <v>1662</v>
      </c>
      <c r="M19" s="70" t="s">
        <v>24</v>
      </c>
      <c r="N19" s="70">
        <v>45427</v>
      </c>
      <c r="O19" s="145">
        <f>IF($N19="","",NETWORKDAYS($E19,$N19,$X$33:$X$48)-1)</f>
        <v>1</v>
      </c>
      <c r="P19" s="146" t="str">
        <f>IF(ISBLANK(N19),"",IF(N19&gt;H19,"No","Yes"))</f>
        <v>Yes</v>
      </c>
      <c r="Q19" s="71" t="s">
        <v>117</v>
      </c>
      <c r="R19" s="69" t="s">
        <v>118</v>
      </c>
      <c r="S19" s="69"/>
      <c r="T19" s="69"/>
      <c r="U19" s="148"/>
      <c r="V19" s="76" t="s">
        <v>186</v>
      </c>
      <c r="W19" s="76">
        <f>COUNTIF(J$2:J$2497,"Feb")</f>
        <v>23</v>
      </c>
      <c r="X19" s="76">
        <f>COUNTIFS(J$2:J$2497,"Feb",U$2:U$2497,"Full Disclosure")</f>
        <v>0</v>
      </c>
      <c r="Y19" s="76">
        <f>COUNTIFS(J$2:J$2497,"feb",U$2:U$2497,"Partial Disclosure")</f>
        <v>0</v>
      </c>
      <c r="Z19" s="76">
        <f>COUNTIFS(J$2:J$2497,"feb",U$2:U$2497,"Refused")</f>
        <v>0</v>
      </c>
      <c r="AA19" s="76">
        <f>COUNTIFS(J$2:J$2497,"feb",U$2:U$2497,"Information not held")</f>
        <v>0</v>
      </c>
      <c r="AB19" s="76">
        <f>COUNTIFS(J$2:J$2497,"feb",U$2:U$2497,"In Progress")</f>
        <v>0</v>
      </c>
      <c r="AC19" s="76">
        <f>COUNTIFS(J$2:J$2497,"feb",U$2:U$2497,"elapsed")</f>
        <v>0</v>
      </c>
      <c r="AD19" s="76">
        <f>COUNTIFS(J$2:J$2497,"feb",U$2:U$2497,"withdrawn")</f>
        <v>0</v>
      </c>
      <c r="AS19" s="144" t="str">
        <v>Quarter 1</v>
      </c>
    </row>
    <row r="20" spans="1:45" ht="30" customHeight="1" x14ac:dyDescent="0.35">
      <c r="A20" s="75">
        <v>19</v>
      </c>
      <c r="B20" s="69" t="s">
        <v>580</v>
      </c>
      <c r="C20" s="69" t="s">
        <v>13</v>
      </c>
      <c r="D20" s="69" t="s">
        <v>1691</v>
      </c>
      <c r="E20" s="72">
        <v>45432</v>
      </c>
      <c r="F20" s="72">
        <f>IF($E20="","",WORKDAY($E20,1,$W$33:$W$42))</f>
        <v>45433</v>
      </c>
      <c r="G20" s="72">
        <f>IF($E20="","",WORKDAY($E20,10,$W$33:$W$42))</f>
        <v>45447</v>
      </c>
      <c r="H20" s="72">
        <f>IF($E20="","",WORKDAY($E20,20,$W$33:$W$42))</f>
        <v>45461</v>
      </c>
      <c r="I20" s="72"/>
      <c r="J20" s="72" t="str">
        <f t="shared" si="0"/>
        <v>May</v>
      </c>
      <c r="K20" s="14" t="str">
        <f ca="1">IF(E20="","",IF(N20="",H20-TODAY(),""))</f>
        <v/>
      </c>
      <c r="L20" s="70" t="s">
        <v>1662</v>
      </c>
      <c r="M20" s="70" t="s">
        <v>24</v>
      </c>
      <c r="N20" s="70">
        <v>45433</v>
      </c>
      <c r="O20" s="145">
        <f>IF($N20="","",NETWORKDAYS($E20,$N20,$X$33:$X$48)-1)</f>
        <v>1</v>
      </c>
      <c r="P20" s="146" t="str">
        <f>IF(ISBLANK(N20),"",IF(N20&gt;H20,"No","Yes"))</f>
        <v>Yes</v>
      </c>
      <c r="Q20" s="73" t="s">
        <v>117</v>
      </c>
      <c r="R20" s="71" t="s">
        <v>118</v>
      </c>
      <c r="S20" s="69"/>
      <c r="T20" s="69"/>
      <c r="U20" s="148"/>
      <c r="V20" s="76" t="s">
        <v>190</v>
      </c>
      <c r="W20" s="76">
        <f>COUNTIF(J$2:J$2497,"mar")</f>
        <v>46</v>
      </c>
      <c r="X20" s="76">
        <f>COUNTIFS(J$2:J$2497,"mar",U$2:U$2497,"Full Disclosure")</f>
        <v>0</v>
      </c>
      <c r="Y20" s="76">
        <f>COUNTIFS(J$2:J$2497,"mar",U$2:U$2497,"Partial Disclosure")</f>
        <v>0</v>
      </c>
      <c r="Z20" s="76">
        <f>COUNTIFS(J$2:J$2497,"mar",U$2:U$2497,"Refused")</f>
        <v>0</v>
      </c>
      <c r="AA20" s="76">
        <f>COUNTIFS(J$2:J$2497,"mar",U$2:U$2497,"Information not held")</f>
        <v>0</v>
      </c>
      <c r="AB20" s="76">
        <f>COUNTIFS(J$2:J$2497,"mar",U$2:U$2497,"In Progress")</f>
        <v>0</v>
      </c>
      <c r="AC20" s="76">
        <f>COUNTIFS(J$2:J$2497,"mar",U$2:U$2497,"elapsed")</f>
        <v>0</v>
      </c>
      <c r="AD20" s="76">
        <f>COUNTIFS(J$2:J$2497,"mar",U$2:U$2497,"withdrawn")</f>
        <v>0</v>
      </c>
      <c r="AS20" s="144" t="str">
        <v>Quarter 1</v>
      </c>
    </row>
    <row r="21" spans="1:45" ht="30" customHeight="1" x14ac:dyDescent="0.35">
      <c r="A21" s="75">
        <v>20</v>
      </c>
      <c r="B21" s="69" t="s">
        <v>8</v>
      </c>
      <c r="C21" s="69" t="s">
        <v>8</v>
      </c>
      <c r="D21" s="69" t="s">
        <v>1692</v>
      </c>
      <c r="E21" s="71">
        <v>45440</v>
      </c>
      <c r="F21" s="72">
        <f>IF($E21="","",WORKDAY($E21,1,$W$33:$W$42))</f>
        <v>45441</v>
      </c>
      <c r="G21" s="72">
        <f>IF($E21="","",WORKDAY($E21,10,$W$33:$W$42))</f>
        <v>45454</v>
      </c>
      <c r="H21" s="72">
        <f>IF($E21="","",WORKDAY($E21,20,$W$33:$W$42))</f>
        <v>45468</v>
      </c>
      <c r="I21" s="72"/>
      <c r="J21" s="72" t="str">
        <f t="shared" si="0"/>
        <v>May</v>
      </c>
      <c r="K21" s="14" t="str">
        <f ca="1">IF(E21="","",IF(N21="",H21-TODAY(),""))</f>
        <v/>
      </c>
      <c r="L21" s="70" t="s">
        <v>5</v>
      </c>
      <c r="M21" s="70" t="s">
        <v>16</v>
      </c>
      <c r="N21" s="70">
        <v>45447</v>
      </c>
      <c r="O21" s="145">
        <f>IF($N21="","",NETWORKDAYS($E21,$N21,$X$33:$X$48)-1)</f>
        <v>5</v>
      </c>
      <c r="P21" s="146" t="str">
        <f>IF(ISBLANK(N21),"",IF(N21&gt;H21,"No","Yes"))</f>
        <v>Yes</v>
      </c>
      <c r="Q21" s="73" t="s">
        <v>117</v>
      </c>
      <c r="R21" s="71" t="s">
        <v>118</v>
      </c>
      <c r="S21" s="69"/>
      <c r="T21" s="69"/>
      <c r="U21" s="148"/>
      <c r="V21" s="76" t="s">
        <v>195</v>
      </c>
      <c r="W21" s="76">
        <f>COUNTIF(J$2:J$2497,"apr")</f>
        <v>13</v>
      </c>
      <c r="X21" s="76">
        <f>COUNTIFS(J$2:J$2497,"apr",U$2:U$2497,"Full Disclosure")</f>
        <v>0</v>
      </c>
      <c r="Y21" s="76">
        <f>COUNTIFS(J$2:J$2497,"apr",U$2:U$2497,"Partial Disclosure")</f>
        <v>0</v>
      </c>
      <c r="Z21" s="76">
        <f>COUNTIFS(J$2:J$2497,"apr",U$2:U$2497,"Refused")</f>
        <v>0</v>
      </c>
      <c r="AA21" s="76">
        <f>COUNTIFS(J$2:J$2497,"apr",U$2:U$2497,"Information not held")</f>
        <v>0</v>
      </c>
      <c r="AB21" s="76">
        <f>COUNTIFS(J$2:J$2497,"apr",U$2:U$2497,"In Progress")</f>
        <v>0</v>
      </c>
      <c r="AC21" s="76">
        <f>COUNTIFS(J$2:J$2497,"apr",U$2:U$2497,"elapsed")</f>
        <v>0</v>
      </c>
      <c r="AD21" s="76">
        <f>COUNTIFS(J$2:J$2497,"apr",U$2:U$2497,"withdrawn")</f>
        <v>0</v>
      </c>
      <c r="AS21" s="144" t="str">
        <v>Quarter 1</v>
      </c>
    </row>
    <row r="22" spans="1:45" ht="30" customHeight="1" x14ac:dyDescent="0.35">
      <c r="A22" s="75">
        <v>21</v>
      </c>
      <c r="B22" s="69" t="s">
        <v>8</v>
      </c>
      <c r="C22" s="69" t="s">
        <v>8</v>
      </c>
      <c r="D22" s="69" t="s">
        <v>1693</v>
      </c>
      <c r="E22" s="71">
        <v>45441</v>
      </c>
      <c r="F22" s="72">
        <f>IF($E22="","",WORKDAY($E22,1,$W$33:$W$42))</f>
        <v>45442</v>
      </c>
      <c r="G22" s="72">
        <f>IF($E22="","",WORKDAY($E22,10,$W$33:$W$42))</f>
        <v>45455</v>
      </c>
      <c r="H22" s="72">
        <f>IF($E22="","",WORKDAY($E22,20,$W$33:$W$42))</f>
        <v>45469</v>
      </c>
      <c r="I22" s="72"/>
      <c r="J22" s="69" t="str">
        <f t="shared" si="0"/>
        <v>May</v>
      </c>
      <c r="K22" s="14" t="str">
        <f ca="1">IF(E22="","",IF(N22="",H22-TODAY(),""))</f>
        <v/>
      </c>
      <c r="L22" s="70" t="s">
        <v>1662</v>
      </c>
      <c r="M22" s="70" t="s">
        <v>24</v>
      </c>
      <c r="N22" s="70">
        <v>45467</v>
      </c>
      <c r="O22" s="145">
        <f>IF($N22="","",NETWORKDAYS($E22,$N22,$X$33:$X$48)-1)</f>
        <v>18</v>
      </c>
      <c r="P22" s="146" t="str">
        <f>IF(ISBLANK(N22),"",IF(N22&gt;H22,"No","Yes"))</f>
        <v>Yes</v>
      </c>
      <c r="Q22" s="73" t="s">
        <v>117</v>
      </c>
      <c r="R22" s="71" t="s">
        <v>118</v>
      </c>
      <c r="S22" s="77"/>
      <c r="T22" s="69" t="s">
        <v>141</v>
      </c>
      <c r="V22" s="76" t="s">
        <v>200</v>
      </c>
      <c r="W22" s="76">
        <f>COUNTIF(J$2:J$2497,"may")</f>
        <v>8</v>
      </c>
      <c r="X22" s="76">
        <f>COUNTIFS(J$2:J$2497,"may",U$2:U$2497,"Full Disclosure")</f>
        <v>0</v>
      </c>
      <c r="Y22" s="76">
        <f>COUNTIFS(J$2:J$2497,"may",U$2:U$2497,"Partial Disclosure")</f>
        <v>0</v>
      </c>
      <c r="Z22" s="76">
        <f>COUNTIFS(J$2:J$2497,"may",U$2:U$2497,"Refused")</f>
        <v>0</v>
      </c>
      <c r="AA22" s="76">
        <f>COUNTIFS(J$2:J$2497,"may",U$2:U$2497,"Information not held")</f>
        <v>0</v>
      </c>
      <c r="AB22" s="76">
        <f>COUNTIFS(J$2:J$2497,"may",U$2:U$2497,"In Progress")</f>
        <v>0</v>
      </c>
      <c r="AC22" s="76">
        <f>COUNTIFS(J$2:J$2497,"may",U$2:U$2497,"elapsed")</f>
        <v>0</v>
      </c>
      <c r="AD22" s="76">
        <f>COUNTIFS(J$2:J$2497,"may",U$2:U$2497,"withdrawn")</f>
        <v>0</v>
      </c>
      <c r="AS22" s="144" t="str">
        <v>Quarter 1</v>
      </c>
    </row>
    <row r="23" spans="1:45" ht="30" customHeight="1" x14ac:dyDescent="0.35">
      <c r="A23" s="75">
        <v>22</v>
      </c>
      <c r="B23" s="69" t="s">
        <v>8</v>
      </c>
      <c r="C23" s="69" t="s">
        <v>8</v>
      </c>
      <c r="D23" s="69" t="s">
        <v>1694</v>
      </c>
      <c r="E23" s="71">
        <v>45447</v>
      </c>
      <c r="F23" s="72">
        <f>IF($E23="","",WORKDAY($E23,1,$W$33:$W$42))</f>
        <v>45448</v>
      </c>
      <c r="G23" s="72">
        <f>IF($E23="","",WORKDAY($E23,10,$W$33:$W$42))</f>
        <v>45461</v>
      </c>
      <c r="H23" s="72">
        <f>IF($E23="","",WORKDAY($E23,20,$W$33:$W$42))</f>
        <v>45475</v>
      </c>
      <c r="I23" s="72"/>
      <c r="J23" s="69" t="str">
        <f t="shared" si="0"/>
        <v>Jun</v>
      </c>
      <c r="K23" s="14" t="str">
        <f ca="1">IF(E23="","",IF(N23="",H23-TODAY(),""))</f>
        <v/>
      </c>
      <c r="L23" s="70" t="s">
        <v>1662</v>
      </c>
      <c r="M23" s="70" t="s">
        <v>20</v>
      </c>
      <c r="N23" s="70">
        <v>45483</v>
      </c>
      <c r="O23" s="145">
        <f>IF($N23="","",NETWORKDAYS($E23,$N23,$X$33:$X$48)-1)</f>
        <v>26</v>
      </c>
      <c r="P23" s="146" t="str">
        <f>IF(ISBLANK(N23),"",IF(N23&gt;H23,"No","Yes"))</f>
        <v>No</v>
      </c>
      <c r="Q23" s="73" t="s">
        <v>117</v>
      </c>
      <c r="R23" s="71" t="s">
        <v>118</v>
      </c>
      <c r="S23" s="77" t="s">
        <v>1663</v>
      </c>
      <c r="T23" s="69" t="s">
        <v>141</v>
      </c>
      <c r="V23" s="76" t="s">
        <v>202</v>
      </c>
      <c r="W23" s="76">
        <f>COUNTIF(J$2:J$2497,"jun")</f>
        <v>17</v>
      </c>
      <c r="X23" s="76">
        <f>COUNTIFS(J$2:J$2497,"jun",U$2:U$2497,"Full Disclosure")</f>
        <v>0</v>
      </c>
      <c r="Y23" s="76">
        <f>COUNTIFS(J$2:J$2497,"jun",U$2:U$2497,"Partial Disclosure")</f>
        <v>0</v>
      </c>
      <c r="Z23" s="76">
        <f>COUNTIFS(J$2:J$2497,"junr",U$2:U$2497,"Refused")</f>
        <v>0</v>
      </c>
      <c r="AA23" s="76">
        <f>COUNTIFS(J$2:J$2497,"jun",U$2:U$2497,"Information not held")</f>
        <v>0</v>
      </c>
      <c r="AB23" s="76">
        <f>COUNTIFS(J$2:J$2497,"jun",U$2:U$2497,"In Progress")</f>
        <v>0</v>
      </c>
      <c r="AC23" s="76">
        <f>COUNTIFS(J$2:J$2497,"jun",U$2:U$2497,"elapsed")</f>
        <v>0</v>
      </c>
      <c r="AD23" s="76">
        <f>COUNTIFS(J$2:J$2497,"jun",U$2:U$2497,"withdrawn")</f>
        <v>0</v>
      </c>
      <c r="AS23" s="144" t="str">
        <v>Quarter 1</v>
      </c>
    </row>
    <row r="24" spans="1:45" ht="30" customHeight="1" x14ac:dyDescent="0.35">
      <c r="A24" s="75">
        <v>23</v>
      </c>
      <c r="B24" s="69" t="s">
        <v>338</v>
      </c>
      <c r="C24" s="69" t="s">
        <v>13</v>
      </c>
      <c r="D24" s="69" t="s">
        <v>1695</v>
      </c>
      <c r="E24" s="71">
        <v>45447</v>
      </c>
      <c r="F24" s="72">
        <f>IF($E24="","",WORKDAY($E24,1,$W$33:$W$42))</f>
        <v>45448</v>
      </c>
      <c r="G24" s="72">
        <f>IF($E24="","",WORKDAY($E24,10,$W$33:$W$42))</f>
        <v>45461</v>
      </c>
      <c r="H24" s="72">
        <f>IF($E24="","",WORKDAY($E24,20,$W$33:$W$42))</f>
        <v>45475</v>
      </c>
      <c r="I24" s="72"/>
      <c r="J24" s="69" t="str">
        <f t="shared" si="0"/>
        <v>Jun</v>
      </c>
      <c r="K24" s="14" t="str">
        <f ca="1">IF(E24="","",IF(N24="",H24-TODAY(),""))</f>
        <v/>
      </c>
      <c r="L24" s="70" t="s">
        <v>1662</v>
      </c>
      <c r="M24" s="70" t="s">
        <v>20</v>
      </c>
      <c r="N24" s="70">
        <v>45453</v>
      </c>
      <c r="O24" s="145">
        <f>IF($N24="","",NETWORKDAYS($E24,$N24,$X$33:$X$48)-1)</f>
        <v>4</v>
      </c>
      <c r="P24" s="146" t="str">
        <f>IF(ISBLANK(N24),"",IF(N24&gt;H24,"No","Yes"))</f>
        <v>Yes</v>
      </c>
      <c r="Q24" s="73" t="s">
        <v>117</v>
      </c>
      <c r="R24" s="71" t="s">
        <v>118</v>
      </c>
      <c r="S24" s="10" t="s">
        <v>1663</v>
      </c>
      <c r="T24" s="69"/>
      <c r="V24" s="76" t="s">
        <v>207</v>
      </c>
      <c r="W24" s="76">
        <f>COUNTIF(J$2:J$2497,"Jul")</f>
        <v>18</v>
      </c>
      <c r="X24" s="76">
        <f>COUNTIFS(J$2:J$2497,"jul",U$2:U$2497,"Full Disclosure")</f>
        <v>0</v>
      </c>
      <c r="Y24" s="76">
        <f>COUNTIFS(J$2:J$2497,"jul",U$2:U$2497,"Partial Disclosure")</f>
        <v>0</v>
      </c>
      <c r="Z24" s="76">
        <f>COUNTIFS(J$2:J$2497,"jul",U$2:U$2497,"Refused")</f>
        <v>0</v>
      </c>
      <c r="AA24" s="76">
        <f>COUNTIFS(J$2:J$2497,"jul",U$2:U$2497,"Information not held")</f>
        <v>0</v>
      </c>
      <c r="AB24" s="76">
        <f>COUNTIFS(J$2:J$2497,"jul",U$2:U$2497,"In Progress")</f>
        <v>0</v>
      </c>
      <c r="AC24" s="76">
        <f>COUNTIFS(J$2:J$2497,"jul",U$2:U$2497,"elapsed")</f>
        <v>0</v>
      </c>
      <c r="AD24" s="76">
        <f>COUNTIFS(J$2:J$2497,"jul",U$2:U$2497,"withdrawn")</f>
        <v>0</v>
      </c>
      <c r="AS24" s="144" t="str">
        <v>Quarter 1</v>
      </c>
    </row>
    <row r="25" spans="1:45" ht="30" customHeight="1" x14ac:dyDescent="0.35">
      <c r="A25" s="75">
        <v>24</v>
      </c>
      <c r="B25" s="69" t="s">
        <v>1696</v>
      </c>
      <c r="C25" s="69" t="s">
        <v>13</v>
      </c>
      <c r="D25" s="69" t="s">
        <v>1697</v>
      </c>
      <c r="E25" s="71">
        <v>45447</v>
      </c>
      <c r="F25" s="72">
        <f>IF($E25="","",WORKDAY($E25,1,$W$33:$W$42))</f>
        <v>45448</v>
      </c>
      <c r="G25" s="72">
        <f>IF($E25="","",WORKDAY($E25,10,$W$33:$W$42))</f>
        <v>45461</v>
      </c>
      <c r="H25" s="72">
        <f>IF($E25="","",WORKDAY($E25,20,$W$33:$W$42))</f>
        <v>45475</v>
      </c>
      <c r="I25" s="72"/>
      <c r="J25" s="69" t="str">
        <f t="shared" si="0"/>
        <v>Jun</v>
      </c>
      <c r="K25" s="14" t="str">
        <f ca="1">IF(E25="","",IF(N25="",H25-TODAY(),""))</f>
        <v/>
      </c>
      <c r="L25" s="70" t="s">
        <v>1662</v>
      </c>
      <c r="M25" s="70" t="s">
        <v>20</v>
      </c>
      <c r="N25" s="70">
        <v>45448</v>
      </c>
      <c r="O25" s="145">
        <f>IF($N25="","",NETWORKDAYS($E25,$N25,$X$33:$X$48)-1)</f>
        <v>1</v>
      </c>
      <c r="P25" s="146" t="str">
        <f>IF(ISBLANK(N25),"",IF(N25&gt;H25,"No","Yes"))</f>
        <v>Yes</v>
      </c>
      <c r="Q25" s="73" t="s">
        <v>117</v>
      </c>
      <c r="R25" s="71" t="s">
        <v>118</v>
      </c>
      <c r="S25" s="77"/>
      <c r="T25" s="69"/>
      <c r="V25" s="76" t="s">
        <v>212</v>
      </c>
      <c r="W25" s="76">
        <f>COUNTIF(J$2:J$2497,"Aug")</f>
        <v>20</v>
      </c>
      <c r="X25" s="76">
        <f>COUNTIFS(J$2:J$2497,"aug",U$2:U$2497,"Full Disclosure")</f>
        <v>0</v>
      </c>
      <c r="Y25" s="76">
        <f>COUNTIFS(J$2:J$2497,"aug",U$2:U$2497,"Partial Disclosure")</f>
        <v>0</v>
      </c>
      <c r="Z25" s="76">
        <f>COUNTIFS(J$2:J$2497,"aug",U$2:U$2497,"Refused")</f>
        <v>0</v>
      </c>
      <c r="AA25" s="76">
        <f>COUNTIFS(J$2:J$2497,"aug",U$2:U$2497,"Information not held")</f>
        <v>0</v>
      </c>
      <c r="AB25" s="76">
        <f>COUNTIFS(J$2:J$2497,"aug",U$2:U$2497,"In Progress")</f>
        <v>0</v>
      </c>
      <c r="AC25" s="76">
        <f>COUNTIFS(J$2:J$2497,"aug",U$2:U$2497,"elapsed")</f>
        <v>0</v>
      </c>
      <c r="AD25" s="76">
        <f>COUNTIFS(J$2:J$2497,"aug",U$2:U$2497,"withdrawn")</f>
        <v>0</v>
      </c>
      <c r="AS25" s="144" t="str">
        <v>Quarter 1</v>
      </c>
    </row>
    <row r="26" spans="1:45" ht="30" customHeight="1" x14ac:dyDescent="0.35">
      <c r="A26" s="75">
        <v>25</v>
      </c>
      <c r="B26" s="69" t="s">
        <v>1698</v>
      </c>
      <c r="C26" s="69" t="s">
        <v>13</v>
      </c>
      <c r="D26" s="69" t="s">
        <v>1699</v>
      </c>
      <c r="E26" s="71">
        <v>45447</v>
      </c>
      <c r="F26" s="72">
        <f>IF($E26="","",WORKDAY($E26,1,$W$33:$W$42))</f>
        <v>45448</v>
      </c>
      <c r="G26" s="72">
        <f>IF($E26="","",WORKDAY($E26,10,$W$33:$W$42))</f>
        <v>45461</v>
      </c>
      <c r="H26" s="72">
        <f>IF($E26="","",WORKDAY($E26,20,$W$33:$W$42))</f>
        <v>45475</v>
      </c>
      <c r="I26" s="72"/>
      <c r="J26" s="69" t="str">
        <f t="shared" si="0"/>
        <v>Jun</v>
      </c>
      <c r="K26" s="14" t="str">
        <f ca="1">IF(E26="","",IF(N26="",H26-TODAY(),""))</f>
        <v/>
      </c>
      <c r="L26" s="70" t="s">
        <v>1662</v>
      </c>
      <c r="M26" s="70" t="s">
        <v>20</v>
      </c>
      <c r="N26" s="70">
        <v>45463</v>
      </c>
      <c r="O26" s="145">
        <f>IF($N26="","",NETWORKDAYS($E26,$N26,$X$33:$X$48)-1)</f>
        <v>12</v>
      </c>
      <c r="P26" s="146" t="str">
        <f>IF(ISBLANK(N26),"",IF(N26&gt;H26,"No","Yes"))</f>
        <v>Yes</v>
      </c>
      <c r="Q26" s="73" t="s">
        <v>117</v>
      </c>
      <c r="R26" s="71" t="s">
        <v>118</v>
      </c>
      <c r="S26" s="77"/>
      <c r="T26" s="69"/>
      <c r="V26" s="76" t="s">
        <v>216</v>
      </c>
      <c r="W26" s="76">
        <f>COUNTIF(J$2:J$2497,"sep")</f>
        <v>13</v>
      </c>
      <c r="X26" s="76">
        <f>COUNTIFS(J$2:J$2497,"sep",U$2:U$2497,"Full Disclosure")</f>
        <v>0</v>
      </c>
      <c r="Y26" s="76">
        <f>COUNTIFS(J$2:J$2497,"sep",U$2:U$2497,"Partial Disclosure")</f>
        <v>0</v>
      </c>
      <c r="Z26" s="76">
        <f>COUNTIFS(J$2:J$2497,"sep",U$2:U$2497,"Refused")</f>
        <v>0</v>
      </c>
      <c r="AA26" s="76">
        <f>COUNTIFS(J$2:J$2497,"sep",U$2:U$2497,"Information not held")</f>
        <v>0</v>
      </c>
      <c r="AB26" s="76">
        <f>COUNTIFS(J$2:J$2497,"sep",U$2:U$2497,"In Progress")</f>
        <v>0</v>
      </c>
      <c r="AC26" s="76">
        <f>COUNTIFS(J$2:J$2497,"sep",U$2:U$2497,"elapsed")</f>
        <v>0</v>
      </c>
      <c r="AD26" s="76">
        <f>COUNTIFS(J$2:J$2497,"sep",U$2:U$2497,"withdrawn")</f>
        <v>0</v>
      </c>
      <c r="AS26" s="144" t="str">
        <v>Quarter 1</v>
      </c>
    </row>
    <row r="27" spans="1:45" ht="30" customHeight="1" x14ac:dyDescent="0.35">
      <c r="A27" s="75">
        <v>26</v>
      </c>
      <c r="B27" s="69" t="s">
        <v>1700</v>
      </c>
      <c r="C27" s="69" t="s">
        <v>13</v>
      </c>
      <c r="D27" s="69" t="s">
        <v>1701</v>
      </c>
      <c r="E27" s="71">
        <v>45453</v>
      </c>
      <c r="F27" s="72">
        <f>IF($E27="","",WORKDAY($E27,1,$W$33:$W$42))</f>
        <v>45454</v>
      </c>
      <c r="G27" s="72">
        <f>IF($E27="","",WORKDAY($E27,10,$W$33:$W$42))</f>
        <v>45467</v>
      </c>
      <c r="H27" s="72">
        <f>IF($E27="","",WORKDAY($E27,20,$W$33:$W$42))</f>
        <v>45481</v>
      </c>
      <c r="I27" s="72"/>
      <c r="J27" s="69" t="str">
        <f t="shared" ref="J27:J33" si="1">IF(ISBLANK(E27),"",TEXT(E27,"mmm"))</f>
        <v>Jun</v>
      </c>
      <c r="K27" s="14" t="str">
        <f ca="1">IF(E27="","",IF(N27="",H27-TODAY(),""))</f>
        <v/>
      </c>
      <c r="L27" s="70" t="s">
        <v>1662</v>
      </c>
      <c r="M27" s="70" t="s">
        <v>14</v>
      </c>
      <c r="N27" s="70">
        <v>45453</v>
      </c>
      <c r="O27" s="145">
        <f>IF($N27="","",NETWORKDAYS($E27,$N27,$X$33:$X$48)-1)</f>
        <v>0</v>
      </c>
      <c r="P27" s="146" t="str">
        <f>IF(ISBLANK(N27),"",IF(N27&gt;H27,"No","Yes"))</f>
        <v>Yes</v>
      </c>
      <c r="Q27" s="73" t="s">
        <v>117</v>
      </c>
      <c r="R27" s="71" t="s">
        <v>118</v>
      </c>
      <c r="S27" s="77"/>
      <c r="T27" s="69"/>
      <c r="V27" s="76" t="s">
        <v>220</v>
      </c>
      <c r="W27" s="76">
        <f>COUNTIF(J$2:J$2497,"oct")</f>
        <v>29</v>
      </c>
      <c r="X27" s="76">
        <f>COUNTIFS(J$2:J$2497,"oct",U$2:U$2497,"Full Disclosure")</f>
        <v>0</v>
      </c>
      <c r="Y27" s="76">
        <f>COUNTIFS(J$2:J$2497,"oct",U$2:U$2497,"Partial Disclosure")</f>
        <v>0</v>
      </c>
      <c r="Z27" s="76">
        <f>COUNTIFS(J$2:J$2497,"oct",U$2:U$2497,"Refused")</f>
        <v>0</v>
      </c>
      <c r="AA27" s="76">
        <f>COUNTIFS(J$2:J$2497,"oct",U$2:U$2497,"Information not held")</f>
        <v>0</v>
      </c>
      <c r="AB27" s="76">
        <f>COUNTIFS(J$2:J$2497,"oct",U$2:U$2497,"In Progress")</f>
        <v>0</v>
      </c>
      <c r="AC27" s="76">
        <f>COUNTIFS(J$2:J$2497,"oct",U$2:U$2497,"elapsed")</f>
        <v>0</v>
      </c>
      <c r="AD27" s="76">
        <f>COUNTIFS(J$2:J$2497,"oct",U$2:U$2497,"withdrawn")</f>
        <v>0</v>
      </c>
      <c r="AS27" s="144" t="str">
        <v>Quarter 1</v>
      </c>
    </row>
    <row r="28" spans="1:45" ht="30" customHeight="1" x14ac:dyDescent="0.35">
      <c r="A28" s="75">
        <v>27</v>
      </c>
      <c r="B28" s="69" t="s">
        <v>404</v>
      </c>
      <c r="C28" s="69" t="s">
        <v>13</v>
      </c>
      <c r="D28" s="69" t="s">
        <v>1702</v>
      </c>
      <c r="E28" s="71">
        <v>45455</v>
      </c>
      <c r="F28" s="72">
        <f>IF($E28="","",WORKDAY($E28,1,$W$33:$W$42))</f>
        <v>45456</v>
      </c>
      <c r="G28" s="72">
        <f>IF($E28="","",WORKDAY($E28,10,$W$33:$W$42))</f>
        <v>45469</v>
      </c>
      <c r="H28" s="72">
        <f>IF($E28="","",WORKDAY($E28,20,$W$33:$W$42))</f>
        <v>45483</v>
      </c>
      <c r="I28" s="72"/>
      <c r="J28" s="69" t="str">
        <f t="shared" si="1"/>
        <v>Jun</v>
      </c>
      <c r="K28" s="14" t="str">
        <f ca="1">IF(E28="","",IF(N28="",H28-TODAY(),""))</f>
        <v/>
      </c>
      <c r="L28" s="70" t="s">
        <v>1662</v>
      </c>
      <c r="M28" s="70" t="s">
        <v>20</v>
      </c>
      <c r="N28" s="70">
        <v>45457</v>
      </c>
      <c r="O28" s="145">
        <f>IF($N28="","",NETWORKDAYS($E28,$N28,$X$33:$X$48)-1)</f>
        <v>2</v>
      </c>
      <c r="P28" s="146" t="str">
        <f>IF(ISBLANK(N28),"",IF(N28&gt;H28,"No","Yes"))</f>
        <v>Yes</v>
      </c>
      <c r="Q28" s="73" t="s">
        <v>117</v>
      </c>
      <c r="R28" s="71" t="s">
        <v>118</v>
      </c>
      <c r="S28" s="77"/>
      <c r="T28" s="69" t="s">
        <v>141</v>
      </c>
      <c r="V28" s="76" t="s">
        <v>223</v>
      </c>
      <c r="W28" s="76">
        <f>COUNTIF(J$2:J$2497,"nov")</f>
        <v>12</v>
      </c>
      <c r="X28" s="76">
        <f>COUNTIFS(J$2:J$2497,"nov",U$2:U$2497,"Full Disclosure")</f>
        <v>0</v>
      </c>
      <c r="Y28" s="76">
        <f>COUNTIFS(J$2:J$2497,"nov",U$2:U$2497,"Partial Disclosure")</f>
        <v>0</v>
      </c>
      <c r="Z28" s="76">
        <f>COUNTIFS(J$2:J$2497,"nov",U$2:U$2497,"Refused")</f>
        <v>0</v>
      </c>
      <c r="AA28" s="76">
        <f>COUNTIFS(J$2:J$2497,"nov",U$2:U$2497,"Information not held")</f>
        <v>0</v>
      </c>
      <c r="AB28" s="76">
        <f>COUNTIFS(J$2:J$2497,"nov",U$2:U$2497,"In Progress")</f>
        <v>0</v>
      </c>
      <c r="AC28" s="76">
        <f>COUNTIFS(J$2:J$2497,"nov",U$2:U$2497,"elapsed")</f>
        <v>0</v>
      </c>
      <c r="AD28" s="76">
        <f>COUNTIFS(J$2:J$2497,"nov",U$2:U$2497,"withdrawn")</f>
        <v>0</v>
      </c>
      <c r="AS28" s="144" t="str">
        <v>Quarter 1</v>
      </c>
    </row>
    <row r="29" spans="1:45" ht="30" customHeight="1" x14ac:dyDescent="0.35">
      <c r="A29" s="75">
        <v>28</v>
      </c>
      <c r="B29" s="69" t="s">
        <v>1279</v>
      </c>
      <c r="C29" s="69" t="s">
        <v>13</v>
      </c>
      <c r="D29" s="69" t="s">
        <v>1703</v>
      </c>
      <c r="E29" s="71">
        <v>45455</v>
      </c>
      <c r="F29" s="72">
        <f>IF($E29="","",WORKDAY($E29,1,$W$33:$W$42))</f>
        <v>45456</v>
      </c>
      <c r="G29" s="72">
        <f>IF($E29="","",WORKDAY($E29,10,$W$33:$W$42))</f>
        <v>45469</v>
      </c>
      <c r="H29" s="72">
        <f>IF($E29="","",WORKDAY($E29,20,$W$33:$W$42))</f>
        <v>45483</v>
      </c>
      <c r="I29" s="72"/>
      <c r="J29" s="69" t="str">
        <f t="shared" si="1"/>
        <v>Jun</v>
      </c>
      <c r="K29" s="14" t="str">
        <f ca="1">IF(E29="","",IF(N29="",H29-TODAY(),""))</f>
        <v/>
      </c>
      <c r="L29" s="70" t="s">
        <v>1662</v>
      </c>
      <c r="M29" s="70" t="s">
        <v>20</v>
      </c>
      <c r="N29" s="70">
        <v>45460</v>
      </c>
      <c r="O29" s="145">
        <f>IF($N29="","",NETWORKDAYS($E29,$N29,$X$33:$X$48)-1)</f>
        <v>3</v>
      </c>
      <c r="P29" s="146" t="str">
        <f>IF(ISBLANK(N29),"",IF(N29&gt;H29,"No","Yes"))</f>
        <v>Yes</v>
      </c>
      <c r="Q29" s="73" t="s">
        <v>117</v>
      </c>
      <c r="R29" s="71" t="s">
        <v>118</v>
      </c>
      <c r="S29" s="77"/>
      <c r="T29" s="69"/>
      <c r="V29" s="76" t="s">
        <v>226</v>
      </c>
      <c r="W29" s="76">
        <f>COUNTIF(J$2:J$2497,"dec")</f>
        <v>16</v>
      </c>
      <c r="X29" s="76">
        <f>COUNTIFS(J$2:J$2497,"dec",U$2:U$2497,"Full Disclosure")</f>
        <v>0</v>
      </c>
      <c r="Y29" s="76">
        <f>COUNTIFS(J$2:J$2497,"dec",U$2:U$2497,"Partial Disclosure")</f>
        <v>0</v>
      </c>
      <c r="Z29" s="76">
        <f>COUNTIFS(J$2:J$2497,"dec",U$2:U$2497,"Refused")</f>
        <v>0</v>
      </c>
      <c r="AA29" s="76">
        <f>COUNTIFS(J$2:J$2497,"dec",U$2:U$2497,"Information not held")</f>
        <v>0</v>
      </c>
      <c r="AB29" s="76">
        <f>COUNTIFS(J$2:J$2497,"dec",U$2:U$2497,"In Progress")</f>
        <v>0</v>
      </c>
      <c r="AC29" s="76">
        <f>COUNTIFS(J$2:J$2497,"dec",U$2:U$2497,"elapsed")</f>
        <v>0</v>
      </c>
      <c r="AD29" s="76">
        <f>COUNTIFS(J$2:J$2497,"dec",U$2:U$2497,"withdrawn")</f>
        <v>0</v>
      </c>
      <c r="AS29" s="144" t="str">
        <v>Quarter 1</v>
      </c>
    </row>
    <row r="30" spans="1:45" ht="30" customHeight="1" x14ac:dyDescent="0.35">
      <c r="A30" s="75">
        <v>29</v>
      </c>
      <c r="B30" s="69" t="s">
        <v>1704</v>
      </c>
      <c r="C30" s="69" t="s">
        <v>15</v>
      </c>
      <c r="D30" s="69" t="s">
        <v>1705</v>
      </c>
      <c r="E30" s="71">
        <v>45450</v>
      </c>
      <c r="F30" s="72">
        <f>IF($E30="","",WORKDAY($E30,1,$W$33:$W$42))</f>
        <v>45453</v>
      </c>
      <c r="G30" s="72">
        <f>IF($E30="","",WORKDAY($E30,10,$W$33:$W$42))</f>
        <v>45464</v>
      </c>
      <c r="H30" s="72">
        <f>IF($E30="","",WORKDAY($E30,20,$W$33:$W$42))</f>
        <v>45478</v>
      </c>
      <c r="I30" s="72"/>
      <c r="J30" s="69" t="str">
        <f t="shared" si="1"/>
        <v>Jun</v>
      </c>
      <c r="K30" s="14" t="str">
        <f ca="1">IF(E30="","",IF(N30="",H30-TODAY(),""))</f>
        <v/>
      </c>
      <c r="L30" s="70" t="s">
        <v>1662</v>
      </c>
      <c r="M30" s="70" t="s">
        <v>20</v>
      </c>
      <c r="N30" s="70">
        <v>45457</v>
      </c>
      <c r="O30" s="145">
        <f>IF($N30="","",NETWORKDAYS($E30,$N30,$X$33:$X$48)-1)</f>
        <v>5</v>
      </c>
      <c r="P30" s="146" t="str">
        <f>IF(ISBLANK(N30),"",IF(N30&gt;H30,"No","Yes"))</f>
        <v>Yes</v>
      </c>
      <c r="Q30" s="73" t="s">
        <v>117</v>
      </c>
      <c r="R30" s="71" t="s">
        <v>118</v>
      </c>
      <c r="S30" s="77"/>
      <c r="T30" s="69"/>
      <c r="AS30" s="144" t="str">
        <v>Quarter 1</v>
      </c>
    </row>
    <row r="31" spans="1:45" ht="30" customHeight="1" x14ac:dyDescent="0.35">
      <c r="A31" s="75">
        <v>30</v>
      </c>
      <c r="B31" s="69" t="s">
        <v>138</v>
      </c>
      <c r="C31" s="69" t="s">
        <v>19</v>
      </c>
      <c r="D31" s="69" t="s">
        <v>1706</v>
      </c>
      <c r="E31" s="71">
        <v>45460</v>
      </c>
      <c r="F31" s="72">
        <f>IF($E31="","",WORKDAY($E31,1,$W$33:$W$42))</f>
        <v>45461</v>
      </c>
      <c r="G31" s="72">
        <f>IF($E31="","",WORKDAY($E31,10,$W$33:$W$42))</f>
        <v>45474</v>
      </c>
      <c r="H31" s="72">
        <f>IF($E31="","",WORKDAY($E31,20,$W$33:$W$42))</f>
        <v>45488</v>
      </c>
      <c r="I31" s="72"/>
      <c r="J31" s="69" t="str">
        <f t="shared" si="1"/>
        <v>Jun</v>
      </c>
      <c r="K31" s="14" t="str">
        <f ca="1">IF(E31="","",IF(N31="",H31-TODAY(),""))</f>
        <v/>
      </c>
      <c r="L31" s="70" t="s">
        <v>1662</v>
      </c>
      <c r="M31" s="70" t="s">
        <v>24</v>
      </c>
      <c r="N31" s="70">
        <v>45464</v>
      </c>
      <c r="O31" s="145">
        <f>IF($N31="","",NETWORKDAYS($E31,$N31,$X$33:$X$48)-1)</f>
        <v>4</v>
      </c>
      <c r="P31" s="146" t="str">
        <f>IF(ISBLANK(N31),"",IF(N31&gt;H31,"No","Yes"))</f>
        <v>Yes</v>
      </c>
      <c r="Q31" s="73" t="s">
        <v>117</v>
      </c>
      <c r="R31" s="71" t="s">
        <v>118</v>
      </c>
      <c r="S31" s="77"/>
      <c r="T31" s="69" t="s">
        <v>141</v>
      </c>
      <c r="AS31" s="144" t="str">
        <v>Quarter 1</v>
      </c>
    </row>
    <row r="32" spans="1:45" ht="30" customHeight="1" x14ac:dyDescent="0.35">
      <c r="A32" s="75">
        <v>31</v>
      </c>
      <c r="B32" s="69" t="s">
        <v>1707</v>
      </c>
      <c r="C32" s="69" t="s">
        <v>6</v>
      </c>
      <c r="D32" s="69" t="s">
        <v>1708</v>
      </c>
      <c r="E32" s="71">
        <v>45463</v>
      </c>
      <c r="F32" s="72">
        <f>IF($E32="","",WORKDAY($E32,1,$W$33:$W$42))</f>
        <v>45464</v>
      </c>
      <c r="G32" s="72">
        <f>IF($E32="","",WORKDAY($E32,10,$W$33:$W$42))</f>
        <v>45477</v>
      </c>
      <c r="H32" s="72">
        <f>IF($E32="","",WORKDAY($E32,20,$W$33:$W$42))</f>
        <v>45491</v>
      </c>
      <c r="I32" s="72"/>
      <c r="J32" s="69" t="str">
        <f t="shared" si="1"/>
        <v>Jun</v>
      </c>
      <c r="K32" s="14" t="str">
        <f ca="1">IF(E32="","",IF(N32="",H32-TODAY(),""))</f>
        <v/>
      </c>
      <c r="L32" s="70" t="s">
        <v>1662</v>
      </c>
      <c r="M32" s="70" t="s">
        <v>20</v>
      </c>
      <c r="N32" s="70">
        <v>45477</v>
      </c>
      <c r="O32" s="145">
        <f>IF($N32="","",NETWORKDAYS($E32,$N32,$X$33:$X$48)-1)</f>
        <v>10</v>
      </c>
      <c r="P32" s="146" t="str">
        <f>IF(ISBLANK(N32),"",IF(N32&gt;H32,"No","Yes"))</f>
        <v>Yes</v>
      </c>
      <c r="Q32" s="73" t="s">
        <v>117</v>
      </c>
      <c r="R32" s="71" t="s">
        <v>118</v>
      </c>
      <c r="S32" s="77"/>
      <c r="T32" s="69"/>
      <c r="V32" s="76"/>
      <c r="W32" s="76"/>
      <c r="X32" s="76"/>
      <c r="Y32" s="76"/>
      <c r="Z32" s="76"/>
      <c r="AA32" s="76"/>
      <c r="AB32" s="76"/>
      <c r="AC32" s="76"/>
      <c r="AD32" s="76"/>
      <c r="AS32" s="144" t="str">
        <v>Quarter 1</v>
      </c>
    </row>
    <row r="33" spans="1:45" ht="30" customHeight="1" x14ac:dyDescent="0.35">
      <c r="A33" s="75">
        <v>32</v>
      </c>
      <c r="B33" s="69" t="s">
        <v>1709</v>
      </c>
      <c r="C33" s="69" t="s">
        <v>13</v>
      </c>
      <c r="D33" s="69" t="s">
        <v>1710</v>
      </c>
      <c r="E33" s="71">
        <v>45463</v>
      </c>
      <c r="F33" s="72">
        <f>IF($E33="","",WORKDAY($E33,1,$W$33:$W$42))</f>
        <v>45464</v>
      </c>
      <c r="G33" s="72">
        <f>IF($E33="","",WORKDAY($E33,10,$W$33:$W$42))</f>
        <v>45477</v>
      </c>
      <c r="H33" s="72">
        <f>IF($E33="","",WORKDAY($E33,20,$W$33:$W$42))</f>
        <v>45491</v>
      </c>
      <c r="I33" s="72"/>
      <c r="J33" s="69" t="str">
        <f t="shared" si="1"/>
        <v>Jun</v>
      </c>
      <c r="K33" s="14" t="str">
        <f ca="1">IF(E33="","",IF(N33="",H33-TODAY(),""))</f>
        <v/>
      </c>
      <c r="L33" s="70" t="s">
        <v>1662</v>
      </c>
      <c r="M33" s="70" t="s">
        <v>20</v>
      </c>
      <c r="N33" s="70">
        <v>45463</v>
      </c>
      <c r="O33" s="145">
        <f>IF($N33="","",NETWORKDAYS($E33,$N33,$X$33:$X$48)-1)</f>
        <v>0</v>
      </c>
      <c r="P33" s="146" t="str">
        <f>IF(ISBLANK(N33),"",IF(N33&gt;H33,"No","Yes"))</f>
        <v>Yes</v>
      </c>
      <c r="Q33" s="73" t="s">
        <v>117</v>
      </c>
      <c r="R33" s="71" t="s">
        <v>118</v>
      </c>
      <c r="S33" s="77"/>
      <c r="T33" s="69"/>
      <c r="W33" s="153">
        <v>45383</v>
      </c>
      <c r="AS33" s="144" t="str">
        <v>Quarter 1</v>
      </c>
    </row>
    <row r="34" spans="1:45" ht="30" customHeight="1" x14ac:dyDescent="0.35">
      <c r="A34" s="75">
        <v>33</v>
      </c>
      <c r="B34" s="69" t="s">
        <v>1711</v>
      </c>
      <c r="C34" s="69" t="s">
        <v>13</v>
      </c>
      <c r="D34" s="69" t="s">
        <v>1712</v>
      </c>
      <c r="E34" s="71">
        <v>45463</v>
      </c>
      <c r="F34" s="72">
        <f>IF($E34="","",WORKDAY($E34,1,$W$33:$W$42))</f>
        <v>45464</v>
      </c>
      <c r="G34" s="72">
        <f>IF($E34="","",WORKDAY($E34,10,$W$33:$W$42))</f>
        <v>45477</v>
      </c>
      <c r="H34" s="72">
        <f>IF($E34="","",WORKDAY($E34,20,$W$33:$W$42))</f>
        <v>45491</v>
      </c>
      <c r="I34" s="72"/>
      <c r="J34" s="69" t="str">
        <f t="shared" ref="J34:J55" si="2">IF(ISBLANK(E34),"",TEXT(E34,"mmm"))</f>
        <v>Jun</v>
      </c>
      <c r="K34" s="14" t="str">
        <f ca="1">IF(E34="","",IF(N34="",H34-TODAY(),""))</f>
        <v/>
      </c>
      <c r="L34" s="70" t="s">
        <v>1662</v>
      </c>
      <c r="M34" s="70" t="s">
        <v>14</v>
      </c>
      <c r="N34" s="70">
        <v>45477</v>
      </c>
      <c r="O34" s="145">
        <f>IF($N34="","",NETWORKDAYS($E34,$N34,$X$33:$X$48)-1)</f>
        <v>10</v>
      </c>
      <c r="P34" s="146" t="str">
        <f>IF(ISBLANK(N34),"",IF(N34&gt;H34,"No","Yes"))</f>
        <v>Yes</v>
      </c>
      <c r="Q34" s="73" t="s">
        <v>117</v>
      </c>
      <c r="R34" s="71" t="s">
        <v>118</v>
      </c>
      <c r="S34" s="77"/>
      <c r="T34" s="69"/>
      <c r="W34" s="153">
        <v>45418</v>
      </c>
      <c r="AS34" s="144" t="str">
        <v>Quarter 1</v>
      </c>
    </row>
    <row r="35" spans="1:45" ht="30" customHeight="1" x14ac:dyDescent="0.35">
      <c r="A35" s="75">
        <v>34</v>
      </c>
      <c r="B35" s="69" t="s">
        <v>1713</v>
      </c>
      <c r="C35" s="69" t="s">
        <v>23</v>
      </c>
      <c r="D35" s="69" t="s">
        <v>1714</v>
      </c>
      <c r="E35" s="71">
        <v>45469</v>
      </c>
      <c r="F35" s="72">
        <f>IF($E35="","",WORKDAY($E35,1,$W$33:$W$42))</f>
        <v>45470</v>
      </c>
      <c r="G35" s="72">
        <f>IF($E35="","",WORKDAY($E35,10,$W$33:$W$42))</f>
        <v>45483</v>
      </c>
      <c r="H35" s="72">
        <f>IF($E35="","",WORKDAY($E35,20,$W$33:$W$42))</f>
        <v>45497</v>
      </c>
      <c r="I35" s="72"/>
      <c r="J35" s="69" t="str">
        <f t="shared" si="2"/>
        <v>Jun</v>
      </c>
      <c r="K35" s="14" t="str">
        <f ca="1">IF(E35="","",IF(N35="",H35-TODAY(),""))</f>
        <v/>
      </c>
      <c r="L35" s="70" t="s">
        <v>1662</v>
      </c>
      <c r="M35" s="70" t="s">
        <v>24</v>
      </c>
      <c r="N35" s="70">
        <v>45492</v>
      </c>
      <c r="O35" s="145">
        <f>IF($N35="","",NETWORKDAYS($E35,$N35,$X$33:$X$48)-1)</f>
        <v>17</v>
      </c>
      <c r="P35" s="146" t="str">
        <f>IF(ISBLANK(N35),"",IF(N35&gt;H35,"No","Yes"))</f>
        <v>Yes</v>
      </c>
      <c r="Q35" s="73" t="s">
        <v>117</v>
      </c>
      <c r="R35" s="71" t="s">
        <v>118</v>
      </c>
      <c r="S35" s="77"/>
      <c r="T35" s="69" t="s">
        <v>141</v>
      </c>
      <c r="V35" s="76"/>
      <c r="W35" s="153">
        <v>45439</v>
      </c>
      <c r="X35" s="76"/>
      <c r="Y35" s="76"/>
      <c r="Z35" s="76"/>
      <c r="AA35" s="76"/>
      <c r="AB35" s="76"/>
      <c r="AC35" s="76"/>
      <c r="AD35" s="76"/>
      <c r="AS35" s="144" t="str">
        <v>Quarter 1</v>
      </c>
    </row>
    <row r="36" spans="1:45" ht="30" customHeight="1" x14ac:dyDescent="0.35">
      <c r="A36" s="75">
        <v>35</v>
      </c>
      <c r="B36" s="69" t="s">
        <v>1713</v>
      </c>
      <c r="C36" s="69" t="s">
        <v>23</v>
      </c>
      <c r="D36" s="69" t="s">
        <v>1715</v>
      </c>
      <c r="E36" s="71">
        <v>45467</v>
      </c>
      <c r="F36" s="72">
        <f>IF($E36="","",WORKDAY($E36,1,$W$33:$W$42))</f>
        <v>45468</v>
      </c>
      <c r="G36" s="72">
        <f>IF($E36="","",WORKDAY($E36,10,$W$33:$W$42))</f>
        <v>45481</v>
      </c>
      <c r="H36" s="72">
        <f>IF($E36="","",WORKDAY($E36,20,$W$33:$W$42))</f>
        <v>45495</v>
      </c>
      <c r="I36" s="72"/>
      <c r="J36" s="69" t="str">
        <f t="shared" si="2"/>
        <v>Jun</v>
      </c>
      <c r="K36" s="14" t="str">
        <f ca="1">IF(E36="","",IF(N36="",H36-TODAY(),""))</f>
        <v/>
      </c>
      <c r="L36" s="70" t="s">
        <v>1662</v>
      </c>
      <c r="M36" s="70" t="s">
        <v>24</v>
      </c>
      <c r="N36" s="70">
        <v>45467</v>
      </c>
      <c r="O36" s="145">
        <f>IF($N36="","",NETWORKDAYS($E36,$N36,$X$33:$X$48)-1)</f>
        <v>0</v>
      </c>
      <c r="P36" s="146" t="str">
        <f>IF(ISBLANK(N36),"",IF(N36&gt;H36,"No","Yes"))</f>
        <v>Yes</v>
      </c>
      <c r="Q36" s="73" t="s">
        <v>117</v>
      </c>
      <c r="R36" s="71" t="s">
        <v>118</v>
      </c>
      <c r="S36" s="77"/>
      <c r="T36" s="69"/>
      <c r="W36" s="153">
        <v>45530</v>
      </c>
      <c r="AS36" s="144" t="str">
        <v>Quarter 1</v>
      </c>
    </row>
    <row r="37" spans="1:45" ht="30" customHeight="1" x14ac:dyDescent="0.35">
      <c r="A37" s="75">
        <v>36</v>
      </c>
      <c r="B37" s="69" t="s">
        <v>8</v>
      </c>
      <c r="C37" s="69" t="s">
        <v>8</v>
      </c>
      <c r="D37" s="69" t="s">
        <v>1716</v>
      </c>
      <c r="E37" s="71">
        <v>45469</v>
      </c>
      <c r="F37" s="72">
        <f>IF($E37="","",WORKDAY($E37,1,$W$33:$W$42))</f>
        <v>45470</v>
      </c>
      <c r="G37" s="72">
        <f>IF($E37="","",WORKDAY($E37,10,$W$33:$W$42))</f>
        <v>45483</v>
      </c>
      <c r="H37" s="72">
        <f>IF($E37="","",WORKDAY($E37,20,$W$33:$W$42))</f>
        <v>45497</v>
      </c>
      <c r="I37" s="72"/>
      <c r="J37" s="69" t="str">
        <f t="shared" si="2"/>
        <v>Jun</v>
      </c>
      <c r="K37" s="14" t="str">
        <f ca="1">IF(E37="","",IF(N37="",H37-TODAY(),""))</f>
        <v/>
      </c>
      <c r="L37" s="70" t="s">
        <v>1662</v>
      </c>
      <c r="M37" s="70" t="s">
        <v>20</v>
      </c>
      <c r="N37" s="70">
        <v>45483</v>
      </c>
      <c r="O37" s="145">
        <f>IF($N37="","",NETWORKDAYS($E37,$N37,$X$33:$X$48)-1)</f>
        <v>10</v>
      </c>
      <c r="P37" s="146" t="str">
        <f>IF(ISBLANK(N37),"",IF(N37&gt;H37,"No","Yes"))</f>
        <v>Yes</v>
      </c>
      <c r="Q37" s="73" t="s">
        <v>117</v>
      </c>
      <c r="R37" s="71" t="s">
        <v>118</v>
      </c>
      <c r="S37" s="77" t="s">
        <v>1665</v>
      </c>
      <c r="T37" s="69"/>
      <c r="W37" s="153">
        <v>45651</v>
      </c>
      <c r="AS37" s="144" t="str">
        <v>Quarter 1</v>
      </c>
    </row>
    <row r="38" spans="1:45" ht="30" customHeight="1" x14ac:dyDescent="0.35">
      <c r="A38" s="75">
        <v>37</v>
      </c>
      <c r="B38" s="69" t="s">
        <v>138</v>
      </c>
      <c r="C38" s="69" t="s">
        <v>19</v>
      </c>
      <c r="D38" s="69" t="s">
        <v>1717</v>
      </c>
      <c r="E38" s="71">
        <v>45469</v>
      </c>
      <c r="F38" s="72">
        <f>IF($E38="","",WORKDAY($E38,1,$W$33:$W$42))</f>
        <v>45470</v>
      </c>
      <c r="G38" s="72">
        <f>IF($E38="","",WORKDAY($E38,10,$W$33:$W$42))</f>
        <v>45483</v>
      </c>
      <c r="H38" s="72">
        <f>IF($E38="","",WORKDAY($E38,20,$W$33:$W$42))</f>
        <v>45497</v>
      </c>
      <c r="I38" s="72"/>
      <c r="J38" s="69" t="str">
        <f t="shared" si="2"/>
        <v>Jun</v>
      </c>
      <c r="K38" s="14" t="str">
        <f ca="1">IF(E38="","",IF(N38="",H38-TODAY(),""))</f>
        <v/>
      </c>
      <c r="L38" s="70" t="s">
        <v>1662</v>
      </c>
      <c r="M38" s="70" t="s">
        <v>24</v>
      </c>
      <c r="N38" s="70">
        <v>45471</v>
      </c>
      <c r="O38" s="145">
        <f>IF($N38="","",NETWORKDAYS($E38,$N38,$X$33:$X$48)-1)</f>
        <v>2</v>
      </c>
      <c r="P38" s="146" t="str">
        <f>IF(ISBLANK(N38),"",IF(N38&gt;H38,"No","Yes"))</f>
        <v>Yes</v>
      </c>
      <c r="Q38" s="73" t="s">
        <v>117</v>
      </c>
      <c r="R38" s="71" t="s">
        <v>150</v>
      </c>
      <c r="S38" s="77"/>
      <c r="T38" s="69"/>
      <c r="V38" s="76"/>
      <c r="W38" s="153">
        <v>45652</v>
      </c>
      <c r="X38" s="76"/>
      <c r="Y38" s="76"/>
      <c r="Z38" s="76"/>
      <c r="AA38" s="76"/>
      <c r="AB38" s="76"/>
      <c r="AC38" s="76"/>
      <c r="AD38" s="76"/>
      <c r="AS38" s="144" t="str">
        <v>Quarter 1</v>
      </c>
    </row>
    <row r="39" spans="1:45" ht="30" customHeight="1" x14ac:dyDescent="0.35">
      <c r="A39" s="75">
        <v>38</v>
      </c>
      <c r="B39" s="69" t="s">
        <v>1718</v>
      </c>
      <c r="C39" s="69" t="s">
        <v>17</v>
      </c>
      <c r="D39" s="154" t="s">
        <v>1719</v>
      </c>
      <c r="E39" s="71">
        <v>45475</v>
      </c>
      <c r="F39" s="72">
        <f>IF($E39="","",WORKDAY($E39,1,$W$33:$W$42))</f>
        <v>45476</v>
      </c>
      <c r="G39" s="72">
        <f>IF($E39="","",WORKDAY($E39,10,$W$33:$W$42))</f>
        <v>45489</v>
      </c>
      <c r="H39" s="72">
        <f>IF($E39="","",WORKDAY($E39,20,$W$33:$W$42))</f>
        <v>45503</v>
      </c>
      <c r="I39" s="72"/>
      <c r="J39" s="69" t="str">
        <f t="shared" si="2"/>
        <v>Jul</v>
      </c>
      <c r="K39" s="14" t="str">
        <f ca="1">IF(E39="","",IF(N39="",H39-TODAY(),""))</f>
        <v/>
      </c>
      <c r="L39" s="70" t="s">
        <v>1662</v>
      </c>
      <c r="M39" s="70" t="s">
        <v>14</v>
      </c>
      <c r="N39" s="70">
        <v>45475</v>
      </c>
      <c r="O39" s="145">
        <f>IF($N39="","",NETWORKDAYS($E39,$N39,$X$33:$X$48)-1)</f>
        <v>0</v>
      </c>
      <c r="P39" s="146" t="str">
        <f>IF(ISBLANK(N39),"",IF(N39&gt;H39,"No","Yes"))</f>
        <v>Yes</v>
      </c>
      <c r="Q39" s="73" t="s">
        <v>117</v>
      </c>
      <c r="R39" s="71" t="s">
        <v>118</v>
      </c>
      <c r="S39" s="77"/>
      <c r="T39" s="69"/>
      <c r="W39" s="153">
        <v>45658</v>
      </c>
      <c r="AS39" s="144" t="str">
        <v>Quarter 2</v>
      </c>
    </row>
    <row r="40" spans="1:45" ht="30" customHeight="1" x14ac:dyDescent="0.35">
      <c r="A40" s="75">
        <v>39</v>
      </c>
      <c r="B40" s="69" t="s">
        <v>803</v>
      </c>
      <c r="C40" s="69" t="s">
        <v>6</v>
      </c>
      <c r="D40" s="69" t="s">
        <v>1720</v>
      </c>
      <c r="E40" s="71">
        <v>45476</v>
      </c>
      <c r="F40" s="72">
        <f>IF($E40="","",WORKDAY($E40,1,$W$33:$W$42))</f>
        <v>45477</v>
      </c>
      <c r="G40" s="72">
        <f>IF($E40="","",WORKDAY($E40,10,$W$33:$W$42))</f>
        <v>45490</v>
      </c>
      <c r="H40" s="72">
        <f>IF($E40="","",WORKDAY($E40,20,$W$33:$W$42))</f>
        <v>45504</v>
      </c>
      <c r="I40" s="72"/>
      <c r="J40" s="69" t="str">
        <f t="shared" si="2"/>
        <v>Jul</v>
      </c>
      <c r="K40" s="14" t="str">
        <f ca="1">IF(E40="","",IF(N40="",H40-TODAY(),""))</f>
        <v/>
      </c>
      <c r="L40" s="70" t="s">
        <v>1662</v>
      </c>
      <c r="M40" s="70" t="s">
        <v>20</v>
      </c>
      <c r="N40" s="70">
        <v>45488</v>
      </c>
      <c r="O40" s="145">
        <f>IF($N40="","",NETWORKDAYS($E40,$N40,$X$33:$X$48)-1)</f>
        <v>8</v>
      </c>
      <c r="P40" s="146" t="str">
        <f>IF(ISBLANK(N40),"",IF(N40&gt;H40,"No","Yes"))</f>
        <v>Yes</v>
      </c>
      <c r="Q40" s="73" t="s">
        <v>117</v>
      </c>
      <c r="R40" s="71" t="s">
        <v>118</v>
      </c>
      <c r="S40" s="77"/>
      <c r="T40" s="69"/>
      <c r="W40" s="220">
        <v>45765</v>
      </c>
      <c r="AS40" s="144" t="str">
        <v>Quarter 2</v>
      </c>
    </row>
    <row r="41" spans="1:45" ht="30" customHeight="1" x14ac:dyDescent="0.35">
      <c r="A41" s="75">
        <v>40</v>
      </c>
      <c r="B41" s="69" t="s">
        <v>8</v>
      </c>
      <c r="C41" s="69" t="s">
        <v>8</v>
      </c>
      <c r="D41" s="69" t="s">
        <v>1721</v>
      </c>
      <c r="E41" s="71">
        <v>45468</v>
      </c>
      <c r="F41" s="72">
        <f>IF($E41="","",WORKDAY($E41,1,$W$33:$W$42))</f>
        <v>45469</v>
      </c>
      <c r="G41" s="72">
        <f>IF($E41="","",WORKDAY($E41,10,$W$33:$W$42))</f>
        <v>45482</v>
      </c>
      <c r="H41" s="72">
        <f>IF($E41="","",WORKDAY($E41,20,$W$33:$W$42))</f>
        <v>45496</v>
      </c>
      <c r="I41" s="72"/>
      <c r="J41" s="69" t="str">
        <f t="shared" si="2"/>
        <v>Jun</v>
      </c>
      <c r="K41" s="14" t="str">
        <f ca="1">IF(E41="","",IF(N41="",H41-TODAY(),""))</f>
        <v/>
      </c>
      <c r="L41" s="70" t="s">
        <v>1662</v>
      </c>
      <c r="M41" s="70" t="s">
        <v>24</v>
      </c>
      <c r="N41" s="70">
        <v>45481</v>
      </c>
      <c r="O41" s="145">
        <f>IF($N41="","",NETWORKDAYS($E41,$N41,$X$33:$X$48)-1)</f>
        <v>9</v>
      </c>
      <c r="P41" s="146" t="str">
        <f>IF(ISBLANK(N41),"",IF(N41&gt;H41,"No","Yes"))</f>
        <v>Yes</v>
      </c>
      <c r="Q41" s="73" t="s">
        <v>117</v>
      </c>
      <c r="R41" s="71" t="s">
        <v>118</v>
      </c>
      <c r="S41" s="77"/>
      <c r="T41" s="69"/>
      <c r="V41" s="76"/>
      <c r="W41" s="220">
        <v>45768</v>
      </c>
      <c r="X41" s="76"/>
      <c r="Y41" s="76"/>
      <c r="Z41" s="76"/>
      <c r="AA41" s="76"/>
      <c r="AB41" s="76"/>
      <c r="AC41" s="76"/>
      <c r="AD41" s="76"/>
      <c r="AS41" s="144" t="str">
        <v>Quarter 1</v>
      </c>
    </row>
    <row r="42" spans="1:45" ht="30" customHeight="1" x14ac:dyDescent="0.35">
      <c r="A42" s="75">
        <v>41</v>
      </c>
      <c r="B42" s="69" t="s">
        <v>1718</v>
      </c>
      <c r="C42" s="69" t="s">
        <v>17</v>
      </c>
      <c r="D42" s="69" t="s">
        <v>1719</v>
      </c>
      <c r="E42" s="71">
        <v>45481</v>
      </c>
      <c r="F42" s="72">
        <f>IF($E42="","",WORKDAY($E42,1,$W$33:$W$42))</f>
        <v>45482</v>
      </c>
      <c r="G42" s="72">
        <f>IF($E42="","",WORKDAY($E42,10,$W$33:$W$42))</f>
        <v>45495</v>
      </c>
      <c r="H42" s="72">
        <f>IF($E42="","",WORKDAY($E42,20,$W$33:$W$42))</f>
        <v>45509</v>
      </c>
      <c r="I42" s="72"/>
      <c r="J42" s="69" t="str">
        <f t="shared" si="2"/>
        <v>Jul</v>
      </c>
      <c r="K42" s="14" t="str">
        <f ca="1">IF(E42="","",IF(N42="",H42-TODAY(),""))</f>
        <v/>
      </c>
      <c r="L42" s="70" t="s">
        <v>1662</v>
      </c>
      <c r="M42" s="70" t="s">
        <v>14</v>
      </c>
      <c r="N42" s="70">
        <v>45481</v>
      </c>
      <c r="O42" s="145">
        <f>IF($N42="","",NETWORKDAYS($E42,$N42,$X$33:$X$48)-1)</f>
        <v>0</v>
      </c>
      <c r="P42" s="146" t="str">
        <f>IF(ISBLANK(N42),"",IF(N42&gt;H42,"No","Yes"))</f>
        <v>Yes</v>
      </c>
      <c r="Q42" s="73" t="s">
        <v>117</v>
      </c>
      <c r="R42" s="71" t="s">
        <v>118</v>
      </c>
      <c r="S42" s="77"/>
      <c r="T42" s="69"/>
      <c r="AS42" s="144" t="str">
        <v>Quarter 2</v>
      </c>
    </row>
    <row r="43" spans="1:45" ht="30" customHeight="1" x14ac:dyDescent="0.35">
      <c r="A43" s="75">
        <v>42</v>
      </c>
      <c r="B43" s="69" t="s">
        <v>1722</v>
      </c>
      <c r="C43" s="69" t="s">
        <v>6</v>
      </c>
      <c r="D43" s="69" t="s">
        <v>1723</v>
      </c>
      <c r="E43" s="71">
        <v>45484</v>
      </c>
      <c r="F43" s="72">
        <f>IF($E43="","",WORKDAY($E43,1,$W$33:$W$42))</f>
        <v>45485</v>
      </c>
      <c r="G43" s="72">
        <f>IF($E43="","",WORKDAY($E43,10,$W$33:$W$42))</f>
        <v>45498</v>
      </c>
      <c r="H43" s="72">
        <f>IF($E43="","",WORKDAY($E43,20,$W$33:$W$42))</f>
        <v>45512</v>
      </c>
      <c r="I43" s="72"/>
      <c r="J43" s="69" t="str">
        <f t="shared" si="2"/>
        <v>Jul</v>
      </c>
      <c r="K43" s="14" t="str">
        <f ca="1">IF(E43="","",IF(N43="",H43-TODAY(),""))</f>
        <v/>
      </c>
      <c r="L43" s="70" t="s">
        <v>1662</v>
      </c>
      <c r="M43" s="70" t="s">
        <v>20</v>
      </c>
      <c r="N43" s="70">
        <v>45509</v>
      </c>
      <c r="O43" s="145">
        <f>IF($N43="","",NETWORKDAYS($E43,$N43,$X$33:$X$48)-1)</f>
        <v>17</v>
      </c>
      <c r="P43" s="146" t="str">
        <f>IF(ISBLANK(N43),"",IF(N43&gt;H43,"No","Yes"))</f>
        <v>Yes</v>
      </c>
      <c r="Q43" s="73" t="s">
        <v>117</v>
      </c>
      <c r="R43" s="71" t="s">
        <v>126</v>
      </c>
      <c r="S43" s="77" t="s">
        <v>1665</v>
      </c>
      <c r="T43" s="69"/>
      <c r="AS43" s="144" t="str">
        <v>Quarter 2</v>
      </c>
    </row>
    <row r="44" spans="1:45" ht="30" customHeight="1" x14ac:dyDescent="0.35">
      <c r="A44" s="75">
        <v>43</v>
      </c>
      <c r="B44" s="69" t="s">
        <v>1724</v>
      </c>
      <c r="C44" s="69" t="s">
        <v>13</v>
      </c>
      <c r="D44" s="69" t="s">
        <v>1725</v>
      </c>
      <c r="E44" s="71">
        <v>45483</v>
      </c>
      <c r="F44" s="72">
        <f>IF($E44="","",WORKDAY($E44,1,$W$33:$W$42))</f>
        <v>45484</v>
      </c>
      <c r="G44" s="72">
        <f>IF($E44="","",WORKDAY($E44,10,$W$33:$W$42))</f>
        <v>45497</v>
      </c>
      <c r="H44" s="72">
        <f>IF($E44="","",WORKDAY($E44,20,$W$33:$W$42))</f>
        <v>45511</v>
      </c>
      <c r="I44" s="72"/>
      <c r="J44" s="69" t="str">
        <f t="shared" si="2"/>
        <v>Jul</v>
      </c>
      <c r="K44" s="14" t="str">
        <f ca="1">IF(E44="","",IF(N44="",H44-TODAY(),""))</f>
        <v/>
      </c>
      <c r="L44" s="70" t="s">
        <v>5</v>
      </c>
      <c r="M44" s="70" t="s">
        <v>18</v>
      </c>
      <c r="N44" s="70">
        <v>45484</v>
      </c>
      <c r="O44" s="145">
        <f>IF($N44="","",NETWORKDAYS($E44,$N44,$X$33:$X$48)-1)</f>
        <v>1</v>
      </c>
      <c r="P44" s="146" t="str">
        <f>IF(ISBLANK(N44),"",IF(N44&gt;H44,"No","Yes"))</f>
        <v>Yes</v>
      </c>
      <c r="Q44" s="73" t="s">
        <v>117</v>
      </c>
      <c r="R44" s="71" t="s">
        <v>118</v>
      </c>
      <c r="S44" s="77"/>
      <c r="T44" s="69"/>
      <c r="V44" s="76"/>
      <c r="W44" s="76"/>
      <c r="X44" s="76"/>
      <c r="Y44" s="76"/>
      <c r="Z44" s="76"/>
      <c r="AA44" s="76"/>
      <c r="AB44" s="76"/>
      <c r="AC44" s="76"/>
      <c r="AD44" s="76"/>
      <c r="AS44" s="144" t="str">
        <v>Quarter 2</v>
      </c>
    </row>
    <row r="45" spans="1:45" ht="30" customHeight="1" x14ac:dyDescent="0.35">
      <c r="A45" s="75">
        <v>44</v>
      </c>
      <c r="B45" s="69" t="s">
        <v>138</v>
      </c>
      <c r="C45" s="69" t="s">
        <v>19</v>
      </c>
      <c r="D45" s="69" t="s">
        <v>1726</v>
      </c>
      <c r="E45" s="71">
        <v>45484</v>
      </c>
      <c r="F45" s="72">
        <f>IF($E45="","",WORKDAY($E45,1,$W$33:$W$42))</f>
        <v>45485</v>
      </c>
      <c r="G45" s="72">
        <f>IF($E45="","",WORKDAY($E45,10,$W$33:$W$42))</f>
        <v>45498</v>
      </c>
      <c r="H45" s="72">
        <f>IF($E45="","",WORKDAY($E45,20,$W$33:$W$42))</f>
        <v>45512</v>
      </c>
      <c r="I45" s="72"/>
      <c r="J45" s="69" t="str">
        <f t="shared" si="2"/>
        <v>Jul</v>
      </c>
      <c r="K45" s="14" t="str">
        <f ca="1">IF(E45="","",IF(N45="",H45-TODAY(),""))</f>
        <v/>
      </c>
      <c r="L45" s="70" t="s">
        <v>1662</v>
      </c>
      <c r="M45" s="70" t="s">
        <v>24</v>
      </c>
      <c r="N45" s="70">
        <v>45497</v>
      </c>
      <c r="O45" s="145">
        <f>IF($N45="","",NETWORKDAYS($E45,$N45,$X$33:$X$48)-1)</f>
        <v>9</v>
      </c>
      <c r="P45" s="146" t="str">
        <f>IF(ISBLANK(N45),"",IF(N45&gt;H45,"No","Yes"))</f>
        <v>Yes</v>
      </c>
      <c r="Q45" s="73" t="s">
        <v>117</v>
      </c>
      <c r="R45" s="71" t="s">
        <v>118</v>
      </c>
      <c r="S45" s="77"/>
      <c r="T45" s="69" t="s">
        <v>141</v>
      </c>
      <c r="AS45" s="144" t="str">
        <v>Quarter 2</v>
      </c>
    </row>
    <row r="46" spans="1:45" ht="30" customHeight="1" x14ac:dyDescent="0.35">
      <c r="A46" s="75">
        <v>45</v>
      </c>
      <c r="B46" s="69" t="s">
        <v>8</v>
      </c>
      <c r="C46" s="69" t="s">
        <v>8</v>
      </c>
      <c r="D46" s="69" t="s">
        <v>1727</v>
      </c>
      <c r="E46" s="71">
        <v>45484</v>
      </c>
      <c r="F46" s="72">
        <f>IF($E46="","",WORKDAY($E46,1,$W$33:$W$42))</f>
        <v>45485</v>
      </c>
      <c r="G46" s="72">
        <f>IF($E46="","",WORKDAY($E46,10,$W$33:$W$42))</f>
        <v>45498</v>
      </c>
      <c r="H46" s="72">
        <f>IF($E46="","",WORKDAY($E46,20,$W$33:$W$42))</f>
        <v>45512</v>
      </c>
      <c r="I46" s="72"/>
      <c r="J46" s="69" t="str">
        <f t="shared" si="2"/>
        <v>Jul</v>
      </c>
      <c r="K46" s="14" t="str">
        <f ca="1">IF(E46="","",IF(N46="",H46-TODAY(),""))</f>
        <v/>
      </c>
      <c r="L46" s="70" t="s">
        <v>1662</v>
      </c>
      <c r="M46" s="70" t="s">
        <v>24</v>
      </c>
      <c r="N46" s="70">
        <v>45504</v>
      </c>
      <c r="O46" s="145">
        <f>IF($N46="","",NETWORKDAYS($E46,$N46,$X$33:$X$48)-1)</f>
        <v>14</v>
      </c>
      <c r="P46" s="146" t="str">
        <f>IF(ISBLANK(N46),"",IF(N46&gt;H46,"No","Yes"))</f>
        <v>Yes</v>
      </c>
      <c r="Q46" s="73" t="s">
        <v>117</v>
      </c>
      <c r="R46" s="71" t="s">
        <v>118</v>
      </c>
      <c r="S46" s="77"/>
      <c r="T46" s="69"/>
      <c r="AS46" s="144" t="str">
        <v>Quarter 2</v>
      </c>
    </row>
    <row r="47" spans="1:45" ht="30" customHeight="1" x14ac:dyDescent="0.35">
      <c r="A47" s="75">
        <v>46</v>
      </c>
      <c r="B47" s="69" t="s">
        <v>1728</v>
      </c>
      <c r="C47" s="69" t="s">
        <v>13</v>
      </c>
      <c r="D47" s="69" t="s">
        <v>1729</v>
      </c>
      <c r="E47" s="71">
        <v>45485</v>
      </c>
      <c r="F47" s="72">
        <f>IF($E47="","",WORKDAY($E47,1,$W$33:$W$42))</f>
        <v>45488</v>
      </c>
      <c r="G47" s="72">
        <f>IF($E47="","",WORKDAY($E47,10,$W$33:$W$42))</f>
        <v>45499</v>
      </c>
      <c r="H47" s="72">
        <f>IF($E47="","",WORKDAY($E47,20,$W$33:$W$42))</f>
        <v>45513</v>
      </c>
      <c r="I47" s="72"/>
      <c r="J47" s="69" t="str">
        <f t="shared" si="2"/>
        <v>Jul</v>
      </c>
      <c r="K47" s="14" t="str">
        <f ca="1">IF(E47="","",IF(N47="",H47-TODAY(),""))</f>
        <v/>
      </c>
      <c r="L47" s="70" t="s">
        <v>1662</v>
      </c>
      <c r="M47" s="70" t="s">
        <v>14</v>
      </c>
      <c r="N47" s="70">
        <v>45496</v>
      </c>
      <c r="O47" s="145">
        <f>IF($N47="","",NETWORKDAYS($E47,$N47,$X$33:$X$48)-1)</f>
        <v>7</v>
      </c>
      <c r="P47" s="146" t="str">
        <f>IF(ISBLANK(N47),"",IF(N47&gt;H47,"No","Yes"))</f>
        <v>Yes</v>
      </c>
      <c r="Q47" s="73" t="s">
        <v>117</v>
      </c>
      <c r="R47" s="71" t="s">
        <v>118</v>
      </c>
      <c r="S47" s="77" t="s">
        <v>1663</v>
      </c>
      <c r="T47" s="69" t="s">
        <v>141</v>
      </c>
      <c r="V47" s="76"/>
      <c r="W47" s="76"/>
      <c r="X47" s="76"/>
      <c r="Y47" s="76"/>
      <c r="Z47" s="76"/>
      <c r="AA47" s="76"/>
      <c r="AB47" s="76"/>
      <c r="AC47" s="76"/>
      <c r="AD47" s="76"/>
      <c r="AS47" s="144" t="str">
        <v>Quarter 2</v>
      </c>
    </row>
    <row r="48" spans="1:45" ht="30" customHeight="1" x14ac:dyDescent="0.35">
      <c r="A48" s="75">
        <v>47</v>
      </c>
      <c r="B48" s="69" t="s">
        <v>138</v>
      </c>
      <c r="C48" s="69" t="s">
        <v>19</v>
      </c>
      <c r="D48" s="69" t="s">
        <v>1730</v>
      </c>
      <c r="E48" s="71">
        <v>45488</v>
      </c>
      <c r="F48" s="72">
        <f>IF($E48="","",WORKDAY($E48,1,$W$33:$W$42))</f>
        <v>45489</v>
      </c>
      <c r="G48" s="72">
        <f>IF($E48="","",WORKDAY($E48,10,$W$33:$W$42))</f>
        <v>45502</v>
      </c>
      <c r="H48" s="72">
        <f>IF($E48="","",WORKDAY($E48,20,$W$33:$W$42))</f>
        <v>45516</v>
      </c>
      <c r="I48" s="72"/>
      <c r="J48" s="69" t="str">
        <f t="shared" si="2"/>
        <v>Jul</v>
      </c>
      <c r="K48" s="14" t="str">
        <f ca="1">IF(E48="","",IF(N48="",H48-TODAY(),""))</f>
        <v/>
      </c>
      <c r="L48" s="70" t="s">
        <v>1662</v>
      </c>
      <c r="M48" s="70" t="s">
        <v>20</v>
      </c>
      <c r="N48" s="70">
        <v>45503</v>
      </c>
      <c r="O48" s="145">
        <f>IF($N48="","",NETWORKDAYS($E48,$N48,$X$33:$X$48)-1)</f>
        <v>11</v>
      </c>
      <c r="P48" s="146" t="str">
        <f>IF(ISBLANK(N48),"",IF(N48&gt;H48,"No","Yes"))</f>
        <v>Yes</v>
      </c>
      <c r="Q48" s="73" t="s">
        <v>117</v>
      </c>
      <c r="R48" s="71" t="s">
        <v>118</v>
      </c>
      <c r="S48" s="77" t="s">
        <v>1663</v>
      </c>
      <c r="T48" s="69" t="s">
        <v>141</v>
      </c>
      <c r="AS48" s="144" t="str">
        <v>Quarter 2</v>
      </c>
    </row>
    <row r="49" spans="1:45" ht="30" customHeight="1" x14ac:dyDescent="0.35">
      <c r="A49" s="75">
        <v>48</v>
      </c>
      <c r="B49" s="69" t="s">
        <v>1731</v>
      </c>
      <c r="C49" s="69" t="s">
        <v>13</v>
      </c>
      <c r="D49" s="69" t="s">
        <v>1732</v>
      </c>
      <c r="E49" s="71">
        <v>45495</v>
      </c>
      <c r="F49" s="72">
        <f>IF($E49="","",WORKDAY($E49,1,$W$33:$W$42))</f>
        <v>45496</v>
      </c>
      <c r="G49" s="72">
        <f>IF($E49="","",WORKDAY($E49,10,$W$33:$W$42))</f>
        <v>45509</v>
      </c>
      <c r="H49" s="72">
        <f>IF($E49="","",WORKDAY($E49,20,$W$33:$W$42))</f>
        <v>45523</v>
      </c>
      <c r="I49" s="72"/>
      <c r="J49" s="69" t="str">
        <f t="shared" si="2"/>
        <v>Jul</v>
      </c>
      <c r="K49" s="14" t="str">
        <f ca="1">IF(E49="","",IF(N49="",H49-TODAY(),""))</f>
        <v/>
      </c>
      <c r="L49" s="70" t="s">
        <v>1662</v>
      </c>
      <c r="M49" s="70" t="s">
        <v>24</v>
      </c>
      <c r="N49" s="70">
        <v>45519</v>
      </c>
      <c r="O49" s="145">
        <f>IF($N49="","",NETWORKDAYS($E49,$N49,$X$33:$X$48)-1)</f>
        <v>18</v>
      </c>
      <c r="P49" s="146" t="str">
        <f>IF(ISBLANK(N49),"",IF(N49&gt;H49,"No","Yes"))</f>
        <v>Yes</v>
      </c>
      <c r="Q49" s="73" t="s">
        <v>117</v>
      </c>
      <c r="R49" s="71" t="s">
        <v>118</v>
      </c>
      <c r="S49" s="77"/>
      <c r="T49" s="69" t="s">
        <v>141</v>
      </c>
      <c r="AS49" s="144" t="str">
        <v>Quarter 2</v>
      </c>
    </row>
    <row r="50" spans="1:45" ht="30" customHeight="1" x14ac:dyDescent="0.35">
      <c r="A50" s="75">
        <v>49</v>
      </c>
      <c r="B50" s="4" t="s">
        <v>8</v>
      </c>
      <c r="C50" s="4" t="s">
        <v>8</v>
      </c>
      <c r="D50" s="4" t="s">
        <v>1733</v>
      </c>
      <c r="E50" s="71">
        <v>45496</v>
      </c>
      <c r="F50" s="72">
        <f>IF($E50="","",WORKDAY($E50,1,$W$33:$W$42))</f>
        <v>45497</v>
      </c>
      <c r="G50" s="72">
        <f>IF($E50="","",WORKDAY($E50,10,$W$33:$W$42))</f>
        <v>45510</v>
      </c>
      <c r="H50" s="72">
        <f>IF($E50="","",WORKDAY($E50,20,$W$33:$W$42))</f>
        <v>45524</v>
      </c>
      <c r="I50" s="72"/>
      <c r="J50" s="69" t="str">
        <f t="shared" si="2"/>
        <v>Jul</v>
      </c>
      <c r="K50" s="14" t="str">
        <f ca="1">IF(E50="","",IF(N50="",H50-TODAY(),""))</f>
        <v/>
      </c>
      <c r="L50" s="70" t="s">
        <v>1662</v>
      </c>
      <c r="M50" s="70" t="s">
        <v>24</v>
      </c>
      <c r="N50" s="70">
        <v>45504</v>
      </c>
      <c r="O50" s="145">
        <f>IF($N50="","",NETWORKDAYS($E50,$N50,$X$33:$X$48)-1)</f>
        <v>6</v>
      </c>
      <c r="P50" s="146" t="str">
        <f>IF(ISBLANK(N50),"",IF(N50&gt;H50,"No","Yes"))</f>
        <v>Yes</v>
      </c>
      <c r="Q50" s="73" t="s">
        <v>117</v>
      </c>
      <c r="R50" s="71" t="s">
        <v>118</v>
      </c>
      <c r="S50" s="77"/>
      <c r="T50" s="69"/>
      <c r="V50" s="76"/>
      <c r="W50" s="76"/>
      <c r="X50" s="76"/>
      <c r="Y50" s="76"/>
      <c r="Z50" s="76"/>
      <c r="AA50" s="76"/>
      <c r="AB50" s="76"/>
      <c r="AC50" s="76"/>
      <c r="AD50" s="76"/>
      <c r="AS50" s="144" t="str">
        <v>Quarter 2</v>
      </c>
    </row>
    <row r="51" spans="1:45" ht="30" customHeight="1" x14ac:dyDescent="0.35">
      <c r="A51" s="75">
        <v>50</v>
      </c>
      <c r="B51" s="69" t="s">
        <v>1669</v>
      </c>
      <c r="C51" s="69" t="s">
        <v>13</v>
      </c>
      <c r="D51" s="69" t="s">
        <v>1734</v>
      </c>
      <c r="E51" s="71">
        <v>45498</v>
      </c>
      <c r="F51" s="72">
        <f>IF($E51="","",WORKDAY($E51,1,$W$33:$W$42))</f>
        <v>45499</v>
      </c>
      <c r="G51" s="72">
        <f>IF($E51="","",WORKDAY($E51,10,$W$33:$W$42))</f>
        <v>45512</v>
      </c>
      <c r="H51" s="72">
        <f>IF($E51="","",WORKDAY($E51,20,$W$33:$W$42))</f>
        <v>45526</v>
      </c>
      <c r="I51" s="72"/>
      <c r="J51" s="69" t="str">
        <f t="shared" si="2"/>
        <v>Jul</v>
      </c>
      <c r="K51" s="14" t="str">
        <f ca="1">IF(E51="","",IF(N51="",H51-TODAY(),""))</f>
        <v/>
      </c>
      <c r="L51" s="70" t="s">
        <v>1662</v>
      </c>
      <c r="M51" s="70" t="s">
        <v>24</v>
      </c>
      <c r="N51" s="70">
        <v>45519</v>
      </c>
      <c r="O51" s="145">
        <f>IF($N51="","",NETWORKDAYS($E51,$N51,$X$33:$X$48)-1)</f>
        <v>15</v>
      </c>
      <c r="P51" s="146" t="str">
        <f>IF(ISBLANK(N51),"",IF(N51&gt;H51,"No","Yes"))</f>
        <v>Yes</v>
      </c>
      <c r="Q51" s="73" t="s">
        <v>117</v>
      </c>
      <c r="R51" s="71" t="s">
        <v>118</v>
      </c>
      <c r="S51" s="77"/>
      <c r="T51" s="69"/>
      <c r="AS51" s="144" t="str">
        <v>Quarter 2</v>
      </c>
    </row>
    <row r="52" spans="1:45" ht="30" customHeight="1" x14ac:dyDescent="0.35">
      <c r="A52" s="75">
        <v>51</v>
      </c>
      <c r="B52" s="69" t="s">
        <v>8</v>
      </c>
      <c r="C52" s="69" t="s">
        <v>8</v>
      </c>
      <c r="D52" s="69" t="s">
        <v>1735</v>
      </c>
      <c r="E52" s="71">
        <v>45498</v>
      </c>
      <c r="F52" s="72">
        <f>IF($E52="","",WORKDAY($E52,1,$W$33:$W$42))</f>
        <v>45499</v>
      </c>
      <c r="G52" s="72">
        <f>IF($E52="","",WORKDAY($E52,10,$W$33:$W$42))</f>
        <v>45512</v>
      </c>
      <c r="H52" s="72">
        <f>IF($E52="","",WORKDAY($E52,20,$W$33:$W$42))</f>
        <v>45526</v>
      </c>
      <c r="I52" s="72"/>
      <c r="J52" s="69" t="str">
        <f t="shared" si="2"/>
        <v>Jul</v>
      </c>
      <c r="K52" s="14" t="str">
        <f ca="1">IF(E52="","",IF(N52="",H52-TODAY(),""))</f>
        <v/>
      </c>
      <c r="L52" s="70" t="s">
        <v>1662</v>
      </c>
      <c r="M52" s="70" t="s">
        <v>14</v>
      </c>
      <c r="N52" s="70">
        <v>45502</v>
      </c>
      <c r="O52" s="145">
        <f>IF($N52="","",NETWORKDAYS($E52,$N52,$X$33:$X$48)-1)</f>
        <v>2</v>
      </c>
      <c r="P52" s="146" t="str">
        <f>IF(ISBLANK(N52),"",IF(N52&gt;H52,"No","Yes"))</f>
        <v>Yes</v>
      </c>
      <c r="Q52" s="73" t="s">
        <v>117</v>
      </c>
      <c r="R52" s="71" t="s">
        <v>118</v>
      </c>
      <c r="S52" s="77"/>
      <c r="T52" s="69"/>
      <c r="AS52" s="144" t="str">
        <v>Quarter 2</v>
      </c>
    </row>
    <row r="53" spans="1:45" ht="30" customHeight="1" x14ac:dyDescent="0.35">
      <c r="A53" s="75">
        <v>52</v>
      </c>
      <c r="B53" s="69" t="s">
        <v>360</v>
      </c>
      <c r="C53" s="69" t="s">
        <v>13</v>
      </c>
      <c r="D53" s="69" t="s">
        <v>1736</v>
      </c>
      <c r="E53" s="71">
        <v>45502</v>
      </c>
      <c r="F53" s="72">
        <f>IF($E53="","",WORKDAY($E53,1,$W$33:$W$42))</f>
        <v>45503</v>
      </c>
      <c r="G53" s="72">
        <f>IF($E53="","",WORKDAY($E53,10,$W$33:$W$42))</f>
        <v>45516</v>
      </c>
      <c r="H53" s="72">
        <f>IF($E53="","",WORKDAY($E53,20,$W$33:$W$42))</f>
        <v>45531</v>
      </c>
      <c r="I53" s="72"/>
      <c r="J53" s="69" t="str">
        <f t="shared" si="2"/>
        <v>Jul</v>
      </c>
      <c r="K53" s="14" t="str">
        <f ca="1">IF(E53="","",IF(N53="",H53-TODAY(),""))</f>
        <v/>
      </c>
      <c r="L53" s="70" t="s">
        <v>1662</v>
      </c>
      <c r="M53" s="70" t="s">
        <v>14</v>
      </c>
      <c r="N53" s="70">
        <v>45504</v>
      </c>
      <c r="O53" s="145">
        <f>IF($N53="","",NETWORKDAYS($E53,$N53,$X$33:$X$48)-1)</f>
        <v>2</v>
      </c>
      <c r="P53" s="146" t="str">
        <f>IF(ISBLANK(N53),"",IF(N53&gt;H53,"No","Yes"))</f>
        <v>Yes</v>
      </c>
      <c r="Q53" s="73" t="s">
        <v>117</v>
      </c>
      <c r="R53" s="71" t="s">
        <v>118</v>
      </c>
      <c r="S53" s="77"/>
      <c r="T53" s="69" t="s">
        <v>141</v>
      </c>
      <c r="AS53" s="144" t="str">
        <v>Quarter 2</v>
      </c>
    </row>
    <row r="54" spans="1:45" ht="30" customHeight="1" x14ac:dyDescent="0.35">
      <c r="A54" s="75">
        <v>53</v>
      </c>
      <c r="B54" s="69" t="s">
        <v>1737</v>
      </c>
      <c r="C54" s="69" t="s">
        <v>13</v>
      </c>
      <c r="D54" s="69" t="s">
        <v>1738</v>
      </c>
      <c r="E54" s="71">
        <v>45502</v>
      </c>
      <c r="F54" s="72">
        <f>IF($E54="","",WORKDAY($E54,1,$W$33:$W$42))</f>
        <v>45503</v>
      </c>
      <c r="G54" s="72">
        <f>IF($E54="","",WORKDAY($E54,10,$W$33:$W$42))</f>
        <v>45516</v>
      </c>
      <c r="H54" s="72">
        <f>IF($E54="","",WORKDAY($E54,20,$W$33:$W$42))</f>
        <v>45531</v>
      </c>
      <c r="I54" s="72"/>
      <c r="J54" s="69" t="str">
        <f t="shared" si="2"/>
        <v>Jul</v>
      </c>
      <c r="K54" s="14" t="str">
        <f ca="1">IF(E54="","",IF(N54="",H54-TODAY(),""))</f>
        <v/>
      </c>
      <c r="L54" s="70" t="s">
        <v>1662</v>
      </c>
      <c r="M54" s="70" t="s">
        <v>24</v>
      </c>
      <c r="N54" s="70">
        <v>45503</v>
      </c>
      <c r="O54" s="145">
        <f>IF($N54="","",NETWORKDAYS($E54,$N54,$X$33:$X$48)-1)</f>
        <v>1</v>
      </c>
      <c r="P54" s="146" t="str">
        <f>IF(ISBLANK(N54),"",IF(N54&gt;H54,"No","Yes"))</f>
        <v>Yes</v>
      </c>
      <c r="Q54" s="73" t="s">
        <v>117</v>
      </c>
      <c r="R54" s="71" t="s">
        <v>150</v>
      </c>
      <c r="S54" s="77"/>
      <c r="T54" s="69"/>
      <c r="AS54" s="144" t="str">
        <v>Quarter 2</v>
      </c>
    </row>
    <row r="55" spans="1:45" ht="30" customHeight="1" x14ac:dyDescent="0.35">
      <c r="A55" s="75">
        <v>54</v>
      </c>
      <c r="B55" s="69" t="s">
        <v>8</v>
      </c>
      <c r="C55" s="69" t="s">
        <v>8</v>
      </c>
      <c r="D55" s="69" t="s">
        <v>1739</v>
      </c>
      <c r="E55" s="71">
        <v>45503</v>
      </c>
      <c r="F55" s="72">
        <f>IF($E55="","",WORKDAY($E55,1,$W$33:$W$42))</f>
        <v>45504</v>
      </c>
      <c r="G55" s="72">
        <f>IF($E55="","",WORKDAY($E55,10,$W$33:$W$42))</f>
        <v>45517</v>
      </c>
      <c r="H55" s="72">
        <f>IF($E55="","",WORKDAY($E55,20,$W$33:$W$42))</f>
        <v>45532</v>
      </c>
      <c r="I55" s="72"/>
      <c r="J55" s="69" t="str">
        <f t="shared" si="2"/>
        <v>Jul</v>
      </c>
      <c r="K55" s="14" t="str">
        <f ca="1">IF(E55="","",IF(N55="",H55-TODAY(),""))</f>
        <v/>
      </c>
      <c r="L55" s="70" t="s">
        <v>1662</v>
      </c>
      <c r="M55" s="70" t="s">
        <v>20</v>
      </c>
      <c r="N55" s="70">
        <v>45503</v>
      </c>
      <c r="O55" s="145">
        <f>IF($N55="","",NETWORKDAYS($E55,$N55,$X$33:$X$48)-1)</f>
        <v>0</v>
      </c>
      <c r="P55" s="146" t="str">
        <f>IF(ISBLANK(N55),"",IF(N55&gt;H55,"No","Yes"))</f>
        <v>Yes</v>
      </c>
      <c r="Q55" s="73" t="s">
        <v>117</v>
      </c>
      <c r="R55" s="71" t="s">
        <v>118</v>
      </c>
      <c r="S55" s="77" t="s">
        <v>1663</v>
      </c>
      <c r="T55" s="69"/>
      <c r="AS55" s="144" t="str">
        <v>Quarter 2</v>
      </c>
    </row>
    <row r="56" spans="1:45" ht="30" customHeight="1" x14ac:dyDescent="0.35">
      <c r="A56" s="75">
        <v>55</v>
      </c>
      <c r="B56" s="69" t="s">
        <v>138</v>
      </c>
      <c r="C56" s="69" t="s">
        <v>19</v>
      </c>
      <c r="D56" s="69" t="s">
        <v>1740</v>
      </c>
      <c r="E56" s="71">
        <v>45504</v>
      </c>
      <c r="F56" s="72">
        <f>IF($E56="","",WORKDAY($E56,1,$W$33:$W$42))</f>
        <v>45505</v>
      </c>
      <c r="G56" s="72">
        <f>IF($E56="","",WORKDAY($E56,10,$W$33:$W$42))</f>
        <v>45518</v>
      </c>
      <c r="H56" s="72">
        <f>IF($E56="","",WORKDAY($E56,20,$W$33:$W$42))</f>
        <v>45533</v>
      </c>
      <c r="I56" s="72"/>
      <c r="J56" s="69" t="str">
        <f t="shared" ref="J56:J81" si="3">IF(ISBLANK(E56),"",TEXT(E56,"mmm"))</f>
        <v>Jul</v>
      </c>
      <c r="K56" s="14" t="str">
        <f ca="1">IF(E56="","",IF(N56="",H56-TODAY(),""))</f>
        <v/>
      </c>
      <c r="L56" s="70" t="s">
        <v>1662</v>
      </c>
      <c r="M56" s="70" t="s">
        <v>24</v>
      </c>
      <c r="N56" s="70">
        <v>45520</v>
      </c>
      <c r="O56" s="145">
        <f>IF($N56="","",NETWORKDAYS($E56,$N56,$X$33:$X$48)-1)</f>
        <v>12</v>
      </c>
      <c r="P56" s="146" t="str">
        <f>IF(ISBLANK(N56),"",IF(N56&gt;H56,"No","Yes"))</f>
        <v>Yes</v>
      </c>
      <c r="Q56" s="73" t="s">
        <v>117</v>
      </c>
      <c r="R56" s="71" t="s">
        <v>118</v>
      </c>
      <c r="S56" s="77"/>
      <c r="T56" s="69" t="s">
        <v>141</v>
      </c>
      <c r="AS56" s="144" t="str">
        <v>Quarter 2</v>
      </c>
    </row>
    <row r="57" spans="1:45" ht="30" customHeight="1" x14ac:dyDescent="0.35">
      <c r="A57" s="75">
        <v>56</v>
      </c>
      <c r="B57" s="69" t="s">
        <v>1741</v>
      </c>
      <c r="C57" s="69" t="s">
        <v>17</v>
      </c>
      <c r="D57" s="69" t="s">
        <v>1742</v>
      </c>
      <c r="E57" s="71">
        <v>45504</v>
      </c>
      <c r="F57" s="72">
        <f>IF($E57="","",WORKDAY($E57,1,$W$33:$W$42))</f>
        <v>45505</v>
      </c>
      <c r="G57" s="72">
        <f>IF($E57="","",WORKDAY($E57,10,$W$33:$W$42))</f>
        <v>45518</v>
      </c>
      <c r="H57" s="72">
        <f>IF($E57="","",WORKDAY($E57,20,$W$33:$W$42))</f>
        <v>45533</v>
      </c>
      <c r="I57" s="72"/>
      <c r="J57" s="69" t="str">
        <f t="shared" si="3"/>
        <v>Jul</v>
      </c>
      <c r="K57" s="14" t="str">
        <f ca="1">IF(E57="","",IF(N57="",H57-TODAY(),""))</f>
        <v/>
      </c>
      <c r="L57" s="70" t="s">
        <v>1662</v>
      </c>
      <c r="M57" s="70" t="s">
        <v>14</v>
      </c>
      <c r="N57" s="70">
        <v>45519</v>
      </c>
      <c r="O57" s="145">
        <f>IF($N57="","",NETWORKDAYS($E57,$N57,$X$33:$X$48)-1)</f>
        <v>11</v>
      </c>
      <c r="P57" s="146" t="str">
        <f>IF(ISBLANK(N57),"",IF(N57&gt;H57,"No","Yes"))</f>
        <v>Yes</v>
      </c>
      <c r="Q57" s="73" t="s">
        <v>117</v>
      </c>
      <c r="R57" s="71" t="s">
        <v>118</v>
      </c>
      <c r="S57" s="77"/>
      <c r="T57" s="69" t="s">
        <v>141</v>
      </c>
      <c r="AS57" s="144" t="str">
        <v>Quarter 2</v>
      </c>
    </row>
    <row r="58" spans="1:45" ht="30" customHeight="1" x14ac:dyDescent="0.35">
      <c r="A58" s="75">
        <v>57</v>
      </c>
      <c r="B58" s="69" t="s">
        <v>8</v>
      </c>
      <c r="C58" s="69" t="s">
        <v>8</v>
      </c>
      <c r="D58" s="69" t="s">
        <v>1743</v>
      </c>
      <c r="E58" s="71">
        <v>45505</v>
      </c>
      <c r="F58" s="72">
        <f>IF($E58="","",WORKDAY($E58,1,$W$33:$W$42))</f>
        <v>45506</v>
      </c>
      <c r="G58" s="72">
        <f>IF($E58="","",WORKDAY($E58,10,$W$33:$W$42))</f>
        <v>45519</v>
      </c>
      <c r="H58" s="72">
        <f>IF($E58="","",WORKDAY($E58,20,$W$33:$W$42))</f>
        <v>45534</v>
      </c>
      <c r="I58" s="72"/>
      <c r="J58" s="69" t="str">
        <f t="shared" si="3"/>
        <v>Aug</v>
      </c>
      <c r="K58" s="14" t="str">
        <f ca="1">IF(E58="","",IF(N58="",H58-TODAY(),""))</f>
        <v/>
      </c>
      <c r="L58" s="70" t="s">
        <v>1662</v>
      </c>
      <c r="M58" s="70" t="s">
        <v>24</v>
      </c>
      <c r="N58" s="70">
        <v>45511</v>
      </c>
      <c r="O58" s="145">
        <f>IF($N58="","",NETWORKDAYS($E58,$N58,$X$33:$X$48)-1)</f>
        <v>4</v>
      </c>
      <c r="P58" s="146" t="str">
        <f>IF(ISBLANK(N58),"",IF(N58&gt;H58,"No","Yes"))</f>
        <v>Yes</v>
      </c>
      <c r="Q58" s="73" t="s">
        <v>117</v>
      </c>
      <c r="R58" s="71" t="s">
        <v>118</v>
      </c>
      <c r="S58" s="77" t="s">
        <v>1663</v>
      </c>
      <c r="T58" s="69"/>
      <c r="AS58" s="144" t="str">
        <v>Quarter 2</v>
      </c>
    </row>
    <row r="59" spans="1:45" ht="30" customHeight="1" x14ac:dyDescent="0.35">
      <c r="A59" s="75">
        <v>58</v>
      </c>
      <c r="B59" s="69" t="s">
        <v>138</v>
      </c>
      <c r="C59" s="69" t="s">
        <v>19</v>
      </c>
      <c r="D59" s="69" t="s">
        <v>1744</v>
      </c>
      <c r="E59" s="71">
        <v>45506</v>
      </c>
      <c r="F59" s="72">
        <f>IF($E59="","",WORKDAY($E59,1,$W$33:$W$42))</f>
        <v>45509</v>
      </c>
      <c r="G59" s="72">
        <f>IF($E59="","",WORKDAY($E59,10,$W$33:$W$42))</f>
        <v>45520</v>
      </c>
      <c r="H59" s="72">
        <f>IF($E59="","",WORKDAY($E59,20,$W$33:$W$42))</f>
        <v>45537</v>
      </c>
      <c r="I59" s="72"/>
      <c r="J59" s="69" t="str">
        <f t="shared" si="3"/>
        <v>Aug</v>
      </c>
      <c r="K59" s="14" t="str">
        <f ca="1">IF(E59="","",IF(N59="",H59-TODAY(),""))</f>
        <v/>
      </c>
      <c r="L59" s="70" t="s">
        <v>1662</v>
      </c>
      <c r="M59" s="70" t="s">
        <v>24</v>
      </c>
      <c r="N59" s="70">
        <v>45513</v>
      </c>
      <c r="O59" s="145">
        <f>IF($N59="","",NETWORKDAYS($E59,$N59,$X$33:$X$48)-1)</f>
        <v>5</v>
      </c>
      <c r="P59" s="146" t="str">
        <f>IF(ISBLANK(N59),"",IF(N59&gt;H59,"No","Yes"))</f>
        <v>Yes</v>
      </c>
      <c r="Q59" s="73" t="s">
        <v>117</v>
      </c>
      <c r="R59" s="71" t="s">
        <v>118</v>
      </c>
      <c r="S59" s="77"/>
      <c r="T59" s="69" t="s">
        <v>141</v>
      </c>
      <c r="AS59" s="144" t="str">
        <v>Quarter 2</v>
      </c>
    </row>
    <row r="60" spans="1:45" ht="30" customHeight="1" x14ac:dyDescent="0.35">
      <c r="A60" s="75">
        <v>59</v>
      </c>
      <c r="B60" s="69" t="s">
        <v>338</v>
      </c>
      <c r="C60" s="69" t="s">
        <v>13</v>
      </c>
      <c r="D60" s="69" t="s">
        <v>1745</v>
      </c>
      <c r="E60" s="71">
        <v>45509</v>
      </c>
      <c r="F60" s="72">
        <f>IF($E60="","",WORKDAY($E60,1,$W$33:$W$42))</f>
        <v>45510</v>
      </c>
      <c r="G60" s="72">
        <f>IF($E60="","",WORKDAY($E60,10,$W$33:$W$42))</f>
        <v>45523</v>
      </c>
      <c r="H60" s="72">
        <f>IF($E60="","",WORKDAY($E60,20,$W$33:$W$42))</f>
        <v>45538</v>
      </c>
      <c r="I60" s="72"/>
      <c r="J60" s="69" t="str">
        <f t="shared" si="3"/>
        <v>Aug</v>
      </c>
      <c r="K60" s="14" t="str">
        <f ca="1">IF(E60="","",IF(N60="",H60-TODAY(),""))</f>
        <v/>
      </c>
      <c r="L60" s="70" t="s">
        <v>1662</v>
      </c>
      <c r="M60" s="70" t="s">
        <v>14</v>
      </c>
      <c r="N60" s="70">
        <v>45510</v>
      </c>
      <c r="O60" s="145">
        <f>IF($N60="","",NETWORKDAYS($E60,$N60,$X$33:$X$48)-1)</f>
        <v>1</v>
      </c>
      <c r="P60" s="146" t="str">
        <f>IF(ISBLANK(N60),"",IF(N60&gt;H60,"No","Yes"))</f>
        <v>Yes</v>
      </c>
      <c r="Q60" s="73" t="s">
        <v>117</v>
      </c>
      <c r="R60" s="71" t="s">
        <v>118</v>
      </c>
      <c r="S60" s="77"/>
      <c r="T60" s="69"/>
      <c r="AS60" s="144" t="str">
        <v>Quarter 2</v>
      </c>
    </row>
    <row r="61" spans="1:45" ht="30" customHeight="1" x14ac:dyDescent="0.35">
      <c r="A61" s="75">
        <v>60</v>
      </c>
      <c r="B61" s="69" t="s">
        <v>8</v>
      </c>
      <c r="C61" s="69" t="s">
        <v>8</v>
      </c>
      <c r="D61" s="69" t="s">
        <v>1746</v>
      </c>
      <c r="E61" s="71">
        <v>45510</v>
      </c>
      <c r="F61" s="72">
        <f>IF($E61="","",WORKDAY($E61,1,$W$33:$W$42))</f>
        <v>45511</v>
      </c>
      <c r="G61" s="72">
        <f>IF($E61="","",WORKDAY($E61,10,$W$33:$W$42))</f>
        <v>45524</v>
      </c>
      <c r="H61" s="72">
        <f>IF($E61="","",WORKDAY($E61,20,$W$33:$W$42))</f>
        <v>45539</v>
      </c>
      <c r="I61" s="72"/>
      <c r="J61" s="69" t="str">
        <f t="shared" si="3"/>
        <v>Aug</v>
      </c>
      <c r="K61" s="14" t="str">
        <f ca="1">IF(E61="","",IF(N61="",H61-TODAY(),""))</f>
        <v/>
      </c>
      <c r="L61" s="70" t="s">
        <v>1662</v>
      </c>
      <c r="M61" s="70" t="s">
        <v>20</v>
      </c>
      <c r="N61" s="70">
        <v>45539</v>
      </c>
      <c r="O61" s="145">
        <f>IF($N61="","",NETWORKDAYS($E61,$N61,$X$33:$X$48)-1)</f>
        <v>21</v>
      </c>
      <c r="P61" s="146" t="str">
        <f>IF(ISBLANK(N61),"",IF(N61&gt;H61,"No","Yes"))</f>
        <v>Yes</v>
      </c>
      <c r="Q61" s="73" t="s">
        <v>117</v>
      </c>
      <c r="R61" s="71" t="s">
        <v>118</v>
      </c>
      <c r="S61" s="77"/>
      <c r="T61" s="69" t="s">
        <v>1282</v>
      </c>
      <c r="AS61" s="144" t="str">
        <v>Quarter 2</v>
      </c>
    </row>
    <row r="62" spans="1:45" ht="30" customHeight="1" x14ac:dyDescent="0.35">
      <c r="A62" s="75">
        <v>61</v>
      </c>
      <c r="B62" s="69" t="s">
        <v>8</v>
      </c>
      <c r="C62" s="69" t="s">
        <v>8</v>
      </c>
      <c r="D62" s="69" t="s">
        <v>1747</v>
      </c>
      <c r="E62" s="71">
        <v>45511</v>
      </c>
      <c r="F62" s="72">
        <f>IF($E62="","",WORKDAY($E62,1,$W$33:$W$42))</f>
        <v>45512</v>
      </c>
      <c r="G62" s="72">
        <f>IF($E62="","",WORKDAY($E62,10,$W$33:$W$42))</f>
        <v>45525</v>
      </c>
      <c r="H62" s="72">
        <f>IF($E62="","",WORKDAY($E62,20,$W$33:$W$42))</f>
        <v>45540</v>
      </c>
      <c r="I62" s="72"/>
      <c r="J62" s="69" t="str">
        <f t="shared" si="3"/>
        <v>Aug</v>
      </c>
      <c r="K62" s="14" t="str">
        <f ca="1">IF(E62="","",IF(N62="",H62-TODAY(),""))</f>
        <v/>
      </c>
      <c r="L62" s="70" t="s">
        <v>1662</v>
      </c>
      <c r="M62" s="70" t="s">
        <v>14</v>
      </c>
      <c r="N62" s="70">
        <v>45513</v>
      </c>
      <c r="O62" s="145">
        <f>IF($N62="","",NETWORKDAYS($E62,$N62,$X$33:$X$48)-1)</f>
        <v>2</v>
      </c>
      <c r="P62" s="146" t="str">
        <f>IF(ISBLANK(N62),"",IF(N62&gt;H62,"No","Yes"))</f>
        <v>Yes</v>
      </c>
      <c r="Q62" s="73" t="s">
        <v>117</v>
      </c>
      <c r="R62" s="71" t="s">
        <v>118</v>
      </c>
      <c r="S62" s="77"/>
      <c r="T62" s="69"/>
      <c r="AS62" s="144" t="str">
        <v>Quarter 2</v>
      </c>
    </row>
    <row r="63" spans="1:45" ht="30" customHeight="1" x14ac:dyDescent="0.35">
      <c r="A63" s="75">
        <v>62</v>
      </c>
      <c r="B63" s="69" t="s">
        <v>8</v>
      </c>
      <c r="C63" s="69" t="s">
        <v>8</v>
      </c>
      <c r="D63" s="69" t="s">
        <v>1748</v>
      </c>
      <c r="E63" s="71">
        <v>45511</v>
      </c>
      <c r="F63" s="72">
        <f>IF($E63="","",WORKDAY($E63,1,$W$33:$W$42))</f>
        <v>45512</v>
      </c>
      <c r="G63" s="72">
        <f>IF($E63="","",WORKDAY($E63,10,$W$33:$W$42))</f>
        <v>45525</v>
      </c>
      <c r="H63" s="72">
        <f>IF($E63="","",WORKDAY($E63,20,$W$33:$W$42))</f>
        <v>45540</v>
      </c>
      <c r="I63" s="72"/>
      <c r="J63" s="69" t="str">
        <f t="shared" si="3"/>
        <v>Aug</v>
      </c>
      <c r="K63" s="14" t="str">
        <f ca="1">IF(E63="","",IF(N63="",H63-TODAY(),""))</f>
        <v/>
      </c>
      <c r="L63" s="70" t="s">
        <v>1662</v>
      </c>
      <c r="M63" s="70" t="s">
        <v>24</v>
      </c>
      <c r="N63" s="70">
        <v>45516</v>
      </c>
      <c r="O63" s="145">
        <f>IF($N63="","",NETWORKDAYS($E63,$N63,$X$33:$X$48)-1)</f>
        <v>3</v>
      </c>
      <c r="P63" s="146" t="str">
        <f>IF(ISBLANK(N63),"",IF(N63&gt;H63,"No","Yes"))</f>
        <v>Yes</v>
      </c>
      <c r="Q63" s="73" t="s">
        <v>117</v>
      </c>
      <c r="R63" s="71" t="s">
        <v>150</v>
      </c>
      <c r="S63" s="77"/>
      <c r="T63" s="69"/>
      <c r="AS63" s="144" t="str">
        <v>Quarter 2</v>
      </c>
    </row>
    <row r="64" spans="1:45" ht="30" customHeight="1" x14ac:dyDescent="0.35">
      <c r="A64" s="75">
        <v>63</v>
      </c>
      <c r="B64" s="69" t="s">
        <v>138</v>
      </c>
      <c r="C64" s="69" t="s">
        <v>19</v>
      </c>
      <c r="D64" s="69" t="s">
        <v>1749</v>
      </c>
      <c r="E64" s="71">
        <v>45519</v>
      </c>
      <c r="F64" s="72">
        <f>IF($E64="","",WORKDAY($E64,1,$W$33:$W$42))</f>
        <v>45520</v>
      </c>
      <c r="G64" s="72">
        <f>IF($E64="","",WORKDAY($E64,10,$W$33:$W$42))</f>
        <v>45534</v>
      </c>
      <c r="H64" s="72">
        <f>IF($E64="","",WORKDAY($E64,20,$W$33:$W$42))</f>
        <v>45548</v>
      </c>
      <c r="I64" s="72"/>
      <c r="J64" s="69" t="str">
        <f t="shared" si="3"/>
        <v>Aug</v>
      </c>
      <c r="K64" s="14" t="str">
        <f ca="1">IF(E64="","",IF(N64="",H64-TODAY(),""))</f>
        <v/>
      </c>
      <c r="L64" s="70" t="s">
        <v>1662</v>
      </c>
      <c r="M64" s="70" t="s">
        <v>14</v>
      </c>
      <c r="N64" s="70">
        <v>45519</v>
      </c>
      <c r="O64" s="145">
        <f>IF($N64="","",NETWORKDAYS($E64,$N64,$X$33:$X$48)-1)</f>
        <v>0</v>
      </c>
      <c r="P64" s="146" t="str">
        <f>IF(ISBLANK(N64),"",IF(N64&gt;H64,"No","Yes"))</f>
        <v>Yes</v>
      </c>
      <c r="Q64" s="73" t="s">
        <v>117</v>
      </c>
      <c r="R64" s="71" t="s">
        <v>118</v>
      </c>
      <c r="S64" s="77"/>
      <c r="T64" s="69"/>
      <c r="AS64" s="144" t="str">
        <v>Quarter 2</v>
      </c>
    </row>
    <row r="65" spans="1:45" ht="30" customHeight="1" x14ac:dyDescent="0.35">
      <c r="A65" s="75">
        <v>64</v>
      </c>
      <c r="B65" s="69" t="s">
        <v>8</v>
      </c>
      <c r="C65" s="69" t="s">
        <v>8</v>
      </c>
      <c r="D65" s="69" t="s">
        <v>1750</v>
      </c>
      <c r="E65" s="72">
        <v>45524</v>
      </c>
      <c r="F65" s="72">
        <f>IF($E65="","",WORKDAY($E65,1,$W$33:$W$42))</f>
        <v>45525</v>
      </c>
      <c r="G65" s="72">
        <f>IF($E65="","",WORKDAY($E65,10,$W$33:$W$42))</f>
        <v>45539</v>
      </c>
      <c r="H65" s="72">
        <f>IF($E65="","",WORKDAY($E65,20,$W$33:$W$42))</f>
        <v>45553</v>
      </c>
      <c r="I65" s="72"/>
      <c r="J65" s="69" t="str">
        <f t="shared" si="3"/>
        <v>Aug</v>
      </c>
      <c r="K65" s="14" t="str">
        <f ca="1">IF(E65="","",IF(N65="",H65-TODAY(),""))</f>
        <v/>
      </c>
      <c r="L65" s="70" t="s">
        <v>1662</v>
      </c>
      <c r="M65" s="70" t="s">
        <v>20</v>
      </c>
      <c r="N65" s="70">
        <v>45539</v>
      </c>
      <c r="O65" s="145">
        <f>IF($N65="","",NETWORKDAYS($E65,$N65,$X$33:$X$48)-1)</f>
        <v>11</v>
      </c>
      <c r="P65" s="146" t="str">
        <f>IF(ISBLANK(N65),"",IF(N65&gt;H65,"No","Yes"))</f>
        <v>Yes</v>
      </c>
      <c r="Q65" s="73" t="s">
        <v>117</v>
      </c>
      <c r="R65" s="71" t="s">
        <v>118</v>
      </c>
      <c r="S65" s="77"/>
      <c r="T65" s="69"/>
      <c r="AS65" s="144" t="str">
        <v>Quarter 2</v>
      </c>
    </row>
    <row r="66" spans="1:45" ht="30" customHeight="1" x14ac:dyDescent="0.35">
      <c r="A66" s="75">
        <v>65</v>
      </c>
      <c r="B66" s="69" t="s">
        <v>8</v>
      </c>
      <c r="C66" s="69" t="s">
        <v>8</v>
      </c>
      <c r="D66" s="69" t="s">
        <v>1751</v>
      </c>
      <c r="E66" s="72">
        <v>45524</v>
      </c>
      <c r="F66" s="72">
        <f>IF($E66="","",WORKDAY($E66,1,$W$33:$W$42))</f>
        <v>45525</v>
      </c>
      <c r="G66" s="72">
        <f>IF($E66="","",WORKDAY($E66,10,$W$33:$W$42))</f>
        <v>45539</v>
      </c>
      <c r="H66" s="72">
        <f>IF($E66="","",WORKDAY($E66,20,$W$33:$W$42))</f>
        <v>45553</v>
      </c>
      <c r="I66" s="72"/>
      <c r="J66" s="69" t="str">
        <f t="shared" si="3"/>
        <v>Aug</v>
      </c>
      <c r="K66" s="14" t="str">
        <f ca="1">IF(E66="","",IF(N66="",H66-TODAY(),""))</f>
        <v/>
      </c>
      <c r="L66" s="70" t="s">
        <v>1662</v>
      </c>
      <c r="M66" s="70" t="s">
        <v>20</v>
      </c>
      <c r="N66" s="70">
        <v>45539</v>
      </c>
      <c r="O66" s="145">
        <f>IF($N66="","",NETWORKDAYS($E66,$N66,$X$33:$X$48)-1)</f>
        <v>11</v>
      </c>
      <c r="P66" s="146" t="str">
        <f>IF(ISBLANK(N66),"",IF(N66&gt;H66,"No","Yes"))</f>
        <v>Yes</v>
      </c>
      <c r="Q66" s="73" t="s">
        <v>117</v>
      </c>
      <c r="R66" s="71" t="s">
        <v>118</v>
      </c>
      <c r="S66" s="77"/>
      <c r="T66" s="69"/>
      <c r="AS66" s="144" t="str">
        <v>Quarter 2</v>
      </c>
    </row>
    <row r="67" spans="1:45" ht="30" customHeight="1" x14ac:dyDescent="0.35">
      <c r="A67" s="75">
        <v>66</v>
      </c>
      <c r="B67" s="69" t="s">
        <v>8</v>
      </c>
      <c r="C67" s="69" t="s">
        <v>8</v>
      </c>
      <c r="D67" s="69" t="s">
        <v>1752</v>
      </c>
      <c r="E67" s="72">
        <v>45524</v>
      </c>
      <c r="F67" s="72">
        <f>IF($E67="","",WORKDAY($E67,1,$W$33:$W$42))</f>
        <v>45525</v>
      </c>
      <c r="G67" s="72">
        <f>IF($E67="","",WORKDAY($E67,10,$W$33:$W$42))</f>
        <v>45539</v>
      </c>
      <c r="H67" s="72">
        <f>IF($E67="","",WORKDAY($E67,20,$W$33:$W$42))</f>
        <v>45553</v>
      </c>
      <c r="I67" s="72"/>
      <c r="J67" s="69" t="str">
        <f t="shared" si="3"/>
        <v>Aug</v>
      </c>
      <c r="K67" s="14" t="str">
        <f ca="1">IF(E67="","",IF(N67="",H67-TODAY(),""))</f>
        <v/>
      </c>
      <c r="L67" s="70" t="s">
        <v>1662</v>
      </c>
      <c r="M67" s="70" t="s">
        <v>20</v>
      </c>
      <c r="N67" s="70">
        <v>45539</v>
      </c>
      <c r="O67" s="145">
        <f>IF($N67="","",NETWORKDAYS($E67,$N67,$X$33:$X$48)-1)</f>
        <v>11</v>
      </c>
      <c r="P67" s="146" t="str">
        <f>IF(ISBLANK(N67),"",IF(N67&gt;H67,"No","Yes"))</f>
        <v>Yes</v>
      </c>
      <c r="Q67" s="73" t="s">
        <v>117</v>
      </c>
      <c r="R67" s="71" t="s">
        <v>118</v>
      </c>
      <c r="S67" s="77"/>
      <c r="T67" s="69" t="s">
        <v>141</v>
      </c>
      <c r="AS67" s="144" t="str">
        <v>Quarter 2</v>
      </c>
    </row>
    <row r="68" spans="1:45" ht="30" customHeight="1" x14ac:dyDescent="0.35">
      <c r="A68" s="75">
        <v>67</v>
      </c>
      <c r="B68" s="69" t="s">
        <v>8</v>
      </c>
      <c r="C68" s="69" t="s">
        <v>8</v>
      </c>
      <c r="D68" s="69" t="s">
        <v>1753</v>
      </c>
      <c r="E68" s="72">
        <v>45524</v>
      </c>
      <c r="F68" s="72">
        <f>IF($E68="","",WORKDAY($E68,1,$W$33:$W$42))</f>
        <v>45525</v>
      </c>
      <c r="G68" s="72">
        <f>IF($E68="","",WORKDAY($E68,10,$W$33:$W$42))</f>
        <v>45539</v>
      </c>
      <c r="H68" s="72">
        <f>IF($E68="","",WORKDAY($E68,20,$W$33:$W$42))</f>
        <v>45553</v>
      </c>
      <c r="I68" s="72"/>
      <c r="J68" s="69" t="str">
        <f t="shared" si="3"/>
        <v>Aug</v>
      </c>
      <c r="K68" s="14" t="str">
        <f ca="1">IF(E68="","",IF(N68="",H68-TODAY(),""))</f>
        <v/>
      </c>
      <c r="L68" s="70" t="s">
        <v>1662</v>
      </c>
      <c r="M68" s="70" t="s">
        <v>20</v>
      </c>
      <c r="N68" s="70">
        <v>45539</v>
      </c>
      <c r="O68" s="145">
        <f>IF($N68="","",NETWORKDAYS($E68,$N68,$X$33:$X$48)-1)</f>
        <v>11</v>
      </c>
      <c r="P68" s="146" t="str">
        <f>IF(ISBLANK(N68),"",IF(N68&gt;H68,"No","Yes"))</f>
        <v>Yes</v>
      </c>
      <c r="Q68" s="73" t="s">
        <v>117</v>
      </c>
      <c r="R68" s="71" t="s">
        <v>118</v>
      </c>
      <c r="S68" s="77"/>
      <c r="T68" s="69"/>
      <c r="AS68" s="144" t="str">
        <v>Quarter 2</v>
      </c>
    </row>
    <row r="69" spans="1:45" ht="30" customHeight="1" x14ac:dyDescent="0.35">
      <c r="A69" s="75">
        <v>68</v>
      </c>
      <c r="B69" s="69" t="s">
        <v>138</v>
      </c>
      <c r="C69" s="69" t="s">
        <v>19</v>
      </c>
      <c r="D69" s="69" t="s">
        <v>1754</v>
      </c>
      <c r="E69" s="72">
        <v>45525</v>
      </c>
      <c r="F69" s="72">
        <f>IF($E69="","",WORKDAY($E69,1,$W$33:$W$42))</f>
        <v>45526</v>
      </c>
      <c r="G69" s="72">
        <f>IF($E69="","",WORKDAY($E69,10,$W$33:$W$42))</f>
        <v>45540</v>
      </c>
      <c r="H69" s="72">
        <f>IF($E69="","",WORKDAY($E69,20,$W$33:$W$42))</f>
        <v>45554</v>
      </c>
      <c r="I69" s="72"/>
      <c r="J69" s="69" t="str">
        <f t="shared" si="3"/>
        <v>Aug</v>
      </c>
      <c r="K69" s="14" t="str">
        <f ca="1">IF(E69="","",IF(N69="",H69-TODAY(),""))</f>
        <v/>
      </c>
      <c r="L69" s="70" t="s">
        <v>1662</v>
      </c>
      <c r="M69" s="70" t="s">
        <v>20</v>
      </c>
      <c r="N69" s="70">
        <v>45531</v>
      </c>
      <c r="O69" s="145">
        <f>IF($N69="","",NETWORKDAYS($E69,$N69,$X$33:$X$48)-1)</f>
        <v>4</v>
      </c>
      <c r="P69" s="146" t="str">
        <f>IF(ISBLANK(N69),"",IF(N69&gt;H69,"No","Yes"))</f>
        <v>Yes</v>
      </c>
      <c r="Q69" s="73" t="s">
        <v>117</v>
      </c>
      <c r="R69" s="71" t="s">
        <v>118</v>
      </c>
      <c r="S69" s="77"/>
      <c r="T69" s="69" t="s">
        <v>141</v>
      </c>
      <c r="AS69" s="144" t="str">
        <v>Quarter 2</v>
      </c>
    </row>
    <row r="70" spans="1:45" ht="30" customHeight="1" x14ac:dyDescent="0.35">
      <c r="A70" s="75">
        <v>69</v>
      </c>
      <c r="B70" s="69" t="s">
        <v>138</v>
      </c>
      <c r="C70" s="69" t="s">
        <v>19</v>
      </c>
      <c r="D70" s="69" t="s">
        <v>1755</v>
      </c>
      <c r="E70" s="72">
        <v>45525</v>
      </c>
      <c r="F70" s="72">
        <f>IF($E70="","",WORKDAY($E70,1,$W$33:$W$42))</f>
        <v>45526</v>
      </c>
      <c r="G70" s="72">
        <f>IF($E70="","",WORKDAY($E70,10,$W$33:$W$42))</f>
        <v>45540</v>
      </c>
      <c r="H70" s="72">
        <f>IF($E70="","",WORKDAY($E70,20,$W$33:$W$42))</f>
        <v>45554</v>
      </c>
      <c r="I70" s="72"/>
      <c r="J70" s="69" t="str">
        <f t="shared" si="3"/>
        <v>Aug</v>
      </c>
      <c r="K70" s="14" t="str">
        <f ca="1">IF(E70="","",IF(N70="",H70-TODAY(),""))</f>
        <v/>
      </c>
      <c r="L70" s="70" t="s">
        <v>5</v>
      </c>
      <c r="M70" s="70" t="s">
        <v>18</v>
      </c>
      <c r="N70" s="70">
        <v>45538</v>
      </c>
      <c r="O70" s="145">
        <f>IF($N70="","",NETWORKDAYS($E70,$N70,$X$33:$X$48)-1)</f>
        <v>9</v>
      </c>
      <c r="P70" s="146" t="str">
        <f>IF(ISBLANK(N70),"",IF(N70&gt;H70,"No","Yes"))</f>
        <v>Yes</v>
      </c>
      <c r="Q70" s="73" t="s">
        <v>117</v>
      </c>
      <c r="R70" s="71" t="s">
        <v>118</v>
      </c>
      <c r="S70" s="77"/>
      <c r="T70" s="69"/>
      <c r="AS70" s="144" t="str">
        <v>Quarter 2</v>
      </c>
    </row>
    <row r="71" spans="1:45" ht="30" customHeight="1" x14ac:dyDescent="0.35">
      <c r="A71" s="75">
        <v>70</v>
      </c>
      <c r="B71" s="69" t="s">
        <v>138</v>
      </c>
      <c r="C71" s="69" t="s">
        <v>19</v>
      </c>
      <c r="D71" s="69" t="s">
        <v>1756</v>
      </c>
      <c r="E71" s="72">
        <v>45525</v>
      </c>
      <c r="F71" s="72">
        <f>IF($E71="","",WORKDAY($E71,1,$W$33:$W$42))</f>
        <v>45526</v>
      </c>
      <c r="G71" s="72">
        <f>IF($E71="","",WORKDAY($E71,10,$W$33:$W$42))</f>
        <v>45540</v>
      </c>
      <c r="H71" s="72">
        <f>IF($E71="","",WORKDAY($E71,20,$W$33:$W$42))</f>
        <v>45554</v>
      </c>
      <c r="I71" s="72"/>
      <c r="J71" s="69" t="str">
        <f t="shared" si="3"/>
        <v>Aug</v>
      </c>
      <c r="K71" s="14" t="str">
        <f ca="1">IF(E71="","",IF(N71="",H71-TODAY(),""))</f>
        <v/>
      </c>
      <c r="L71" s="70" t="s">
        <v>1662</v>
      </c>
      <c r="M71" s="70" t="s">
        <v>14</v>
      </c>
      <c r="N71" s="70">
        <v>45539</v>
      </c>
      <c r="O71" s="145">
        <f>IF($N71="","",NETWORKDAYS($E71,$N71,$X$33:$X$48)-1)</f>
        <v>10</v>
      </c>
      <c r="P71" s="146" t="str">
        <f>IF(ISBLANK(N71),"",IF(N71&gt;H71,"No","Yes"))</f>
        <v>Yes</v>
      </c>
      <c r="Q71" s="73" t="s">
        <v>117</v>
      </c>
      <c r="R71" s="71" t="s">
        <v>118</v>
      </c>
      <c r="S71" s="77"/>
      <c r="T71" s="69"/>
      <c r="AS71" s="144" t="str">
        <v>Quarter 2</v>
      </c>
    </row>
    <row r="72" spans="1:45" ht="30" customHeight="1" x14ac:dyDescent="0.35">
      <c r="A72" s="75">
        <v>71</v>
      </c>
      <c r="B72" s="69" t="s">
        <v>138</v>
      </c>
      <c r="C72" s="69" t="s">
        <v>19</v>
      </c>
      <c r="D72" s="69" t="s">
        <v>1757</v>
      </c>
      <c r="E72" s="72">
        <v>45525</v>
      </c>
      <c r="F72" s="72">
        <f>IF($E72="","",WORKDAY($E72,1,$W$33:$W$42))</f>
        <v>45526</v>
      </c>
      <c r="G72" s="72">
        <f>IF($E72="","",WORKDAY($E72,10,$W$33:$W$42))</f>
        <v>45540</v>
      </c>
      <c r="H72" s="72">
        <f>IF($E72="","",WORKDAY($E72,20,$W$33:$W$42))</f>
        <v>45554</v>
      </c>
      <c r="I72" s="72"/>
      <c r="J72" s="69" t="str">
        <f t="shared" si="3"/>
        <v>Aug</v>
      </c>
      <c r="K72" s="14" t="str">
        <f ca="1">IF(E72="","",IF(N72="",H72-TODAY(),""))</f>
        <v/>
      </c>
      <c r="L72" s="70" t="s">
        <v>1662</v>
      </c>
      <c r="M72" s="70" t="s">
        <v>14</v>
      </c>
      <c r="N72" s="70">
        <v>45525</v>
      </c>
      <c r="O72" s="145">
        <f>IF($N72="","",NETWORKDAYS($E72,$N72,$X$33:$X$48)-1)</f>
        <v>0</v>
      </c>
      <c r="P72" s="146" t="str">
        <f>IF(ISBLANK(N72),"",IF(N72&gt;H72,"No","Yes"))</f>
        <v>Yes</v>
      </c>
      <c r="Q72" s="73" t="s">
        <v>117</v>
      </c>
      <c r="R72" s="71" t="s">
        <v>118</v>
      </c>
      <c r="S72" s="77"/>
      <c r="T72" s="69"/>
      <c r="AS72" s="144" t="str">
        <v>Quarter 2</v>
      </c>
    </row>
    <row r="73" spans="1:45" ht="30" customHeight="1" x14ac:dyDescent="0.35">
      <c r="A73" s="75">
        <v>72</v>
      </c>
      <c r="B73" s="69" t="s">
        <v>138</v>
      </c>
      <c r="C73" s="69" t="s">
        <v>19</v>
      </c>
      <c r="D73" s="69" t="s">
        <v>1758</v>
      </c>
      <c r="E73" s="72">
        <v>45525</v>
      </c>
      <c r="F73" s="72">
        <f>IF($E73="","",WORKDAY($E73,1,$W$33:$W$42))</f>
        <v>45526</v>
      </c>
      <c r="G73" s="72">
        <f>IF($E73="","",WORKDAY($E73,10,$W$33:$W$42))</f>
        <v>45540</v>
      </c>
      <c r="H73" s="72">
        <f>IF($E73="","",WORKDAY($E73,20,$W$33:$W$42))</f>
        <v>45554</v>
      </c>
      <c r="I73" s="72"/>
      <c r="J73" s="69" t="str">
        <f t="shared" si="3"/>
        <v>Aug</v>
      </c>
      <c r="K73" s="14" t="str">
        <f ca="1">IF(E73="","",IF(N73="",H73-TODAY(),""))</f>
        <v/>
      </c>
      <c r="L73" s="70" t="s">
        <v>1662</v>
      </c>
      <c r="M73" s="70" t="s">
        <v>14</v>
      </c>
      <c r="N73" s="70">
        <v>45538</v>
      </c>
      <c r="O73" s="145">
        <f>IF($N73="","",NETWORKDAYS($E73,$N73,$X$33:$X$48)-1)</f>
        <v>9</v>
      </c>
      <c r="P73" s="146" t="str">
        <f>IF(ISBLANK(N73),"",IF(N73&gt;H73,"No","Yes"))</f>
        <v>Yes</v>
      </c>
      <c r="Q73" s="73" t="s">
        <v>117</v>
      </c>
      <c r="R73" s="71" t="s">
        <v>118</v>
      </c>
      <c r="S73" s="77"/>
      <c r="T73" s="69"/>
      <c r="AS73" s="144" t="str">
        <v>Quarter 2</v>
      </c>
    </row>
    <row r="74" spans="1:45" ht="30" customHeight="1" x14ac:dyDescent="0.35">
      <c r="A74" s="75">
        <v>73</v>
      </c>
      <c r="B74" s="69" t="s">
        <v>138</v>
      </c>
      <c r="C74" s="69" t="s">
        <v>19</v>
      </c>
      <c r="D74" s="69" t="s">
        <v>1759</v>
      </c>
      <c r="E74" s="72">
        <v>45525</v>
      </c>
      <c r="F74" s="72">
        <f>IF($E74="","",WORKDAY($E74,1,$W$33:$W$42))</f>
        <v>45526</v>
      </c>
      <c r="G74" s="72">
        <f>IF($E74="","",WORKDAY($E74,10,$W$33:$W$42))</f>
        <v>45540</v>
      </c>
      <c r="H74" s="72">
        <f>IF($E74="","",WORKDAY($E74,20,$W$33:$W$42))</f>
        <v>45554</v>
      </c>
      <c r="I74" s="72"/>
      <c r="J74" s="69" t="str">
        <f t="shared" si="3"/>
        <v>Aug</v>
      </c>
      <c r="K74" s="14" t="str">
        <f ca="1">IF(E74="","",IF(N74="",H74-TODAY(),""))</f>
        <v/>
      </c>
      <c r="L74" s="70" t="s">
        <v>1662</v>
      </c>
      <c r="M74" s="70" t="s">
        <v>24</v>
      </c>
      <c r="N74" s="70">
        <v>45525</v>
      </c>
      <c r="O74" s="145">
        <f>IF($N74="","",NETWORKDAYS($E74,$N74,$X$33:$X$48)-1)</f>
        <v>0</v>
      </c>
      <c r="P74" s="146" t="str">
        <f>IF(ISBLANK(N74),"",IF(N74&gt;H74,"No","Yes"))</f>
        <v>Yes</v>
      </c>
      <c r="Q74" s="73" t="s">
        <v>117</v>
      </c>
      <c r="R74" s="71" t="s">
        <v>118</v>
      </c>
      <c r="S74" s="77" t="s">
        <v>1663</v>
      </c>
      <c r="T74" s="69"/>
      <c r="AS74" s="144" t="str">
        <v>Quarter 2</v>
      </c>
    </row>
    <row r="75" spans="1:45" ht="30" customHeight="1" x14ac:dyDescent="0.35">
      <c r="A75" s="75">
        <v>74</v>
      </c>
      <c r="B75" s="69" t="s">
        <v>138</v>
      </c>
      <c r="C75" s="69" t="s">
        <v>19</v>
      </c>
      <c r="D75" s="69" t="s">
        <v>1760</v>
      </c>
      <c r="E75" s="71">
        <v>45525</v>
      </c>
      <c r="F75" s="72">
        <f>IF($E75="","",WORKDAY($E75,1,$W$33:$W$42))</f>
        <v>45526</v>
      </c>
      <c r="G75" s="72">
        <f>IF($E75="","",WORKDAY($E75,10,$W$33:$W$42))</f>
        <v>45540</v>
      </c>
      <c r="H75" s="72">
        <f>IF($E75="","",WORKDAY($E75,20,$W$33:$W$42))</f>
        <v>45554</v>
      </c>
      <c r="I75" s="72"/>
      <c r="J75" s="69" t="str">
        <f t="shared" si="3"/>
        <v>Aug</v>
      </c>
      <c r="K75" s="14" t="str">
        <f ca="1">IF(E75="","",IF(N75="",H75-TODAY(),""))</f>
        <v/>
      </c>
      <c r="L75" s="70" t="s">
        <v>1662</v>
      </c>
      <c r="M75" s="70" t="s">
        <v>14</v>
      </c>
      <c r="N75" s="70">
        <v>45538</v>
      </c>
      <c r="O75" s="145">
        <f>IF($N75="","",NETWORKDAYS($E75,$N75,$X$33:$X$48)-1)</f>
        <v>9</v>
      </c>
      <c r="P75" s="146" t="str">
        <f>IF(ISBLANK(N75),"",IF(N75&gt;H75,"No","Yes"))</f>
        <v>Yes</v>
      </c>
      <c r="Q75" s="73" t="s">
        <v>117</v>
      </c>
      <c r="R75" s="71" t="s">
        <v>118</v>
      </c>
      <c r="S75" s="77"/>
      <c r="T75" s="69"/>
      <c r="AS75" s="144" t="str">
        <v>Quarter 2</v>
      </c>
    </row>
    <row r="76" spans="1:45" ht="30" customHeight="1" x14ac:dyDescent="0.35">
      <c r="A76" s="75">
        <v>75</v>
      </c>
      <c r="B76" s="69" t="s">
        <v>138</v>
      </c>
      <c r="C76" s="69" t="s">
        <v>19</v>
      </c>
      <c r="D76" s="69" t="s">
        <v>1761</v>
      </c>
      <c r="E76" s="71">
        <v>45525</v>
      </c>
      <c r="F76" s="72">
        <f>IF($E76="","",WORKDAY($E76,1,$W$33:$W$42))</f>
        <v>45526</v>
      </c>
      <c r="G76" s="72">
        <f>IF($E76="","",WORKDAY($E76,10,$W$33:$W$42))</f>
        <v>45540</v>
      </c>
      <c r="H76" s="72">
        <f>IF($E76="","",WORKDAY($E76,20,$W$33:$W$42))</f>
        <v>45554</v>
      </c>
      <c r="I76" s="72"/>
      <c r="J76" s="69" t="str">
        <f t="shared" si="3"/>
        <v>Aug</v>
      </c>
      <c r="K76" s="14" t="str">
        <f ca="1">IF(E76="","",IF(N76="",H76-TODAY(),""))</f>
        <v/>
      </c>
      <c r="L76" s="70" t="s">
        <v>5</v>
      </c>
      <c r="M76" s="70" t="s">
        <v>18</v>
      </c>
      <c r="N76" s="70">
        <v>45531</v>
      </c>
      <c r="O76" s="145">
        <f>IF($N76="","",NETWORKDAYS($E76,$N76,$X$33:$X$48)-1)</f>
        <v>4</v>
      </c>
      <c r="P76" s="146" t="str">
        <f>IF(ISBLANK(N76),"",IF(N76&gt;H76,"No","Yes"))</f>
        <v>Yes</v>
      </c>
      <c r="Q76" s="73" t="s">
        <v>117</v>
      </c>
      <c r="R76" s="71" t="s">
        <v>118</v>
      </c>
      <c r="S76" s="77"/>
      <c r="T76" s="69"/>
      <c r="AS76" s="144" t="str">
        <v>Quarter 2</v>
      </c>
    </row>
    <row r="77" spans="1:45" ht="30" customHeight="1" x14ac:dyDescent="0.35">
      <c r="A77" s="75">
        <v>76</v>
      </c>
      <c r="B77" s="69" t="s">
        <v>1669</v>
      </c>
      <c r="C77" s="69" t="s">
        <v>13</v>
      </c>
      <c r="D77" s="69" t="s">
        <v>1670</v>
      </c>
      <c r="E77" s="71">
        <v>45531</v>
      </c>
      <c r="F77" s="72">
        <f>IF($E77="","",WORKDAY($E77,1,$W$33:$W$42))</f>
        <v>45532</v>
      </c>
      <c r="G77" s="72">
        <f>IF($E77="","",WORKDAY($E77,10,$W$33:$W$42))</f>
        <v>45545</v>
      </c>
      <c r="H77" s="72">
        <f>IF($E77="","",WORKDAY($E77,20,$W$33:$W$42))</f>
        <v>45559</v>
      </c>
      <c r="I77" s="72"/>
      <c r="J77" s="69" t="str">
        <f t="shared" si="3"/>
        <v>Aug</v>
      </c>
      <c r="K77" s="14" t="str">
        <f ca="1">IF(E77="","",IF(N77="",H77-TODAY(),""))</f>
        <v/>
      </c>
      <c r="L77" s="70" t="s">
        <v>1662</v>
      </c>
      <c r="M77" s="70" t="s">
        <v>24</v>
      </c>
      <c r="N77" s="70">
        <v>45538</v>
      </c>
      <c r="O77" s="145">
        <f>IF($N77="","",NETWORKDAYS($E77,$N77,$X$33:$X$48)-1)</f>
        <v>5</v>
      </c>
      <c r="P77" s="146" t="str">
        <f>IF(ISBLANK(N77),"",IF(N77&gt;H77,"No","Yes"))</f>
        <v>Yes</v>
      </c>
      <c r="Q77" s="73" t="s">
        <v>117</v>
      </c>
      <c r="R77" s="71" t="s">
        <v>118</v>
      </c>
      <c r="S77" s="77"/>
      <c r="T77" s="69"/>
      <c r="AS77" s="144" t="str">
        <v>Quarter 2</v>
      </c>
    </row>
    <row r="78" spans="1:45" ht="30" customHeight="1" x14ac:dyDescent="0.35">
      <c r="A78" s="75">
        <v>77</v>
      </c>
      <c r="B78" s="4" t="s">
        <v>138</v>
      </c>
      <c r="C78" s="4" t="s">
        <v>19</v>
      </c>
      <c r="D78" s="4" t="s">
        <v>1762</v>
      </c>
      <c r="E78" s="71">
        <v>45539</v>
      </c>
      <c r="F78" s="72">
        <f>IF($E78="","",WORKDAY($E78,1,$W$33:$W$42))</f>
        <v>45540</v>
      </c>
      <c r="G78" s="72">
        <f>IF($E78="","",WORKDAY($E78,10,$W$33:$W$42))</f>
        <v>45553</v>
      </c>
      <c r="H78" s="72">
        <f>IF($E78="","",WORKDAY($E78,20,$W$33:$W$42))</f>
        <v>45567</v>
      </c>
      <c r="I78" s="72"/>
      <c r="J78" s="69" t="str">
        <f t="shared" si="3"/>
        <v>Sep</v>
      </c>
      <c r="K78" s="14" t="str">
        <f ca="1">IF(E78="","",IF(N78="",H78-TODAY(),""))</f>
        <v/>
      </c>
      <c r="L78" s="70" t="s">
        <v>1662</v>
      </c>
      <c r="M78" s="70" t="s">
        <v>14</v>
      </c>
      <c r="N78" s="70">
        <v>45568</v>
      </c>
      <c r="O78" s="145">
        <f>IF($N78="","",NETWORKDAYS($E78,$N78,$X$33:$X$48)-1)</f>
        <v>21</v>
      </c>
      <c r="P78" s="146" t="str">
        <f>IF(ISBLANK(N78),"",IF(N78&gt;H78,"No","Yes"))</f>
        <v>No</v>
      </c>
      <c r="Q78" s="73" t="s">
        <v>117</v>
      </c>
      <c r="R78" s="71" t="s">
        <v>118</v>
      </c>
      <c r="S78" s="77"/>
      <c r="T78" s="69" t="s">
        <v>141</v>
      </c>
      <c r="AS78" s="144" t="str">
        <v>Quarter 2</v>
      </c>
    </row>
    <row r="79" spans="1:45" ht="30" customHeight="1" x14ac:dyDescent="0.35">
      <c r="A79" s="75">
        <v>78</v>
      </c>
      <c r="B79" s="69" t="s">
        <v>8</v>
      </c>
      <c r="C79" s="69" t="s">
        <v>8</v>
      </c>
      <c r="D79" s="69" t="s">
        <v>1763</v>
      </c>
      <c r="E79" s="72">
        <v>45540</v>
      </c>
      <c r="F79" s="72">
        <f>IF($E79="","",WORKDAY($E79,1,$W$33:$W$42))</f>
        <v>45541</v>
      </c>
      <c r="G79" s="72">
        <f>IF($E79="","",WORKDAY($E79,10,$W$33:$W$42))</f>
        <v>45554</v>
      </c>
      <c r="H79" s="72">
        <f>IF($E79="","",WORKDAY($E79,20,$W$33:$W$42))</f>
        <v>45568</v>
      </c>
      <c r="I79" s="72"/>
      <c r="J79" s="69" t="str">
        <f t="shared" si="3"/>
        <v>Sep</v>
      </c>
      <c r="K79" s="14" t="str">
        <f ca="1">IF(E79="","",IF(N79="",H79-TODAY(),""))</f>
        <v/>
      </c>
      <c r="L79" s="70" t="s">
        <v>1662</v>
      </c>
      <c r="M79" s="70" t="s">
        <v>14</v>
      </c>
      <c r="N79" s="70">
        <v>45554</v>
      </c>
      <c r="O79" s="145">
        <f>IF($N79="","",NETWORKDAYS($E79,$N79,$X$33:$X$48)-1)</f>
        <v>10</v>
      </c>
      <c r="P79" s="146" t="str">
        <f>IF(ISBLANK(N79),"",IF(N79&gt;H79,"No","Yes"))</f>
        <v>Yes</v>
      </c>
      <c r="Q79" s="73" t="s">
        <v>117</v>
      </c>
      <c r="R79" s="71" t="s">
        <v>118</v>
      </c>
      <c r="S79" s="77"/>
      <c r="T79" s="69"/>
      <c r="AS79" s="144" t="str">
        <v>Quarter 2</v>
      </c>
    </row>
    <row r="80" spans="1:45" ht="30" customHeight="1" x14ac:dyDescent="0.35">
      <c r="A80" s="75">
        <v>79</v>
      </c>
      <c r="B80" s="69" t="s">
        <v>8</v>
      </c>
      <c r="C80" s="69" t="s">
        <v>8</v>
      </c>
      <c r="D80" s="69" t="s">
        <v>1745</v>
      </c>
      <c r="E80" s="72">
        <v>45548</v>
      </c>
      <c r="F80" s="72">
        <f>IF($E80="","",WORKDAY($E80,1,$W$33:$W$42))</f>
        <v>45551</v>
      </c>
      <c r="G80" s="72">
        <f>IF($E80="","",WORKDAY($E80,10,$W$33:$W$42))</f>
        <v>45562</v>
      </c>
      <c r="H80" s="72">
        <f>IF($E80="","",WORKDAY($E80,20,$W$33:$W$42))</f>
        <v>45576</v>
      </c>
      <c r="I80" s="72"/>
      <c r="J80" s="69" t="str">
        <f t="shared" si="3"/>
        <v>Sep</v>
      </c>
      <c r="K80" s="14" t="str">
        <f ca="1">IF(E80="","",IF(N80="",H80-TODAY(),""))</f>
        <v/>
      </c>
      <c r="L80" s="70" t="s">
        <v>1662</v>
      </c>
      <c r="M80" s="70" t="s">
        <v>20</v>
      </c>
      <c r="N80" s="70">
        <v>45551</v>
      </c>
      <c r="O80" s="145">
        <f>IF($N80="","",NETWORKDAYS($E80,$N80,$X$33:$X$48)-1)</f>
        <v>1</v>
      </c>
      <c r="P80" s="146" t="str">
        <f>IF(ISBLANK(N80),"",IF(N80&gt;H80,"No","Yes"))</f>
        <v>Yes</v>
      </c>
      <c r="Q80" s="73" t="s">
        <v>117</v>
      </c>
      <c r="R80" s="71" t="s">
        <v>118</v>
      </c>
      <c r="S80" s="77" t="s">
        <v>1663</v>
      </c>
      <c r="T80" s="69"/>
      <c r="AS80" s="144" t="str">
        <v>Quarter 2</v>
      </c>
    </row>
    <row r="81" spans="1:45" ht="30" customHeight="1" x14ac:dyDescent="0.35">
      <c r="A81" s="75">
        <v>80</v>
      </c>
      <c r="B81" s="69" t="s">
        <v>8</v>
      </c>
      <c r="C81" s="69" t="s">
        <v>8</v>
      </c>
      <c r="D81" s="69" t="s">
        <v>1764</v>
      </c>
      <c r="E81" s="71">
        <v>45551</v>
      </c>
      <c r="F81" s="72">
        <f>IF($E81="","",WORKDAY($E81,1,$W$33:$W$42))</f>
        <v>45552</v>
      </c>
      <c r="G81" s="72">
        <f>IF($E81="","",WORKDAY($E81,10,$W$33:$W$42))</f>
        <v>45565</v>
      </c>
      <c r="H81" s="72">
        <f>IF($E81="","",WORKDAY($E81,20,$W$33:$W$42))</f>
        <v>45579</v>
      </c>
      <c r="I81" s="72"/>
      <c r="J81" s="69" t="str">
        <f t="shared" si="3"/>
        <v>Sep</v>
      </c>
      <c r="K81" s="14" t="str">
        <f ca="1">IF(E81="","",IF(N81="",H81-TODAY(),""))</f>
        <v/>
      </c>
      <c r="L81" s="70" t="s">
        <v>1662</v>
      </c>
      <c r="M81" s="70" t="s">
        <v>24</v>
      </c>
      <c r="N81" s="70">
        <v>45580</v>
      </c>
      <c r="O81" s="145">
        <f>IF($N81="","",NETWORKDAYS($E81,$N81,$X$33:$X$48)-1)</f>
        <v>21</v>
      </c>
      <c r="P81" s="146" t="str">
        <f>IF(ISBLANK(N81),"",IF(N81&gt;H81,"No","Yes"))</f>
        <v>No</v>
      </c>
      <c r="Q81" s="73" t="s">
        <v>117</v>
      </c>
      <c r="R81" s="71" t="s">
        <v>118</v>
      </c>
      <c r="S81" s="77" t="s">
        <v>1663</v>
      </c>
      <c r="T81" s="69" t="s">
        <v>141</v>
      </c>
      <c r="AS81" s="144" t="str">
        <v>Quarter 2</v>
      </c>
    </row>
    <row r="82" spans="1:45" ht="30" customHeight="1" x14ac:dyDescent="0.35">
      <c r="A82" s="75">
        <v>81</v>
      </c>
      <c r="B82" s="69" t="s">
        <v>1765</v>
      </c>
      <c r="C82" s="69" t="s">
        <v>15</v>
      </c>
      <c r="D82" s="69" t="s">
        <v>1766</v>
      </c>
      <c r="E82" s="71">
        <v>45551</v>
      </c>
      <c r="F82" s="72">
        <f>IF($E82="","",WORKDAY($E82,1,$W$33:$W$42))</f>
        <v>45552</v>
      </c>
      <c r="G82" s="72">
        <f>IF($E82="","",WORKDAY($E82,10,$W$33:$W$42))</f>
        <v>45565</v>
      </c>
      <c r="H82" s="72">
        <f>IF($E82="","",WORKDAY($E82,20,$W$33:$W$42))</f>
        <v>45579</v>
      </c>
      <c r="I82" s="72"/>
      <c r="J82" s="69" t="str">
        <f t="shared" ref="J82:J97" si="4">IF(ISBLANK(E82),"",TEXT(E82,"mmm"))</f>
        <v>Sep</v>
      </c>
      <c r="K82" s="14" t="str">
        <f ca="1">IF(E82="","",IF(N82="",H82-TODAY(),""))</f>
        <v/>
      </c>
      <c r="L82" s="70" t="s">
        <v>1662</v>
      </c>
      <c r="M82" s="70" t="s">
        <v>20</v>
      </c>
      <c r="N82" s="70">
        <v>45553</v>
      </c>
      <c r="O82" s="145">
        <f>IF($N82="","",NETWORKDAYS($E82,$N82,$X$33:$X$48)-1)</f>
        <v>2</v>
      </c>
      <c r="P82" s="146" t="str">
        <f>IF(ISBLANK(N82),"",IF(N82&gt;H82,"No","Yes"))</f>
        <v>Yes</v>
      </c>
      <c r="Q82" s="73" t="s">
        <v>117</v>
      </c>
      <c r="R82" s="71" t="s">
        <v>118</v>
      </c>
      <c r="S82" s="77"/>
      <c r="T82" s="69"/>
      <c r="AS82" s="144" t="str">
        <v>Quarter 2</v>
      </c>
    </row>
    <row r="83" spans="1:45" ht="30" customHeight="1" x14ac:dyDescent="0.35">
      <c r="A83" s="75">
        <v>82</v>
      </c>
      <c r="B83" s="69" t="s">
        <v>8</v>
      </c>
      <c r="C83" s="69" t="s">
        <v>8</v>
      </c>
      <c r="D83" s="69" t="s">
        <v>1767</v>
      </c>
      <c r="E83" s="71">
        <v>45551</v>
      </c>
      <c r="F83" s="72">
        <f>IF($E83="","",WORKDAY($E83,1,$W$33:$W$42))</f>
        <v>45552</v>
      </c>
      <c r="G83" s="72">
        <f>IF($E83="","",WORKDAY($E83,10,$W$33:$W$42))</f>
        <v>45565</v>
      </c>
      <c r="H83" s="72">
        <f>IF($E83="","",WORKDAY($E83,20,$W$33:$W$42))</f>
        <v>45579</v>
      </c>
      <c r="I83" s="72"/>
      <c r="J83" s="69" t="str">
        <f t="shared" si="4"/>
        <v>Sep</v>
      </c>
      <c r="K83" s="14" t="str">
        <f ca="1">IF(E83="","",IF(N83="",H83-TODAY(),""))</f>
        <v/>
      </c>
      <c r="L83" s="70" t="s">
        <v>1662</v>
      </c>
      <c r="M83" s="70" t="s">
        <v>20</v>
      </c>
      <c r="N83" s="70">
        <v>45558</v>
      </c>
      <c r="O83" s="145">
        <f>IF($N83="","",NETWORKDAYS($E83,$N83,$X$33:$X$48)-1)</f>
        <v>5</v>
      </c>
      <c r="P83" s="146" t="str">
        <f>IF(ISBLANK(N83),"",IF(N83&gt;H83,"No","Yes"))</f>
        <v>Yes</v>
      </c>
      <c r="Q83" s="73" t="s">
        <v>117</v>
      </c>
      <c r="R83" s="71" t="s">
        <v>118</v>
      </c>
      <c r="S83" s="77"/>
      <c r="T83" s="69" t="s">
        <v>141</v>
      </c>
      <c r="AS83" s="144" t="str">
        <v>Quarter 2</v>
      </c>
    </row>
    <row r="84" spans="1:45" ht="30" customHeight="1" x14ac:dyDescent="0.35">
      <c r="A84" s="75">
        <v>83</v>
      </c>
      <c r="B84" s="69" t="s">
        <v>8</v>
      </c>
      <c r="C84" s="69" t="s">
        <v>8</v>
      </c>
      <c r="D84" s="69" t="s">
        <v>1768</v>
      </c>
      <c r="E84" s="71">
        <v>45554</v>
      </c>
      <c r="F84" s="72">
        <f>IF($E84="","",WORKDAY($E84,1,$W$33:$W$42))</f>
        <v>45555</v>
      </c>
      <c r="G84" s="72">
        <f>IF($E84="","",WORKDAY($E84,10,$W$33:$W$42))</f>
        <v>45568</v>
      </c>
      <c r="H84" s="72">
        <f>IF($E84="","",WORKDAY($E84,20,$W$33:$W$42))</f>
        <v>45582</v>
      </c>
      <c r="I84" s="72"/>
      <c r="J84" s="69" t="str">
        <f t="shared" si="4"/>
        <v>Sep</v>
      </c>
      <c r="K84" s="14" t="str">
        <f ca="1">IF(E84="","",IF(N84="",H84-TODAY(),""))</f>
        <v/>
      </c>
      <c r="L84" s="70" t="s">
        <v>1662</v>
      </c>
      <c r="M84" s="70" t="s">
        <v>20</v>
      </c>
      <c r="N84" s="70">
        <v>45568</v>
      </c>
      <c r="O84" s="145">
        <f>IF($N84="","",NETWORKDAYS($E84,$N84,$X$33:$X$48)-1)</f>
        <v>10</v>
      </c>
      <c r="P84" s="146" t="str">
        <f>IF(ISBLANK(N84),"",IF(N84&gt;H84,"No","Yes"))</f>
        <v>Yes</v>
      </c>
      <c r="Q84" s="73" t="s">
        <v>117</v>
      </c>
      <c r="R84" s="71" t="s">
        <v>118</v>
      </c>
      <c r="S84" s="77"/>
      <c r="T84" s="69"/>
      <c r="AS84" s="144" t="str">
        <v>Quarter 2</v>
      </c>
    </row>
    <row r="85" spans="1:45" ht="30" customHeight="1" x14ac:dyDescent="0.35">
      <c r="A85" s="75">
        <v>84</v>
      </c>
      <c r="B85" s="69" t="s">
        <v>8</v>
      </c>
      <c r="C85" s="69" t="s">
        <v>8</v>
      </c>
      <c r="D85" s="69" t="s">
        <v>1745</v>
      </c>
      <c r="E85" s="72">
        <v>45554</v>
      </c>
      <c r="F85" s="72">
        <f>IF($E85="","",WORKDAY($E85,1,$W$33:$W$42))</f>
        <v>45555</v>
      </c>
      <c r="G85" s="72">
        <f>IF($E85="","",WORKDAY($E85,10,$W$33:$W$42))</f>
        <v>45568</v>
      </c>
      <c r="H85" s="72">
        <f>IF($E85="","",WORKDAY($E85,20,$W$33:$W$42))</f>
        <v>45582</v>
      </c>
      <c r="I85" s="72"/>
      <c r="J85" s="69" t="str">
        <f t="shared" si="4"/>
        <v>Sep</v>
      </c>
      <c r="K85" s="14" t="str">
        <f ca="1">IF(E85="","",IF(N85="",H85-TODAY(),""))</f>
        <v/>
      </c>
      <c r="L85" s="70" t="s">
        <v>1662</v>
      </c>
      <c r="M85" s="70" t="s">
        <v>20</v>
      </c>
      <c r="N85" s="70">
        <v>45576</v>
      </c>
      <c r="O85" s="145">
        <f>IF($N85="","",NETWORKDAYS($E85,$N85,$X$33:$X$48)-1)</f>
        <v>16</v>
      </c>
      <c r="P85" s="146" t="str">
        <f>IF(ISBLANK(N85),"",IF(N85&gt;H85,"No","Yes"))</f>
        <v>Yes</v>
      </c>
      <c r="Q85" s="73" t="s">
        <v>117</v>
      </c>
      <c r="R85" s="71" t="s">
        <v>118</v>
      </c>
      <c r="S85" s="77"/>
      <c r="T85" s="69"/>
      <c r="AS85" s="144" t="str">
        <v>Quarter 2</v>
      </c>
    </row>
    <row r="86" spans="1:45" ht="30" customHeight="1" x14ac:dyDescent="0.35">
      <c r="A86" s="75">
        <v>85</v>
      </c>
      <c r="B86" s="69" t="s">
        <v>1769</v>
      </c>
      <c r="C86" s="69" t="s">
        <v>13</v>
      </c>
      <c r="D86" s="69" t="s">
        <v>1770</v>
      </c>
      <c r="E86" s="72">
        <v>45558</v>
      </c>
      <c r="F86" s="72">
        <f>IF($E86="","",WORKDAY($E86,1,$W$33:$W$42))</f>
        <v>45559</v>
      </c>
      <c r="G86" s="72">
        <f>IF($E86="","",WORKDAY($E86,10,$W$33:$W$42))</f>
        <v>45572</v>
      </c>
      <c r="H86" s="72">
        <f>IF($E86="","",WORKDAY($E86,20,$W$33:$W$42))</f>
        <v>45586</v>
      </c>
      <c r="I86" s="72"/>
      <c r="J86" s="69" t="str">
        <f t="shared" si="4"/>
        <v>Sep</v>
      </c>
      <c r="K86" s="14" t="str">
        <f ca="1">IF(E86="","",IF(N86="",H86-TODAY(),""))</f>
        <v/>
      </c>
      <c r="L86" s="70" t="s">
        <v>5</v>
      </c>
      <c r="M86" s="70" t="s">
        <v>18</v>
      </c>
      <c r="N86" s="70">
        <v>45562</v>
      </c>
      <c r="O86" s="145">
        <f>IF($N86="","",NETWORKDAYS($E86,$N86,$X$33:$X$48)-1)</f>
        <v>4</v>
      </c>
      <c r="P86" s="146" t="str">
        <f>IF(ISBLANK(N86),"",IF(N86&gt;H86,"No","Yes"))</f>
        <v>Yes</v>
      </c>
      <c r="Q86" s="73" t="s">
        <v>117</v>
      </c>
      <c r="R86" s="71" t="s">
        <v>118</v>
      </c>
      <c r="S86" s="77"/>
      <c r="T86" s="69" t="s">
        <v>141</v>
      </c>
      <c r="AS86" s="144" t="str">
        <v>Quarter 2</v>
      </c>
    </row>
    <row r="87" spans="1:45" ht="30" customHeight="1" x14ac:dyDescent="0.35">
      <c r="A87" s="75">
        <v>86</v>
      </c>
      <c r="B87" s="69" t="s">
        <v>8</v>
      </c>
      <c r="C87" s="69" t="s">
        <v>8</v>
      </c>
      <c r="D87" s="69" t="s">
        <v>1768</v>
      </c>
      <c r="E87" s="71">
        <v>45558</v>
      </c>
      <c r="F87" s="72">
        <f>IF($E87="","",WORKDAY($E87,1,$W$33:$W$42))</f>
        <v>45559</v>
      </c>
      <c r="G87" s="72">
        <f>IF($E87="","",WORKDAY($E87,10,$W$33:$W$42))</f>
        <v>45572</v>
      </c>
      <c r="H87" s="72">
        <f>IF($E87="","",WORKDAY($E87,20,$W$33:$W$42))</f>
        <v>45586</v>
      </c>
      <c r="I87" s="72"/>
      <c r="J87" s="69" t="str">
        <f t="shared" si="4"/>
        <v>Sep</v>
      </c>
      <c r="K87" s="14" t="str">
        <f ca="1">IF(E87="","",IF(N87="",H87-TODAY(),""))</f>
        <v/>
      </c>
      <c r="L87" s="70" t="s">
        <v>1662</v>
      </c>
      <c r="M87" s="70" t="s">
        <v>20</v>
      </c>
      <c r="N87" s="70">
        <v>45568</v>
      </c>
      <c r="O87" s="145">
        <f>IF($N87="","",NETWORKDAYS($E87,$N87,$X$33:$X$48)-1)</f>
        <v>8</v>
      </c>
      <c r="P87" s="146" t="str">
        <f>IF(ISBLANK(N87),"",IF(N87&gt;H87,"No","Yes"))</f>
        <v>Yes</v>
      </c>
      <c r="Q87" s="73" t="s">
        <v>117</v>
      </c>
      <c r="R87" s="71" t="s">
        <v>118</v>
      </c>
      <c r="S87" s="77"/>
      <c r="T87" s="69"/>
      <c r="AS87" s="144" t="str">
        <v>Quarter 2</v>
      </c>
    </row>
    <row r="88" spans="1:45" ht="30" customHeight="1" x14ac:dyDescent="0.35">
      <c r="A88" s="75">
        <v>87</v>
      </c>
      <c r="B88" s="69" t="s">
        <v>8</v>
      </c>
      <c r="C88" s="69" t="s">
        <v>8</v>
      </c>
      <c r="D88" s="69" t="s">
        <v>1771</v>
      </c>
      <c r="E88" s="71">
        <v>45559</v>
      </c>
      <c r="F88" s="72">
        <f>IF($E88="","",WORKDAY($E88,1,$W$33:$W$42))</f>
        <v>45560</v>
      </c>
      <c r="G88" s="72">
        <f>IF($E88="","",WORKDAY($E88,10,$W$33:$W$42))</f>
        <v>45573</v>
      </c>
      <c r="H88" s="72">
        <f>IF($E88="","",WORKDAY($E88,20,$W$33:$W$42))</f>
        <v>45587</v>
      </c>
      <c r="I88" s="72"/>
      <c r="J88" s="69" t="str">
        <f t="shared" si="4"/>
        <v>Sep</v>
      </c>
      <c r="K88" s="14" t="str">
        <f ca="1">IF(E88="","",IF(N88="",H88-TODAY(),""))</f>
        <v/>
      </c>
      <c r="L88" s="70" t="s">
        <v>1662</v>
      </c>
      <c r="M88" s="70" t="s">
        <v>24</v>
      </c>
      <c r="N88" s="70">
        <v>45569</v>
      </c>
      <c r="O88" s="145">
        <f>IF($N88="","",NETWORKDAYS($E88,$N88,$X$33:$X$48)-1)</f>
        <v>8</v>
      </c>
      <c r="P88" s="146" t="str">
        <f>IF(ISBLANK(N88),"",IF(N88&gt;H88,"No","Yes"))</f>
        <v>Yes</v>
      </c>
      <c r="Q88" s="73" t="s">
        <v>117</v>
      </c>
      <c r="R88" s="71" t="s">
        <v>118</v>
      </c>
      <c r="S88" s="77"/>
      <c r="T88" s="69" t="s">
        <v>1772</v>
      </c>
      <c r="AS88" s="144" t="str">
        <v>Quarter 2</v>
      </c>
    </row>
    <row r="89" spans="1:45" ht="30" customHeight="1" x14ac:dyDescent="0.35">
      <c r="A89" s="75">
        <v>88</v>
      </c>
      <c r="B89" s="69" t="s">
        <v>8</v>
      </c>
      <c r="C89" s="69" t="s">
        <v>8</v>
      </c>
      <c r="D89" s="69" t="s">
        <v>1773</v>
      </c>
      <c r="E89" s="71">
        <v>45558</v>
      </c>
      <c r="F89" s="72">
        <f>IF($E89="","",WORKDAY($E89,1,$W$33:$W$42))</f>
        <v>45559</v>
      </c>
      <c r="G89" s="72">
        <f>IF($E89="","",WORKDAY($E89,10,$W$33:$W$42))</f>
        <v>45572</v>
      </c>
      <c r="H89" s="72">
        <f>IF($E89="","",WORKDAY($E89,20,$W$33:$W$42))</f>
        <v>45586</v>
      </c>
      <c r="I89" s="72"/>
      <c r="J89" s="69" t="str">
        <f t="shared" si="4"/>
        <v>Sep</v>
      </c>
      <c r="K89" s="14" t="str">
        <f ca="1">IF(E89="","",IF(N89="",H89-TODAY(),""))</f>
        <v/>
      </c>
      <c r="L89" s="70" t="s">
        <v>1662</v>
      </c>
      <c r="M89" s="70" t="s">
        <v>24</v>
      </c>
      <c r="N89" s="70">
        <v>45573</v>
      </c>
      <c r="O89" s="145">
        <f>IF($N89="","",NETWORKDAYS($E89,$N89,$X$33:$X$48)-1)</f>
        <v>11</v>
      </c>
      <c r="P89" s="146" t="str">
        <f>IF(ISBLANK(N89),"",IF(N89&gt;H89,"No","Yes"))</f>
        <v>Yes</v>
      </c>
      <c r="Q89" s="73" t="s">
        <v>117</v>
      </c>
      <c r="R89" s="71" t="s">
        <v>118</v>
      </c>
      <c r="S89" s="77"/>
      <c r="T89" s="69"/>
      <c r="AS89" s="144" t="str">
        <v>Quarter 2</v>
      </c>
    </row>
    <row r="90" spans="1:45" ht="30" customHeight="1" x14ac:dyDescent="0.35">
      <c r="A90" s="75">
        <v>89</v>
      </c>
      <c r="B90" s="69" t="s">
        <v>138</v>
      </c>
      <c r="C90" s="69" t="s">
        <v>19</v>
      </c>
      <c r="D90" s="69" t="s">
        <v>1774</v>
      </c>
      <c r="E90" s="71">
        <v>45567</v>
      </c>
      <c r="F90" s="72">
        <f>IF($E90="","",WORKDAY($E90,1,$W$33:$W$42))</f>
        <v>45568</v>
      </c>
      <c r="G90" s="72">
        <f>IF($E90="","",WORKDAY($E90,10,$W$33:$W$42))</f>
        <v>45581</v>
      </c>
      <c r="H90" s="72">
        <f>IF($E90="","",WORKDAY($E90,20,$W$33:$W$42))</f>
        <v>45595</v>
      </c>
      <c r="I90" s="72"/>
      <c r="J90" s="69" t="str">
        <f t="shared" si="4"/>
        <v>Oct</v>
      </c>
      <c r="K90" s="14" t="str">
        <f ca="1">IF(E90="","",IF(N90="",H90-TODAY(),""))</f>
        <v/>
      </c>
      <c r="L90" s="70" t="s">
        <v>1662</v>
      </c>
      <c r="M90" s="70" t="s">
        <v>24</v>
      </c>
      <c r="N90" s="70">
        <v>45568</v>
      </c>
      <c r="O90" s="145">
        <f>IF($N90="","",NETWORKDAYS($E90,$N90,$X$33:$X$48)-1)</f>
        <v>1</v>
      </c>
      <c r="P90" s="146" t="str">
        <f>IF(ISBLANK(N90),"",IF(N90&gt;H90,"No","Yes"))</f>
        <v>Yes</v>
      </c>
      <c r="Q90" s="73" t="s">
        <v>117</v>
      </c>
      <c r="R90" s="71" t="s">
        <v>150</v>
      </c>
      <c r="S90" s="77"/>
      <c r="T90" s="69"/>
      <c r="AS90" s="144" t="str">
        <v>Quarter 3</v>
      </c>
    </row>
    <row r="91" spans="1:45" ht="30" customHeight="1" x14ac:dyDescent="0.35">
      <c r="A91" s="75">
        <v>90</v>
      </c>
      <c r="B91" s="69" t="s">
        <v>138</v>
      </c>
      <c r="C91" s="69" t="s">
        <v>19</v>
      </c>
      <c r="D91" s="69" t="s">
        <v>1775</v>
      </c>
      <c r="E91" s="72">
        <v>45567</v>
      </c>
      <c r="F91" s="72">
        <f>IF($E91="","",WORKDAY($E91,1,$W$33:$W$42))</f>
        <v>45568</v>
      </c>
      <c r="G91" s="72">
        <f>IF($E91="","",WORKDAY($E91,10,$W$33:$W$42))</f>
        <v>45581</v>
      </c>
      <c r="H91" s="72">
        <f>IF($E91="","",WORKDAY($E91,20,$W$33:$W$42))</f>
        <v>45595</v>
      </c>
      <c r="I91" s="72"/>
      <c r="J91" s="69" t="str">
        <f t="shared" si="4"/>
        <v>Oct</v>
      </c>
      <c r="K91" s="14" t="str">
        <f ca="1">IF(E91="","",IF(N91="",H91-TODAY(),""))</f>
        <v/>
      </c>
      <c r="L91" s="70" t="s">
        <v>1662</v>
      </c>
      <c r="M91" s="70" t="s">
        <v>24</v>
      </c>
      <c r="N91" s="70">
        <v>45581</v>
      </c>
      <c r="O91" s="145">
        <f>IF($N91="","",NETWORKDAYS($E91,$N91,$X$33:$X$48)-1)</f>
        <v>10</v>
      </c>
      <c r="P91" s="146" t="str">
        <f>IF(ISBLANK(N91),"",IF(N91&gt;H91,"No","Yes"))</f>
        <v>Yes</v>
      </c>
      <c r="Q91" s="73" t="s">
        <v>117</v>
      </c>
      <c r="R91" s="71" t="s">
        <v>118</v>
      </c>
      <c r="S91" s="77"/>
      <c r="T91" s="69"/>
      <c r="AS91" s="144" t="str">
        <v>Quarter 3</v>
      </c>
    </row>
    <row r="92" spans="1:45" ht="30" customHeight="1" x14ac:dyDescent="0.35">
      <c r="A92" s="75">
        <v>91</v>
      </c>
      <c r="B92" s="69" t="s">
        <v>138</v>
      </c>
      <c r="C92" s="69" t="s">
        <v>19</v>
      </c>
      <c r="D92" s="69" t="s">
        <v>1776</v>
      </c>
      <c r="E92" s="72">
        <v>45568</v>
      </c>
      <c r="F92" s="72">
        <f>IF($E92="","",WORKDAY($E92,1,$W$33:$W$42))</f>
        <v>45569</v>
      </c>
      <c r="G92" s="72">
        <f>IF($E92="","",WORKDAY($E92,10,$W$33:$W$42))</f>
        <v>45582</v>
      </c>
      <c r="H92" s="72">
        <f>IF($E92="","",WORKDAY($E92,20,$W$33:$W$42))</f>
        <v>45596</v>
      </c>
      <c r="I92" s="72"/>
      <c r="J92" s="69" t="str">
        <f t="shared" si="4"/>
        <v>Oct</v>
      </c>
      <c r="K92" s="14" t="str">
        <f ca="1">IF(E92="","",IF(N92="",H92-TODAY(),""))</f>
        <v/>
      </c>
      <c r="L92" s="70" t="s">
        <v>1662</v>
      </c>
      <c r="M92" s="70" t="s">
        <v>20</v>
      </c>
      <c r="N92" s="70">
        <v>45665</v>
      </c>
      <c r="O92" s="145">
        <f>IF($N92="","",NETWORKDAYS($E92,$N92,$X$33:$X$48)-1)</f>
        <v>69</v>
      </c>
      <c r="P92" s="146" t="str">
        <f>IF(ISBLANK(N92),"",IF(N92&gt;H92,"No","Yes"))</f>
        <v>No</v>
      </c>
      <c r="Q92" s="73" t="s">
        <v>117</v>
      </c>
      <c r="R92" s="71" t="s">
        <v>118</v>
      </c>
      <c r="S92" s="77"/>
      <c r="T92" s="69" t="s">
        <v>1282</v>
      </c>
      <c r="AS92" s="144" t="str">
        <v>Quarter 3</v>
      </c>
    </row>
    <row r="93" spans="1:45" ht="30" customHeight="1" x14ac:dyDescent="0.35">
      <c r="A93" s="75">
        <v>92</v>
      </c>
      <c r="B93" s="69" t="s">
        <v>1777</v>
      </c>
      <c r="C93" s="69" t="s">
        <v>15</v>
      </c>
      <c r="D93" s="69" t="s">
        <v>1778</v>
      </c>
      <c r="E93" s="71">
        <v>45568</v>
      </c>
      <c r="F93" s="72">
        <f>IF($E93="","",WORKDAY($E93,1,$W$33:$W$42))</f>
        <v>45569</v>
      </c>
      <c r="G93" s="72">
        <f>IF($E93="","",WORKDAY($E93,10,$W$33:$W$42))</f>
        <v>45582</v>
      </c>
      <c r="H93" s="72">
        <f>IF($E93="","",WORKDAY($E93,20,$W$33:$W$42))</f>
        <v>45596</v>
      </c>
      <c r="I93" s="72"/>
      <c r="J93" s="69" t="str">
        <f t="shared" si="4"/>
        <v>Oct</v>
      </c>
      <c r="K93" s="14" t="str">
        <f ca="1">IF(E93="","",IF(N93="",H93-TODAY(),""))</f>
        <v/>
      </c>
      <c r="L93" s="70" t="s">
        <v>1662</v>
      </c>
      <c r="M93" s="70" t="s">
        <v>14</v>
      </c>
      <c r="N93" s="70">
        <v>45576</v>
      </c>
      <c r="O93" s="145">
        <f>IF($N93="","",NETWORKDAYS($E93,$N93,$X$33:$X$48)-1)</f>
        <v>6</v>
      </c>
      <c r="P93" s="146" t="str">
        <f>IF(ISBLANK(N93),"",IF(N93&gt;H93,"No","Yes"))</f>
        <v>Yes</v>
      </c>
      <c r="Q93" s="73" t="s">
        <v>117</v>
      </c>
      <c r="R93" s="71" t="s">
        <v>118</v>
      </c>
      <c r="S93" s="77"/>
      <c r="T93" s="69" t="s">
        <v>141</v>
      </c>
      <c r="AS93" s="144" t="str">
        <v>Quarter 3</v>
      </c>
    </row>
    <row r="94" spans="1:45" ht="30" customHeight="1" x14ac:dyDescent="0.35">
      <c r="A94" s="75">
        <v>93</v>
      </c>
      <c r="B94" s="69" t="s">
        <v>1779</v>
      </c>
      <c r="C94" s="69" t="s">
        <v>11</v>
      </c>
      <c r="D94" s="69" t="s">
        <v>1780</v>
      </c>
      <c r="E94" s="71">
        <v>45568</v>
      </c>
      <c r="F94" s="72">
        <f>IF($E94="","",WORKDAY($E94,1,$W$33:$W$42))</f>
        <v>45569</v>
      </c>
      <c r="G94" s="72">
        <f>IF($E94="","",WORKDAY($E94,10,$W$33:$W$42))</f>
        <v>45582</v>
      </c>
      <c r="H94" s="72">
        <f>IF($E94="","",WORKDAY($E94,20,$W$33:$W$42))</f>
        <v>45596</v>
      </c>
      <c r="I94" s="72"/>
      <c r="J94" s="69" t="str">
        <f t="shared" si="4"/>
        <v>Oct</v>
      </c>
      <c r="K94" s="14" t="str">
        <f ca="1">IF(E94="","",IF(N94="",H94-TODAY(),""))</f>
        <v/>
      </c>
      <c r="L94" s="70" t="s">
        <v>1662</v>
      </c>
      <c r="M94" s="70" t="s">
        <v>24</v>
      </c>
      <c r="N94" s="70">
        <v>45583</v>
      </c>
      <c r="O94" s="145">
        <f>IF($N94="","",NETWORKDAYS($E94,$N94,$X$33:$X$48)-1)</f>
        <v>11</v>
      </c>
      <c r="P94" s="146" t="str">
        <f>IF(ISBLANK(N94),"",IF(N94&gt;H94,"No","Yes"))</f>
        <v>Yes</v>
      </c>
      <c r="Q94" s="73" t="s">
        <v>117</v>
      </c>
      <c r="R94" s="71" t="s">
        <v>118</v>
      </c>
      <c r="S94" s="77" t="s">
        <v>1665</v>
      </c>
      <c r="T94" s="69"/>
      <c r="AS94" s="144" t="str">
        <v>Quarter 3</v>
      </c>
    </row>
    <row r="95" spans="1:45" ht="30" customHeight="1" x14ac:dyDescent="0.35">
      <c r="A95" s="75">
        <v>94</v>
      </c>
      <c r="B95" s="69" t="s">
        <v>8</v>
      </c>
      <c r="C95" s="69" t="s">
        <v>8</v>
      </c>
      <c r="D95" s="69" t="s">
        <v>1781</v>
      </c>
      <c r="E95" s="71">
        <v>45569</v>
      </c>
      <c r="F95" s="72">
        <f>IF($E95="","",WORKDAY($E95,1,$W$33:$W$42))</f>
        <v>45572</v>
      </c>
      <c r="G95" s="72">
        <f>IF($E95="","",WORKDAY($E95,10,$W$33:$W$42))</f>
        <v>45583</v>
      </c>
      <c r="H95" s="72">
        <f>IF($E95="","",WORKDAY($E95,20,$W$33:$W$42))</f>
        <v>45597</v>
      </c>
      <c r="I95" s="72"/>
      <c r="J95" s="69" t="str">
        <f t="shared" si="4"/>
        <v>Oct</v>
      </c>
      <c r="K95" s="14" t="str">
        <f ca="1">IF(E95="","",IF(N95="",H95-TODAY(),""))</f>
        <v/>
      </c>
      <c r="L95" s="70" t="s">
        <v>1662</v>
      </c>
      <c r="M95" s="70" t="s">
        <v>20</v>
      </c>
      <c r="N95" s="70">
        <v>45572</v>
      </c>
      <c r="O95" s="145">
        <f>IF($N95="","",NETWORKDAYS($E95,$N95,$X$33:$X$48)-1)</f>
        <v>1</v>
      </c>
      <c r="P95" s="146" t="str">
        <f>IF(ISBLANK(N95),"",IF(N95&gt;H95,"No","Yes"))</f>
        <v>Yes</v>
      </c>
      <c r="Q95" s="73" t="s">
        <v>117</v>
      </c>
      <c r="R95" s="71" t="s">
        <v>118</v>
      </c>
      <c r="S95" s="77"/>
      <c r="T95" s="69"/>
      <c r="AS95" s="144" t="str">
        <v>Quarter 3</v>
      </c>
    </row>
    <row r="96" spans="1:45" ht="30" customHeight="1" x14ac:dyDescent="0.35">
      <c r="A96" s="75">
        <v>95</v>
      </c>
      <c r="B96" s="69" t="s">
        <v>669</v>
      </c>
      <c r="C96" s="69" t="s">
        <v>13</v>
      </c>
      <c r="D96" s="69" t="s">
        <v>1782</v>
      </c>
      <c r="E96" s="71">
        <v>45572</v>
      </c>
      <c r="F96" s="72">
        <f>IF($E96="","",WORKDAY($E96,1,$W$33:$W$42))</f>
        <v>45573</v>
      </c>
      <c r="G96" s="72">
        <f>IF($E96="","",WORKDAY($E96,10,$W$33:$W$42))</f>
        <v>45586</v>
      </c>
      <c r="H96" s="72">
        <f>IF($E96="","",WORKDAY($E96,20,$W$33:$W$42))</f>
        <v>45600</v>
      </c>
      <c r="I96" s="72"/>
      <c r="J96" s="69" t="str">
        <f t="shared" si="4"/>
        <v>Oct</v>
      </c>
      <c r="K96" s="14" t="str">
        <f ca="1">IF(E96="","",IF(N96="",H96-TODAY(),""))</f>
        <v/>
      </c>
      <c r="L96" s="70" t="s">
        <v>1662</v>
      </c>
      <c r="M96" s="70" t="s">
        <v>20</v>
      </c>
      <c r="N96" s="70">
        <v>45730</v>
      </c>
      <c r="O96" s="145">
        <f>IF($N96="","",NETWORKDAYS($E96,$N96,$X$33:$X$48)-1)</f>
        <v>114</v>
      </c>
      <c r="P96" s="146" t="str">
        <f>IF(ISBLANK(N96),"",IF(N96&gt;H96,"No","Yes"))</f>
        <v>No</v>
      </c>
      <c r="Q96" s="73" t="s">
        <v>117</v>
      </c>
      <c r="R96" s="71" t="s">
        <v>118</v>
      </c>
      <c r="S96" s="77"/>
      <c r="T96" s="69" t="s">
        <v>141</v>
      </c>
      <c r="AS96" s="144" t="str">
        <v>Quarter 3</v>
      </c>
    </row>
    <row r="97" spans="1:45" ht="30" customHeight="1" x14ac:dyDescent="0.35">
      <c r="A97" s="75">
        <v>96</v>
      </c>
      <c r="B97" s="69" t="s">
        <v>8</v>
      </c>
      <c r="C97" s="69" t="s">
        <v>8</v>
      </c>
      <c r="D97" s="69" t="s">
        <v>1783</v>
      </c>
      <c r="E97" s="72">
        <v>45572</v>
      </c>
      <c r="F97" s="72">
        <f>IF($E97="","",WORKDAY($E97,1,$W$33:$W$42))</f>
        <v>45573</v>
      </c>
      <c r="G97" s="72">
        <f>IF($E97="","",WORKDAY($E97,10,$W$33:$W$42))</f>
        <v>45586</v>
      </c>
      <c r="H97" s="72">
        <f>IF($E97="","",WORKDAY($E97,20,$W$33:$W$42))</f>
        <v>45600</v>
      </c>
      <c r="I97" s="72"/>
      <c r="J97" s="69" t="str">
        <f t="shared" si="4"/>
        <v>Oct</v>
      </c>
      <c r="K97" s="14" t="str">
        <f ca="1">IF(E97="","",IF(N97="",H97-TODAY(),""))</f>
        <v/>
      </c>
      <c r="L97" s="70" t="s">
        <v>1662</v>
      </c>
      <c r="M97" s="70" t="s">
        <v>20</v>
      </c>
      <c r="N97" s="70">
        <v>45601</v>
      </c>
      <c r="O97" s="145">
        <f>IF($N97="","",NETWORKDAYS($E97,$N97,$X$33:$X$48)-1)</f>
        <v>21</v>
      </c>
      <c r="P97" s="146" t="str">
        <f>IF(ISBLANK(N97),"",IF(N97&gt;H97,"No","Yes"))</f>
        <v>No</v>
      </c>
      <c r="Q97" s="73" t="s">
        <v>117</v>
      </c>
      <c r="R97" s="71" t="s">
        <v>118</v>
      </c>
      <c r="S97" s="77" t="s">
        <v>1663</v>
      </c>
      <c r="T97" s="69" t="s">
        <v>141</v>
      </c>
      <c r="AS97" s="144" t="str">
        <v>Quarter 3</v>
      </c>
    </row>
    <row r="98" spans="1:45" ht="30" customHeight="1" x14ac:dyDescent="0.35">
      <c r="A98" s="75">
        <v>97</v>
      </c>
      <c r="B98" s="69" t="s">
        <v>8</v>
      </c>
      <c r="C98" s="69" t="s">
        <v>8</v>
      </c>
      <c r="D98" s="69" t="s">
        <v>1784</v>
      </c>
      <c r="E98" s="72">
        <v>45572</v>
      </c>
      <c r="F98" s="72">
        <f>IF($E98="","",WORKDAY($E98,1,$W$33:$W$42))</f>
        <v>45573</v>
      </c>
      <c r="G98" s="72">
        <f>IF($E98="","",WORKDAY($E98,10,$W$33:$W$42))</f>
        <v>45586</v>
      </c>
      <c r="H98" s="72">
        <f>IF($E98="","",WORKDAY($E98,20,$W$33:$W$42))</f>
        <v>45600</v>
      </c>
      <c r="I98" s="72"/>
      <c r="J98" s="69" t="s">
        <v>1106</v>
      </c>
      <c r="K98" s="14" t="str">
        <f ca="1">IF(E98="","",IF(N98="",H98-TODAY(),""))</f>
        <v/>
      </c>
      <c r="L98" s="70" t="s">
        <v>1662</v>
      </c>
      <c r="M98" s="70" t="s">
        <v>24</v>
      </c>
      <c r="N98" s="70">
        <v>45583</v>
      </c>
      <c r="O98" s="145">
        <f>IF($N98="","",NETWORKDAYS($E98,$N98,$X$33:$X$48)-1)</f>
        <v>9</v>
      </c>
      <c r="P98" s="146" t="str">
        <f>IF(ISBLANK(N98),"",IF(N98&gt;H98,"No","Yes"))</f>
        <v>Yes</v>
      </c>
      <c r="Q98" s="73" t="s">
        <v>117</v>
      </c>
      <c r="R98" s="71" t="s">
        <v>118</v>
      </c>
      <c r="S98" s="77"/>
      <c r="T98" s="69" t="s">
        <v>141</v>
      </c>
      <c r="AS98" s="144" t="str">
        <v>Quarter 3</v>
      </c>
    </row>
    <row r="99" spans="1:45" ht="30" customHeight="1" x14ac:dyDescent="0.35">
      <c r="A99" s="75">
        <v>98</v>
      </c>
      <c r="B99" s="69" t="s">
        <v>1669</v>
      </c>
      <c r="C99" s="69" t="s">
        <v>13</v>
      </c>
      <c r="D99" s="69" t="s">
        <v>1670</v>
      </c>
      <c r="E99" s="72">
        <v>45572</v>
      </c>
      <c r="F99" s="72">
        <f>IF($E99="","",WORKDAY($E99,1,$W$33:$W$42))</f>
        <v>45573</v>
      </c>
      <c r="G99" s="72">
        <f>IF($E99="","",WORKDAY($E99,10,$W$33:$W$42))</f>
        <v>45586</v>
      </c>
      <c r="H99" s="72">
        <f>IF($E99="","",WORKDAY($E99,20,$W$33:$W$42))</f>
        <v>45600</v>
      </c>
      <c r="I99" s="72"/>
      <c r="J99" s="69" t="s">
        <v>1106</v>
      </c>
      <c r="K99" s="14" t="str">
        <f ca="1">IF(E99="","",IF(N99="",H99-TODAY(),""))</f>
        <v/>
      </c>
      <c r="L99" s="70" t="s">
        <v>1662</v>
      </c>
      <c r="M99" s="70" t="s">
        <v>24</v>
      </c>
      <c r="N99" s="70">
        <v>45600</v>
      </c>
      <c r="O99" s="145">
        <f>IF($N99="","",NETWORKDAYS($E99,$N99,$X$33:$X$48)-1)</f>
        <v>20</v>
      </c>
      <c r="P99" s="146" t="str">
        <f>IF(ISBLANK(N99),"",IF(N99&gt;H99,"No","Yes"))</f>
        <v>Yes</v>
      </c>
      <c r="Q99" s="73" t="s">
        <v>117</v>
      </c>
      <c r="R99" s="71" t="s">
        <v>118</v>
      </c>
      <c r="S99" s="77"/>
      <c r="T99" s="69"/>
      <c r="AS99" s="144" t="str">
        <v>Quarter 3</v>
      </c>
    </row>
    <row r="100" spans="1:45" ht="30" customHeight="1" x14ac:dyDescent="0.35">
      <c r="A100" s="75">
        <v>99</v>
      </c>
      <c r="B100" s="69" t="s">
        <v>8</v>
      </c>
      <c r="C100" s="69" t="s">
        <v>8</v>
      </c>
      <c r="D100" s="69" t="s">
        <v>1785</v>
      </c>
      <c r="E100" s="71">
        <v>45573</v>
      </c>
      <c r="F100" s="72">
        <f>IF($E100="","",WORKDAY($E100,1,$W$33:$W$42))</f>
        <v>45574</v>
      </c>
      <c r="G100" s="72">
        <f>IF($E100="","",WORKDAY($E100,10,$W$33:$W$42))</f>
        <v>45587</v>
      </c>
      <c r="H100" s="72">
        <f>IF($E100="","",WORKDAY($E100,20,$W$33:$W$42))</f>
        <v>45601</v>
      </c>
      <c r="I100" s="72"/>
      <c r="J100" s="69" t="s">
        <v>1106</v>
      </c>
      <c r="K100" s="14" t="str">
        <f ca="1">IF(E100="","",IF(N100="",H100-TODAY(),""))</f>
        <v/>
      </c>
      <c r="L100" s="70" t="s">
        <v>1662</v>
      </c>
      <c r="M100" s="70" t="s">
        <v>20</v>
      </c>
      <c r="N100" s="70">
        <v>45573</v>
      </c>
      <c r="O100" s="145">
        <f>IF($N100="","",NETWORKDAYS($E100,$N100,$X$33:$X$48)-1)</f>
        <v>0</v>
      </c>
      <c r="P100" s="146" t="str">
        <f>IF(ISBLANK(N100),"",IF(N100&gt;H100,"No","Yes"))</f>
        <v>Yes</v>
      </c>
      <c r="Q100" s="73" t="s">
        <v>117</v>
      </c>
      <c r="R100" s="71" t="s">
        <v>118</v>
      </c>
      <c r="S100" s="77" t="s">
        <v>1663</v>
      </c>
      <c r="T100" s="69" t="s">
        <v>141</v>
      </c>
      <c r="AS100" s="144" t="str">
        <v>Quarter 3</v>
      </c>
    </row>
    <row r="101" spans="1:45" ht="30" customHeight="1" x14ac:dyDescent="0.35">
      <c r="A101" s="75">
        <v>100</v>
      </c>
      <c r="B101" s="69" t="s">
        <v>1786</v>
      </c>
      <c r="C101" s="69" t="s">
        <v>13</v>
      </c>
      <c r="D101" s="69" t="s">
        <v>1787</v>
      </c>
      <c r="E101" s="71">
        <v>45573</v>
      </c>
      <c r="F101" s="72">
        <f>IF($E101="","",WORKDAY($E101,1,$W$33:$W$42))</f>
        <v>45574</v>
      </c>
      <c r="G101" s="72">
        <f>IF($E101="","",WORKDAY($E101,10,$W$33:$W$42))</f>
        <v>45587</v>
      </c>
      <c r="H101" s="72">
        <f>IF($E101="","",WORKDAY($E101,20,$W$33:$W$42))</f>
        <v>45601</v>
      </c>
      <c r="I101" s="72"/>
      <c r="J101" s="69" t="s">
        <v>1106</v>
      </c>
      <c r="K101" s="14" t="str">
        <f ca="1">IF(E101="","",IF(N101="",H101-TODAY(),""))</f>
        <v/>
      </c>
      <c r="L101" s="70" t="s">
        <v>1662</v>
      </c>
      <c r="M101" s="70" t="s">
        <v>20</v>
      </c>
      <c r="N101" s="70">
        <v>45575</v>
      </c>
      <c r="O101" s="145">
        <f>IF($N101="","",NETWORKDAYS($E101,$N101,$X$33:$X$48)-1)</f>
        <v>2</v>
      </c>
      <c r="P101" s="146" t="str">
        <f>IF(ISBLANK(N101),"",IF(N101&gt;H101,"No","Yes"))</f>
        <v>Yes</v>
      </c>
      <c r="Q101" s="73" t="s">
        <v>117</v>
      </c>
      <c r="R101" s="71" t="s">
        <v>118</v>
      </c>
      <c r="S101" s="77"/>
      <c r="T101" s="69"/>
      <c r="AS101" s="144" t="str">
        <v>Quarter 3</v>
      </c>
    </row>
    <row r="102" spans="1:45" ht="30" customHeight="1" x14ac:dyDescent="0.35">
      <c r="A102" s="75">
        <v>101</v>
      </c>
      <c r="B102" s="69" t="s">
        <v>8</v>
      </c>
      <c r="C102" s="69" t="s">
        <v>8</v>
      </c>
      <c r="D102" s="69" t="s">
        <v>1788</v>
      </c>
      <c r="E102" s="71">
        <v>45576</v>
      </c>
      <c r="F102" s="72">
        <f>IF($E102="","",WORKDAY($E102,1,$W$33:$W$42))</f>
        <v>45579</v>
      </c>
      <c r="G102" s="72">
        <f>IF($E102="","",WORKDAY($E102,10,$W$33:$W$42))</f>
        <v>45590</v>
      </c>
      <c r="H102" s="72">
        <f>IF($E102="","",WORKDAY($E102,20,$W$33:$W$42))</f>
        <v>45604</v>
      </c>
      <c r="I102" s="72"/>
      <c r="J102" s="69" t="s">
        <v>1106</v>
      </c>
      <c r="K102" s="14" t="str">
        <f ca="1">IF(E102="","",IF(N102="",H102-TODAY(),""))</f>
        <v/>
      </c>
      <c r="L102" s="70" t="s">
        <v>1662</v>
      </c>
      <c r="M102" s="70" t="s">
        <v>20</v>
      </c>
      <c r="N102" s="70">
        <v>45587</v>
      </c>
      <c r="O102" s="145">
        <f>IF($N102="","",NETWORKDAYS($E102,$N102,$X$33:$X$48)-1)</f>
        <v>7</v>
      </c>
      <c r="P102" s="146" t="str">
        <f>IF(ISBLANK(N102),"",IF(N102&gt;H102,"No","Yes"))</f>
        <v>Yes</v>
      </c>
      <c r="Q102" s="73" t="s">
        <v>117</v>
      </c>
      <c r="R102" s="71" t="s">
        <v>118</v>
      </c>
      <c r="S102" s="77"/>
      <c r="T102" s="69"/>
      <c r="AS102" s="144" t="str">
        <v>Quarter 3</v>
      </c>
    </row>
    <row r="103" spans="1:45" ht="30" customHeight="1" x14ac:dyDescent="0.35">
      <c r="A103" s="75">
        <v>102</v>
      </c>
      <c r="B103" s="69" t="s">
        <v>1777</v>
      </c>
      <c r="C103" s="69" t="s">
        <v>15</v>
      </c>
      <c r="D103" s="69" t="s">
        <v>1745</v>
      </c>
      <c r="E103" s="72">
        <v>45576</v>
      </c>
      <c r="F103" s="72">
        <f>IF($E103="","",WORKDAY($E103,1,$W$33:$W$42))</f>
        <v>45579</v>
      </c>
      <c r="G103" s="72">
        <f>IF($E103="","",WORKDAY($E103,10,$W$33:$W$42))</f>
        <v>45590</v>
      </c>
      <c r="H103" s="72">
        <f>IF($E103="","",WORKDAY($E103,20,$W$33:$W$42))</f>
        <v>45604</v>
      </c>
      <c r="I103" s="72"/>
      <c r="J103" s="69" t="s">
        <v>1106</v>
      </c>
      <c r="K103" s="14" t="str">
        <f ca="1">IF(E103="","",IF(N103="",H103-TODAY(),""))</f>
        <v/>
      </c>
      <c r="L103" s="70" t="s">
        <v>1662</v>
      </c>
      <c r="M103" s="70" t="s">
        <v>20</v>
      </c>
      <c r="N103" s="70">
        <v>45576</v>
      </c>
      <c r="O103" s="145">
        <f>IF($N103="","",NETWORKDAYS($E103,$N103,$X$33:$X$48)-1)</f>
        <v>0</v>
      </c>
      <c r="P103" s="146" t="str">
        <f>IF(ISBLANK(N103),"",IF(N103&gt;H103,"No","Yes"))</f>
        <v>Yes</v>
      </c>
      <c r="Q103" s="73" t="s">
        <v>117</v>
      </c>
      <c r="R103" s="71" t="s">
        <v>150</v>
      </c>
      <c r="S103" s="77"/>
      <c r="T103" s="69"/>
      <c r="AS103" s="144" t="str">
        <v>Quarter 3</v>
      </c>
    </row>
    <row r="104" spans="1:45" ht="30" customHeight="1" x14ac:dyDescent="0.35">
      <c r="A104" s="75">
        <v>103</v>
      </c>
      <c r="B104" s="69" t="s">
        <v>8</v>
      </c>
      <c r="C104" s="69" t="s">
        <v>8</v>
      </c>
      <c r="D104" s="69" t="s">
        <v>1789</v>
      </c>
      <c r="E104" s="72">
        <v>45579</v>
      </c>
      <c r="F104" s="72">
        <f>IF($E104="","",WORKDAY($E104,1,$W$33:$W$42))</f>
        <v>45580</v>
      </c>
      <c r="G104" s="72">
        <f>IF($E104="","",WORKDAY($E104,10,$W$33:$W$42))</f>
        <v>45593</v>
      </c>
      <c r="H104" s="72">
        <f>IF($E104="","",WORKDAY($E104,20,$W$33:$W$42))</f>
        <v>45607</v>
      </c>
      <c r="I104" s="72"/>
      <c r="J104" s="69" t="s">
        <v>1106</v>
      </c>
      <c r="K104" s="14" t="str">
        <f ca="1">IF(E104="","",IF(N104="",H104-TODAY(),""))</f>
        <v/>
      </c>
      <c r="L104" s="70" t="s">
        <v>1662</v>
      </c>
      <c r="M104" s="70" t="s">
        <v>20</v>
      </c>
      <c r="N104" s="70">
        <v>45580</v>
      </c>
      <c r="O104" s="145">
        <f>IF($N104="","",NETWORKDAYS($E104,$N104,$X$33:$X$48)-1)</f>
        <v>1</v>
      </c>
      <c r="P104" s="146" t="str">
        <f>IF(ISBLANK(N104),"",IF(N104&gt;H104,"No","Yes"))</f>
        <v>Yes</v>
      </c>
      <c r="Q104" s="73" t="s">
        <v>117</v>
      </c>
      <c r="R104" s="71" t="s">
        <v>118</v>
      </c>
      <c r="S104" s="77"/>
      <c r="T104" s="69" t="s">
        <v>141</v>
      </c>
      <c r="AS104" s="144" t="str">
        <v>Quarter 3</v>
      </c>
    </row>
    <row r="105" spans="1:45" ht="30" customHeight="1" x14ac:dyDescent="0.35">
      <c r="A105" s="75">
        <v>104</v>
      </c>
      <c r="B105" s="69" t="s">
        <v>969</v>
      </c>
      <c r="C105" s="69" t="s">
        <v>6</v>
      </c>
      <c r="D105" s="69" t="s">
        <v>1790</v>
      </c>
      <c r="E105" s="71">
        <v>45579</v>
      </c>
      <c r="F105" s="72">
        <f>IF($E105="","",WORKDAY($E105,1,$W$33:$W$42))</f>
        <v>45580</v>
      </c>
      <c r="G105" s="72">
        <f>IF($E105="","",WORKDAY($E105,10,$W$33:$W$42))</f>
        <v>45593</v>
      </c>
      <c r="H105" s="72">
        <f>IF($E105="","",WORKDAY($E105,20,$W$33:$W$42))</f>
        <v>45607</v>
      </c>
      <c r="I105" s="72"/>
      <c r="J105" s="69" t="s">
        <v>1106</v>
      </c>
      <c r="K105" s="14" t="str">
        <f ca="1">IF(E105="","",IF(N105="",H105-TODAY(),""))</f>
        <v/>
      </c>
      <c r="L105" s="70" t="s">
        <v>1662</v>
      </c>
      <c r="M105" s="70" t="s">
        <v>20</v>
      </c>
      <c r="N105" s="70">
        <v>45580</v>
      </c>
      <c r="O105" s="145">
        <f>IF($N105="","",NETWORKDAYS($E105,$N105,$X$33:$X$48)-1)</f>
        <v>1</v>
      </c>
      <c r="P105" s="146" t="str">
        <f>IF(ISBLANK(N105),"",IF(N105&gt;H105,"No","Yes"))</f>
        <v>Yes</v>
      </c>
      <c r="Q105" s="73" t="s">
        <v>117</v>
      </c>
      <c r="R105" s="71" t="s">
        <v>118</v>
      </c>
      <c r="S105" s="77" t="s">
        <v>1665</v>
      </c>
      <c r="T105" s="69"/>
      <c r="AS105" s="144" t="str">
        <v>Quarter 3</v>
      </c>
    </row>
    <row r="106" spans="1:45" ht="30" customHeight="1" x14ac:dyDescent="0.35">
      <c r="A106" s="75">
        <v>105</v>
      </c>
      <c r="B106" s="69" t="s">
        <v>293</v>
      </c>
      <c r="C106" s="69" t="s">
        <v>6</v>
      </c>
      <c r="D106" s="69" t="s">
        <v>1791</v>
      </c>
      <c r="E106" s="71">
        <v>45581</v>
      </c>
      <c r="F106" s="72">
        <f>IF($E106="","",WORKDAY($E106,1,$W$33:$W$42))</f>
        <v>45582</v>
      </c>
      <c r="G106" s="72">
        <f>IF($E106="","",WORKDAY($E106,10,$W$33:$W$42))</f>
        <v>45595</v>
      </c>
      <c r="H106" s="72">
        <f>IF($E106="","",WORKDAY($E106,20,$W$33:$W$42))</f>
        <v>45609</v>
      </c>
      <c r="I106" s="72"/>
      <c r="J106" s="69" t="s">
        <v>1106</v>
      </c>
      <c r="K106" s="14" t="str">
        <f ca="1">IF(E106="","",IF(N106="",H106-TODAY(),""))</f>
        <v/>
      </c>
      <c r="L106" s="70" t="s">
        <v>1662</v>
      </c>
      <c r="M106" s="70" t="s">
        <v>20</v>
      </c>
      <c r="N106" s="70">
        <v>45582</v>
      </c>
      <c r="O106" s="145">
        <f>IF($N106="","",NETWORKDAYS($E106,$N106,$X$33:$X$48)-1)</f>
        <v>1</v>
      </c>
      <c r="P106" s="146" t="str">
        <f>IF(ISBLANK(N106),"",IF(N106&gt;H106,"No","Yes"))</f>
        <v>Yes</v>
      </c>
      <c r="Q106" s="73" t="s">
        <v>117</v>
      </c>
      <c r="R106" s="71" t="s">
        <v>118</v>
      </c>
      <c r="S106" s="77"/>
      <c r="T106" s="69"/>
      <c r="AS106" s="144" t="str">
        <v>Quarter 3</v>
      </c>
    </row>
    <row r="107" spans="1:45" ht="30" customHeight="1" x14ac:dyDescent="0.35">
      <c r="A107" s="75">
        <v>106</v>
      </c>
      <c r="B107" s="69" t="s">
        <v>8</v>
      </c>
      <c r="C107" s="69" t="s">
        <v>8</v>
      </c>
      <c r="D107" s="69" t="s">
        <v>1792</v>
      </c>
      <c r="E107" s="71">
        <v>45586</v>
      </c>
      <c r="F107" s="72">
        <f>IF($E107="","",WORKDAY($E107,1,$W$33:$W$42))</f>
        <v>45587</v>
      </c>
      <c r="G107" s="72">
        <f>IF($E107="","",WORKDAY($E107,10,$W$33:$W$42))</f>
        <v>45600</v>
      </c>
      <c r="H107" s="72">
        <f>IF($E107="","",WORKDAY($E107,20,$W$33:$W$42))</f>
        <v>45614</v>
      </c>
      <c r="I107" s="72"/>
      <c r="J107" s="69" t="s">
        <v>1106</v>
      </c>
      <c r="K107" s="14" t="str">
        <f ca="1">IF(E107="","",IF(N107="",H107-TODAY(),""))</f>
        <v/>
      </c>
      <c r="L107" s="70" t="s">
        <v>1662</v>
      </c>
      <c r="M107" s="70" t="s">
        <v>14</v>
      </c>
      <c r="N107" s="70">
        <v>45600</v>
      </c>
      <c r="O107" s="145">
        <f>IF($N107="","",NETWORKDAYS($E107,$N107,$X$33:$X$48)-1)</f>
        <v>10</v>
      </c>
      <c r="P107" s="146" t="str">
        <f>IF(ISBLANK(N107),"",IF(N107&gt;H107,"No","Yes"))</f>
        <v>Yes</v>
      </c>
      <c r="Q107" s="73" t="s">
        <v>117</v>
      </c>
      <c r="R107" s="71" t="s">
        <v>118</v>
      </c>
      <c r="S107" s="77" t="s">
        <v>1665</v>
      </c>
      <c r="T107" s="69"/>
      <c r="AS107" s="144" t="str">
        <v>Quarter 3</v>
      </c>
    </row>
    <row r="108" spans="1:45" ht="30" customHeight="1" x14ac:dyDescent="0.35">
      <c r="A108" s="75">
        <v>107</v>
      </c>
      <c r="B108" s="69" t="s">
        <v>8</v>
      </c>
      <c r="C108" s="69" t="s">
        <v>8</v>
      </c>
      <c r="D108" s="69" t="s">
        <v>1793</v>
      </c>
      <c r="E108" s="71">
        <v>45587</v>
      </c>
      <c r="F108" s="72">
        <f>IF($E108="","",WORKDAY($E108,1,$W$33:$W$42))</f>
        <v>45588</v>
      </c>
      <c r="G108" s="72">
        <f>IF($E108="","",WORKDAY($E108,10,$W$33:$W$42))</f>
        <v>45601</v>
      </c>
      <c r="H108" s="72">
        <f>IF($E108="","",WORKDAY($E108,20,$W$33:$W$42))</f>
        <v>45615</v>
      </c>
      <c r="I108" s="72"/>
      <c r="J108" s="69" t="s">
        <v>1106</v>
      </c>
      <c r="K108" s="14" t="str">
        <f ca="1">IF(E108="","",IF(N108="",H108-TODAY(),""))</f>
        <v/>
      </c>
      <c r="L108" s="70" t="s">
        <v>1662</v>
      </c>
      <c r="M108" s="70" t="s">
        <v>20</v>
      </c>
      <c r="N108" s="70">
        <v>45609</v>
      </c>
      <c r="O108" s="145">
        <f>IF($N108="","",NETWORKDAYS($E108,$N108,$X$33:$X$48)-1)</f>
        <v>16</v>
      </c>
      <c r="P108" s="146" t="str">
        <f>IF(ISBLANK(N108),"",IF(N108&gt;H108,"No","Yes"))</f>
        <v>Yes</v>
      </c>
      <c r="Q108" s="73" t="s">
        <v>117</v>
      </c>
      <c r="R108" s="71" t="s">
        <v>132</v>
      </c>
      <c r="S108" s="77" t="s">
        <v>1668</v>
      </c>
      <c r="T108" s="69"/>
      <c r="AS108" s="144" t="str">
        <v>Quarter 3</v>
      </c>
    </row>
    <row r="109" spans="1:45" ht="30" customHeight="1" x14ac:dyDescent="0.35">
      <c r="A109" s="75">
        <v>108</v>
      </c>
      <c r="B109" s="69" t="s">
        <v>1724</v>
      </c>
      <c r="C109" s="69" t="s">
        <v>13</v>
      </c>
      <c r="D109" s="69" t="s">
        <v>1794</v>
      </c>
      <c r="E109" s="71">
        <v>45588</v>
      </c>
      <c r="F109" s="72">
        <f>IF($E109="","",WORKDAY($E109,1,$W$33:$W$42))</f>
        <v>45589</v>
      </c>
      <c r="G109" s="72">
        <f>IF($E109="","",WORKDAY($E109,10,$W$33:$W$42))</f>
        <v>45602</v>
      </c>
      <c r="H109" s="72">
        <f>IF($E109="","",WORKDAY($E109,20,$W$33:$W$42))</f>
        <v>45616</v>
      </c>
      <c r="I109" s="72"/>
      <c r="J109" s="69" t="s">
        <v>1106</v>
      </c>
      <c r="K109" s="14" t="str">
        <f ca="1">IF(E109="","",IF(N109="",H109-TODAY(),""))</f>
        <v/>
      </c>
      <c r="L109" s="70" t="s">
        <v>1662</v>
      </c>
      <c r="M109" s="70" t="s">
        <v>20</v>
      </c>
      <c r="N109" s="70">
        <v>45589</v>
      </c>
      <c r="O109" s="145">
        <f>IF($N109="","",NETWORKDAYS($E109,$N109,$X$33:$X$48)-1)</f>
        <v>1</v>
      </c>
      <c r="P109" s="146" t="str">
        <f>IF(ISBLANK(N109),"",IF(N109&gt;H109,"No","Yes"))</f>
        <v>Yes</v>
      </c>
      <c r="Q109" s="73" t="s">
        <v>117</v>
      </c>
      <c r="R109" s="71" t="s">
        <v>118</v>
      </c>
      <c r="S109" s="77"/>
      <c r="T109" s="69"/>
      <c r="AS109" s="144" t="str">
        <v>Quarter 3</v>
      </c>
    </row>
    <row r="110" spans="1:45" ht="30" customHeight="1" x14ac:dyDescent="0.35">
      <c r="A110" s="75">
        <v>109</v>
      </c>
      <c r="B110" s="69" t="s">
        <v>338</v>
      </c>
      <c r="C110" s="69" t="s">
        <v>13</v>
      </c>
      <c r="D110" s="69" t="s">
        <v>1745</v>
      </c>
      <c r="E110" s="71">
        <v>45588</v>
      </c>
      <c r="F110" s="72">
        <f>IF($E110="","",WORKDAY($E110,1,$W$33:$W$42))</f>
        <v>45589</v>
      </c>
      <c r="G110" s="72">
        <f>IF($E110="","",WORKDAY($E110,10,$W$33:$W$42))</f>
        <v>45602</v>
      </c>
      <c r="H110" s="72">
        <f>IF($E110="","",WORKDAY($E110,20,$W$33:$W$42))</f>
        <v>45616</v>
      </c>
      <c r="I110" s="72"/>
      <c r="J110" s="69" t="s">
        <v>1106</v>
      </c>
      <c r="K110" s="14" t="str">
        <f ca="1">IF(E110="","",IF(N110="",H110-TODAY(),""))</f>
        <v/>
      </c>
      <c r="L110" s="70" t="s">
        <v>1662</v>
      </c>
      <c r="M110" s="70" t="s">
        <v>20</v>
      </c>
      <c r="N110" s="70">
        <v>45595</v>
      </c>
      <c r="O110" s="145">
        <f>IF($N110="","",NETWORKDAYS($E110,$N110,$X$33:$X$48)-1)</f>
        <v>5</v>
      </c>
      <c r="P110" s="146" t="str">
        <f>IF(ISBLANK(N110),"",IF(N110&gt;H110,"No","Yes"))</f>
        <v>Yes</v>
      </c>
      <c r="Q110" s="73" t="s">
        <v>117</v>
      </c>
      <c r="R110" s="71" t="s">
        <v>118</v>
      </c>
      <c r="S110" s="77"/>
      <c r="T110" s="69" t="s">
        <v>141</v>
      </c>
      <c r="AS110" s="144" t="str">
        <v>Quarter 3</v>
      </c>
    </row>
    <row r="111" spans="1:45" ht="30" customHeight="1" x14ac:dyDescent="0.35">
      <c r="A111" s="75">
        <v>110</v>
      </c>
      <c r="B111" s="69" t="s">
        <v>293</v>
      </c>
      <c r="C111" s="69" t="s">
        <v>6</v>
      </c>
      <c r="D111" s="69" t="s">
        <v>1795</v>
      </c>
      <c r="E111" s="71">
        <v>45589</v>
      </c>
      <c r="F111" s="72">
        <f>IF($E111="","",WORKDAY($E111,1,$W$33:$W$42))</f>
        <v>45590</v>
      </c>
      <c r="G111" s="72">
        <f>IF($E111="","",WORKDAY($E111,10,$W$33:$W$42))</f>
        <v>45603</v>
      </c>
      <c r="H111" s="72">
        <f>IF($E111="","",WORKDAY($E111,20,$W$33:$W$42))</f>
        <v>45617</v>
      </c>
      <c r="I111" s="72"/>
      <c r="J111" s="69" t="s">
        <v>1106</v>
      </c>
      <c r="K111" s="14" t="str">
        <f ca="1">IF(E111="","",IF(N111="",H111-TODAY(),""))</f>
        <v/>
      </c>
      <c r="L111" s="70" t="s">
        <v>1662</v>
      </c>
      <c r="M111" s="70" t="s">
        <v>20</v>
      </c>
      <c r="N111" s="70">
        <v>45607</v>
      </c>
      <c r="O111" s="145">
        <f>IF($N111="","",NETWORKDAYS($E111,$N111,$X$33:$X$48)-1)</f>
        <v>12</v>
      </c>
      <c r="P111" s="146" t="str">
        <f>IF(ISBLANK(N111),"",IF(N111&gt;H111,"No","Yes"))</f>
        <v>Yes</v>
      </c>
      <c r="Q111" s="73" t="s">
        <v>117</v>
      </c>
      <c r="R111" s="71" t="s">
        <v>118</v>
      </c>
      <c r="S111" s="77" t="s">
        <v>1665</v>
      </c>
      <c r="T111" s="69"/>
      <c r="AS111" s="144" t="str">
        <v>Quarter 3</v>
      </c>
    </row>
    <row r="112" spans="1:45" ht="30" customHeight="1" x14ac:dyDescent="0.35">
      <c r="A112" s="75">
        <v>111</v>
      </c>
      <c r="B112" s="69" t="s">
        <v>1169</v>
      </c>
      <c r="C112" s="69" t="s">
        <v>6</v>
      </c>
      <c r="D112" s="69" t="s">
        <v>1796</v>
      </c>
      <c r="E112" s="71">
        <v>45589</v>
      </c>
      <c r="F112" s="72">
        <f>IF($E112="","",WORKDAY($E112,1,$W$33:$W$42))</f>
        <v>45590</v>
      </c>
      <c r="G112" s="72">
        <f>IF($E112="","",WORKDAY($E112,10,$W$33:$W$42))</f>
        <v>45603</v>
      </c>
      <c r="H112" s="72">
        <f>IF($E112="","",WORKDAY($E112,20,$W$33:$W$42))</f>
        <v>45617</v>
      </c>
      <c r="I112" s="72"/>
      <c r="J112" s="69" t="s">
        <v>1106</v>
      </c>
      <c r="K112" s="14" t="str">
        <f ca="1">IF(E112="","",IF(N112="",H112-TODAY(),""))</f>
        <v/>
      </c>
      <c r="L112" s="70" t="s">
        <v>1662</v>
      </c>
      <c r="M112" s="70" t="s">
        <v>24</v>
      </c>
      <c r="N112" s="70">
        <v>45589</v>
      </c>
      <c r="O112" s="145">
        <f>IF($N112="","",NETWORKDAYS($E112,$N112,$X$33:$X$48)-1)</f>
        <v>0</v>
      </c>
      <c r="P112" s="146" t="str">
        <f>IF(ISBLANK(N112),"",IF(N112&gt;H112,"No","Yes"))</f>
        <v>Yes</v>
      </c>
      <c r="Q112" s="73" t="s">
        <v>117</v>
      </c>
      <c r="R112" s="71" t="s">
        <v>150</v>
      </c>
      <c r="S112" s="77"/>
      <c r="T112" s="69"/>
      <c r="AS112" s="144" t="str">
        <v>Quarter 3</v>
      </c>
    </row>
    <row r="113" spans="1:45" ht="30" customHeight="1" x14ac:dyDescent="0.35">
      <c r="A113" s="75">
        <v>112</v>
      </c>
      <c r="B113" s="69" t="s">
        <v>138</v>
      </c>
      <c r="C113" s="69" t="s">
        <v>19</v>
      </c>
      <c r="D113" s="69" t="s">
        <v>1797</v>
      </c>
      <c r="E113" s="71">
        <v>45593</v>
      </c>
      <c r="F113" s="72">
        <f>IF($E113="","",WORKDAY($E113,1,$W$33:$W$42))</f>
        <v>45594</v>
      </c>
      <c r="G113" s="72">
        <f>IF($E113="","",WORKDAY($E113,10,$W$33:$W$42))</f>
        <v>45607</v>
      </c>
      <c r="H113" s="72">
        <f>IF($E113="","",WORKDAY($E113,20,$W$33:$W$42))</f>
        <v>45621</v>
      </c>
      <c r="I113" s="72"/>
      <c r="J113" s="69" t="s">
        <v>1106</v>
      </c>
      <c r="K113" s="14" t="str">
        <f ca="1">IF(E113="","",IF(N113="",H113-TODAY(),""))</f>
        <v/>
      </c>
      <c r="L113" s="70" t="s">
        <v>1662</v>
      </c>
      <c r="M113" s="70" t="s">
        <v>24</v>
      </c>
      <c r="N113" s="70">
        <v>45593</v>
      </c>
      <c r="O113" s="145">
        <f>IF($N113="","",NETWORKDAYS($E113,$N113,$X$33:$X$48)-1)</f>
        <v>0</v>
      </c>
      <c r="P113" s="146" t="str">
        <f>IF(ISBLANK(N113),"",IF(N113&gt;H113,"No","Yes"))</f>
        <v>Yes</v>
      </c>
      <c r="Q113" s="73" t="s">
        <v>117</v>
      </c>
      <c r="R113" s="71" t="s">
        <v>150</v>
      </c>
      <c r="S113" s="77"/>
      <c r="T113" s="69"/>
      <c r="AS113" s="144" t="str">
        <v>Quarter 3</v>
      </c>
    </row>
    <row r="114" spans="1:45" ht="30" customHeight="1" x14ac:dyDescent="0.35">
      <c r="A114" s="75">
        <v>113</v>
      </c>
      <c r="B114" s="69" t="s">
        <v>8</v>
      </c>
      <c r="C114" s="69" t="s">
        <v>8</v>
      </c>
      <c r="D114" s="69" t="s">
        <v>1798</v>
      </c>
      <c r="E114" s="71">
        <v>45593</v>
      </c>
      <c r="F114" s="72">
        <f>IF($E114="","",WORKDAY($E114,1,$W$33:$W$42))</f>
        <v>45594</v>
      </c>
      <c r="G114" s="72">
        <f>IF($E114="","",WORKDAY($E114,10,$W$33:$W$42))</f>
        <v>45607</v>
      </c>
      <c r="H114" s="72">
        <f>IF($E114="","",WORKDAY($E114,20,$W$33:$W$42))</f>
        <v>45621</v>
      </c>
      <c r="I114" s="72"/>
      <c r="J114" s="69" t="s">
        <v>1106</v>
      </c>
      <c r="K114" s="14" t="str">
        <f ca="1">IF(E114="","",IF(N114="",H114-TODAY(),""))</f>
        <v/>
      </c>
      <c r="L114" s="70" t="s">
        <v>1662</v>
      </c>
      <c r="M114" s="70" t="s">
        <v>24</v>
      </c>
      <c r="N114" s="70">
        <v>45594</v>
      </c>
      <c r="O114" s="145">
        <f>IF($N114="","",NETWORKDAYS($E114,$N114,$X$33:$X$48)-1)</f>
        <v>1</v>
      </c>
      <c r="P114" s="146" t="str">
        <f>IF(ISBLANK(N114),"",IF(N114&gt;H114,"No","Yes"))</f>
        <v>Yes</v>
      </c>
      <c r="Q114" s="73" t="s">
        <v>117</v>
      </c>
      <c r="R114" s="71" t="s">
        <v>150</v>
      </c>
      <c r="S114" s="77"/>
      <c r="T114" s="69"/>
      <c r="AS114" s="144" t="str">
        <v>Quarter 3</v>
      </c>
    </row>
    <row r="115" spans="1:45" ht="30" customHeight="1" x14ac:dyDescent="0.35">
      <c r="A115" s="75">
        <v>114</v>
      </c>
      <c r="B115" s="69" t="s">
        <v>8</v>
      </c>
      <c r="C115" s="69" t="s">
        <v>8</v>
      </c>
      <c r="D115" s="69" t="s">
        <v>1799</v>
      </c>
      <c r="E115" s="71">
        <v>45593</v>
      </c>
      <c r="F115" s="72">
        <f>IF($E115="","",WORKDAY($E115,1,$W$33:$W$42))</f>
        <v>45594</v>
      </c>
      <c r="G115" s="72">
        <f>IF($E115="","",WORKDAY($E115,10,$W$33:$W$42))</f>
        <v>45607</v>
      </c>
      <c r="H115" s="72">
        <f>IF($E115="","",WORKDAY($E115,20,$W$33:$W$42))</f>
        <v>45621</v>
      </c>
      <c r="I115" s="72"/>
      <c r="J115" s="69" t="s">
        <v>1106</v>
      </c>
      <c r="K115" s="14" t="str">
        <f ca="1">IF(E115="","",IF(N115="",H115-TODAY(),""))</f>
        <v/>
      </c>
      <c r="L115" s="70" t="s">
        <v>1662</v>
      </c>
      <c r="M115" s="70" t="s">
        <v>24</v>
      </c>
      <c r="N115" s="70">
        <v>45607</v>
      </c>
      <c r="O115" s="145">
        <f>IF($N115="","",NETWORKDAYS($E115,$N115,$X$33:$X$48)-1)</f>
        <v>10</v>
      </c>
      <c r="P115" s="146" t="str">
        <f>IF(ISBLANK(N115),"",IF(N115&gt;H115,"No","Yes"))</f>
        <v>Yes</v>
      </c>
      <c r="Q115" s="73" t="s">
        <v>117</v>
      </c>
      <c r="R115" s="71" t="s">
        <v>150</v>
      </c>
      <c r="S115" s="77"/>
      <c r="T115" s="69"/>
      <c r="AS115" s="144" t="str">
        <v>Quarter 3</v>
      </c>
    </row>
    <row r="116" spans="1:45" ht="30" customHeight="1" x14ac:dyDescent="0.35">
      <c r="A116" s="75">
        <v>115</v>
      </c>
      <c r="B116" s="69" t="s">
        <v>138</v>
      </c>
      <c r="C116" s="69" t="s">
        <v>19</v>
      </c>
      <c r="D116" s="69" t="s">
        <v>1800</v>
      </c>
      <c r="E116" s="71">
        <v>45595</v>
      </c>
      <c r="F116" s="72">
        <f>IF($E116="","",WORKDAY($E116,1,$W$33:$W$42))</f>
        <v>45596</v>
      </c>
      <c r="G116" s="72">
        <f>IF($E116="","",WORKDAY($E116,10,$W$33:$W$42))</f>
        <v>45609</v>
      </c>
      <c r="H116" s="72">
        <f>IF($E116="","",WORKDAY($E116,20,$W$33:$W$42))</f>
        <v>45623</v>
      </c>
      <c r="I116" s="72"/>
      <c r="J116" s="69" t="str">
        <f t="shared" ref="J116" si="5">IF(ISBLANK(E116),"",TEXT(E116,"mmm"))</f>
        <v>Oct</v>
      </c>
      <c r="K116" s="14" t="str">
        <f ca="1">IF(E116="","",IF(N116="",H116-TODAY(),""))</f>
        <v/>
      </c>
      <c r="L116" s="70" t="s">
        <v>1662</v>
      </c>
      <c r="M116" s="70" t="s">
        <v>20</v>
      </c>
      <c r="N116" s="70">
        <v>45618</v>
      </c>
      <c r="O116" s="145">
        <f>IF($N116="","",NETWORKDAYS($E116,$N116,$X$33:$X$48)-1)</f>
        <v>17</v>
      </c>
      <c r="P116" s="146" t="str">
        <f>IF(ISBLANK(N116),"",IF(N116&gt;H116,"No","Yes"))</f>
        <v>Yes</v>
      </c>
      <c r="Q116" s="73" t="s">
        <v>1801</v>
      </c>
      <c r="R116" s="71" t="s">
        <v>126</v>
      </c>
      <c r="S116" s="77"/>
      <c r="T116" s="69" t="s">
        <v>141</v>
      </c>
      <c r="AS116" s="144" t="str">
        <v>Quarter 3</v>
      </c>
    </row>
    <row r="117" spans="1:45" ht="30" customHeight="1" x14ac:dyDescent="0.35">
      <c r="A117" s="75">
        <v>116</v>
      </c>
      <c r="B117" s="69" t="s">
        <v>1696</v>
      </c>
      <c r="C117" s="69" t="s">
        <v>13</v>
      </c>
      <c r="D117" s="69" t="s">
        <v>1771</v>
      </c>
      <c r="E117" s="71">
        <v>45595</v>
      </c>
      <c r="F117" s="72">
        <f>IF($E117="","",WORKDAY($E117,1,$W$33:$W$42))</f>
        <v>45596</v>
      </c>
      <c r="G117" s="72">
        <f>IF($E117="","",WORKDAY($E117,10,$W$33:$W$42))</f>
        <v>45609</v>
      </c>
      <c r="H117" s="72">
        <f>IF($E117="","",WORKDAY($E117,20,$W$33:$W$42))</f>
        <v>45623</v>
      </c>
      <c r="I117" s="72"/>
      <c r="J117" s="69" t="str">
        <f t="shared" ref="J117:J148" si="6">IF(ISBLANK(E117),"",TEXT(E117,"mmm"))</f>
        <v>Oct</v>
      </c>
      <c r="K117" s="14" t="str">
        <f ca="1">IF(E117="","",IF(N117="",H117-TODAY(),""))</f>
        <v/>
      </c>
      <c r="L117" s="70" t="s">
        <v>1662</v>
      </c>
      <c r="M117" s="70" t="s">
        <v>24</v>
      </c>
      <c r="N117" s="70">
        <v>45604</v>
      </c>
      <c r="O117" s="145">
        <f>IF($N117="","",NETWORKDAYS($E117,$N117,$X$33:$X$48)-1)</f>
        <v>7</v>
      </c>
      <c r="P117" s="146" t="str">
        <f>IF(ISBLANK(N117),"",IF(N117&gt;H117,"No","Yes"))</f>
        <v>Yes</v>
      </c>
      <c r="Q117" s="73" t="s">
        <v>117</v>
      </c>
      <c r="R117" s="71" t="s">
        <v>118</v>
      </c>
      <c r="S117" s="77"/>
      <c r="T117" s="69"/>
      <c r="AS117" s="144" t="str">
        <v>Quarter 3</v>
      </c>
    </row>
    <row r="118" spans="1:45" ht="30" customHeight="1" x14ac:dyDescent="0.35">
      <c r="A118" s="75">
        <v>117</v>
      </c>
      <c r="B118" s="69" t="s">
        <v>8</v>
      </c>
      <c r="C118" s="69" t="s">
        <v>8</v>
      </c>
      <c r="D118" s="69" t="s">
        <v>1802</v>
      </c>
      <c r="E118" s="71">
        <v>45594</v>
      </c>
      <c r="F118" s="72">
        <f>IF($E118="","",WORKDAY($E118,1,$W$33:$W$42))</f>
        <v>45595</v>
      </c>
      <c r="G118" s="72">
        <f>IF($E118="","",WORKDAY($E118,10,$W$33:$W$42))</f>
        <v>45608</v>
      </c>
      <c r="H118" s="72">
        <f>IF($E118="","",WORKDAY($E118,20,$W$33:$W$42))</f>
        <v>45622</v>
      </c>
      <c r="I118" s="72"/>
      <c r="J118" s="69" t="str">
        <f t="shared" si="6"/>
        <v>Oct</v>
      </c>
      <c r="K118" s="14" t="str">
        <f ca="1">IF(E118="","",IF(N118="",H118-TODAY(),""))</f>
        <v/>
      </c>
      <c r="L118" s="70" t="s">
        <v>1662</v>
      </c>
      <c r="M118" s="70" t="s">
        <v>24</v>
      </c>
      <c r="N118" s="70">
        <v>45622</v>
      </c>
      <c r="O118" s="145">
        <f>IF($N118="","",NETWORKDAYS($E118,$N118,$X$33:$X$48)-1)</f>
        <v>20</v>
      </c>
      <c r="P118" s="146" t="str">
        <f>IF(ISBLANK(N118),"",IF(N118&gt;H118,"No","Yes"))</f>
        <v>Yes</v>
      </c>
      <c r="Q118" s="73" t="s">
        <v>117</v>
      </c>
      <c r="R118" s="71" t="s">
        <v>118</v>
      </c>
      <c r="S118" s="77"/>
      <c r="T118" s="69"/>
      <c r="AS118" s="144" t="str">
        <v>Quarter 3</v>
      </c>
    </row>
    <row r="119" spans="1:45" ht="30" customHeight="1" x14ac:dyDescent="0.35">
      <c r="A119" s="75">
        <v>118</v>
      </c>
      <c r="B119" s="4" t="s">
        <v>8</v>
      </c>
      <c r="C119" s="4" t="s">
        <v>8</v>
      </c>
      <c r="D119" s="4" t="s">
        <v>992</v>
      </c>
      <c r="E119" s="71">
        <v>45537</v>
      </c>
      <c r="F119" s="72">
        <f>IF($E119="","",WORKDAY($E119,1,$W$33:$W$42))</f>
        <v>45538</v>
      </c>
      <c r="G119" s="72">
        <f>IF($E119="","",WORKDAY($E119,10,$W$33:$W$42))</f>
        <v>45551</v>
      </c>
      <c r="H119" s="72">
        <f>IF($E119="","",WORKDAY($E119,20,$W$33:$W$42))</f>
        <v>45565</v>
      </c>
      <c r="I119" s="72"/>
      <c r="J119" s="69" t="str">
        <f t="shared" si="6"/>
        <v>Sep</v>
      </c>
      <c r="K119" s="14" t="str">
        <f ca="1">IF(E119="","",IF(N119="",H119-TODAY(),""))</f>
        <v/>
      </c>
      <c r="L119" s="70" t="s">
        <v>5</v>
      </c>
      <c r="M119" s="70" t="s">
        <v>18</v>
      </c>
      <c r="N119" s="70">
        <v>45597</v>
      </c>
      <c r="O119" s="145">
        <f>IF($N119="","",NETWORKDAYS($E119,$N119,$X$33:$X$48)-1)</f>
        <v>44</v>
      </c>
      <c r="P119" s="146" t="str">
        <f>IF(ISBLANK(N119),"",IF(N119&gt;H119,"No","Yes"))</f>
        <v>No</v>
      </c>
      <c r="Q119" s="73" t="s">
        <v>117</v>
      </c>
      <c r="R119" s="71" t="s">
        <v>118</v>
      </c>
      <c r="S119" s="77"/>
      <c r="T119" s="69" t="s">
        <v>1803</v>
      </c>
      <c r="AS119" s="144" t="str">
        <v>Quarter 2</v>
      </c>
    </row>
    <row r="120" spans="1:45" ht="30" customHeight="1" x14ac:dyDescent="0.35">
      <c r="A120" s="75">
        <v>119</v>
      </c>
      <c r="B120" s="69" t="s">
        <v>138</v>
      </c>
      <c r="C120" s="69" t="s">
        <v>19</v>
      </c>
      <c r="D120" s="69" t="s">
        <v>1804</v>
      </c>
      <c r="E120" s="71">
        <v>45600</v>
      </c>
      <c r="F120" s="72">
        <f>IF($E120="","",WORKDAY($E120,1,$W$33:$W$42))</f>
        <v>45601</v>
      </c>
      <c r="G120" s="72">
        <f>IF($E120="","",WORKDAY($E120,10,$W$33:$W$42))</f>
        <v>45614</v>
      </c>
      <c r="H120" s="72">
        <f>IF($E120="","",WORKDAY($E120,20,$W$33:$W$42))</f>
        <v>45628</v>
      </c>
      <c r="I120" s="72"/>
      <c r="J120" s="69" t="str">
        <f t="shared" si="6"/>
        <v>Nov</v>
      </c>
      <c r="K120" s="14" t="str">
        <f ca="1">IF(E120="","",IF(N120="",H120-TODAY(),""))</f>
        <v/>
      </c>
      <c r="L120" s="70" t="s">
        <v>1662</v>
      </c>
      <c r="M120" s="70" t="s">
        <v>24</v>
      </c>
      <c r="N120" s="70">
        <v>45610</v>
      </c>
      <c r="O120" s="145">
        <f>IF($N120="","",NETWORKDAYS($E120,$N120,$X$33:$X$48)-1)</f>
        <v>8</v>
      </c>
      <c r="P120" s="146" t="str">
        <f>IF(ISBLANK(N120),"",IF(N120&gt;H120,"No","Yes"))</f>
        <v>Yes</v>
      </c>
      <c r="Q120" s="73" t="s">
        <v>117</v>
      </c>
      <c r="R120" s="71" t="s">
        <v>118</v>
      </c>
      <c r="S120" s="77"/>
      <c r="T120" s="69" t="s">
        <v>141</v>
      </c>
      <c r="AS120" s="144" t="str">
        <v>Quarter 3</v>
      </c>
    </row>
    <row r="121" spans="1:45" ht="30" customHeight="1" x14ac:dyDescent="0.35">
      <c r="A121" s="75">
        <v>120</v>
      </c>
      <c r="B121" s="69" t="s">
        <v>138</v>
      </c>
      <c r="C121" s="69" t="s">
        <v>19</v>
      </c>
      <c r="D121" s="69" t="s">
        <v>1796</v>
      </c>
      <c r="E121" s="71">
        <v>45600</v>
      </c>
      <c r="F121" s="72">
        <f>IF($E121="","",WORKDAY($E121,1,$W$33:$W$42))</f>
        <v>45601</v>
      </c>
      <c r="G121" s="72">
        <f>IF($E121="","",WORKDAY($E121,10,$W$33:$W$42))</f>
        <v>45614</v>
      </c>
      <c r="H121" s="72">
        <f>IF($E121="","",WORKDAY($E121,20,$W$33:$W$42))</f>
        <v>45628</v>
      </c>
      <c r="I121" s="72"/>
      <c r="J121" s="69" t="str">
        <f t="shared" si="6"/>
        <v>Nov</v>
      </c>
      <c r="K121" s="14" t="str">
        <f ca="1">IF(E121="","",IF(N121="",H121-TODAY(),""))</f>
        <v/>
      </c>
      <c r="L121" s="70" t="s">
        <v>5</v>
      </c>
      <c r="M121" s="70" t="s">
        <v>18</v>
      </c>
      <c r="N121" s="70">
        <v>45600</v>
      </c>
      <c r="O121" s="145">
        <f>IF($N121="","",NETWORKDAYS($E121,$N121,$X$33:$X$48)-1)</f>
        <v>0</v>
      </c>
      <c r="P121" s="146" t="str">
        <f>IF(ISBLANK(N121),"",IF(N121&gt;H121,"No","Yes"))</f>
        <v>Yes</v>
      </c>
      <c r="Q121" s="73" t="s">
        <v>117</v>
      </c>
      <c r="R121" s="71" t="s">
        <v>150</v>
      </c>
      <c r="S121" s="77"/>
      <c r="T121" s="69"/>
      <c r="AS121" s="144" t="str">
        <v>Quarter 3</v>
      </c>
    </row>
    <row r="122" spans="1:45" ht="30" customHeight="1" x14ac:dyDescent="0.35">
      <c r="A122" s="75">
        <v>121</v>
      </c>
      <c r="B122" s="69" t="s">
        <v>1805</v>
      </c>
      <c r="C122" s="69" t="s">
        <v>13</v>
      </c>
      <c r="D122" s="69" t="s">
        <v>1806</v>
      </c>
      <c r="E122" s="71">
        <v>45600</v>
      </c>
      <c r="F122" s="72">
        <f>IF($E122="","",WORKDAY($E122,1,$W$33:$W$42))</f>
        <v>45601</v>
      </c>
      <c r="G122" s="72">
        <f>IF($E122="","",WORKDAY($E122,10,$W$33:$W$42))</f>
        <v>45614</v>
      </c>
      <c r="H122" s="72">
        <f>IF($E122="","",WORKDAY($E122,20,$W$33:$W$42))</f>
        <v>45628</v>
      </c>
      <c r="I122" s="72"/>
      <c r="J122" s="69" t="str">
        <f t="shared" si="6"/>
        <v>Nov</v>
      </c>
      <c r="K122" s="14" t="str">
        <f ca="1">IF(E122="","",IF(N122="",H122-TODAY(),""))</f>
        <v/>
      </c>
      <c r="L122" s="70" t="s">
        <v>1662</v>
      </c>
      <c r="M122" s="70" t="s">
        <v>14</v>
      </c>
      <c r="N122" s="70">
        <v>45602</v>
      </c>
      <c r="O122" s="145">
        <f>IF($N122="","",NETWORKDAYS($E122,$N122,$X$33:$X$48)-1)</f>
        <v>2</v>
      </c>
      <c r="P122" s="146" t="str">
        <f>IF(ISBLANK(N122),"",IF(N122&gt;H122,"No","Yes"))</f>
        <v>Yes</v>
      </c>
      <c r="Q122" s="73" t="s">
        <v>117</v>
      </c>
      <c r="R122" s="71" t="s">
        <v>118</v>
      </c>
      <c r="S122" s="77"/>
      <c r="T122" s="69"/>
      <c r="AS122" s="144" t="str">
        <v>Quarter 3</v>
      </c>
    </row>
    <row r="123" spans="1:45" ht="30" customHeight="1" x14ac:dyDescent="0.35">
      <c r="A123" s="75">
        <v>122</v>
      </c>
      <c r="B123" s="69" t="s">
        <v>1807</v>
      </c>
      <c r="C123" s="69" t="s">
        <v>13</v>
      </c>
      <c r="D123" s="69" t="s">
        <v>1795</v>
      </c>
      <c r="E123" s="71">
        <v>45601</v>
      </c>
      <c r="F123" s="72">
        <f>IF($E123="","",WORKDAY($E123,1,$W$33:$W$42))</f>
        <v>45602</v>
      </c>
      <c r="G123" s="72">
        <f>IF($E123="","",WORKDAY($E123,10,$W$33:$W$42))</f>
        <v>45615</v>
      </c>
      <c r="H123" s="72">
        <f>IF($E123="","",WORKDAY($E123,20,$W$33:$W$42))</f>
        <v>45629</v>
      </c>
      <c r="I123" s="72"/>
      <c r="J123" s="69" t="str">
        <f t="shared" si="6"/>
        <v>Nov</v>
      </c>
      <c r="K123" s="14" t="str">
        <f ca="1">IF(E123="","",IF(N123="",H123-TODAY(),""))</f>
        <v/>
      </c>
      <c r="L123" s="70" t="s">
        <v>1662</v>
      </c>
      <c r="M123" s="70" t="s">
        <v>20</v>
      </c>
      <c r="N123" s="70">
        <v>45615</v>
      </c>
      <c r="O123" s="145">
        <f>IF($N123="","",NETWORKDAYS($E123,$N123,$X$33:$X$48)-1)</f>
        <v>10</v>
      </c>
      <c r="P123" s="146" t="str">
        <f>IF(ISBLANK(N123),"",IF(N123&gt;H123,"No","Yes"))</f>
        <v>Yes</v>
      </c>
      <c r="Q123" s="73" t="s">
        <v>117</v>
      </c>
      <c r="R123" s="71" t="s">
        <v>118</v>
      </c>
      <c r="S123" s="77"/>
      <c r="T123" s="69"/>
      <c r="AS123" s="144" t="str">
        <v>Quarter 3</v>
      </c>
    </row>
    <row r="124" spans="1:45" ht="30" customHeight="1" x14ac:dyDescent="0.35">
      <c r="A124" s="75">
        <v>123</v>
      </c>
      <c r="B124" s="69" t="s">
        <v>138</v>
      </c>
      <c r="C124" s="69" t="s">
        <v>19</v>
      </c>
      <c r="D124" s="69" t="s">
        <v>1808</v>
      </c>
      <c r="E124" s="71">
        <v>45601</v>
      </c>
      <c r="F124" s="72">
        <f>IF($E124="","",WORKDAY($E124,1,$W$33:$W$42))</f>
        <v>45602</v>
      </c>
      <c r="G124" s="72">
        <f>IF($E124="","",WORKDAY($E124,10,$W$33:$W$42))</f>
        <v>45615</v>
      </c>
      <c r="H124" s="72">
        <f>IF($E124="","",WORKDAY($E124,20,$W$33:$W$42))</f>
        <v>45629</v>
      </c>
      <c r="I124" s="72"/>
      <c r="J124" s="69" t="str">
        <f t="shared" si="6"/>
        <v>Nov</v>
      </c>
      <c r="K124" s="14" t="str">
        <f ca="1">IF(E124="","",IF(N124="",H124-TODAY(),""))</f>
        <v/>
      </c>
      <c r="L124" s="70" t="s">
        <v>1662</v>
      </c>
      <c r="M124" s="70" t="s">
        <v>24</v>
      </c>
      <c r="N124" s="70">
        <v>45607</v>
      </c>
      <c r="O124" s="145">
        <f>IF($N124="","",NETWORKDAYS($E124,$N124,$X$33:$X$48)-1)</f>
        <v>4</v>
      </c>
      <c r="P124" s="146" t="str">
        <f>IF(ISBLANK(N124),"",IF(N124&gt;H124,"No","Yes"))</f>
        <v>Yes</v>
      </c>
      <c r="Q124" s="73" t="s">
        <v>117</v>
      </c>
      <c r="R124" s="71" t="s">
        <v>118</v>
      </c>
      <c r="S124" s="77"/>
      <c r="T124" s="69"/>
      <c r="AS124" s="144" t="str">
        <v>Quarter 3</v>
      </c>
    </row>
    <row r="125" spans="1:45" ht="30" customHeight="1" x14ac:dyDescent="0.35">
      <c r="A125" s="75">
        <v>124</v>
      </c>
      <c r="B125" s="69" t="s">
        <v>1809</v>
      </c>
      <c r="C125" s="69" t="s">
        <v>13</v>
      </c>
      <c r="D125" s="69" t="s">
        <v>1810</v>
      </c>
      <c r="E125" s="71">
        <v>45603</v>
      </c>
      <c r="F125" s="72">
        <f>IF($E125="","",WORKDAY($E125,1,$W$33:$W$42))</f>
        <v>45604</v>
      </c>
      <c r="G125" s="72">
        <f>IF($E125="","",WORKDAY($E125,10,$W$33:$W$42))</f>
        <v>45617</v>
      </c>
      <c r="H125" s="72">
        <f>IF($E125="","",WORKDAY($E125,20,$W$33:$W$42))</f>
        <v>45631</v>
      </c>
      <c r="I125" s="72"/>
      <c r="J125" s="69" t="str">
        <f t="shared" si="6"/>
        <v>Nov</v>
      </c>
      <c r="K125" s="14" t="str">
        <f ca="1">IF(E125="","",IF(N125="",H125-TODAY(),""))</f>
        <v/>
      </c>
      <c r="L125" s="70" t="s">
        <v>5</v>
      </c>
      <c r="M125" s="70" t="s">
        <v>16</v>
      </c>
      <c r="N125" s="70">
        <v>45629</v>
      </c>
      <c r="O125" s="145">
        <f>IF($N125="","",NETWORKDAYS($E125,$N125,$X$33:$X$48)-1)</f>
        <v>18</v>
      </c>
      <c r="P125" s="146" t="str">
        <f>IF(ISBLANK(N125),"",IF(N125&gt;H125,"No","Yes"))</f>
        <v>Yes</v>
      </c>
      <c r="Q125" s="73" t="s">
        <v>117</v>
      </c>
      <c r="R125" s="71" t="s">
        <v>118</v>
      </c>
      <c r="S125" s="77" t="s">
        <v>1665</v>
      </c>
      <c r="T125" s="69"/>
      <c r="AS125" s="144" t="str">
        <v>Quarter 3</v>
      </c>
    </row>
    <row r="126" spans="1:45" ht="30" customHeight="1" x14ac:dyDescent="0.35">
      <c r="A126" s="75">
        <v>125</v>
      </c>
      <c r="B126" s="69" t="s">
        <v>138</v>
      </c>
      <c r="C126" s="69" t="s">
        <v>19</v>
      </c>
      <c r="D126" s="69" t="s">
        <v>1811</v>
      </c>
      <c r="E126" s="71">
        <v>45607</v>
      </c>
      <c r="F126" s="72">
        <f>IF($E126="","",WORKDAY($E126,1,$W$33:$W$42))</f>
        <v>45608</v>
      </c>
      <c r="G126" s="72">
        <f>IF($E126="","",WORKDAY($E126,10,$W$33:$W$42))</f>
        <v>45621</v>
      </c>
      <c r="H126" s="72">
        <f>IF($E126="","",WORKDAY($E126,20,$W$33:$W$42))</f>
        <v>45635</v>
      </c>
      <c r="I126" s="72"/>
      <c r="J126" s="69" t="str">
        <f t="shared" si="6"/>
        <v>Nov</v>
      </c>
      <c r="K126" s="14" t="str">
        <f ca="1">IF(E126="","",IF(N126="",H126-TODAY(),""))</f>
        <v/>
      </c>
      <c r="L126" s="70" t="s">
        <v>1662</v>
      </c>
      <c r="M126" s="70" t="s">
        <v>14</v>
      </c>
      <c r="N126" s="70">
        <v>45671</v>
      </c>
      <c r="O126" s="145">
        <f>IF($N126="","",NETWORKDAYS($E126,$N126,$X$33:$X$48)-1)</f>
        <v>46</v>
      </c>
      <c r="P126" s="146" t="str">
        <f>IF(ISBLANK(N126),"",IF(N126&gt;H126,"No","Yes"))</f>
        <v>No</v>
      </c>
      <c r="Q126" s="73" t="s">
        <v>117</v>
      </c>
      <c r="R126" s="71" t="s">
        <v>118</v>
      </c>
      <c r="S126" s="77"/>
      <c r="T126" s="69" t="s">
        <v>141</v>
      </c>
      <c r="AS126" s="144" t="str">
        <v>Quarter 3</v>
      </c>
    </row>
    <row r="127" spans="1:45" ht="30" customHeight="1" x14ac:dyDescent="0.35">
      <c r="A127" s="75">
        <v>126</v>
      </c>
      <c r="B127" s="69" t="s">
        <v>8</v>
      </c>
      <c r="C127" s="69" t="s">
        <v>8</v>
      </c>
      <c r="D127" s="69" t="s">
        <v>1812</v>
      </c>
      <c r="E127" s="71">
        <v>45609</v>
      </c>
      <c r="F127" s="72">
        <f>IF($E127="","",WORKDAY($E127,1,$W$33:$W$42))</f>
        <v>45610</v>
      </c>
      <c r="G127" s="72">
        <f>IF($E127="","",WORKDAY($E127,10,$W$33:$W$42))</f>
        <v>45623</v>
      </c>
      <c r="H127" s="72">
        <f>IF($E127="","",WORKDAY($E127,20,$W$33:$W$42))</f>
        <v>45637</v>
      </c>
      <c r="I127" s="72"/>
      <c r="J127" s="69" t="str">
        <f t="shared" si="6"/>
        <v>Nov</v>
      </c>
      <c r="K127" s="14" t="str">
        <f ca="1">IF(E127="","",IF(N127="",H127-TODAY(),""))</f>
        <v/>
      </c>
      <c r="L127" s="70" t="s">
        <v>1662</v>
      </c>
      <c r="M127" s="70" t="s">
        <v>24</v>
      </c>
      <c r="N127" s="70">
        <v>45629</v>
      </c>
      <c r="O127" s="145">
        <f>IF($N127="","",NETWORKDAYS($E127,$N127,$X$33:$X$48)-1)</f>
        <v>14</v>
      </c>
      <c r="P127" s="146" t="str">
        <f>IF(ISBLANK(N127),"",IF(N127&gt;H127,"No","Yes"))</f>
        <v>Yes</v>
      </c>
      <c r="Q127" s="73" t="s">
        <v>117</v>
      </c>
      <c r="R127" s="71" t="s">
        <v>118</v>
      </c>
      <c r="S127" s="77" t="s">
        <v>1665</v>
      </c>
      <c r="T127" s="69" t="s">
        <v>141</v>
      </c>
      <c r="AS127" s="144" t="str">
        <v>Quarter 3</v>
      </c>
    </row>
    <row r="128" spans="1:45" ht="30" customHeight="1" x14ac:dyDescent="0.35">
      <c r="A128" s="75">
        <v>127</v>
      </c>
      <c r="B128" s="69" t="s">
        <v>1813</v>
      </c>
      <c r="C128" s="69" t="s">
        <v>13</v>
      </c>
      <c r="D128" s="69" t="s">
        <v>1814</v>
      </c>
      <c r="E128" s="71">
        <v>45611</v>
      </c>
      <c r="F128" s="72">
        <f>IF($E128="","",WORKDAY($E128,1,$W$33:$W$42))</f>
        <v>45614</v>
      </c>
      <c r="G128" s="72">
        <f>IF($E128="","",WORKDAY($E128,10,$W$33:$W$42))</f>
        <v>45625</v>
      </c>
      <c r="H128" s="72">
        <f>IF($E128="","",WORKDAY($E128,20,$W$33:$W$42))</f>
        <v>45639</v>
      </c>
      <c r="I128" s="72"/>
      <c r="J128" s="69" t="str">
        <f t="shared" si="6"/>
        <v>Nov</v>
      </c>
      <c r="K128" s="14" t="str">
        <f ca="1">IF(E128="","",IF(N128="",H128-TODAY(),""))</f>
        <v/>
      </c>
      <c r="L128" s="70" t="s">
        <v>1662</v>
      </c>
      <c r="M128" s="70" t="s">
        <v>24</v>
      </c>
      <c r="N128" s="70">
        <v>45629</v>
      </c>
      <c r="O128" s="145">
        <f>IF($N128="","",NETWORKDAYS($E128,$N128,$X$33:$X$48)-1)</f>
        <v>12</v>
      </c>
      <c r="P128" s="146" t="str">
        <f>IF(ISBLANK(N128),"",IF(N128&gt;H128,"No","Yes"))</f>
        <v>Yes</v>
      </c>
      <c r="Q128" s="73" t="s">
        <v>117</v>
      </c>
      <c r="R128" s="71" t="s">
        <v>118</v>
      </c>
      <c r="S128" s="77"/>
      <c r="T128" s="69" t="s">
        <v>141</v>
      </c>
      <c r="AS128" s="144" t="str">
        <v>Quarter 3</v>
      </c>
    </row>
    <row r="129" spans="1:45" ht="30" customHeight="1" x14ac:dyDescent="0.35">
      <c r="A129" s="75">
        <v>128</v>
      </c>
      <c r="B129" s="69" t="s">
        <v>969</v>
      </c>
      <c r="C129" s="69" t="s">
        <v>6</v>
      </c>
      <c r="D129" s="69" t="s">
        <v>1815</v>
      </c>
      <c r="E129" s="71">
        <v>45611</v>
      </c>
      <c r="F129" s="72">
        <f>IF($E129="","",WORKDAY($E129,1,$W$33:$W$42))</f>
        <v>45614</v>
      </c>
      <c r="G129" s="72">
        <f>IF($E129="","",WORKDAY($E129,10,$W$33:$W$42))</f>
        <v>45625</v>
      </c>
      <c r="H129" s="72">
        <f>IF($E129="","",WORKDAY($E129,20,$W$33:$W$42))</f>
        <v>45639</v>
      </c>
      <c r="I129" s="72"/>
      <c r="J129" s="69" t="str">
        <f t="shared" si="6"/>
        <v>Nov</v>
      </c>
      <c r="K129" s="14" t="str">
        <f ca="1">IF(E129="","",IF(N129="",H129-TODAY(),""))</f>
        <v/>
      </c>
      <c r="L129" s="70" t="s">
        <v>1662</v>
      </c>
      <c r="M129" s="70" t="s">
        <v>24</v>
      </c>
      <c r="N129" s="70">
        <v>45629</v>
      </c>
      <c r="O129" s="145">
        <f>IF($N129="","",NETWORKDAYS($E129,$N129,$X$33:$X$48)-1)</f>
        <v>12</v>
      </c>
      <c r="P129" s="146" t="str">
        <f>IF(ISBLANK(N129),"",IF(N129&gt;H129,"No","Yes"))</f>
        <v>Yes</v>
      </c>
      <c r="Q129" s="73" t="s">
        <v>117</v>
      </c>
      <c r="R129" s="71" t="s">
        <v>118</v>
      </c>
      <c r="S129" s="77"/>
      <c r="T129" s="69" t="s">
        <v>141</v>
      </c>
      <c r="AS129" s="144" t="str">
        <v>Quarter 3</v>
      </c>
    </row>
    <row r="130" spans="1:45" ht="30" customHeight="1" x14ac:dyDescent="0.35">
      <c r="A130" s="75">
        <v>129</v>
      </c>
      <c r="B130" s="4" t="s">
        <v>138</v>
      </c>
      <c r="C130" s="4" t="s">
        <v>19</v>
      </c>
      <c r="D130" s="69" t="s">
        <v>1802</v>
      </c>
      <c r="E130" s="71">
        <v>45611</v>
      </c>
      <c r="F130" s="72">
        <f>IF($E130="","",WORKDAY($E130,1,$W$33:$W$42))</f>
        <v>45614</v>
      </c>
      <c r="G130" s="72">
        <f>IF($E130="","",WORKDAY($E130,10,$W$33:$W$42))</f>
        <v>45625</v>
      </c>
      <c r="H130" s="72">
        <f>IF($E130="","",WORKDAY($E130,20,$W$33:$W$42))</f>
        <v>45639</v>
      </c>
      <c r="I130" s="72"/>
      <c r="J130" s="69" t="str">
        <f t="shared" si="6"/>
        <v>Nov</v>
      </c>
      <c r="K130" s="14" t="str">
        <f ca="1">IF(E130="","",IF(N130="",H130-TODAY(),""))</f>
        <v/>
      </c>
      <c r="L130" s="70" t="s">
        <v>1662</v>
      </c>
      <c r="M130" s="70" t="s">
        <v>24</v>
      </c>
      <c r="N130" s="70">
        <v>45642</v>
      </c>
      <c r="O130" s="145">
        <f>IF($N130="","",NETWORKDAYS($E130,$N130,$X$33:$X$48)-1)</f>
        <v>21</v>
      </c>
      <c r="P130" s="146" t="str">
        <f>IF(ISBLANK(N130),"",IF(N130&gt;H130,"No","Yes"))</f>
        <v>No</v>
      </c>
      <c r="Q130" s="73" t="s">
        <v>117</v>
      </c>
      <c r="R130" s="71" t="s">
        <v>118</v>
      </c>
      <c r="S130" s="77"/>
      <c r="T130" s="69"/>
      <c r="AS130" s="144" t="str">
        <v>Quarter 3</v>
      </c>
    </row>
    <row r="131" spans="1:45" ht="30" customHeight="1" x14ac:dyDescent="0.35">
      <c r="A131" s="75">
        <v>130</v>
      </c>
      <c r="B131" s="69" t="s">
        <v>969</v>
      </c>
      <c r="C131" s="69" t="s">
        <v>6</v>
      </c>
      <c r="D131" s="69" t="s">
        <v>1815</v>
      </c>
      <c r="E131" s="71">
        <v>45625</v>
      </c>
      <c r="F131" s="72">
        <f>IF($E131="","",WORKDAY($E131,1,$W$33:$W$42))</f>
        <v>45628</v>
      </c>
      <c r="G131" s="72">
        <f>IF($E131="","",WORKDAY($E131,10,$W$33:$W$42))</f>
        <v>45639</v>
      </c>
      <c r="H131" s="72">
        <f>IF($E131="","",WORKDAY($E131,20,$W$33:$W$42))</f>
        <v>45657</v>
      </c>
      <c r="I131" s="72"/>
      <c r="J131" s="69" t="str">
        <f t="shared" si="6"/>
        <v>Nov</v>
      </c>
      <c r="K131" s="14" t="str">
        <f ca="1">IF(E131="","",IF(N131="",H131-TODAY(),""))</f>
        <v/>
      </c>
      <c r="L131" s="70" t="s">
        <v>1662</v>
      </c>
      <c r="M131" s="70" t="s">
        <v>24</v>
      </c>
      <c r="N131" s="70">
        <v>45629</v>
      </c>
      <c r="O131" s="145">
        <f>IF($N131="","",NETWORKDAYS($E131,$N131,$X$33:$X$48)-1)</f>
        <v>2</v>
      </c>
      <c r="P131" s="146" t="str">
        <f>IF(ISBLANK(N131),"",IF(N131&gt;H131,"No","Yes"))</f>
        <v>Yes</v>
      </c>
      <c r="Q131" s="73" t="s">
        <v>117</v>
      </c>
      <c r="R131" s="71" t="s">
        <v>118</v>
      </c>
      <c r="S131" s="77" t="s">
        <v>1663</v>
      </c>
      <c r="T131" s="69" t="s">
        <v>141</v>
      </c>
      <c r="AS131" s="144" t="str">
        <v>Quarter 3</v>
      </c>
    </row>
    <row r="132" spans="1:45" ht="30" customHeight="1" x14ac:dyDescent="0.35">
      <c r="A132" s="75">
        <v>131</v>
      </c>
      <c r="B132" s="69" t="s">
        <v>8</v>
      </c>
      <c r="C132" s="69" t="s">
        <v>8</v>
      </c>
      <c r="D132" s="69" t="s">
        <v>1816</v>
      </c>
      <c r="E132" s="71">
        <v>45629</v>
      </c>
      <c r="F132" s="72">
        <f>IF($E132="","",WORKDAY($E132,1,$W$33:$W$42))</f>
        <v>45630</v>
      </c>
      <c r="G132" s="72">
        <f>IF($E132="","",WORKDAY($E132,10,$W$33:$W$42))</f>
        <v>45643</v>
      </c>
      <c r="H132" s="72">
        <f>IF($E132="","",WORKDAY($E132,20,$W$33:$W$42))</f>
        <v>45660</v>
      </c>
      <c r="I132" s="72"/>
      <c r="J132" s="69" t="str">
        <f t="shared" si="6"/>
        <v>Dec</v>
      </c>
      <c r="K132" s="14" t="str">
        <f ca="1">IF(E132="","",IF(N132="",H132-TODAY(),""))</f>
        <v/>
      </c>
      <c r="L132" s="70" t="s">
        <v>1662</v>
      </c>
      <c r="M132" s="70" t="s">
        <v>24</v>
      </c>
      <c r="N132" s="70">
        <v>45636</v>
      </c>
      <c r="O132" s="145">
        <f>IF($N132="","",NETWORKDAYS($E132,$N132,$X$33:$X$48)-1)</f>
        <v>5</v>
      </c>
      <c r="P132" s="146" t="str">
        <f>IF(ISBLANK(N132),"",IF(N132&gt;H132,"No","Yes"))</f>
        <v>Yes</v>
      </c>
      <c r="Q132" s="73" t="s">
        <v>117</v>
      </c>
      <c r="R132" s="71" t="s">
        <v>118</v>
      </c>
      <c r="S132" s="77"/>
      <c r="T132" s="69"/>
      <c r="AS132" s="144" t="str">
        <v>Quarter 3</v>
      </c>
    </row>
    <row r="133" spans="1:45" ht="30" customHeight="1" x14ac:dyDescent="0.35">
      <c r="A133" s="75">
        <v>132</v>
      </c>
      <c r="B133" s="69" t="s">
        <v>8</v>
      </c>
      <c r="C133" s="69" t="s">
        <v>8</v>
      </c>
      <c r="D133" s="69" t="s">
        <v>1817</v>
      </c>
      <c r="E133" s="71">
        <v>45630</v>
      </c>
      <c r="F133" s="72">
        <f>IF($E133="","",WORKDAY($E133,1,$W$33:$W$42))</f>
        <v>45631</v>
      </c>
      <c r="G133" s="72">
        <f>IF($E133="","",WORKDAY($E133,10,$W$33:$W$42))</f>
        <v>45644</v>
      </c>
      <c r="H133" s="72">
        <f>IF($E133="","",WORKDAY($E133,20,$W$33:$W$42))</f>
        <v>45663</v>
      </c>
      <c r="I133" s="72"/>
      <c r="J133" s="69" t="str">
        <f t="shared" si="6"/>
        <v>Dec</v>
      </c>
      <c r="K133" s="14" t="str">
        <f ca="1">IF(E133="","",IF(N133="",H133-TODAY(),""))</f>
        <v/>
      </c>
      <c r="L133" s="70" t="s">
        <v>1662</v>
      </c>
      <c r="M133" s="70" t="s">
        <v>24</v>
      </c>
      <c r="N133" s="70">
        <v>45635</v>
      </c>
      <c r="O133" s="145">
        <f>IF($N133="","",NETWORKDAYS($E133,$N133,$X$33:$X$48)-1)</f>
        <v>3</v>
      </c>
      <c r="P133" s="146" t="str">
        <f>IF(ISBLANK(N133),"",IF(N133&gt;H133,"No","Yes"))</f>
        <v>Yes</v>
      </c>
      <c r="Q133" s="73" t="s">
        <v>117</v>
      </c>
      <c r="R133" s="71" t="s">
        <v>118</v>
      </c>
      <c r="S133" s="77"/>
      <c r="T133" s="69"/>
      <c r="AS133" s="144" t="str">
        <v>Quarter 3</v>
      </c>
    </row>
    <row r="134" spans="1:45" ht="30" customHeight="1" x14ac:dyDescent="0.35">
      <c r="A134" s="75">
        <v>133</v>
      </c>
      <c r="B134" s="69" t="s">
        <v>8</v>
      </c>
      <c r="C134" s="69" t="s">
        <v>8</v>
      </c>
      <c r="D134" s="69" t="s">
        <v>1818</v>
      </c>
      <c r="E134" s="71">
        <v>45631</v>
      </c>
      <c r="F134" s="72">
        <f>IF($E134="","",WORKDAY($E134,1,$W$33:$W$42))</f>
        <v>45632</v>
      </c>
      <c r="G134" s="72">
        <f>IF($E134="","",WORKDAY($E134,10,$W$33:$W$42))</f>
        <v>45645</v>
      </c>
      <c r="H134" s="72">
        <f>IF($E134="","",WORKDAY($E134,20,$W$33:$W$42))</f>
        <v>45664</v>
      </c>
      <c r="I134" s="72"/>
      <c r="J134" s="69" t="str">
        <f t="shared" si="6"/>
        <v>Dec</v>
      </c>
      <c r="K134" s="14" t="str">
        <f ca="1">IF(E134="","",IF(N134="",H134-TODAY(),""))</f>
        <v/>
      </c>
      <c r="L134" s="70" t="s">
        <v>1662</v>
      </c>
      <c r="M134" s="70" t="s">
        <v>20</v>
      </c>
      <c r="N134" s="70">
        <v>45659</v>
      </c>
      <c r="O134" s="145">
        <f>IF($N134="","",NETWORKDAYS($E134,$N134,$X$33:$X$48)-1)</f>
        <v>20</v>
      </c>
      <c r="P134" s="146" t="str">
        <f>IF(ISBLANK(N134),"",IF(N134&gt;H134,"No","Yes"))</f>
        <v>Yes</v>
      </c>
      <c r="Q134" s="73" t="s">
        <v>117</v>
      </c>
      <c r="R134" s="71" t="s">
        <v>126</v>
      </c>
      <c r="S134" s="77" t="s">
        <v>1677</v>
      </c>
      <c r="T134" s="69" t="s">
        <v>1819</v>
      </c>
      <c r="AS134" s="144" t="str">
        <v>Quarter 3</v>
      </c>
    </row>
    <row r="135" spans="1:45" ht="30" customHeight="1" x14ac:dyDescent="0.35">
      <c r="A135" s="75">
        <v>134</v>
      </c>
      <c r="B135" s="69" t="s">
        <v>310</v>
      </c>
      <c r="C135" s="69" t="s">
        <v>6</v>
      </c>
      <c r="D135" s="69" t="s">
        <v>1732</v>
      </c>
      <c r="E135" s="71">
        <v>45632</v>
      </c>
      <c r="F135" s="72">
        <f>IF($E135="","",WORKDAY($E135,1,$W$33:$W$42))</f>
        <v>45635</v>
      </c>
      <c r="G135" s="72">
        <f>IF($E135="","",WORKDAY($E135,10,$W$33:$W$42))</f>
        <v>45646</v>
      </c>
      <c r="H135" s="72">
        <f>IF($E135="","",WORKDAY($E135,20,$W$33:$W$42))</f>
        <v>45665</v>
      </c>
      <c r="I135" s="72"/>
      <c r="J135" s="69" t="str">
        <f t="shared" si="6"/>
        <v>Dec</v>
      </c>
      <c r="K135" s="14" t="str">
        <f ca="1">IF(E135="","",IF(N135="",H135-TODAY(),""))</f>
        <v/>
      </c>
      <c r="L135" s="70" t="s">
        <v>1662</v>
      </c>
      <c r="M135" s="70" t="s">
        <v>24</v>
      </c>
      <c r="N135" s="70">
        <v>45643</v>
      </c>
      <c r="O135" s="145">
        <f>IF($N135="","",NETWORKDAYS($E135,$N135,$X$33:$X$48)-1)</f>
        <v>7</v>
      </c>
      <c r="P135" s="146" t="str">
        <f>IF(ISBLANK(N135),"",IF(N135&gt;H135,"No","Yes"))</f>
        <v>Yes</v>
      </c>
      <c r="Q135" s="73" t="s">
        <v>117</v>
      </c>
      <c r="R135" s="71" t="s">
        <v>118</v>
      </c>
      <c r="S135" s="77"/>
      <c r="T135" s="69" t="s">
        <v>141</v>
      </c>
      <c r="AS135" s="144" t="str">
        <v>Quarter 3</v>
      </c>
    </row>
    <row r="136" spans="1:45" ht="30" customHeight="1" x14ac:dyDescent="0.35">
      <c r="A136" s="75">
        <v>135</v>
      </c>
      <c r="B136" s="69" t="s">
        <v>138</v>
      </c>
      <c r="C136" s="69" t="s">
        <v>19</v>
      </c>
      <c r="D136" s="69" t="s">
        <v>1820</v>
      </c>
      <c r="E136" s="71">
        <v>45632</v>
      </c>
      <c r="F136" s="72">
        <f>IF($E136="","",WORKDAY($E136,1,$W$33:$W$42))</f>
        <v>45635</v>
      </c>
      <c r="G136" s="72">
        <f>IF($E136="","",WORKDAY($E136,10,$W$33:$W$42))</f>
        <v>45646</v>
      </c>
      <c r="H136" s="72">
        <f>IF($E136="","",WORKDAY($E136,20,$W$33:$W$42))</f>
        <v>45665</v>
      </c>
      <c r="I136" s="72"/>
      <c r="J136" s="69" t="str">
        <f t="shared" si="6"/>
        <v>Dec</v>
      </c>
      <c r="K136" s="14" t="str">
        <f ca="1">IF(E136="","",IF(N136="",H136-TODAY(),""))</f>
        <v/>
      </c>
      <c r="L136" s="70" t="s">
        <v>1662</v>
      </c>
      <c r="M136" s="70" t="s">
        <v>24</v>
      </c>
      <c r="N136" s="70">
        <v>45644</v>
      </c>
      <c r="O136" s="145">
        <f>IF($N136="","",NETWORKDAYS($E136,$N136,$X$33:$X$48)-1)</f>
        <v>8</v>
      </c>
      <c r="P136" s="146" t="str">
        <f>IF(ISBLANK(N136),"",IF(N136&gt;H136,"No","Yes"))</f>
        <v>Yes</v>
      </c>
      <c r="Q136" s="73" t="s">
        <v>117</v>
      </c>
      <c r="R136" s="71" t="s">
        <v>118</v>
      </c>
      <c r="S136" s="77" t="s">
        <v>1663</v>
      </c>
      <c r="T136" s="69"/>
      <c r="AS136" s="144" t="str">
        <v>Quarter 3</v>
      </c>
    </row>
    <row r="137" spans="1:45" ht="30" customHeight="1" x14ac:dyDescent="0.35">
      <c r="A137" s="75">
        <v>136</v>
      </c>
      <c r="B137" s="69" t="s">
        <v>8</v>
      </c>
      <c r="C137" s="69" t="s">
        <v>8</v>
      </c>
      <c r="D137" s="69" t="s">
        <v>1818</v>
      </c>
      <c r="E137" s="71">
        <v>45635</v>
      </c>
      <c r="F137" s="72">
        <f>IF($E137="","",WORKDAY($E137,1,$W$33:$W$42))</f>
        <v>45636</v>
      </c>
      <c r="G137" s="72">
        <f>IF($E137="","",WORKDAY($E137,10,$W$33:$W$42))</f>
        <v>45649</v>
      </c>
      <c r="H137" s="72">
        <f>IF($E137="","",WORKDAY($E137,20,$W$33:$W$42))</f>
        <v>45666</v>
      </c>
      <c r="I137" s="72"/>
      <c r="J137" s="69" t="str">
        <f t="shared" si="6"/>
        <v>Dec</v>
      </c>
      <c r="K137" s="14" t="str">
        <f ca="1">IF(E137="","",IF(N137="",H137-TODAY(),""))</f>
        <v/>
      </c>
      <c r="L137" s="70" t="s">
        <v>1662</v>
      </c>
      <c r="M137" s="70" t="s">
        <v>20</v>
      </c>
      <c r="N137" s="70">
        <v>45659</v>
      </c>
      <c r="O137" s="145">
        <f>IF($N137="","",NETWORKDAYS($E137,$N137,$X$33:$X$48)-1)</f>
        <v>18</v>
      </c>
      <c r="P137" s="146" t="str">
        <f>IF(ISBLANK(N137),"",IF(N137&gt;H137,"No","Yes"))</f>
        <v>Yes</v>
      </c>
      <c r="Q137" s="73" t="s">
        <v>117</v>
      </c>
      <c r="R137" s="71" t="s">
        <v>118</v>
      </c>
      <c r="S137" s="77" t="s">
        <v>1665</v>
      </c>
      <c r="T137" s="69"/>
      <c r="AS137" s="144" t="str">
        <v>Quarter 3</v>
      </c>
    </row>
    <row r="138" spans="1:45" ht="30" customHeight="1" x14ac:dyDescent="0.35">
      <c r="A138" s="75">
        <v>137</v>
      </c>
      <c r="B138" s="69" t="s">
        <v>1713</v>
      </c>
      <c r="C138" s="69" t="s">
        <v>23</v>
      </c>
      <c r="D138" s="69" t="s">
        <v>1821</v>
      </c>
      <c r="E138" s="71">
        <v>45636</v>
      </c>
      <c r="F138" s="72">
        <f>IF($E138="","",WORKDAY($E138,1,$W$33:$W$42))</f>
        <v>45637</v>
      </c>
      <c r="G138" s="72">
        <f>IF($E138="","",WORKDAY($E138,10,$W$33:$W$42))</f>
        <v>45650</v>
      </c>
      <c r="H138" s="72">
        <f>IF($E138="","",WORKDAY($E138,20,$W$33:$W$42))</f>
        <v>45667</v>
      </c>
      <c r="I138" s="72"/>
      <c r="J138" s="69" t="str">
        <f t="shared" si="6"/>
        <v>Dec</v>
      </c>
      <c r="K138" s="14" t="str">
        <f ca="1">IF(E138="","",IF(N138="",H138-TODAY(),""))</f>
        <v/>
      </c>
      <c r="L138" s="70" t="s">
        <v>1662</v>
      </c>
      <c r="M138" s="70" t="s">
        <v>24</v>
      </c>
      <c r="N138" s="70">
        <v>45636</v>
      </c>
      <c r="O138" s="145">
        <f>IF($N138="","",NETWORKDAYS($E138,$N138,$X$33:$X$48)-1)</f>
        <v>0</v>
      </c>
      <c r="P138" s="146" t="str">
        <f>IF(ISBLANK(N138),"",IF(N138&gt;H138,"No","Yes"))</f>
        <v>Yes</v>
      </c>
      <c r="Q138" s="73" t="s">
        <v>117</v>
      </c>
      <c r="R138" s="71" t="s">
        <v>118</v>
      </c>
      <c r="S138" s="77"/>
      <c r="T138" s="69"/>
      <c r="AS138" s="144" t="str">
        <v>Quarter 3</v>
      </c>
    </row>
    <row r="139" spans="1:45" ht="30" customHeight="1" x14ac:dyDescent="0.35">
      <c r="A139" s="75">
        <v>138</v>
      </c>
      <c r="B139" s="69" t="s">
        <v>1822</v>
      </c>
      <c r="C139" s="69" t="s">
        <v>6</v>
      </c>
      <c r="D139" s="69" t="s">
        <v>1823</v>
      </c>
      <c r="E139" s="71">
        <v>45637</v>
      </c>
      <c r="F139" s="72">
        <f>IF($E139="","",WORKDAY($E139,1,$W$33:$W$42))</f>
        <v>45638</v>
      </c>
      <c r="G139" s="72">
        <f>IF($E139="","",WORKDAY($E139,10,$W$33:$W$42))</f>
        <v>45653</v>
      </c>
      <c r="H139" s="72">
        <f>IF($E139="","",WORKDAY($E139,20,$W$33:$W$42))</f>
        <v>45670</v>
      </c>
      <c r="I139" s="72"/>
      <c r="J139" s="69" t="str">
        <f t="shared" si="6"/>
        <v>Dec</v>
      </c>
      <c r="K139" s="14" t="str">
        <f ca="1">IF(E139="","",IF(N139="",H139-TODAY(),""))</f>
        <v/>
      </c>
      <c r="L139" s="70" t="s">
        <v>1662</v>
      </c>
      <c r="M139" s="70" t="s">
        <v>20</v>
      </c>
      <c r="N139" s="70">
        <v>45663</v>
      </c>
      <c r="O139" s="145">
        <f>IF($N139="","",NETWORKDAYS($E139,$N139,$X$33:$X$48)-1)</f>
        <v>18</v>
      </c>
      <c r="P139" s="146" t="str">
        <f>IF(ISBLANK(N139),"",IF(N139&gt;H139,"No","Yes"))</f>
        <v>Yes</v>
      </c>
      <c r="Q139" s="73" t="s">
        <v>117</v>
      </c>
      <c r="R139" s="71" t="s">
        <v>118</v>
      </c>
      <c r="S139" s="77"/>
      <c r="T139" s="69"/>
      <c r="AS139" s="144" t="str">
        <v>Quarter 3</v>
      </c>
    </row>
    <row r="140" spans="1:45" ht="30" customHeight="1" x14ac:dyDescent="0.35">
      <c r="A140" s="75">
        <v>139</v>
      </c>
      <c r="B140" s="69" t="s">
        <v>1824</v>
      </c>
      <c r="C140" s="69" t="s">
        <v>13</v>
      </c>
      <c r="D140" s="69" t="s">
        <v>1825</v>
      </c>
      <c r="E140" s="71">
        <v>45637</v>
      </c>
      <c r="F140" s="72">
        <f>IF($E140="","",WORKDAY($E140,1,$W$33:$W$42))</f>
        <v>45638</v>
      </c>
      <c r="G140" s="72">
        <f>IF($E140="","",WORKDAY($E140,10,$W$33:$W$42))</f>
        <v>45653</v>
      </c>
      <c r="H140" s="72">
        <f>IF($E140="","",WORKDAY($E140,20,$W$33:$W$42))</f>
        <v>45670</v>
      </c>
      <c r="I140" s="72"/>
      <c r="J140" s="69" t="str">
        <f t="shared" si="6"/>
        <v>Dec</v>
      </c>
      <c r="K140" s="14" t="str">
        <f ca="1">IF(E140="","",IF(N140="",H140-TODAY(),""))</f>
        <v/>
      </c>
      <c r="L140" s="70" t="s">
        <v>1662</v>
      </c>
      <c r="M140" s="70" t="s">
        <v>24</v>
      </c>
      <c r="N140" s="70">
        <v>45643</v>
      </c>
      <c r="O140" s="145">
        <f>IF($N140="","",NETWORKDAYS($E140,$N140,$X$33:$X$48)-1)</f>
        <v>4</v>
      </c>
      <c r="P140" s="146" t="str">
        <f>IF(ISBLANK(N140),"",IF(N140&gt;H140,"No","Yes"))</f>
        <v>Yes</v>
      </c>
      <c r="Q140" s="73" t="s">
        <v>117</v>
      </c>
      <c r="R140" s="71" t="s">
        <v>118</v>
      </c>
      <c r="S140" s="77"/>
      <c r="T140" s="69"/>
      <c r="AS140" s="144" t="str">
        <v>Quarter 3</v>
      </c>
    </row>
    <row r="141" spans="1:45" ht="30" customHeight="1" x14ac:dyDescent="0.35">
      <c r="A141" s="75">
        <v>140</v>
      </c>
      <c r="B141" s="69" t="s">
        <v>138</v>
      </c>
      <c r="C141" s="69" t="s">
        <v>19</v>
      </c>
      <c r="D141" s="69" t="s">
        <v>1826</v>
      </c>
      <c r="E141" s="71">
        <v>45642</v>
      </c>
      <c r="F141" s="72">
        <f>IF($E141="","",WORKDAY($E141,1,$W$33:$W$42))</f>
        <v>45643</v>
      </c>
      <c r="G141" s="72">
        <f>IF($E141="","",WORKDAY($E141,10,$W$33:$W$42))</f>
        <v>45659</v>
      </c>
      <c r="H141" s="72">
        <f>IF($E141="","",WORKDAY($E141,20,$W$33:$W$42))</f>
        <v>45673</v>
      </c>
      <c r="I141" s="72"/>
      <c r="J141" s="69" t="str">
        <f t="shared" si="6"/>
        <v>Dec</v>
      </c>
      <c r="K141" s="14" t="str">
        <f ca="1">IF(E141="","",IF(N141="",H141-TODAY(),""))</f>
        <v/>
      </c>
      <c r="L141" s="70" t="s">
        <v>1662</v>
      </c>
      <c r="M141" s="70" t="s">
        <v>24</v>
      </c>
      <c r="N141" s="70">
        <v>45663</v>
      </c>
      <c r="O141" s="145">
        <f>IF($N141="","",NETWORKDAYS($E141,$N141,$X$33:$X$48)-1)</f>
        <v>15</v>
      </c>
      <c r="P141" s="146" t="str">
        <f>IF(ISBLANK(N141),"",IF(N141&gt;H141,"No","Yes"))</f>
        <v>Yes</v>
      </c>
      <c r="Q141" s="73" t="s">
        <v>117</v>
      </c>
      <c r="R141" s="71" t="s">
        <v>118</v>
      </c>
      <c r="S141" s="77"/>
      <c r="T141" s="69" t="s">
        <v>141</v>
      </c>
      <c r="AS141" s="144" t="str">
        <v>Quarter 3</v>
      </c>
    </row>
    <row r="142" spans="1:45" ht="30" customHeight="1" x14ac:dyDescent="0.35">
      <c r="A142" s="75">
        <v>141</v>
      </c>
      <c r="B142" s="69" t="s">
        <v>138</v>
      </c>
      <c r="C142" s="69" t="s">
        <v>19</v>
      </c>
      <c r="D142" s="69" t="s">
        <v>1827</v>
      </c>
      <c r="E142" s="71">
        <v>45639</v>
      </c>
      <c r="F142" s="72">
        <f>IF($E142="","",WORKDAY($E142,1,$W$33:$W$42))</f>
        <v>45642</v>
      </c>
      <c r="G142" s="72">
        <f>IF($E142="","",WORKDAY($E142,10,$W$33:$W$42))</f>
        <v>45657</v>
      </c>
      <c r="H142" s="72">
        <f>IF($E142="","",WORKDAY($E142,20,$W$33:$W$42))</f>
        <v>45672</v>
      </c>
      <c r="I142" s="72"/>
      <c r="J142" s="69" t="str">
        <f t="shared" si="6"/>
        <v>Dec</v>
      </c>
      <c r="K142" s="14" t="str">
        <f ca="1">IF(E142="","",IF(N142="",H142-TODAY(),""))</f>
        <v/>
      </c>
      <c r="L142" s="70" t="s">
        <v>1662</v>
      </c>
      <c r="M142" s="70" t="s">
        <v>20</v>
      </c>
      <c r="N142" s="70">
        <v>45660</v>
      </c>
      <c r="O142" s="145">
        <f>IF($N142="","",NETWORKDAYS($E142,$N142,$X$33:$X$48)-1)</f>
        <v>15</v>
      </c>
      <c r="P142" s="146" t="str">
        <f>IF(ISBLANK(N142),"",IF(N142&gt;H142,"No","Yes"))</f>
        <v>Yes</v>
      </c>
      <c r="Q142" s="73" t="s">
        <v>117</v>
      </c>
      <c r="R142" s="71" t="s">
        <v>150</v>
      </c>
      <c r="S142" s="77"/>
      <c r="T142" s="69"/>
      <c r="AS142" s="144" t="str">
        <v>Quarter 3</v>
      </c>
    </row>
    <row r="143" spans="1:45" ht="30" customHeight="1" x14ac:dyDescent="0.35">
      <c r="A143" s="75">
        <v>142</v>
      </c>
      <c r="B143" s="69" t="s">
        <v>138</v>
      </c>
      <c r="C143" s="69" t="s">
        <v>19</v>
      </c>
      <c r="D143" s="69" t="s">
        <v>1828</v>
      </c>
      <c r="E143" s="71">
        <v>45642</v>
      </c>
      <c r="F143" s="72">
        <f>IF($E143="","",WORKDAY($E143,1,$W$33:$W$42))</f>
        <v>45643</v>
      </c>
      <c r="G143" s="72">
        <f>IF($E143="","",WORKDAY($E143,10,$W$33:$W$42))</f>
        <v>45659</v>
      </c>
      <c r="H143" s="72">
        <f>IF($E143="","",WORKDAY($E143,20,$W$33:$W$42))</f>
        <v>45673</v>
      </c>
      <c r="I143" s="72"/>
      <c r="J143" s="69" t="str">
        <f t="shared" si="6"/>
        <v>Dec</v>
      </c>
      <c r="K143" s="14" t="str">
        <f ca="1">IF(E143="","",IF(N143="",H143-TODAY(),""))</f>
        <v/>
      </c>
      <c r="L143" s="70" t="s">
        <v>1662</v>
      </c>
      <c r="M143" s="70" t="s">
        <v>24</v>
      </c>
      <c r="N143" s="70">
        <v>45660</v>
      </c>
      <c r="O143" s="145">
        <f>IF($N143="","",NETWORKDAYS($E143,$N143,$X$33:$X$48)-1)</f>
        <v>14</v>
      </c>
      <c r="P143" s="146" t="str">
        <f>IF(ISBLANK(N143),"",IF(N143&gt;H143,"No","Yes"))</f>
        <v>Yes</v>
      </c>
      <c r="Q143" s="73" t="s">
        <v>117</v>
      </c>
      <c r="R143" s="71" t="s">
        <v>118</v>
      </c>
      <c r="S143" s="77"/>
      <c r="T143" s="69" t="s">
        <v>141</v>
      </c>
      <c r="AS143" s="144" t="str">
        <v>Quarter 3</v>
      </c>
    </row>
    <row r="144" spans="1:45" ht="30" customHeight="1" x14ac:dyDescent="0.35">
      <c r="A144" s="75">
        <v>143</v>
      </c>
      <c r="B144" s="69" t="s">
        <v>138</v>
      </c>
      <c r="C144" s="69" t="s">
        <v>19</v>
      </c>
      <c r="D144" s="69" t="s">
        <v>1829</v>
      </c>
      <c r="E144" s="71">
        <v>45643</v>
      </c>
      <c r="F144" s="72">
        <f>IF($E144="","",WORKDAY($E144,1,$W$33:$W$42))</f>
        <v>45644</v>
      </c>
      <c r="G144" s="72">
        <f>IF($E144="","",WORKDAY($E144,10,$W$33:$W$42))</f>
        <v>45660</v>
      </c>
      <c r="H144" s="72">
        <f>IF($E144="","",WORKDAY($E144,20,$W$33:$W$42))</f>
        <v>45674</v>
      </c>
      <c r="I144" s="72"/>
      <c r="J144" s="69" t="str">
        <f t="shared" si="6"/>
        <v>Dec</v>
      </c>
      <c r="K144" s="14" t="str">
        <f ca="1">IF(E144="","",IF(N144="",H144-TODAY(),""))</f>
        <v/>
      </c>
      <c r="L144" s="70" t="s">
        <v>1662</v>
      </c>
      <c r="M144" s="70" t="s">
        <v>20</v>
      </c>
      <c r="N144" s="70">
        <v>45643</v>
      </c>
      <c r="O144" s="145">
        <f>IF($N144="","",NETWORKDAYS($E144,$N144,$X$33:$X$48)-1)</f>
        <v>0</v>
      </c>
      <c r="P144" s="146" t="str">
        <f>IF(ISBLANK(N144),"",IF(N144&gt;H144,"No","Yes"))</f>
        <v>Yes</v>
      </c>
      <c r="Q144" s="73" t="s">
        <v>117</v>
      </c>
      <c r="R144" s="71" t="s">
        <v>132</v>
      </c>
      <c r="S144" s="77" t="s">
        <v>1663</v>
      </c>
      <c r="T144" s="69"/>
      <c r="AS144" s="144" t="str">
        <v>Quarter 3</v>
      </c>
    </row>
    <row r="145" spans="1:45" ht="30" customHeight="1" x14ac:dyDescent="0.35">
      <c r="A145" s="75">
        <v>144</v>
      </c>
      <c r="B145" s="69" t="s">
        <v>8</v>
      </c>
      <c r="C145" s="69" t="s">
        <v>8</v>
      </c>
      <c r="D145" s="69" t="s">
        <v>1830</v>
      </c>
      <c r="E145" s="71">
        <v>45645</v>
      </c>
      <c r="F145" s="72">
        <f>IF($E145="","",WORKDAY($E145,1,$W$33:$W$42))</f>
        <v>45646</v>
      </c>
      <c r="G145" s="72">
        <f>IF($E145="","",WORKDAY($E145,10,$W$33:$W$42))</f>
        <v>45664</v>
      </c>
      <c r="H145" s="72">
        <f>IF($E145="","",WORKDAY($E145,20,$W$33:$W$42))</f>
        <v>45678</v>
      </c>
      <c r="I145" s="72"/>
      <c r="J145" s="69" t="str">
        <f t="shared" si="6"/>
        <v>Dec</v>
      </c>
      <c r="K145" s="14" t="str">
        <f ca="1">IF(E145="","",IF(N145="",H145-TODAY(),""))</f>
        <v/>
      </c>
      <c r="L145" s="70" t="s">
        <v>1662</v>
      </c>
      <c r="M145" s="70" t="s">
        <v>24</v>
      </c>
      <c r="N145" s="70">
        <v>45665</v>
      </c>
      <c r="O145" s="145">
        <f>IF($N145="","",NETWORKDAYS($E145,$N145,$X$33:$X$48)-1)</f>
        <v>14</v>
      </c>
      <c r="P145" s="146" t="str">
        <f>IF(ISBLANK(N145),"",IF(N145&gt;H145,"No","Yes"))</f>
        <v>Yes</v>
      </c>
      <c r="Q145" s="73" t="s">
        <v>117</v>
      </c>
      <c r="R145" s="71" t="s">
        <v>118</v>
      </c>
      <c r="S145" s="77"/>
      <c r="T145" s="69"/>
      <c r="AS145" s="144" t="str">
        <v>Quarter 3</v>
      </c>
    </row>
    <row r="146" spans="1:45" ht="30" customHeight="1" x14ac:dyDescent="0.35">
      <c r="A146" s="75">
        <v>145</v>
      </c>
      <c r="B146" s="69" t="s">
        <v>8</v>
      </c>
      <c r="C146" s="69" t="s">
        <v>8</v>
      </c>
      <c r="D146" s="69" t="s">
        <v>1745</v>
      </c>
      <c r="E146" s="71">
        <v>45645</v>
      </c>
      <c r="F146" s="72">
        <f>IF($E146="","",WORKDAY($E146,1,$W$33:$W$42))</f>
        <v>45646</v>
      </c>
      <c r="G146" s="72">
        <f>IF($E146="","",WORKDAY($E146,10,$W$33:$W$42))</f>
        <v>45664</v>
      </c>
      <c r="H146" s="72">
        <f>IF($E146="","",WORKDAY($E146,20,$W$33:$W$42))</f>
        <v>45678</v>
      </c>
      <c r="I146" s="72"/>
      <c r="J146" s="69" t="str">
        <f t="shared" si="6"/>
        <v>Dec</v>
      </c>
      <c r="K146" s="14" t="str">
        <f ca="1">IF(E146="","",IF(N146="",H146-TODAY(),""))</f>
        <v/>
      </c>
      <c r="L146" s="70" t="s">
        <v>1662</v>
      </c>
      <c r="M146" s="70" t="s">
        <v>20</v>
      </c>
      <c r="N146" s="70">
        <v>45646</v>
      </c>
      <c r="O146" s="145">
        <f>IF($N146="","",NETWORKDAYS($E146,$N146,$X$33:$X$48)-1)</f>
        <v>1</v>
      </c>
      <c r="P146" s="146" t="str">
        <f>IF(ISBLANK(N146),"",IF(N146&gt;H146,"No","Yes"))</f>
        <v>Yes</v>
      </c>
      <c r="Q146" s="73" t="s">
        <v>117</v>
      </c>
      <c r="R146" s="71" t="s">
        <v>118</v>
      </c>
      <c r="S146" s="77"/>
      <c r="T146" s="69" t="s">
        <v>141</v>
      </c>
      <c r="AS146" s="144" t="str">
        <v>Quarter 3</v>
      </c>
    </row>
    <row r="147" spans="1:45" ht="30" customHeight="1" x14ac:dyDescent="0.35">
      <c r="A147" s="75">
        <v>146</v>
      </c>
      <c r="B147" s="69" t="s">
        <v>138</v>
      </c>
      <c r="C147" s="69" t="s">
        <v>19</v>
      </c>
      <c r="D147" s="69" t="s">
        <v>1831</v>
      </c>
      <c r="E147" s="71">
        <v>45646</v>
      </c>
      <c r="F147" s="72">
        <f>IF($E147="","",WORKDAY($E147,1,$W$33:$W$42))</f>
        <v>45649</v>
      </c>
      <c r="G147" s="72">
        <f>IF($E147="","",WORKDAY($E147,10,$W$33:$W$42))</f>
        <v>45665</v>
      </c>
      <c r="H147" s="72">
        <f>IF($E147="","",WORKDAY($E147,20,$W$33:$W$42))</f>
        <v>45679</v>
      </c>
      <c r="I147" s="72"/>
      <c r="J147" s="69" t="str">
        <f t="shared" si="6"/>
        <v>Dec</v>
      </c>
      <c r="K147" s="14" t="str">
        <f ca="1">IF(E147="","",IF(N147="",H147-TODAY(),""))</f>
        <v/>
      </c>
      <c r="L147" s="70" t="s">
        <v>1662</v>
      </c>
      <c r="M147" s="70" t="s">
        <v>24</v>
      </c>
      <c r="N147" s="70">
        <v>45666</v>
      </c>
      <c r="O147" s="145">
        <f>IF($N147="","",NETWORKDAYS($E147,$N147,$X$33:$X$48)-1)</f>
        <v>14</v>
      </c>
      <c r="P147" s="146" t="str">
        <f>IF(ISBLANK(N147),"",IF(N147&gt;H147,"No","Yes"))</f>
        <v>Yes</v>
      </c>
      <c r="Q147" s="73" t="s">
        <v>117</v>
      </c>
      <c r="R147" s="71" t="s">
        <v>150</v>
      </c>
      <c r="S147" s="77"/>
      <c r="T147" s="69"/>
      <c r="AS147" s="144" t="str">
        <v>Quarter 3</v>
      </c>
    </row>
    <row r="148" spans="1:45" ht="30" customHeight="1" x14ac:dyDescent="0.35">
      <c r="A148" s="75">
        <v>147</v>
      </c>
      <c r="B148" s="69" t="s">
        <v>1669</v>
      </c>
      <c r="C148" s="69" t="s">
        <v>13</v>
      </c>
      <c r="D148" s="69" t="s">
        <v>1670</v>
      </c>
      <c r="E148" s="71">
        <v>45659</v>
      </c>
      <c r="F148" s="72">
        <f>IF($E148="","",WORKDAY($E148,1,$W$33:$W$42))</f>
        <v>45660</v>
      </c>
      <c r="G148" s="72">
        <f>IF($E148="","",WORKDAY($E148,10,$W$33:$W$42))</f>
        <v>45673</v>
      </c>
      <c r="H148" s="72">
        <f>IF($E148="","",WORKDAY($E148,20,$W$33:$W$42))</f>
        <v>45687</v>
      </c>
      <c r="I148" s="72"/>
      <c r="J148" s="69" t="str">
        <f t="shared" si="6"/>
        <v>Jan</v>
      </c>
      <c r="K148" s="14" t="str">
        <f ca="1">IF(E148="","",IF(N148="",H148-TODAY(),""))</f>
        <v/>
      </c>
      <c r="L148" s="70" t="s">
        <v>1662</v>
      </c>
      <c r="M148" s="70" t="s">
        <v>24</v>
      </c>
      <c r="N148" s="70">
        <v>45708</v>
      </c>
      <c r="O148" s="145">
        <f>IF($N148="","",NETWORKDAYS($E148,$N148,$X$33:$X$48)-1)</f>
        <v>35</v>
      </c>
      <c r="P148" s="146" t="str">
        <f>IF(ISBLANK(N148),"",IF(N148&gt;H148,"No","Yes"))</f>
        <v>No</v>
      </c>
      <c r="Q148" s="73" t="s">
        <v>117</v>
      </c>
      <c r="R148" s="71" t="s">
        <v>118</v>
      </c>
      <c r="S148" s="77"/>
      <c r="T148" s="69"/>
      <c r="AS148" s="144" t="str">
        <v>Quarter 4</v>
      </c>
    </row>
    <row r="149" spans="1:45" ht="30" customHeight="1" x14ac:dyDescent="0.35">
      <c r="A149" s="75">
        <v>148</v>
      </c>
      <c r="B149" s="69" t="s">
        <v>8</v>
      </c>
      <c r="C149" s="69" t="s">
        <v>8</v>
      </c>
      <c r="D149" s="69" t="s">
        <v>1832</v>
      </c>
      <c r="E149" s="71">
        <v>45660</v>
      </c>
      <c r="F149" s="72">
        <f>IF($E149="","",WORKDAY($E149,1,$W$33:$W$42))</f>
        <v>45663</v>
      </c>
      <c r="G149" s="72">
        <f>IF($E149="","",WORKDAY($E149,10,$W$33:$W$42))</f>
        <v>45674</v>
      </c>
      <c r="H149" s="72">
        <f>IF($E149="","",WORKDAY($E149,20,$W$33:$W$42))</f>
        <v>45688</v>
      </c>
      <c r="I149" s="72"/>
      <c r="J149" s="69" t="str">
        <f t="shared" ref="J149:J162" si="7">IF(ISBLANK(E149),"",TEXT(E149,"mmm"))</f>
        <v>Jan</v>
      </c>
      <c r="K149" s="14" t="str">
        <f ca="1">IF(E149="","",IF(N149="",H149-TODAY(),""))</f>
        <v/>
      </c>
      <c r="L149" s="70" t="s">
        <v>1662</v>
      </c>
      <c r="M149" s="70" t="s">
        <v>24</v>
      </c>
      <c r="N149" s="70">
        <v>45677</v>
      </c>
      <c r="O149" s="145">
        <f>IF($N149="","",NETWORKDAYS($E149,$N149,$X$33:$X$48)-1)</f>
        <v>11</v>
      </c>
      <c r="P149" s="146" t="str">
        <f>IF(ISBLANK(N149),"",IF(N149&gt;H149,"No","Yes"))</f>
        <v>Yes</v>
      </c>
      <c r="Q149" s="73" t="s">
        <v>117</v>
      </c>
      <c r="R149" s="71" t="s">
        <v>118</v>
      </c>
      <c r="S149" s="77" t="s">
        <v>1665</v>
      </c>
      <c r="T149" s="69"/>
      <c r="AS149" s="144" t="str">
        <v>Quarter 4</v>
      </c>
    </row>
    <row r="150" spans="1:45" ht="30" customHeight="1" x14ac:dyDescent="0.35">
      <c r="A150" s="75">
        <v>149</v>
      </c>
      <c r="B150" s="69" t="s">
        <v>1833</v>
      </c>
      <c r="C150" s="69" t="s">
        <v>13</v>
      </c>
      <c r="D150" s="69" t="s">
        <v>1834</v>
      </c>
      <c r="E150" s="71">
        <v>45664</v>
      </c>
      <c r="F150" s="72">
        <f>IF($E150="","",WORKDAY($E150,1,$W$33:$W$42))</f>
        <v>45665</v>
      </c>
      <c r="G150" s="72">
        <f>IF($E150="","",WORKDAY($E150,10,$W$33:$W$42))</f>
        <v>45678</v>
      </c>
      <c r="H150" s="72">
        <f>IF($E150="","",WORKDAY($E150,20,$W$33:$W$42))</f>
        <v>45692</v>
      </c>
      <c r="I150" s="72"/>
      <c r="J150" s="69" t="str">
        <f t="shared" si="7"/>
        <v>Jan</v>
      </c>
      <c r="K150" s="14" t="str">
        <f ca="1">IF(E150="","",IF(N150="",H150-TODAY(),""))</f>
        <v/>
      </c>
      <c r="L150" s="70" t="s">
        <v>1662</v>
      </c>
      <c r="M150" s="70" t="s">
        <v>24</v>
      </c>
      <c r="N150" s="70">
        <v>45693</v>
      </c>
      <c r="O150" s="145">
        <f>IF($N150="","",NETWORKDAYS($E150,$N150,$X$33:$X$48)-1)</f>
        <v>21</v>
      </c>
      <c r="P150" s="146" t="str">
        <f>IF(ISBLANK(N150),"",IF(N150&gt;H150,"No","Yes"))</f>
        <v>No</v>
      </c>
      <c r="Q150" s="73" t="s">
        <v>117</v>
      </c>
      <c r="R150" s="71" t="s">
        <v>118</v>
      </c>
      <c r="S150" s="77" t="s">
        <v>1663</v>
      </c>
      <c r="T150" s="69"/>
      <c r="AS150" s="144" t="str">
        <v>Quarter 4</v>
      </c>
    </row>
    <row r="151" spans="1:45" ht="30" customHeight="1" x14ac:dyDescent="0.35">
      <c r="A151" s="75">
        <v>150</v>
      </c>
      <c r="B151" s="69" t="s">
        <v>1835</v>
      </c>
      <c r="C151" s="69" t="s">
        <v>15</v>
      </c>
      <c r="D151" s="69" t="s">
        <v>1836</v>
      </c>
      <c r="E151" s="71">
        <v>45664</v>
      </c>
      <c r="F151" s="72">
        <f>IF($E151="","",WORKDAY($E151,1,$W$33:$W$42))</f>
        <v>45665</v>
      </c>
      <c r="G151" s="72">
        <f>IF($E151="","",WORKDAY($E151,10,$W$33:$W$42))</f>
        <v>45678</v>
      </c>
      <c r="H151" s="72">
        <f>IF($E151="","",WORKDAY($E151,20,$W$33:$W$42))</f>
        <v>45692</v>
      </c>
      <c r="I151" s="72"/>
      <c r="J151" s="69" t="str">
        <f t="shared" si="7"/>
        <v>Jan</v>
      </c>
      <c r="K151" s="14" t="str">
        <f ca="1">IF(E151="","",IF(N151="",H151-TODAY(),""))</f>
        <v/>
      </c>
      <c r="L151" s="70" t="s">
        <v>1662</v>
      </c>
      <c r="M151" s="70" t="s">
        <v>24</v>
      </c>
      <c r="N151" s="70">
        <v>45691</v>
      </c>
      <c r="O151" s="145">
        <f>IF($N151="","",NETWORKDAYS($E151,$N151,$X$33:$X$48)-1)</f>
        <v>19</v>
      </c>
      <c r="P151" s="146" t="str">
        <f>IF(ISBLANK(N151),"",IF(N151&gt;H151,"No","Yes"))</f>
        <v>Yes</v>
      </c>
      <c r="Q151" s="73" t="s">
        <v>117</v>
      </c>
      <c r="R151" s="71" t="s">
        <v>118</v>
      </c>
      <c r="S151" s="77"/>
      <c r="T151" s="69" t="s">
        <v>141</v>
      </c>
      <c r="AS151" s="144" t="str">
        <v>Quarter 4</v>
      </c>
    </row>
    <row r="152" spans="1:45" ht="30" customHeight="1" x14ac:dyDescent="0.35">
      <c r="A152" s="75">
        <v>151</v>
      </c>
      <c r="B152" s="69" t="s">
        <v>1837</v>
      </c>
      <c r="C152" s="69" t="s">
        <v>13</v>
      </c>
      <c r="D152" s="69" t="s">
        <v>1838</v>
      </c>
      <c r="E152" s="71">
        <v>45665</v>
      </c>
      <c r="F152" s="72">
        <f>IF($E152="","",WORKDAY($E152,1,$W$33:$W$42))</f>
        <v>45666</v>
      </c>
      <c r="G152" s="72">
        <f>IF($E152="","",WORKDAY($E152,10,$W$33:$W$42))</f>
        <v>45679</v>
      </c>
      <c r="H152" s="72">
        <f>IF($E152="","",WORKDAY($E152,20,$W$33:$W$42))</f>
        <v>45693</v>
      </c>
      <c r="I152" s="72"/>
      <c r="J152" s="69" t="str">
        <f t="shared" si="7"/>
        <v>Jan</v>
      </c>
      <c r="K152" s="14" t="str">
        <f ca="1">IF(E152="","",IF(N152="",H152-TODAY(),""))</f>
        <v/>
      </c>
      <c r="L152" s="70" t="s">
        <v>1662</v>
      </c>
      <c r="M152" s="70" t="s">
        <v>24</v>
      </c>
      <c r="N152" s="70">
        <v>45678</v>
      </c>
      <c r="O152" s="145">
        <f>IF($N152="","",NETWORKDAYS($E152,$N152,$X$33:$X$48)-1)</f>
        <v>9</v>
      </c>
      <c r="P152" s="146" t="str">
        <f>IF(ISBLANK(N152),"",IF(N152&gt;H152,"No","Yes"))</f>
        <v>Yes</v>
      </c>
      <c r="Q152" s="73" t="s">
        <v>117</v>
      </c>
      <c r="R152" s="71" t="s">
        <v>118</v>
      </c>
      <c r="S152" s="77"/>
      <c r="T152" s="69"/>
      <c r="AS152" s="144" t="str">
        <v>Quarter 4</v>
      </c>
    </row>
    <row r="153" spans="1:45" ht="30" customHeight="1" x14ac:dyDescent="0.35">
      <c r="A153" s="75">
        <v>152</v>
      </c>
      <c r="B153" s="69" t="s">
        <v>138</v>
      </c>
      <c r="C153" s="69" t="s">
        <v>19</v>
      </c>
      <c r="D153" s="69" t="s">
        <v>1839</v>
      </c>
      <c r="E153" s="71">
        <v>45670</v>
      </c>
      <c r="F153" s="72">
        <f>IF($E153="","",WORKDAY($E153,1,$W$33:$W$42))</f>
        <v>45671</v>
      </c>
      <c r="G153" s="72">
        <f>IF($E153="","",WORKDAY($E153,10,$W$33:$W$42))</f>
        <v>45684</v>
      </c>
      <c r="H153" s="72">
        <f>IF($E153="","",WORKDAY($E153,20,$W$33:$W$42))</f>
        <v>45698</v>
      </c>
      <c r="I153" s="72"/>
      <c r="J153" s="69" t="str">
        <f t="shared" si="7"/>
        <v>Jan</v>
      </c>
      <c r="K153" s="14" t="str">
        <f ca="1">IF(E153="","",IF(N153="",H153-TODAY(),""))</f>
        <v/>
      </c>
      <c r="L153" s="70" t="s">
        <v>1662</v>
      </c>
      <c r="M153" s="70" t="s">
        <v>24</v>
      </c>
      <c r="N153" s="70">
        <v>45670</v>
      </c>
      <c r="O153" s="145">
        <f>IF($N153="","",NETWORKDAYS($E153,$N153,$X$33:$X$48)-1)</f>
        <v>0</v>
      </c>
      <c r="P153" s="146" t="str">
        <f>IF(ISBLANK(N153),"",IF(N153&gt;H153,"No","Yes"))</f>
        <v>Yes</v>
      </c>
      <c r="Q153" s="73" t="s">
        <v>117</v>
      </c>
      <c r="R153" s="71" t="s">
        <v>118</v>
      </c>
      <c r="S153" s="77" t="s">
        <v>1665</v>
      </c>
      <c r="T153" s="69"/>
      <c r="AS153" s="144" t="str">
        <v>Quarter 4</v>
      </c>
    </row>
    <row r="154" spans="1:45" ht="30" customHeight="1" x14ac:dyDescent="0.35">
      <c r="A154" s="75">
        <v>153</v>
      </c>
      <c r="B154" s="69" t="s">
        <v>751</v>
      </c>
      <c r="C154" s="69" t="s">
        <v>6</v>
      </c>
      <c r="D154" s="69" t="s">
        <v>1732</v>
      </c>
      <c r="E154" s="71">
        <v>45670</v>
      </c>
      <c r="F154" s="72">
        <f>IF($E154="","",WORKDAY($E154,1,$W$33:$W$42))</f>
        <v>45671</v>
      </c>
      <c r="G154" s="72">
        <f>IF($E154="","",WORKDAY($E154,10,$W$33:$W$42))</f>
        <v>45684</v>
      </c>
      <c r="H154" s="72">
        <f>IF($E154="","",WORKDAY($E154,20,$W$33:$W$42))</f>
        <v>45698</v>
      </c>
      <c r="I154" s="72"/>
      <c r="J154" s="69" t="str">
        <f t="shared" si="7"/>
        <v>Jan</v>
      </c>
      <c r="K154" s="14" t="str">
        <f ca="1">IF(E154="","",IF(N154="",H154-TODAY(),""))</f>
        <v/>
      </c>
      <c r="L154" s="70" t="s">
        <v>1662</v>
      </c>
      <c r="M154" s="70" t="s">
        <v>24</v>
      </c>
      <c r="N154" s="70">
        <v>45671</v>
      </c>
      <c r="O154" s="145">
        <f>IF($N154="","",NETWORKDAYS($E154,$N154,$X$33:$X$48)-1)</f>
        <v>1</v>
      </c>
      <c r="P154" s="146" t="str">
        <f>IF(ISBLANK(N154),"",IF(N154&gt;H154,"No","Yes"))</f>
        <v>Yes</v>
      </c>
      <c r="Q154" s="73" t="s">
        <v>117</v>
      </c>
      <c r="R154" s="71" t="s">
        <v>118</v>
      </c>
      <c r="S154" s="77"/>
      <c r="T154" s="69" t="s">
        <v>141</v>
      </c>
      <c r="AS154" s="144" t="str">
        <v>Quarter 4</v>
      </c>
    </row>
    <row r="155" spans="1:45" ht="30" customHeight="1" x14ac:dyDescent="0.35">
      <c r="A155" s="75">
        <v>154</v>
      </c>
      <c r="B155" s="69" t="s">
        <v>8</v>
      </c>
      <c r="C155" s="69" t="s">
        <v>8</v>
      </c>
      <c r="D155" s="69" t="s">
        <v>1840</v>
      </c>
      <c r="E155" s="71">
        <v>45671</v>
      </c>
      <c r="F155" s="72">
        <f>IF($E155="","",WORKDAY($E155,1,$W$33:$W$42))</f>
        <v>45672</v>
      </c>
      <c r="G155" s="72">
        <f>IF($E155="","",WORKDAY($E155,10,$W$33:$W$42))</f>
        <v>45685</v>
      </c>
      <c r="H155" s="72">
        <f>IF($E155="","",WORKDAY($E155,20,$W$33:$W$42))</f>
        <v>45699</v>
      </c>
      <c r="I155" s="72"/>
      <c r="J155" s="69" t="str">
        <f t="shared" si="7"/>
        <v>Jan</v>
      </c>
      <c r="K155" s="14" t="str">
        <f ca="1">IF(E155="","",IF(N155="",H155-TODAY(),""))</f>
        <v/>
      </c>
      <c r="L155" s="70" t="s">
        <v>1662</v>
      </c>
      <c r="M155" s="70" t="s">
        <v>24</v>
      </c>
      <c r="N155" s="70">
        <v>45685</v>
      </c>
      <c r="O155" s="145">
        <f>IF($N155="","",NETWORKDAYS($E155,$N155,$X$33:$X$48)-1)</f>
        <v>10</v>
      </c>
      <c r="P155" s="146" t="str">
        <f>IF(ISBLANK(N155),"",IF(N155&gt;H155,"No","Yes"))</f>
        <v>Yes</v>
      </c>
      <c r="Q155" s="73" t="s">
        <v>117</v>
      </c>
      <c r="R155" s="71" t="s">
        <v>118</v>
      </c>
      <c r="S155" s="77"/>
      <c r="T155" s="69" t="s">
        <v>141</v>
      </c>
      <c r="AS155" s="144" t="str">
        <v>Quarter 4</v>
      </c>
    </row>
    <row r="156" spans="1:45" ht="30" customHeight="1" x14ac:dyDescent="0.35">
      <c r="A156" s="75">
        <v>155</v>
      </c>
      <c r="B156" s="69" t="s">
        <v>138</v>
      </c>
      <c r="C156" s="69" t="s">
        <v>19</v>
      </c>
      <c r="D156" s="69" t="s">
        <v>1841</v>
      </c>
      <c r="E156" s="71">
        <v>45671</v>
      </c>
      <c r="F156" s="72">
        <f>IF($E156="","",WORKDAY($E156,1,$W$33:$W$42))</f>
        <v>45672</v>
      </c>
      <c r="G156" s="72">
        <f>IF($E156="","",WORKDAY($E156,10,$W$33:$W$42))</f>
        <v>45685</v>
      </c>
      <c r="H156" s="72">
        <f>IF($E156="","",WORKDAY($E156,20,$W$33:$W$42))</f>
        <v>45699</v>
      </c>
      <c r="I156" s="72"/>
      <c r="J156" s="69" t="str">
        <f t="shared" si="7"/>
        <v>Jan</v>
      </c>
      <c r="K156" s="14" t="str">
        <f ca="1">IF(E156="","",IF(N156="",H156-TODAY(),""))</f>
        <v/>
      </c>
      <c r="L156" s="70" t="s">
        <v>5</v>
      </c>
      <c r="M156" s="70" t="s">
        <v>16</v>
      </c>
      <c r="N156" s="70">
        <v>45699</v>
      </c>
      <c r="O156" s="145">
        <f>IF($N156="","",NETWORKDAYS($E156,$N156,$X$33:$X$48)-1)</f>
        <v>20</v>
      </c>
      <c r="P156" s="146" t="str">
        <f>IF(ISBLANK(N156),"",IF(N156&gt;H156,"No","Yes"))</f>
        <v>Yes</v>
      </c>
      <c r="Q156" s="73" t="s">
        <v>117</v>
      </c>
      <c r="R156" s="71" t="s">
        <v>118</v>
      </c>
      <c r="S156" s="77" t="s">
        <v>1663</v>
      </c>
      <c r="T156" s="69" t="s">
        <v>141</v>
      </c>
      <c r="AS156" s="144" t="str">
        <v>Quarter 4</v>
      </c>
    </row>
    <row r="157" spans="1:45" ht="30" customHeight="1" x14ac:dyDescent="0.35">
      <c r="A157" s="75">
        <v>156</v>
      </c>
      <c r="B157" s="69" t="s">
        <v>8</v>
      </c>
      <c r="C157" s="69" t="s">
        <v>8</v>
      </c>
      <c r="D157" s="69" t="s">
        <v>1842</v>
      </c>
      <c r="E157" s="71">
        <v>45672</v>
      </c>
      <c r="F157" s="72">
        <f>IF($E157="","",WORKDAY($E157,1,$W$33:$W$42))</f>
        <v>45673</v>
      </c>
      <c r="G157" s="72">
        <f>IF($E157="","",WORKDAY($E157,10,$W$33:$W$42))</f>
        <v>45686</v>
      </c>
      <c r="H157" s="72">
        <f>IF($E157="","",WORKDAY($E157,20,$W$33:$W$42))</f>
        <v>45700</v>
      </c>
      <c r="I157" s="72"/>
      <c r="J157" s="69" t="str">
        <f t="shared" si="7"/>
        <v>Jan</v>
      </c>
      <c r="K157" s="14" t="str">
        <f ca="1">IF(E157="","",IF(N157="",H157-TODAY(),""))</f>
        <v/>
      </c>
      <c r="L157" s="70" t="s">
        <v>5</v>
      </c>
      <c r="M157" s="70" t="s">
        <v>22</v>
      </c>
      <c r="N157" s="70">
        <v>45685</v>
      </c>
      <c r="O157" s="145">
        <f>IF($N157="","",NETWORKDAYS($E157,$N157,$X$33:$X$48)-1)</f>
        <v>9</v>
      </c>
      <c r="P157" s="146" t="str">
        <f>IF(ISBLANK(N157),"",IF(N157&gt;H157,"No","Yes"))</f>
        <v>Yes</v>
      </c>
      <c r="Q157" s="73" t="s">
        <v>117</v>
      </c>
      <c r="R157" s="71" t="s">
        <v>118</v>
      </c>
      <c r="S157" s="77"/>
      <c r="T157" s="69"/>
      <c r="AS157" s="144" t="str">
        <v>Quarter 4</v>
      </c>
    </row>
    <row r="158" spans="1:45" ht="30" customHeight="1" x14ac:dyDescent="0.35">
      <c r="A158" s="75">
        <v>157</v>
      </c>
      <c r="B158" s="69" t="s">
        <v>8</v>
      </c>
      <c r="C158" s="69" t="s">
        <v>8</v>
      </c>
      <c r="D158" s="69" t="s">
        <v>1843</v>
      </c>
      <c r="E158" s="71">
        <v>45673</v>
      </c>
      <c r="F158" s="72">
        <f>IF($E158="","",WORKDAY($E158,1,$W$33:$W$42))</f>
        <v>45674</v>
      </c>
      <c r="G158" s="72">
        <f>IF($E158="","",WORKDAY($E158,10,$W$33:$W$42))</f>
        <v>45687</v>
      </c>
      <c r="H158" s="72">
        <f>IF($E158="","",WORKDAY($E158,20,$W$33:$W$42))</f>
        <v>45701</v>
      </c>
      <c r="I158" s="72"/>
      <c r="J158" s="69" t="str">
        <f t="shared" si="7"/>
        <v>Jan</v>
      </c>
      <c r="K158" s="14" t="str">
        <f ca="1">IF(E158="","",IF(N158="",H158-TODAY(),""))</f>
        <v/>
      </c>
      <c r="L158" s="70" t="s">
        <v>1662</v>
      </c>
      <c r="M158" s="70" t="s">
        <v>20</v>
      </c>
      <c r="N158" s="70">
        <v>45677</v>
      </c>
      <c r="O158" s="145">
        <f>IF($N158="","",NETWORKDAYS($E158,$N158,$X$33:$X$48)-1)</f>
        <v>2</v>
      </c>
      <c r="P158" s="146" t="str">
        <f>IF(ISBLANK(N158),"",IF(N158&gt;H158,"No","Yes"))</f>
        <v>Yes</v>
      </c>
      <c r="Q158" s="73" t="s">
        <v>117</v>
      </c>
      <c r="R158" s="71" t="s">
        <v>118</v>
      </c>
      <c r="S158" s="77"/>
      <c r="T158" s="69"/>
      <c r="AS158" s="144" t="str">
        <v>Quarter 4</v>
      </c>
    </row>
    <row r="159" spans="1:45" ht="30" customHeight="1" x14ac:dyDescent="0.35">
      <c r="A159" s="75">
        <v>158</v>
      </c>
      <c r="B159" s="69" t="s">
        <v>8</v>
      </c>
      <c r="C159" s="69" t="s">
        <v>8</v>
      </c>
      <c r="D159" s="69" t="s">
        <v>1844</v>
      </c>
      <c r="E159" s="71">
        <v>45674</v>
      </c>
      <c r="F159" s="72">
        <f>IF($E159="","",WORKDAY($E159,1,$W$33:$W$42))</f>
        <v>45677</v>
      </c>
      <c r="G159" s="72">
        <f>IF($E159="","",WORKDAY($E159,10,$W$33:$W$42))</f>
        <v>45688</v>
      </c>
      <c r="H159" s="72">
        <f>IF($E159="","",WORKDAY($E159,20,$W$33:$W$42))</f>
        <v>45702</v>
      </c>
      <c r="I159" s="72"/>
      <c r="J159" s="69" t="str">
        <f t="shared" si="7"/>
        <v>Jan</v>
      </c>
      <c r="K159" s="14" t="str">
        <f ca="1">IF(E159="","",IF(N159="",H159-TODAY(),""))</f>
        <v/>
      </c>
      <c r="L159" s="70" t="s">
        <v>1662</v>
      </c>
      <c r="M159" s="70" t="s">
        <v>20</v>
      </c>
      <c r="N159" s="70">
        <v>45688</v>
      </c>
      <c r="O159" s="145">
        <f>IF($N159="","",NETWORKDAYS($E159,$N159,$X$33:$X$48)-1)</f>
        <v>10</v>
      </c>
      <c r="P159" s="146" t="str">
        <f>IF(ISBLANK(N159),"",IF(N159&gt;H159,"No","Yes"))</f>
        <v>Yes</v>
      </c>
      <c r="Q159" s="73" t="s">
        <v>117</v>
      </c>
      <c r="R159" s="71" t="s">
        <v>150</v>
      </c>
      <c r="S159" s="77"/>
      <c r="T159" s="69"/>
      <c r="AS159" s="144" t="str">
        <v>Quarter 4</v>
      </c>
    </row>
    <row r="160" spans="1:45" ht="30" customHeight="1" x14ac:dyDescent="0.35">
      <c r="A160" s="75">
        <v>159</v>
      </c>
      <c r="B160" s="69" t="s">
        <v>1845</v>
      </c>
      <c r="C160" s="69" t="s">
        <v>13</v>
      </c>
      <c r="D160" s="69" t="s">
        <v>1846</v>
      </c>
      <c r="E160" s="71">
        <v>45674</v>
      </c>
      <c r="F160" s="72">
        <f>IF($E160="","",WORKDAY($E160,1,$W$33:$W$42))</f>
        <v>45677</v>
      </c>
      <c r="G160" s="72">
        <f>IF($E160="","",WORKDAY($E160,10,$W$33:$W$42))</f>
        <v>45688</v>
      </c>
      <c r="H160" s="72">
        <f>IF($E160="","",WORKDAY($E160,20,$W$33:$W$42))</f>
        <v>45702</v>
      </c>
      <c r="I160" s="72"/>
      <c r="J160" s="69" t="str">
        <f t="shared" si="7"/>
        <v>Jan</v>
      </c>
      <c r="K160" s="14" t="str">
        <f ca="1">IF(E160="","",IF(N160="",H160-TODAY(),""))</f>
        <v/>
      </c>
      <c r="L160" s="70" t="s">
        <v>1662</v>
      </c>
      <c r="M160" s="70" t="s">
        <v>20</v>
      </c>
      <c r="N160" s="70">
        <v>45679</v>
      </c>
      <c r="O160" s="145">
        <f>IF($N160="","",NETWORKDAYS($E160,$N160,$X$33:$X$48)-1)</f>
        <v>3</v>
      </c>
      <c r="P160" s="146" t="str">
        <f>IF(ISBLANK(N160),"",IF(N160&gt;H160,"No","Yes"))</f>
        <v>Yes</v>
      </c>
      <c r="Q160" s="73" t="s">
        <v>117</v>
      </c>
      <c r="R160" s="71" t="s">
        <v>118</v>
      </c>
      <c r="S160" s="77"/>
      <c r="T160" s="69"/>
      <c r="AS160" s="144" t="str">
        <v>Quarter 4</v>
      </c>
    </row>
    <row r="161" spans="1:45" ht="30" customHeight="1" x14ac:dyDescent="0.35">
      <c r="A161" s="75">
        <v>160</v>
      </c>
      <c r="B161" s="69" t="s">
        <v>8</v>
      </c>
      <c r="C161" s="69" t="s">
        <v>8</v>
      </c>
      <c r="D161" s="69" t="s">
        <v>1847</v>
      </c>
      <c r="E161" s="71">
        <v>45674</v>
      </c>
      <c r="F161" s="72">
        <f>IF($E161="","",WORKDAY($E161,1,$W$33:$W$42))</f>
        <v>45677</v>
      </c>
      <c r="G161" s="72">
        <f>IF($E161="","",WORKDAY($E161,10,$W$33:$W$42))</f>
        <v>45688</v>
      </c>
      <c r="H161" s="72">
        <f>IF($E161="","",WORKDAY($E161,20,$W$33:$W$42))</f>
        <v>45702</v>
      </c>
      <c r="I161" s="72"/>
      <c r="J161" s="69" t="str">
        <f t="shared" si="7"/>
        <v>Jan</v>
      </c>
      <c r="K161" s="14" t="str">
        <f ca="1">IF(E161="","",IF(N161="",H161-TODAY(),""))</f>
        <v/>
      </c>
      <c r="L161" s="70" t="s">
        <v>5</v>
      </c>
      <c r="M161" s="70" t="s">
        <v>22</v>
      </c>
      <c r="N161" s="70">
        <v>45677</v>
      </c>
      <c r="O161" s="145">
        <f>IF($N161="","",NETWORKDAYS($E161,$N161,$X$33:$X$48)-1)</f>
        <v>1</v>
      </c>
      <c r="P161" s="146" t="str">
        <f>IF(ISBLANK(N161),"",IF(N161&gt;H161,"No","Yes"))</f>
        <v>Yes</v>
      </c>
      <c r="Q161" s="73" t="s">
        <v>117</v>
      </c>
      <c r="R161" s="71" t="s">
        <v>150</v>
      </c>
      <c r="S161" s="77"/>
      <c r="T161" s="69"/>
      <c r="AS161" s="144" t="str">
        <v>Quarter 4</v>
      </c>
    </row>
    <row r="162" spans="1:45" ht="30" customHeight="1" x14ac:dyDescent="0.35">
      <c r="A162" s="75">
        <v>161</v>
      </c>
      <c r="B162" s="4" t="s">
        <v>8</v>
      </c>
      <c r="C162" s="4" t="s">
        <v>8</v>
      </c>
      <c r="D162" s="69" t="s">
        <v>1848</v>
      </c>
      <c r="E162" s="71">
        <v>45677</v>
      </c>
      <c r="F162" s="72">
        <f>IF($E162="","",WORKDAY($E162,1,$W$33:$W$42))</f>
        <v>45678</v>
      </c>
      <c r="G162" s="72">
        <f>IF($E162="","",WORKDAY($E162,10,$W$33:$W$42))</f>
        <v>45691</v>
      </c>
      <c r="H162" s="72">
        <f>IF($E162="","",WORKDAY($E162,20,$W$33:$W$42))</f>
        <v>45705</v>
      </c>
      <c r="I162" s="72"/>
      <c r="J162" s="69" t="str">
        <f t="shared" si="7"/>
        <v>Jan</v>
      </c>
      <c r="K162" s="14" t="str">
        <f ca="1">IF(E162="","",IF(N162="",H162-TODAY(),""))</f>
        <v/>
      </c>
      <c r="L162" s="70" t="s">
        <v>1662</v>
      </c>
      <c r="M162" s="70" t="s">
        <v>24</v>
      </c>
      <c r="N162" s="70">
        <v>45679</v>
      </c>
      <c r="O162" s="145">
        <f>IF($N162="","",NETWORKDAYS($E162,$N162,$X$33:$X$48)-1)</f>
        <v>2</v>
      </c>
      <c r="P162" s="146" t="str">
        <f>IF(ISBLANK(N162),"",IF(N162&gt;H162,"No","Yes"))</f>
        <v>Yes</v>
      </c>
      <c r="Q162" s="73" t="s">
        <v>117</v>
      </c>
      <c r="R162" s="71" t="s">
        <v>118</v>
      </c>
      <c r="S162" s="77" t="s">
        <v>1663</v>
      </c>
      <c r="T162" s="69"/>
      <c r="AS162" s="144" t="str">
        <v>Quarter 4</v>
      </c>
    </row>
    <row r="163" spans="1:45" ht="30" customHeight="1" x14ac:dyDescent="0.35">
      <c r="A163" s="75">
        <v>162</v>
      </c>
      <c r="B163" s="69" t="s">
        <v>138</v>
      </c>
      <c r="C163" s="69" t="s">
        <v>19</v>
      </c>
      <c r="D163" s="69" t="s">
        <v>1849</v>
      </c>
      <c r="E163" s="71">
        <v>45677</v>
      </c>
      <c r="F163" s="72">
        <f>IF($E163="","",WORKDAY($E163,1,$W$33:$W$42))</f>
        <v>45678</v>
      </c>
      <c r="G163" s="72">
        <f>IF($E163="","",WORKDAY($E163,10,$W$33:$W$42))</f>
        <v>45691</v>
      </c>
      <c r="H163" s="72">
        <f>IF($E163="","",WORKDAY($E163,20,$W$33:$W$42))</f>
        <v>45705</v>
      </c>
      <c r="I163" s="72"/>
      <c r="J163" s="69" t="str">
        <f t="shared" ref="J163:J170" si="8">IF(ISBLANK(E163),"",TEXT(E163,"mmm"))</f>
        <v>Jan</v>
      </c>
      <c r="K163" s="14" t="str">
        <f ca="1">IF(E163="","",IF(N163="",H163-TODAY(),""))</f>
        <v/>
      </c>
      <c r="L163" s="70" t="s">
        <v>1662</v>
      </c>
      <c r="M163" s="70" t="s">
        <v>24</v>
      </c>
      <c r="N163" s="70">
        <v>45691</v>
      </c>
      <c r="O163" s="145">
        <f>IF($N163="","",NETWORKDAYS($E163,$N163,$X$33:$X$48)-1)</f>
        <v>10</v>
      </c>
      <c r="P163" s="146" t="str">
        <f>IF(ISBLANK(N163),"",IF(N163&gt;H163,"No","Yes"))</f>
        <v>Yes</v>
      </c>
      <c r="Q163" s="73" t="s">
        <v>117</v>
      </c>
      <c r="R163" s="71" t="s">
        <v>118</v>
      </c>
      <c r="S163" s="77" t="s">
        <v>1663</v>
      </c>
      <c r="T163" s="69"/>
      <c r="AS163" s="144" t="str">
        <v>Quarter 4</v>
      </c>
    </row>
    <row r="164" spans="1:45" ht="30" customHeight="1" x14ac:dyDescent="0.35">
      <c r="A164" s="75">
        <v>163</v>
      </c>
      <c r="B164" s="69" t="s">
        <v>1713</v>
      </c>
      <c r="C164" s="69" t="s">
        <v>23</v>
      </c>
      <c r="D164" s="69" t="s">
        <v>1850</v>
      </c>
      <c r="E164" s="71"/>
      <c r="F164" s="72"/>
      <c r="G164" s="72"/>
      <c r="H164" s="72"/>
      <c r="I164" s="72"/>
      <c r="J164" s="69" t="s">
        <v>1427</v>
      </c>
      <c r="K164" s="14" t="str">
        <f ca="1">IF(E164="","",IF(N164="",H164-TODAY(),""))</f>
        <v/>
      </c>
      <c r="L164" s="70" t="s">
        <v>1662</v>
      </c>
      <c r="M164" s="70" t="s">
        <v>20</v>
      </c>
      <c r="N164" s="70"/>
      <c r="O164" s="145" t="str">
        <f>IF($N164="","",NETWORKDAYS($E164,$N164,$X$33:$X$48)-1)</f>
        <v/>
      </c>
      <c r="P164" s="146" t="str">
        <f>IF(ISBLANK(N164),"",IF(N164&gt;H164,"No","Yes"))</f>
        <v/>
      </c>
      <c r="Q164" s="73" t="s">
        <v>133</v>
      </c>
      <c r="R164" s="71" t="s">
        <v>133</v>
      </c>
      <c r="S164" s="77"/>
      <c r="T164" s="69" t="s">
        <v>1851</v>
      </c>
      <c r="AS164" s="144" t="str">
        <v>Quarter 4</v>
      </c>
    </row>
    <row r="165" spans="1:45" ht="30" customHeight="1" x14ac:dyDescent="0.35">
      <c r="A165" s="75">
        <v>164</v>
      </c>
      <c r="B165" s="69" t="s">
        <v>1852</v>
      </c>
      <c r="C165" s="69" t="s">
        <v>13</v>
      </c>
      <c r="D165" s="69" t="s">
        <v>1853</v>
      </c>
      <c r="E165" s="71">
        <v>45678</v>
      </c>
      <c r="F165" s="72">
        <f>IF($E165="","",WORKDAY($E165,1,$W$33:$W$42))</f>
        <v>45679</v>
      </c>
      <c r="G165" s="72">
        <f>IF($E165="","",WORKDAY($E165,10,$W$33:$W$42))</f>
        <v>45692</v>
      </c>
      <c r="H165" s="72">
        <f>IF($E165="","",WORKDAY($E165,20,$W$33:$W$42))</f>
        <v>45706</v>
      </c>
      <c r="I165" s="72"/>
      <c r="J165" s="69" t="str">
        <f t="shared" si="8"/>
        <v>Jan</v>
      </c>
      <c r="K165" s="14" t="str">
        <f ca="1">IF(E165="","",IF(N165="",H165-TODAY(),""))</f>
        <v/>
      </c>
      <c r="L165" s="70" t="s">
        <v>1662</v>
      </c>
      <c r="M165" s="70" t="s">
        <v>24</v>
      </c>
      <c r="N165" s="70">
        <v>45680</v>
      </c>
      <c r="O165" s="145">
        <f>IF($N165="","",NETWORKDAYS($E165,$N165,$X$33:$X$48)-1)</f>
        <v>2</v>
      </c>
      <c r="P165" s="146" t="str">
        <f>IF(ISBLANK(N165),"",IF(N165&gt;H165,"No","Yes"))</f>
        <v>Yes</v>
      </c>
      <c r="Q165" s="73" t="s">
        <v>117</v>
      </c>
      <c r="R165" s="71" t="s">
        <v>118</v>
      </c>
      <c r="S165" s="77"/>
      <c r="T165" s="69"/>
      <c r="AS165" s="144" t="str">
        <v>Quarter 4</v>
      </c>
    </row>
    <row r="166" spans="1:45" ht="30" customHeight="1" x14ac:dyDescent="0.35">
      <c r="A166" s="75">
        <v>165</v>
      </c>
      <c r="B166" s="69" t="s">
        <v>8</v>
      </c>
      <c r="C166" s="69" t="s">
        <v>8</v>
      </c>
      <c r="D166" s="69" t="s">
        <v>1854</v>
      </c>
      <c r="E166" s="71">
        <v>45679</v>
      </c>
      <c r="F166" s="72">
        <f>IF($E166="","",WORKDAY($E166,1,$W$33:$W$42))</f>
        <v>45680</v>
      </c>
      <c r="G166" s="72">
        <f>IF($E166="","",WORKDAY($E166,10,$W$33:$W$42))</f>
        <v>45693</v>
      </c>
      <c r="H166" s="72">
        <f>IF($E166="","",WORKDAY($E166,20,$W$33:$W$42))</f>
        <v>45707</v>
      </c>
      <c r="I166" s="72"/>
      <c r="J166" s="69" t="str">
        <f t="shared" si="8"/>
        <v>Jan</v>
      </c>
      <c r="K166" s="14" t="str">
        <f ca="1">IF(E166="","",IF(N166="",H166-TODAY(),""))</f>
        <v/>
      </c>
      <c r="L166" s="70" t="s">
        <v>1662</v>
      </c>
      <c r="M166" s="70" t="s">
        <v>14</v>
      </c>
      <c r="N166" s="70">
        <v>45712</v>
      </c>
      <c r="O166" s="145">
        <f>IF($N166="","",NETWORKDAYS($E166,$N166,$X$33:$X$48)-1)</f>
        <v>23</v>
      </c>
      <c r="P166" s="146" t="str">
        <f>IF(ISBLANK(N166),"",IF(N166&gt;H166,"No","Yes"))</f>
        <v>No</v>
      </c>
      <c r="Q166" s="73" t="s">
        <v>117</v>
      </c>
      <c r="R166" s="71" t="s">
        <v>118</v>
      </c>
      <c r="S166" s="77"/>
      <c r="T166" s="69"/>
      <c r="AS166" s="144" t="str">
        <v>Quarter 4</v>
      </c>
    </row>
    <row r="167" spans="1:45" ht="30" customHeight="1" x14ac:dyDescent="0.35">
      <c r="A167" s="75">
        <v>166</v>
      </c>
      <c r="B167" s="69" t="s">
        <v>8</v>
      </c>
      <c r="C167" s="69" t="s">
        <v>8</v>
      </c>
      <c r="D167" s="69" t="s">
        <v>1855</v>
      </c>
      <c r="E167" s="71">
        <v>45680</v>
      </c>
      <c r="F167" s="72">
        <f>IF($E167="","",WORKDAY($E167,1,$W$33:$W$42))</f>
        <v>45681</v>
      </c>
      <c r="G167" s="72">
        <f>IF($E167="","",WORKDAY($E167,10,$W$33:$W$42))</f>
        <v>45694</v>
      </c>
      <c r="H167" s="72">
        <f>IF($E167="","",WORKDAY($E167,20,$W$33:$W$42))</f>
        <v>45708</v>
      </c>
      <c r="I167" s="72"/>
      <c r="J167" s="69" t="str">
        <f t="shared" si="8"/>
        <v>Jan</v>
      </c>
      <c r="K167" s="14" t="str">
        <f ca="1">IF(E167="","",IF(N167="",H167-TODAY(),""))</f>
        <v/>
      </c>
      <c r="L167" s="70" t="s">
        <v>5</v>
      </c>
      <c r="M167" s="70" t="s">
        <v>18</v>
      </c>
      <c r="N167" s="70">
        <v>45680</v>
      </c>
      <c r="O167" s="145">
        <f>IF($N167="","",NETWORKDAYS($E167,$N167,$X$33:$X$48)-1)</f>
        <v>0</v>
      </c>
      <c r="P167" s="146" t="str">
        <f>IF(ISBLANK(N167),"",IF(N167&gt;H167,"No","Yes"))</f>
        <v>Yes</v>
      </c>
      <c r="Q167" s="73" t="s">
        <v>117</v>
      </c>
      <c r="R167" s="71" t="s">
        <v>150</v>
      </c>
      <c r="S167" s="77"/>
      <c r="T167" s="69"/>
      <c r="AS167" s="144" t="str">
        <v>Quarter 4</v>
      </c>
    </row>
    <row r="168" spans="1:45" ht="30" customHeight="1" x14ac:dyDescent="0.35">
      <c r="A168" s="75">
        <v>167</v>
      </c>
      <c r="B168" s="69" t="s">
        <v>8</v>
      </c>
      <c r="C168" s="69" t="s">
        <v>8</v>
      </c>
      <c r="D168" s="69" t="s">
        <v>1856</v>
      </c>
      <c r="E168" s="71">
        <v>45680</v>
      </c>
      <c r="F168" s="72">
        <f>IF($E168="","",WORKDAY($E168,1,$W$33:$W$42))</f>
        <v>45681</v>
      </c>
      <c r="G168" s="72">
        <f>IF($E168="","",WORKDAY($E168,10,$W$33:$W$42))</f>
        <v>45694</v>
      </c>
      <c r="H168" s="72">
        <f>IF($E168="","",WORKDAY($E168,20,$W$33:$W$42))</f>
        <v>45708</v>
      </c>
      <c r="I168" s="72"/>
      <c r="J168" s="69" t="str">
        <f t="shared" si="8"/>
        <v>Jan</v>
      </c>
      <c r="K168" s="14" t="str">
        <f ca="1">IF(E168="","",IF(N168="",H168-TODAY(),""))</f>
        <v/>
      </c>
      <c r="L168" s="70" t="s">
        <v>1662</v>
      </c>
      <c r="M168" s="70" t="s">
        <v>20</v>
      </c>
      <c r="N168" s="70">
        <v>45685</v>
      </c>
      <c r="O168" s="145">
        <f>IF($N168="","",NETWORKDAYS($E168,$N168,$X$33:$X$48)-1)</f>
        <v>3</v>
      </c>
      <c r="P168" s="146" t="str">
        <f>IF(ISBLANK(N168),"",IF(N168&gt;H168,"No","Yes"))</f>
        <v>Yes</v>
      </c>
      <c r="Q168" s="73" t="s">
        <v>117</v>
      </c>
      <c r="R168" s="71" t="s">
        <v>118</v>
      </c>
      <c r="S168" s="77" t="s">
        <v>1663</v>
      </c>
      <c r="T168" s="69" t="s">
        <v>141</v>
      </c>
      <c r="AS168" s="144" t="str">
        <v>Quarter 4</v>
      </c>
    </row>
    <row r="169" spans="1:45" ht="30" customHeight="1" x14ac:dyDescent="0.35">
      <c r="A169" s="75">
        <v>168</v>
      </c>
      <c r="B169" s="69" t="s">
        <v>8</v>
      </c>
      <c r="C169" s="69" t="s">
        <v>8</v>
      </c>
      <c r="D169" s="69" t="s">
        <v>1732</v>
      </c>
      <c r="E169" s="71">
        <v>45680</v>
      </c>
      <c r="F169" s="72">
        <f>IF($E169="","",WORKDAY($E169,1,$W$33:$W$42))</f>
        <v>45681</v>
      </c>
      <c r="G169" s="72">
        <f>IF($E169="","",WORKDAY($E169,10,$W$33:$W$42))</f>
        <v>45694</v>
      </c>
      <c r="H169" s="72">
        <f>IF($E169="","",WORKDAY($E169,20,$W$33:$W$42))</f>
        <v>45708</v>
      </c>
      <c r="I169" s="72"/>
      <c r="J169" s="69" t="str">
        <f t="shared" si="8"/>
        <v>Jan</v>
      </c>
      <c r="K169" s="14" t="str">
        <f ca="1">IF(E169="","",IF(N169="",H169-TODAY(),""))</f>
        <v/>
      </c>
      <c r="L169" s="70" t="s">
        <v>1662</v>
      </c>
      <c r="M169" s="70" t="s">
        <v>24</v>
      </c>
      <c r="N169" s="70">
        <v>45681</v>
      </c>
      <c r="O169" s="145">
        <f>IF($N169="","",NETWORKDAYS($E169,$N169,$X$33:$X$48)-1)</f>
        <v>1</v>
      </c>
      <c r="P169" s="146" t="str">
        <f>IF(ISBLANK(N169),"",IF(N169&gt;H169,"No","Yes"))</f>
        <v>Yes</v>
      </c>
      <c r="Q169" s="73" t="s">
        <v>117</v>
      </c>
      <c r="R169" s="71" t="s">
        <v>118</v>
      </c>
      <c r="S169" s="77" t="s">
        <v>1663</v>
      </c>
      <c r="T169" s="69" t="s">
        <v>141</v>
      </c>
      <c r="AS169" s="144" t="str">
        <v>Quarter 4</v>
      </c>
    </row>
    <row r="170" spans="1:45" ht="30" customHeight="1" x14ac:dyDescent="0.35">
      <c r="A170" s="75">
        <v>169</v>
      </c>
      <c r="B170" s="69" t="s">
        <v>8</v>
      </c>
      <c r="C170" s="69" t="s">
        <v>8</v>
      </c>
      <c r="D170" s="69" t="s">
        <v>1857</v>
      </c>
      <c r="E170" s="71">
        <v>45687</v>
      </c>
      <c r="F170" s="72">
        <f>IF($E170="","",WORKDAY($E170,1,$W$33:$W$42))</f>
        <v>45688</v>
      </c>
      <c r="G170" s="72">
        <f>IF($E170="","",WORKDAY($E170,10,$W$33:$W$42))</f>
        <v>45701</v>
      </c>
      <c r="H170" s="72">
        <f>IF($E170="","",WORKDAY($E170,20,$W$33:$W$42))</f>
        <v>45715</v>
      </c>
      <c r="I170" s="72"/>
      <c r="J170" s="69" t="str">
        <f t="shared" si="8"/>
        <v>Jan</v>
      </c>
      <c r="K170" s="14" t="str">
        <f ca="1">IF(E170="","",IF(N170="",H170-TODAY(),""))</f>
        <v/>
      </c>
      <c r="L170" s="70" t="s">
        <v>1662</v>
      </c>
      <c r="M170" s="70" t="s">
        <v>20</v>
      </c>
      <c r="N170" s="70">
        <v>45713</v>
      </c>
      <c r="O170" s="145">
        <f>IF($N170="","",NETWORKDAYS($E170,$N170,$X$33:$X$48)-1)</f>
        <v>18</v>
      </c>
      <c r="P170" s="146" t="str">
        <f>IF(ISBLANK(N170),"",IF(N170&gt;H170,"No","Yes"))</f>
        <v>Yes</v>
      </c>
      <c r="Q170" s="73" t="s">
        <v>117</v>
      </c>
      <c r="R170" s="71" t="s">
        <v>118</v>
      </c>
      <c r="S170" s="77" t="s">
        <v>1665</v>
      </c>
      <c r="T170" s="69"/>
      <c r="AS170" s="144" t="str">
        <v>Quarter 4</v>
      </c>
    </row>
    <row r="171" spans="1:45" ht="30" customHeight="1" x14ac:dyDescent="0.35">
      <c r="A171" s="75">
        <v>170</v>
      </c>
      <c r="B171" s="69" t="s">
        <v>478</v>
      </c>
      <c r="C171" s="69" t="s">
        <v>21</v>
      </c>
      <c r="D171" s="69" t="s">
        <v>1858</v>
      </c>
      <c r="E171" s="71">
        <v>45685</v>
      </c>
      <c r="F171" s="72">
        <f>IF($E171="","",WORKDAY($E171,1,$W$33:$W$42))</f>
        <v>45686</v>
      </c>
      <c r="G171" s="72">
        <f>IF($E171="","",WORKDAY($E171,10,$W$33:$W$42))</f>
        <v>45699</v>
      </c>
      <c r="H171" s="72">
        <f>IF($E171="","",WORKDAY($E171,20,$W$33:$W$42))</f>
        <v>45713</v>
      </c>
      <c r="I171" s="72"/>
      <c r="J171" s="69" t="str">
        <f t="shared" ref="J171:J191" si="9">IF(ISBLANK(E171),"",TEXT(E171,"mmm"))</f>
        <v>Jan</v>
      </c>
      <c r="K171" s="14" t="str">
        <f ca="1">IF(E171="","",IF(N171="",H171-TODAY(),""))</f>
        <v/>
      </c>
      <c r="L171" s="70" t="s">
        <v>1662</v>
      </c>
      <c r="M171" s="70" t="s">
        <v>20</v>
      </c>
      <c r="N171" s="70">
        <v>45695</v>
      </c>
      <c r="O171" s="145">
        <f>IF($N171="","",NETWORKDAYS($E171,$N171,$X$33:$X$48)-1)</f>
        <v>8</v>
      </c>
      <c r="P171" s="146" t="str">
        <f>IF(ISBLANK(N171),"",IF(N171&gt;H171,"No","Yes"))</f>
        <v>Yes</v>
      </c>
      <c r="Q171" s="73" t="s">
        <v>117</v>
      </c>
      <c r="R171" s="71" t="s">
        <v>118</v>
      </c>
      <c r="S171" s="77" t="s">
        <v>1663</v>
      </c>
      <c r="T171" s="69"/>
      <c r="AS171" s="144" t="str">
        <v>Quarter 4</v>
      </c>
    </row>
    <row r="172" spans="1:45" ht="30" customHeight="1" x14ac:dyDescent="0.35">
      <c r="A172" s="75">
        <v>171</v>
      </c>
      <c r="B172" s="69" t="s">
        <v>1859</v>
      </c>
      <c r="C172" s="69" t="s">
        <v>13</v>
      </c>
      <c r="D172" s="69" t="s">
        <v>1732</v>
      </c>
      <c r="E172" s="71">
        <v>45686</v>
      </c>
      <c r="F172" s="72">
        <f>IF($E172="","",WORKDAY($E172,1,$W$33:$W$42))</f>
        <v>45687</v>
      </c>
      <c r="G172" s="72">
        <f>IF($E172="","",WORKDAY($E172,10,$W$33:$W$42))</f>
        <v>45700</v>
      </c>
      <c r="H172" s="72">
        <f>IF($E172="","",WORKDAY($E172,20,$W$33:$W$42))</f>
        <v>45714</v>
      </c>
      <c r="I172" s="72"/>
      <c r="J172" s="69" t="str">
        <f t="shared" si="9"/>
        <v>Jan</v>
      </c>
      <c r="K172" s="14" t="str">
        <f ca="1">IF(E172="","",IF(N172="",H172-TODAY(),""))</f>
        <v/>
      </c>
      <c r="L172" s="70" t="s">
        <v>5</v>
      </c>
      <c r="M172" s="70" t="s">
        <v>18</v>
      </c>
      <c r="N172" s="70">
        <v>45692</v>
      </c>
      <c r="O172" s="145">
        <f>IF($N172="","",NETWORKDAYS($E172,$N172,$X$33:$X$48)-1)</f>
        <v>4</v>
      </c>
      <c r="P172" s="146" t="str">
        <f>IF(ISBLANK(N172),"",IF(N172&gt;H172,"No","Yes"))</f>
        <v>Yes</v>
      </c>
      <c r="Q172" s="73" t="s">
        <v>117</v>
      </c>
      <c r="R172" s="71" t="s">
        <v>118</v>
      </c>
      <c r="S172" s="77"/>
      <c r="T172" s="69" t="s">
        <v>141</v>
      </c>
      <c r="AS172" s="144" t="str">
        <v>Quarter 4</v>
      </c>
    </row>
    <row r="173" spans="1:45" ht="30" customHeight="1" x14ac:dyDescent="0.35">
      <c r="A173" s="75">
        <v>172</v>
      </c>
      <c r="B173" s="69" t="s">
        <v>138</v>
      </c>
      <c r="C173" s="69" t="s">
        <v>19</v>
      </c>
      <c r="D173" s="69" t="s">
        <v>1860</v>
      </c>
      <c r="E173" s="71">
        <v>45687</v>
      </c>
      <c r="F173" s="72">
        <f>IF($E173="","",WORKDAY($E173,1,$W$33:$W$42))</f>
        <v>45688</v>
      </c>
      <c r="G173" s="72">
        <f>IF($E173="","",WORKDAY($E173,10,$W$33:$W$42))</f>
        <v>45701</v>
      </c>
      <c r="H173" s="72">
        <f>IF($E173="","",WORKDAY($E173,20,$W$33:$W$42))</f>
        <v>45715</v>
      </c>
      <c r="I173" s="72"/>
      <c r="J173" s="69" t="str">
        <f t="shared" si="9"/>
        <v>Jan</v>
      </c>
      <c r="K173" s="14" t="str">
        <f ca="1">IF(E173="","",IF(N173="",H173-TODAY(),""))</f>
        <v/>
      </c>
      <c r="L173" s="70" t="s">
        <v>1662</v>
      </c>
      <c r="M173" s="70" t="s">
        <v>24</v>
      </c>
      <c r="N173" s="70">
        <v>45709</v>
      </c>
      <c r="O173" s="145">
        <f>IF($N173="","",NETWORKDAYS($E173,$N173,$X$33:$X$48)-1)</f>
        <v>16</v>
      </c>
      <c r="P173" s="146" t="str">
        <f>IF(ISBLANK(N173),"",IF(N173&gt;H173,"No","Yes"))</f>
        <v>Yes</v>
      </c>
      <c r="Q173" s="73" t="s">
        <v>117</v>
      </c>
      <c r="R173" s="71" t="s">
        <v>118</v>
      </c>
      <c r="S173" s="77"/>
      <c r="T173" s="69" t="s">
        <v>141</v>
      </c>
      <c r="AS173" s="144" t="str">
        <v>Quarter 4</v>
      </c>
    </row>
    <row r="174" spans="1:45" ht="30" customHeight="1" x14ac:dyDescent="0.35">
      <c r="A174" s="75">
        <v>173</v>
      </c>
      <c r="B174" s="69" t="s">
        <v>8</v>
      </c>
      <c r="C174" s="69" t="s">
        <v>8</v>
      </c>
      <c r="D174" s="69" t="s">
        <v>1861</v>
      </c>
      <c r="E174" s="71">
        <v>45687</v>
      </c>
      <c r="F174" s="72">
        <f>IF($E174="","",WORKDAY($E174,1,$W$33:$W$42))</f>
        <v>45688</v>
      </c>
      <c r="G174" s="72">
        <f>IF($E174="","",WORKDAY($E174,10,$W$33:$W$42))</f>
        <v>45701</v>
      </c>
      <c r="H174" s="72">
        <f>IF($E174="","",WORKDAY($E174,20,$W$33:$W$42))</f>
        <v>45715</v>
      </c>
      <c r="I174" s="72"/>
      <c r="J174" s="69" t="str">
        <f t="shared" si="9"/>
        <v>Jan</v>
      </c>
      <c r="K174" s="14" t="str">
        <f ca="1">IF(E174="","",IF(N174="",H174-TODAY(),""))</f>
        <v/>
      </c>
      <c r="L174" s="70" t="s">
        <v>1662</v>
      </c>
      <c r="M174" s="70" t="s">
        <v>20</v>
      </c>
      <c r="N174" s="70">
        <v>45700</v>
      </c>
      <c r="O174" s="145">
        <f>IF($N174="","",NETWORKDAYS($E174,$N174,$X$33:$X$48)-1)</f>
        <v>9</v>
      </c>
      <c r="P174" s="146" t="str">
        <f>IF(ISBLANK(N174),"",IF(N174&gt;H174,"No","Yes"))</f>
        <v>Yes</v>
      </c>
      <c r="Q174" s="73" t="s">
        <v>117</v>
      </c>
      <c r="R174" s="71" t="s">
        <v>126</v>
      </c>
      <c r="S174" s="77" t="s">
        <v>1668</v>
      </c>
      <c r="T174" s="69" t="s">
        <v>1862</v>
      </c>
      <c r="AS174" s="144" t="str">
        <v>Quarter 4</v>
      </c>
    </row>
    <row r="175" spans="1:45" ht="30" customHeight="1" x14ac:dyDescent="0.35">
      <c r="A175" s="75">
        <v>174</v>
      </c>
      <c r="B175" s="69" t="s">
        <v>8</v>
      </c>
      <c r="C175" s="69" t="s">
        <v>8</v>
      </c>
      <c r="D175" s="69" t="s">
        <v>1863</v>
      </c>
      <c r="E175" s="71">
        <v>45687</v>
      </c>
      <c r="F175" s="72">
        <f>IF($E175="","",WORKDAY($E175,1,$W$33:$W$42))</f>
        <v>45688</v>
      </c>
      <c r="G175" s="72">
        <f>IF($E175="","",WORKDAY($E175,10,$W$33:$W$42))</f>
        <v>45701</v>
      </c>
      <c r="H175" s="72">
        <f>IF($E175="","",WORKDAY($E175,20,$W$33:$W$42))</f>
        <v>45715</v>
      </c>
      <c r="I175" s="72"/>
      <c r="J175" s="69" t="str">
        <f t="shared" si="9"/>
        <v>Jan</v>
      </c>
      <c r="K175" s="14">
        <f ca="1">IF(E175="","",IF(N175="",H175-TODAY(),""))</f>
        <v>-68</v>
      </c>
      <c r="L175" s="70" t="s">
        <v>1662</v>
      </c>
      <c r="M175" s="70" t="s">
        <v>20</v>
      </c>
      <c r="N175" s="70"/>
      <c r="O175" s="145" t="str">
        <f>IF($N175="","",NETWORKDAYS($E175,$N175,$X$33:$X$48)-1)</f>
        <v/>
      </c>
      <c r="P175" s="146" t="str">
        <f>IF(ISBLANK(N175),"",IF(N175&gt;H175,"No","Yes"))</f>
        <v/>
      </c>
      <c r="Q175" s="73" t="s">
        <v>125</v>
      </c>
      <c r="R175" s="71"/>
      <c r="S175" s="77"/>
      <c r="T175" s="69"/>
      <c r="AS175" s="144" t="str">
        <v>Quarter 4</v>
      </c>
    </row>
    <row r="176" spans="1:45" ht="30" customHeight="1" x14ac:dyDescent="0.35">
      <c r="A176" s="75">
        <v>175</v>
      </c>
      <c r="B176" s="69" t="s">
        <v>8</v>
      </c>
      <c r="C176" s="69" t="s">
        <v>8</v>
      </c>
      <c r="D176" s="202" t="s">
        <v>1864</v>
      </c>
      <c r="E176" s="71">
        <v>45688</v>
      </c>
      <c r="F176" s="72">
        <f>IF($E176="","",WORKDAY($E176,1,$W$33:$W$42))</f>
        <v>45691</v>
      </c>
      <c r="G176" s="72">
        <f>IF($E176="","",WORKDAY($E176,10,$W$33:$W$42))</f>
        <v>45702</v>
      </c>
      <c r="H176" s="72">
        <f>IF($E176="","",WORKDAY($E176,20,$W$33:$W$42))</f>
        <v>45716</v>
      </c>
      <c r="I176" s="72"/>
      <c r="J176" s="69" t="str">
        <f t="shared" si="9"/>
        <v>Jan</v>
      </c>
      <c r="K176" s="14" t="str">
        <f ca="1">IF(E176="","",IF(N176="",H176-TODAY(),""))</f>
        <v/>
      </c>
      <c r="L176" s="70" t="s">
        <v>1662</v>
      </c>
      <c r="M176" s="70" t="s">
        <v>20</v>
      </c>
      <c r="N176" s="70">
        <v>45691</v>
      </c>
      <c r="O176" s="145">
        <f>IF($N176="","",NETWORKDAYS($E176,$N176,$X$33:$X$48)-1)</f>
        <v>1</v>
      </c>
      <c r="P176" s="146" t="str">
        <f>IF(ISBLANK(N176),"",IF(N176&gt;H176,"No","Yes"))</f>
        <v>Yes</v>
      </c>
      <c r="Q176" s="73" t="s">
        <v>117</v>
      </c>
      <c r="R176" s="71" t="s">
        <v>118</v>
      </c>
      <c r="S176" s="77"/>
      <c r="T176" s="69"/>
      <c r="AS176" s="144" t="str">
        <v>Quarter 4</v>
      </c>
    </row>
    <row r="177" spans="1:45" ht="30" customHeight="1" x14ac:dyDescent="0.35">
      <c r="A177" s="75">
        <v>176</v>
      </c>
      <c r="B177" s="69" t="s">
        <v>1865</v>
      </c>
      <c r="C177" s="69" t="s">
        <v>6</v>
      </c>
      <c r="D177" s="69" t="s">
        <v>1866</v>
      </c>
      <c r="E177" s="71">
        <v>45688</v>
      </c>
      <c r="F177" s="72">
        <f>IF($E177="","",WORKDAY($E177,1,$W$33:$W$42))</f>
        <v>45691</v>
      </c>
      <c r="G177" s="72">
        <f>IF($E177="","",WORKDAY($E177,10,$W$33:$W$42))</f>
        <v>45702</v>
      </c>
      <c r="H177" s="72">
        <f>IF($E177="","",WORKDAY($E177,20,$W$33:$W$42))</f>
        <v>45716</v>
      </c>
      <c r="I177" s="72"/>
      <c r="J177" s="69" t="str">
        <f t="shared" si="9"/>
        <v>Jan</v>
      </c>
      <c r="K177" s="14" t="str">
        <f ca="1">IF(E177="","",IF(N177="",H177-TODAY(),""))</f>
        <v/>
      </c>
      <c r="L177" s="70" t="s">
        <v>1662</v>
      </c>
      <c r="M177" s="70" t="s">
        <v>20</v>
      </c>
      <c r="N177" s="70">
        <v>45694</v>
      </c>
      <c r="O177" s="145">
        <f>IF($N177="","",NETWORKDAYS($E177,$N177,$X$33:$X$48)-1)</f>
        <v>4</v>
      </c>
      <c r="P177" s="146" t="str">
        <f>IF(ISBLANK(N177),"",IF(N177&gt;H177,"No","Yes"))</f>
        <v>Yes</v>
      </c>
      <c r="Q177" s="73" t="s">
        <v>117</v>
      </c>
      <c r="R177" s="71" t="s">
        <v>118</v>
      </c>
      <c r="S177" s="77"/>
      <c r="T177" s="69" t="s">
        <v>141</v>
      </c>
      <c r="AS177" s="144" t="str">
        <v>Quarter 4</v>
      </c>
    </row>
    <row r="178" spans="1:45" ht="30" customHeight="1" x14ac:dyDescent="0.35">
      <c r="A178" s="75">
        <v>177</v>
      </c>
      <c r="B178" s="69" t="s">
        <v>8</v>
      </c>
      <c r="C178" s="69" t="s">
        <v>11</v>
      </c>
      <c r="D178" s="69" t="s">
        <v>1867</v>
      </c>
      <c r="E178" s="71">
        <v>45691</v>
      </c>
      <c r="F178" s="72">
        <f>IF($E178="","",WORKDAY($E178,1,$W$33:$W$42))</f>
        <v>45692</v>
      </c>
      <c r="G178" s="72">
        <f>IF($E178="","",WORKDAY($E178,10,$W$33:$W$42))</f>
        <v>45705</v>
      </c>
      <c r="H178" s="72">
        <f>IF($E178="","",WORKDAY($E178,20,$W$33:$W$42))</f>
        <v>45719</v>
      </c>
      <c r="I178" s="72"/>
      <c r="J178" s="69" t="str">
        <f t="shared" si="9"/>
        <v>Feb</v>
      </c>
      <c r="K178" s="14" t="str">
        <f ca="1">IF(E178="","",IF(N178="",H178-TODAY(),""))</f>
        <v/>
      </c>
      <c r="L178" s="70" t="s">
        <v>1662</v>
      </c>
      <c r="M178" s="70" t="s">
        <v>20</v>
      </c>
      <c r="N178" s="70">
        <v>45692</v>
      </c>
      <c r="O178" s="145">
        <f>IF($N178="","",NETWORKDAYS($E178,$N178,$X$33:$X$48)-1)</f>
        <v>1</v>
      </c>
      <c r="P178" s="146" t="str">
        <f>IF(ISBLANK(N178),"",IF(N178&gt;H178,"No","Yes"))</f>
        <v>Yes</v>
      </c>
      <c r="Q178" s="73" t="s">
        <v>117</v>
      </c>
      <c r="R178" s="71" t="s">
        <v>118</v>
      </c>
      <c r="S178" s="77" t="s">
        <v>1663</v>
      </c>
      <c r="T178" s="69" t="s">
        <v>1868</v>
      </c>
      <c r="AS178" s="144" t="str">
        <v>Quarter 4</v>
      </c>
    </row>
    <row r="179" spans="1:45" ht="30" customHeight="1" x14ac:dyDescent="0.35">
      <c r="A179" s="75">
        <v>178</v>
      </c>
      <c r="B179" s="69" t="s">
        <v>8</v>
      </c>
      <c r="C179" s="69" t="s">
        <v>11</v>
      </c>
      <c r="D179" s="69" t="s">
        <v>1867</v>
      </c>
      <c r="E179" s="71">
        <v>45691</v>
      </c>
      <c r="F179" s="72">
        <f>IF($E179="","",WORKDAY($E179,1,$W$33:$W$42))</f>
        <v>45692</v>
      </c>
      <c r="G179" s="72">
        <f>IF($E179="","",WORKDAY($E179,10,$W$33:$W$42))</f>
        <v>45705</v>
      </c>
      <c r="H179" s="72">
        <f>IF($E179="","",WORKDAY($E179,20,$W$33:$W$42))</f>
        <v>45719</v>
      </c>
      <c r="I179" s="72"/>
      <c r="J179" s="69" t="str">
        <f t="shared" si="9"/>
        <v>Feb</v>
      </c>
      <c r="K179" s="14" t="str">
        <f ca="1">IF(E179="","",IF(N179="",H179-TODAY(),""))</f>
        <v/>
      </c>
      <c r="L179" s="70" t="s">
        <v>1662</v>
      </c>
      <c r="M179" s="70" t="s">
        <v>20</v>
      </c>
      <c r="N179" s="70">
        <v>45692</v>
      </c>
      <c r="O179" s="145">
        <f>IF($N179="","",NETWORKDAYS($E179,$N179,$X$33:$X$48)-1)</f>
        <v>1</v>
      </c>
      <c r="P179" s="146" t="str">
        <f>IF(ISBLANK(N179),"",IF(N179&gt;H179,"No","Yes"))</f>
        <v>Yes</v>
      </c>
      <c r="Q179" s="73" t="s">
        <v>117</v>
      </c>
      <c r="R179" s="71" t="s">
        <v>118</v>
      </c>
      <c r="S179" s="77" t="s">
        <v>1663</v>
      </c>
      <c r="T179" s="69" t="s">
        <v>1868</v>
      </c>
      <c r="AS179" s="144" t="str">
        <v>Quarter 4</v>
      </c>
    </row>
    <row r="180" spans="1:45" ht="30" customHeight="1" x14ac:dyDescent="0.35">
      <c r="A180" s="75">
        <v>179</v>
      </c>
      <c r="B180" s="69" t="s">
        <v>8</v>
      </c>
      <c r="C180" s="69" t="s">
        <v>8</v>
      </c>
      <c r="D180" s="69" t="s">
        <v>1869</v>
      </c>
      <c r="E180" s="71">
        <v>45692</v>
      </c>
      <c r="F180" s="72">
        <f>IF($E180="","",WORKDAY($E180,1,$W$33:$W$42))</f>
        <v>45693</v>
      </c>
      <c r="G180" s="72">
        <f>IF($E180="","",WORKDAY($E180,10,$W$33:$W$42))</f>
        <v>45706</v>
      </c>
      <c r="H180" s="72">
        <f>IF($E180="","",WORKDAY($E180,20,$W$33:$W$42))</f>
        <v>45720</v>
      </c>
      <c r="I180" s="72"/>
      <c r="J180" s="69" t="str">
        <f t="shared" si="9"/>
        <v>Feb</v>
      </c>
      <c r="K180" s="14" t="str">
        <f ca="1">IF(E180="","",IF(N180="",H180-TODAY(),""))</f>
        <v/>
      </c>
      <c r="L180" s="70" t="s">
        <v>1662</v>
      </c>
      <c r="M180" s="70" t="s">
        <v>20</v>
      </c>
      <c r="N180" s="70">
        <v>45694</v>
      </c>
      <c r="O180" s="145">
        <f>IF($N180="","",NETWORKDAYS($E180,$N180,$X$33:$X$48)-1)</f>
        <v>2</v>
      </c>
      <c r="P180" s="146" t="str">
        <f>IF(ISBLANK(N180),"",IF(N180&gt;H180,"No","Yes"))</f>
        <v>Yes</v>
      </c>
      <c r="Q180" s="73" t="s">
        <v>117</v>
      </c>
      <c r="R180" s="71" t="s">
        <v>118</v>
      </c>
      <c r="S180" s="77"/>
      <c r="T180" s="69"/>
      <c r="AS180" s="144" t="str">
        <v>Quarter 4</v>
      </c>
    </row>
    <row r="181" spans="1:45" ht="30" customHeight="1" x14ac:dyDescent="0.35">
      <c r="A181" s="75">
        <v>180</v>
      </c>
      <c r="B181" s="69" t="s">
        <v>1870</v>
      </c>
      <c r="C181" s="69" t="s">
        <v>13</v>
      </c>
      <c r="D181" s="69" t="s">
        <v>1871</v>
      </c>
      <c r="E181" s="71">
        <v>45692</v>
      </c>
      <c r="F181" s="72">
        <f>IF($E181="","",WORKDAY($E181,1,$W$33:$W$42))</f>
        <v>45693</v>
      </c>
      <c r="G181" s="72">
        <f>IF($E181="","",WORKDAY($E181,10,$W$33:$W$42))</f>
        <v>45706</v>
      </c>
      <c r="H181" s="72">
        <f>IF($E181="","",WORKDAY($E181,20,$W$33:$W$42))</f>
        <v>45720</v>
      </c>
      <c r="I181" s="72"/>
      <c r="J181" s="69" t="str">
        <f t="shared" si="9"/>
        <v>Feb</v>
      </c>
      <c r="K181" s="14" t="str">
        <f ca="1">IF(E181="","",IF(N181="",H181-TODAY(),""))</f>
        <v/>
      </c>
      <c r="L181" s="70" t="s">
        <v>1662</v>
      </c>
      <c r="M181" s="70" t="s">
        <v>24</v>
      </c>
      <c r="N181" s="70">
        <v>45695</v>
      </c>
      <c r="O181" s="145">
        <f>IF($N181="","",NETWORKDAYS($E181,$N181,$X$33:$X$48)-1)</f>
        <v>3</v>
      </c>
      <c r="P181" s="146" t="str">
        <f>IF(ISBLANK(N181),"",IF(N181&gt;H181,"No","Yes"))</f>
        <v>Yes</v>
      </c>
      <c r="Q181" s="73" t="s">
        <v>117</v>
      </c>
      <c r="R181" s="71" t="s">
        <v>118</v>
      </c>
      <c r="S181" s="77"/>
      <c r="T181" s="69" t="s">
        <v>141</v>
      </c>
      <c r="AS181" s="144" t="str">
        <v>Quarter 4</v>
      </c>
    </row>
    <row r="182" spans="1:45" ht="30" customHeight="1" x14ac:dyDescent="0.35">
      <c r="A182" s="75">
        <v>181</v>
      </c>
      <c r="B182" s="69" t="s">
        <v>1700</v>
      </c>
      <c r="C182" s="69" t="s">
        <v>13</v>
      </c>
      <c r="D182" s="69" t="s">
        <v>1796</v>
      </c>
      <c r="E182" s="71">
        <v>45692</v>
      </c>
      <c r="F182" s="72">
        <f>IF($E182="","",WORKDAY($E182,1,$W$33:$W$42))</f>
        <v>45693</v>
      </c>
      <c r="G182" s="72">
        <f>IF($E182="","",WORKDAY($E182,10,$W$33:$W$42))</f>
        <v>45706</v>
      </c>
      <c r="H182" s="72">
        <f>IF($E182="","",WORKDAY($E182,20,$W$33:$W$42))</f>
        <v>45720</v>
      </c>
      <c r="I182" s="72"/>
      <c r="J182" s="69" t="str">
        <f t="shared" si="9"/>
        <v>Feb</v>
      </c>
      <c r="K182" s="14" t="str">
        <f ca="1">IF(E182="","",IF(N182="",H182-TODAY(),""))</f>
        <v/>
      </c>
      <c r="L182" s="70" t="s">
        <v>1662</v>
      </c>
      <c r="M182" s="70" t="s">
        <v>24</v>
      </c>
      <c r="N182" s="70">
        <v>45692</v>
      </c>
      <c r="O182" s="145">
        <f>IF($N182="","",NETWORKDAYS($E182,$N182,$X$33:$X$48)-1)</f>
        <v>0</v>
      </c>
      <c r="P182" s="146" t="str">
        <f>IF(ISBLANK(N182),"",IF(N182&gt;H182,"No","Yes"))</f>
        <v>Yes</v>
      </c>
      <c r="Q182" s="73" t="s">
        <v>117</v>
      </c>
      <c r="R182" s="71" t="s">
        <v>150</v>
      </c>
      <c r="S182" s="77"/>
      <c r="T182" s="69"/>
      <c r="AS182" s="144" t="str">
        <v>Quarter 4</v>
      </c>
    </row>
    <row r="183" spans="1:45" ht="30" customHeight="1" x14ac:dyDescent="0.35">
      <c r="A183" s="75">
        <v>182</v>
      </c>
      <c r="B183" s="69" t="s">
        <v>1872</v>
      </c>
      <c r="C183" s="69" t="s">
        <v>15</v>
      </c>
      <c r="D183" s="69" t="s">
        <v>1873</v>
      </c>
      <c r="E183" s="71">
        <v>45694</v>
      </c>
      <c r="F183" s="72">
        <f>IF($E183="","",WORKDAY($E183,1,$W$33:$W$42))</f>
        <v>45695</v>
      </c>
      <c r="G183" s="72">
        <f>IF($E183="","",WORKDAY($E183,10,$W$33:$W$42))</f>
        <v>45708</v>
      </c>
      <c r="H183" s="72">
        <f>IF($E183="","",WORKDAY($E183,20,$W$33:$W$42))</f>
        <v>45722</v>
      </c>
      <c r="I183" s="72"/>
      <c r="J183" s="69" t="str">
        <f t="shared" si="9"/>
        <v>Feb</v>
      </c>
      <c r="K183" s="14" t="str">
        <f ca="1">IF(E183="","",IF(N183="",H183-TODAY(),""))</f>
        <v/>
      </c>
      <c r="L183" s="70" t="s">
        <v>5</v>
      </c>
      <c r="M183" s="70" t="s">
        <v>18</v>
      </c>
      <c r="N183" s="70">
        <v>45714</v>
      </c>
      <c r="O183" s="145">
        <f>IF($N183="","",NETWORKDAYS($E183,$N183,$X$33:$X$48)-1)</f>
        <v>14</v>
      </c>
      <c r="P183" s="146" t="str">
        <f>IF(ISBLANK(N183),"",IF(N183&gt;H183,"No","Yes"))</f>
        <v>Yes</v>
      </c>
      <c r="Q183" s="73" t="s">
        <v>117</v>
      </c>
      <c r="R183" s="71" t="s">
        <v>118</v>
      </c>
      <c r="S183" s="77"/>
      <c r="T183" s="69" t="s">
        <v>141</v>
      </c>
      <c r="AS183" s="144" t="str">
        <v>Quarter 4</v>
      </c>
    </row>
    <row r="184" spans="1:45" ht="30" customHeight="1" x14ac:dyDescent="0.35">
      <c r="A184" s="75">
        <v>183</v>
      </c>
      <c r="B184" s="69" t="s">
        <v>530</v>
      </c>
      <c r="C184" s="69" t="s">
        <v>6</v>
      </c>
      <c r="D184" s="69" t="s">
        <v>1874</v>
      </c>
      <c r="E184" s="71">
        <v>45698</v>
      </c>
      <c r="F184" s="72">
        <f>IF($E184="","",WORKDAY($E184,1,$W$33:$W$42))</f>
        <v>45699</v>
      </c>
      <c r="G184" s="72">
        <f>IF($E184="","",WORKDAY($E184,10,$W$33:$W$42))</f>
        <v>45712</v>
      </c>
      <c r="H184" s="72">
        <f>IF($E184="","",WORKDAY($E184,20,$W$33:$W$42))</f>
        <v>45726</v>
      </c>
      <c r="I184" s="72"/>
      <c r="J184" s="69" t="str">
        <f t="shared" si="9"/>
        <v>Feb</v>
      </c>
      <c r="K184" s="14" t="str">
        <f ca="1">IF(E184="","",IF(N184="",H184-TODAY(),""))</f>
        <v/>
      </c>
      <c r="L184" s="70" t="s">
        <v>1662</v>
      </c>
      <c r="M184" s="70" t="s">
        <v>24</v>
      </c>
      <c r="N184" s="70">
        <v>45698</v>
      </c>
      <c r="O184" s="145">
        <f>IF($N184="","",NETWORKDAYS($E184,$N184,$X$33:$X$48)-1)</f>
        <v>0</v>
      </c>
      <c r="P184" s="146" t="str">
        <f>IF(ISBLANK(N184),"",IF(N184&gt;H184,"No","Yes"))</f>
        <v>Yes</v>
      </c>
      <c r="Q184" s="73" t="s">
        <v>117</v>
      </c>
      <c r="R184" s="71" t="s">
        <v>118</v>
      </c>
      <c r="S184" s="77" t="s">
        <v>1663</v>
      </c>
      <c r="T184" s="69"/>
      <c r="AS184" s="144" t="str">
        <v>Quarter 4</v>
      </c>
    </row>
    <row r="185" spans="1:45" ht="30" customHeight="1" x14ac:dyDescent="0.35">
      <c r="A185" s="75">
        <v>184</v>
      </c>
      <c r="B185" s="69" t="s">
        <v>1875</v>
      </c>
      <c r="C185" s="69" t="s">
        <v>13</v>
      </c>
      <c r="D185" s="69" t="s">
        <v>1876</v>
      </c>
      <c r="E185" s="71">
        <v>45698</v>
      </c>
      <c r="F185" s="72">
        <f>IF($E185="","",WORKDAY($E185,1,$W$33:$W$42))</f>
        <v>45699</v>
      </c>
      <c r="G185" s="72">
        <f>IF($E185="","",WORKDAY($E185,10,$W$33:$W$42))</f>
        <v>45712</v>
      </c>
      <c r="H185" s="72">
        <f>IF($E185="","",WORKDAY($E185,20,$W$33:$W$42))</f>
        <v>45726</v>
      </c>
      <c r="I185" s="72"/>
      <c r="J185" s="69" t="str">
        <f t="shared" si="9"/>
        <v>Feb</v>
      </c>
      <c r="K185" s="14" t="str">
        <f ca="1">IF(E185="","",IF(N185="",H185-TODAY(),""))</f>
        <v/>
      </c>
      <c r="L185" s="70" t="s">
        <v>1662</v>
      </c>
      <c r="M185" s="70" t="s">
        <v>24</v>
      </c>
      <c r="N185" s="70">
        <v>45719</v>
      </c>
      <c r="O185" s="145">
        <f>IF($N185="","",NETWORKDAYS($E185,$N185,$X$33:$X$48)-1)</f>
        <v>15</v>
      </c>
      <c r="P185" s="146" t="str">
        <f>IF(ISBLANK(N185),"",IF(N185&gt;H185,"No","Yes"))</f>
        <v>Yes</v>
      </c>
      <c r="Q185" s="73" t="s">
        <v>117</v>
      </c>
      <c r="R185" s="71" t="s">
        <v>126</v>
      </c>
      <c r="S185" s="77" t="s">
        <v>1665</v>
      </c>
      <c r="T185" s="69" t="s">
        <v>1877</v>
      </c>
      <c r="AS185" s="144" t="str">
        <v>Quarter 4</v>
      </c>
    </row>
    <row r="186" spans="1:45" ht="30" customHeight="1" x14ac:dyDescent="0.35">
      <c r="A186" s="75">
        <v>185</v>
      </c>
      <c r="B186" s="69" t="s">
        <v>969</v>
      </c>
      <c r="C186" s="69" t="s">
        <v>6</v>
      </c>
      <c r="D186" s="69" t="s">
        <v>1790</v>
      </c>
      <c r="E186" s="71">
        <v>45698</v>
      </c>
      <c r="F186" s="72">
        <f>IF($E186="","",WORKDAY($E186,1,$W$33:$W$42))</f>
        <v>45699</v>
      </c>
      <c r="G186" s="72">
        <f>IF($E186="","",WORKDAY($E186,10,$W$33:$W$42))</f>
        <v>45712</v>
      </c>
      <c r="H186" s="72">
        <f>IF($E186="","",WORKDAY($E186,20,$W$33:$W$42))</f>
        <v>45726</v>
      </c>
      <c r="I186" s="72"/>
      <c r="J186" s="69" t="str">
        <f t="shared" si="9"/>
        <v>Feb</v>
      </c>
      <c r="K186" s="14" t="str">
        <f ca="1">IF(E186="","",IF(N186="",H186-TODAY(),""))</f>
        <v/>
      </c>
      <c r="L186" s="70" t="s">
        <v>1662</v>
      </c>
      <c r="M186" s="70" t="s">
        <v>20</v>
      </c>
      <c r="N186" s="70">
        <v>45698</v>
      </c>
      <c r="O186" s="145">
        <f>IF($N186="","",NETWORKDAYS($E186,$N186,$X$33:$X$48)-1)</f>
        <v>0</v>
      </c>
      <c r="P186" s="146" t="str">
        <f>IF(ISBLANK(N186),"",IF(N186&gt;H186,"No","Yes"))</f>
        <v>Yes</v>
      </c>
      <c r="Q186" s="73" t="s">
        <v>117</v>
      </c>
      <c r="R186" s="71" t="s">
        <v>118</v>
      </c>
      <c r="S186" s="77"/>
      <c r="T186" s="69"/>
      <c r="AS186" s="144" t="str">
        <v>Quarter 4</v>
      </c>
    </row>
    <row r="187" spans="1:45" ht="30" customHeight="1" x14ac:dyDescent="0.35">
      <c r="A187" s="75">
        <v>186</v>
      </c>
      <c r="B187" s="69" t="s">
        <v>138</v>
      </c>
      <c r="C187" s="69" t="s">
        <v>19</v>
      </c>
      <c r="D187" s="69" t="s">
        <v>1878</v>
      </c>
      <c r="E187" s="71">
        <v>45699</v>
      </c>
      <c r="F187" s="72">
        <f>IF($E187="","",WORKDAY($E187,1,$W$33:$W$42))</f>
        <v>45700</v>
      </c>
      <c r="G187" s="72">
        <f>IF($E187="","",WORKDAY($E187,10,$W$33:$W$42))</f>
        <v>45713</v>
      </c>
      <c r="H187" s="72">
        <f>IF($E187="","",WORKDAY($E187,20,$W$33:$W$42))</f>
        <v>45727</v>
      </c>
      <c r="I187" s="72"/>
      <c r="J187" s="69" t="str">
        <f t="shared" si="9"/>
        <v>Feb</v>
      </c>
      <c r="K187" s="14" t="str">
        <f ca="1">IF(E187="","",IF(N187="",H187-TODAY(),""))</f>
        <v/>
      </c>
      <c r="L187" s="70" t="s">
        <v>1662</v>
      </c>
      <c r="M187" s="70" t="s">
        <v>14</v>
      </c>
      <c r="N187" s="70">
        <v>45720</v>
      </c>
      <c r="O187" s="145">
        <f>IF($N187="","",NETWORKDAYS($E187,$N187,$X$33:$X$48)-1)</f>
        <v>15</v>
      </c>
      <c r="P187" s="146" t="str">
        <f>IF(ISBLANK(N187),"",IF(N187&gt;H187,"No","Yes"))</f>
        <v>Yes</v>
      </c>
      <c r="Q187" s="73" t="s">
        <v>117</v>
      </c>
      <c r="R187" s="71" t="s">
        <v>118</v>
      </c>
      <c r="S187" s="77"/>
      <c r="T187" s="69"/>
      <c r="AS187" s="144" t="str">
        <v>Quarter 4</v>
      </c>
    </row>
    <row r="188" spans="1:45" ht="30" customHeight="1" x14ac:dyDescent="0.35">
      <c r="A188" s="75">
        <v>187</v>
      </c>
      <c r="B188" s="69" t="s">
        <v>1879</v>
      </c>
      <c r="C188" s="69" t="s">
        <v>13</v>
      </c>
      <c r="D188" s="69" t="s">
        <v>1880</v>
      </c>
      <c r="E188" s="71">
        <v>45701</v>
      </c>
      <c r="F188" s="72">
        <f>IF($E188="","",WORKDAY($E188,1,$W$33:$W$42))</f>
        <v>45702</v>
      </c>
      <c r="G188" s="72">
        <f>IF($E188="","",WORKDAY($E188,10,$W$33:$W$42))</f>
        <v>45715</v>
      </c>
      <c r="H188" s="72">
        <f>IF($E188="","",WORKDAY($E188,20,$W$33:$W$42))</f>
        <v>45729</v>
      </c>
      <c r="I188" s="72"/>
      <c r="J188" s="69" t="str">
        <f t="shared" si="9"/>
        <v>Feb</v>
      </c>
      <c r="K188" s="14" t="str">
        <f ca="1">IF(E188="","",IF(N188="",H188-TODAY(),""))</f>
        <v/>
      </c>
      <c r="L188" s="70" t="s">
        <v>1662</v>
      </c>
      <c r="M188" s="70" t="s">
        <v>20</v>
      </c>
      <c r="N188" s="70">
        <v>45707</v>
      </c>
      <c r="O188" s="145">
        <f>IF($N188="","",NETWORKDAYS($E188,$N188,$X$33:$X$48)-1)</f>
        <v>4</v>
      </c>
      <c r="P188" s="146" t="str">
        <f>IF(ISBLANK(N188),"",IF(N188&gt;H188,"No","Yes"))</f>
        <v>Yes</v>
      </c>
      <c r="Q188" s="73" t="s">
        <v>117</v>
      </c>
      <c r="R188" s="71" t="s">
        <v>118</v>
      </c>
      <c r="S188" s="77"/>
      <c r="T188" s="69" t="s">
        <v>1881</v>
      </c>
      <c r="AS188" s="144" t="str">
        <v>Quarter 4</v>
      </c>
    </row>
    <row r="189" spans="1:45" ht="30" customHeight="1" x14ac:dyDescent="0.35">
      <c r="A189" s="75">
        <v>188</v>
      </c>
      <c r="B189" s="69" t="s">
        <v>8</v>
      </c>
      <c r="C189" s="69" t="s">
        <v>8</v>
      </c>
      <c r="D189" s="69" t="s">
        <v>1882</v>
      </c>
      <c r="E189" s="71">
        <v>45705</v>
      </c>
      <c r="F189" s="72">
        <f>IF($E189="","",WORKDAY($E189,1,$W$33:$W$42))</f>
        <v>45706</v>
      </c>
      <c r="G189" s="72">
        <f>IF($E189="","",WORKDAY($E189,10,$W$33:$W$42))</f>
        <v>45719</v>
      </c>
      <c r="H189" s="72">
        <f>IF($E189="","",WORKDAY($E189,20,$W$33:$W$42))</f>
        <v>45733</v>
      </c>
      <c r="I189" s="72"/>
      <c r="J189" s="69" t="str">
        <f t="shared" si="9"/>
        <v>Feb</v>
      </c>
      <c r="K189" s="14" t="str">
        <f ca="1">IF(E189="","",IF(N189="",H189-TODAY(),""))</f>
        <v/>
      </c>
      <c r="L189" s="70" t="s">
        <v>1662</v>
      </c>
      <c r="M189" s="70" t="s">
        <v>24</v>
      </c>
      <c r="N189" s="70">
        <v>45719</v>
      </c>
      <c r="O189" s="145">
        <f>IF($N189="","",NETWORKDAYS($E189,$N189,$X$33:$X$48)-1)</f>
        <v>10</v>
      </c>
      <c r="P189" s="146" t="str">
        <f>IF(ISBLANK(N189),"",IF(N189&gt;H189,"No","Yes"))</f>
        <v>Yes</v>
      </c>
      <c r="Q189" s="73" t="s">
        <v>117</v>
      </c>
      <c r="R189" s="71" t="s">
        <v>118</v>
      </c>
      <c r="S189" s="77"/>
      <c r="T189" s="69"/>
      <c r="AS189" s="144" t="str">
        <v>Quarter 4</v>
      </c>
    </row>
    <row r="190" spans="1:45" ht="30" customHeight="1" x14ac:dyDescent="0.35">
      <c r="A190" s="75">
        <v>189</v>
      </c>
      <c r="B190" s="69" t="s">
        <v>8</v>
      </c>
      <c r="C190" s="69" t="s">
        <v>8</v>
      </c>
      <c r="D190" s="69" t="s">
        <v>1883</v>
      </c>
      <c r="E190" s="71">
        <v>45705</v>
      </c>
      <c r="F190" s="72">
        <f>IF($E190="","",WORKDAY($E190,1,$W$33:$W$42))</f>
        <v>45706</v>
      </c>
      <c r="G190" s="72">
        <f>IF($E190="","",WORKDAY($E190,10,$W$33:$W$42))</f>
        <v>45719</v>
      </c>
      <c r="H190" s="72">
        <f>IF($E190="","",WORKDAY($E190,20,$W$33:$W$42))</f>
        <v>45733</v>
      </c>
      <c r="I190" s="72"/>
      <c r="J190" s="69" t="str">
        <f t="shared" si="9"/>
        <v>Feb</v>
      </c>
      <c r="K190" s="14" t="str">
        <f ca="1">IF(E190="","",IF(N190="",H190-TODAY(),""))</f>
        <v/>
      </c>
      <c r="L190" s="70" t="s">
        <v>1662</v>
      </c>
      <c r="M190" s="70" t="s">
        <v>20</v>
      </c>
      <c r="N190" s="70">
        <v>45707</v>
      </c>
      <c r="O190" s="145">
        <f>IF($N190="","",NETWORKDAYS($E190,$N190,$X$33:$X$48)-1)</f>
        <v>2</v>
      </c>
      <c r="P190" s="146" t="str">
        <f>IF(ISBLANK(N190),"",IF(N190&gt;H190,"No","Yes"))</f>
        <v>Yes</v>
      </c>
      <c r="Q190" s="73" t="s">
        <v>117</v>
      </c>
      <c r="R190" s="71" t="s">
        <v>132</v>
      </c>
      <c r="S190" s="77" t="s">
        <v>1668</v>
      </c>
      <c r="T190" s="69"/>
      <c r="AS190" s="144" t="str">
        <v>Quarter 4</v>
      </c>
    </row>
    <row r="191" spans="1:45" ht="30" customHeight="1" x14ac:dyDescent="0.35">
      <c r="A191" s="75">
        <v>190</v>
      </c>
      <c r="B191" s="69" t="s">
        <v>8</v>
      </c>
      <c r="C191" s="69" t="s">
        <v>8</v>
      </c>
      <c r="D191" s="69" t="s">
        <v>1884</v>
      </c>
      <c r="E191" s="71">
        <v>45705</v>
      </c>
      <c r="F191" s="72">
        <f>IF($E191="","",WORKDAY($E191,1,$W$33:$W$42))</f>
        <v>45706</v>
      </c>
      <c r="G191" s="72">
        <f>IF($E191="","",WORKDAY($E191,10,$W$33:$W$42))</f>
        <v>45719</v>
      </c>
      <c r="H191" s="72">
        <f>IF($E191="","",WORKDAY($E191,20,$W$33:$W$42))</f>
        <v>45733</v>
      </c>
      <c r="I191" s="72"/>
      <c r="J191" s="69" t="str">
        <f t="shared" si="9"/>
        <v>Feb</v>
      </c>
      <c r="K191" s="14" t="str">
        <f ca="1">IF(E191="","",IF(N191="",H191-TODAY(),""))</f>
        <v/>
      </c>
      <c r="L191" s="70" t="s">
        <v>5</v>
      </c>
      <c r="M191" s="70" t="s">
        <v>16</v>
      </c>
      <c r="N191" s="70">
        <v>45707</v>
      </c>
      <c r="O191" s="145">
        <f>IF($N191="","",NETWORKDAYS($E191,$N191,$X$33:$X$48)-1)</f>
        <v>2</v>
      </c>
      <c r="P191" s="146" t="str">
        <f>IF(ISBLANK(N191),"",IF(N191&gt;H191,"No","Yes"))</f>
        <v>Yes</v>
      </c>
      <c r="Q191" s="73" t="s">
        <v>117</v>
      </c>
      <c r="R191" s="71" t="s">
        <v>118</v>
      </c>
      <c r="S191" s="77"/>
      <c r="T191" s="69"/>
      <c r="AS191" s="144" t="str">
        <v>Quarter 4</v>
      </c>
    </row>
    <row r="192" spans="1:45" ht="30" customHeight="1" x14ac:dyDescent="0.35">
      <c r="A192" s="75">
        <v>191</v>
      </c>
      <c r="B192" s="69" t="s">
        <v>293</v>
      </c>
      <c r="C192" s="69" t="s">
        <v>6</v>
      </c>
      <c r="D192" s="69" t="s">
        <v>1885</v>
      </c>
      <c r="E192" s="71">
        <v>45705</v>
      </c>
      <c r="F192" s="72">
        <f>IF($E192="","",WORKDAY($E192,1,$W$33:$W$42))</f>
        <v>45706</v>
      </c>
      <c r="G192" s="72">
        <f>IF($E192="","",WORKDAY($E192,10,$W$33:$W$42))</f>
        <v>45719</v>
      </c>
      <c r="H192" s="72">
        <f>IF($E192="","",WORKDAY($E192,20,$W$33:$W$42))</f>
        <v>45733</v>
      </c>
      <c r="I192" s="72"/>
      <c r="J192" s="69" t="str">
        <f t="shared" ref="J192:J209" si="10">IF(ISBLANK(E192),"",TEXT(E192,"mmm"))</f>
        <v>Feb</v>
      </c>
      <c r="K192" s="14" t="str">
        <f ca="1">IF(E192="","",IF(N192="",H192-TODAY(),""))</f>
        <v/>
      </c>
      <c r="L192" s="70" t="s">
        <v>1662</v>
      </c>
      <c r="M192" s="70" t="s">
        <v>20</v>
      </c>
      <c r="N192" s="70">
        <v>45714</v>
      </c>
      <c r="O192" s="145">
        <f>IF($N192="","",NETWORKDAYS($E192,$N192,$X$33:$X$48)-1)</f>
        <v>7</v>
      </c>
      <c r="P192" s="146" t="str">
        <f>IF(ISBLANK(N192),"",IF(N192&gt;H192,"No","Yes"))</f>
        <v>Yes</v>
      </c>
      <c r="Q192" s="73" t="s">
        <v>117</v>
      </c>
      <c r="R192" s="71" t="s">
        <v>118</v>
      </c>
      <c r="S192" s="77"/>
      <c r="T192" s="69"/>
      <c r="AS192" s="144" t="str">
        <v>Quarter 4</v>
      </c>
    </row>
    <row r="193" spans="1:45" ht="30" customHeight="1" x14ac:dyDescent="0.35">
      <c r="A193" s="75">
        <v>192</v>
      </c>
      <c r="B193" s="69" t="s">
        <v>138</v>
      </c>
      <c r="C193" s="69" t="s">
        <v>19</v>
      </c>
      <c r="D193" s="69" t="s">
        <v>1886</v>
      </c>
      <c r="E193" s="71">
        <v>45705</v>
      </c>
      <c r="F193" s="72">
        <f>IF($E193="","",WORKDAY($E193,1,$W$33:$W$42))</f>
        <v>45706</v>
      </c>
      <c r="G193" s="72">
        <f>IF($E193="","",WORKDAY($E193,10,$W$33:$W$42))</f>
        <v>45719</v>
      </c>
      <c r="H193" s="72">
        <f>IF($E193="","",WORKDAY($E193,20,$W$33:$W$42))</f>
        <v>45733</v>
      </c>
      <c r="I193" s="72"/>
      <c r="J193" s="69" t="str">
        <f t="shared" si="10"/>
        <v>Feb</v>
      </c>
      <c r="K193" s="14" t="str">
        <f ca="1">IF(E193="","",IF(N193="",H193-TODAY(),""))</f>
        <v/>
      </c>
      <c r="L193" s="70" t="s">
        <v>1662</v>
      </c>
      <c r="M193" s="70" t="s">
        <v>24</v>
      </c>
      <c r="N193" s="70">
        <v>45733</v>
      </c>
      <c r="O193" s="145">
        <f>IF($N193="","",NETWORKDAYS($E193,$N193,$X$33:$X$48)-1)</f>
        <v>20</v>
      </c>
      <c r="P193" s="146" t="str">
        <f>IF(ISBLANK(N193),"",IF(N193&gt;H193,"No","Yes"))</f>
        <v>Yes</v>
      </c>
      <c r="Q193" s="73" t="s">
        <v>117</v>
      </c>
      <c r="R193" s="71" t="s">
        <v>118</v>
      </c>
      <c r="S193" s="77"/>
      <c r="T193" s="69"/>
      <c r="AS193" s="144" t="str">
        <v>Quarter 4</v>
      </c>
    </row>
    <row r="194" spans="1:45" ht="30" customHeight="1" x14ac:dyDescent="0.35">
      <c r="A194" s="75">
        <v>193</v>
      </c>
      <c r="B194" s="69" t="s">
        <v>1887</v>
      </c>
      <c r="C194" s="69" t="s">
        <v>13</v>
      </c>
      <c r="D194" s="69" t="s">
        <v>1888</v>
      </c>
      <c r="E194" s="71">
        <v>45707</v>
      </c>
      <c r="F194" s="72">
        <f>IF($E194="","",WORKDAY($E194,1,$W$33:$W$42))</f>
        <v>45708</v>
      </c>
      <c r="G194" s="72">
        <f>IF($E194="","",WORKDAY($E194,10,$W$33:$W$42))</f>
        <v>45721</v>
      </c>
      <c r="H194" s="72">
        <f>IF($E194="","",WORKDAY($E194,20,$W$33:$W$42))</f>
        <v>45735</v>
      </c>
      <c r="I194" s="72"/>
      <c r="J194" s="69" t="str">
        <f t="shared" si="10"/>
        <v>Feb</v>
      </c>
      <c r="K194" s="14" t="str">
        <f ca="1">IF(E194="","",IF(N194="",H194-TODAY(),""))</f>
        <v/>
      </c>
      <c r="L194" s="70" t="s">
        <v>1662</v>
      </c>
      <c r="M194" s="70" t="s">
        <v>20</v>
      </c>
      <c r="N194" s="70">
        <v>45707</v>
      </c>
      <c r="O194" s="145">
        <f>IF($N194="","",NETWORKDAYS($E194,$N194,$X$33:$X$48)-1)</f>
        <v>0</v>
      </c>
      <c r="P194" s="146" t="str">
        <f>IF(ISBLANK(N194),"",IF(N194&gt;H194,"No","Yes"))</f>
        <v>Yes</v>
      </c>
      <c r="Q194" s="73" t="s">
        <v>117</v>
      </c>
      <c r="R194" s="71" t="s">
        <v>132</v>
      </c>
      <c r="S194" s="77" t="s">
        <v>1671</v>
      </c>
      <c r="T194" s="69"/>
      <c r="AS194" s="144" t="str">
        <v>Quarter 4</v>
      </c>
    </row>
    <row r="195" spans="1:45" ht="30" customHeight="1" x14ac:dyDescent="0.35">
      <c r="A195" s="75">
        <v>194</v>
      </c>
      <c r="B195" s="69" t="s">
        <v>8</v>
      </c>
      <c r="C195" s="69" t="s">
        <v>8</v>
      </c>
      <c r="D195" s="69" t="s">
        <v>1889</v>
      </c>
      <c r="E195" s="71">
        <v>45708</v>
      </c>
      <c r="F195" s="72">
        <f>IF($E195="","",WORKDAY($E195,1,$W$33:$W$42))</f>
        <v>45709</v>
      </c>
      <c r="G195" s="72">
        <f>IF($E195="","",WORKDAY($E195,10,$W$33:$W$42))</f>
        <v>45722</v>
      </c>
      <c r="H195" s="72">
        <f>IF($E195="","",WORKDAY($E195,20,$W$33:$W$42))</f>
        <v>45736</v>
      </c>
      <c r="I195" s="72"/>
      <c r="J195" s="69" t="str">
        <f t="shared" si="10"/>
        <v>Feb</v>
      </c>
      <c r="K195" s="14" t="str">
        <f ca="1">IF(E195="","",IF(N195="",H195-TODAY(),""))</f>
        <v/>
      </c>
      <c r="L195" s="70" t="s">
        <v>1662</v>
      </c>
      <c r="M195" s="70" t="s">
        <v>24</v>
      </c>
      <c r="N195" s="70">
        <v>45713</v>
      </c>
      <c r="O195" s="145">
        <f>IF($N195="","",NETWORKDAYS($E195,$N195,$X$33:$X$48)-1)</f>
        <v>3</v>
      </c>
      <c r="P195" s="146" t="str">
        <f>IF(ISBLANK(N195),"",IF(N195&gt;H195,"No","Yes"))</f>
        <v>Yes</v>
      </c>
      <c r="Q195" s="73" t="s">
        <v>117</v>
      </c>
      <c r="R195" s="71" t="s">
        <v>126</v>
      </c>
      <c r="S195" s="77" t="s">
        <v>1665</v>
      </c>
      <c r="T195" s="69" t="s">
        <v>1890</v>
      </c>
      <c r="AS195" s="144" t="str">
        <v>Quarter 4</v>
      </c>
    </row>
    <row r="196" spans="1:45" ht="30" customHeight="1" x14ac:dyDescent="0.35">
      <c r="A196" s="75">
        <v>195</v>
      </c>
      <c r="B196" s="69" t="s">
        <v>800</v>
      </c>
      <c r="C196" s="69" t="s">
        <v>6</v>
      </c>
      <c r="D196" s="69" t="s">
        <v>1891</v>
      </c>
      <c r="E196" s="71">
        <v>45713</v>
      </c>
      <c r="F196" s="72">
        <f>IF($E196="","",WORKDAY($E196,1,$W$33:$W$42))</f>
        <v>45714</v>
      </c>
      <c r="G196" s="72">
        <f>IF($E196="","",WORKDAY($E196,10,$W$33:$W$42))</f>
        <v>45727</v>
      </c>
      <c r="H196" s="72">
        <f>IF($E196="","",WORKDAY($E196,20,$W$33:$W$42))</f>
        <v>45741</v>
      </c>
      <c r="I196" s="72"/>
      <c r="J196" s="69" t="str">
        <f t="shared" si="10"/>
        <v>Feb</v>
      </c>
      <c r="K196" s="14" t="str">
        <f ca="1">IF(E196="","",IF(N196="",H196-TODAY(),""))</f>
        <v/>
      </c>
      <c r="L196" s="70" t="s">
        <v>1662</v>
      </c>
      <c r="M196" s="70" t="s">
        <v>20</v>
      </c>
      <c r="N196" s="70">
        <v>45727</v>
      </c>
      <c r="O196" s="145">
        <f>IF($N196="","",NETWORKDAYS($E196,$N196,$X$33:$X$48)-1)</f>
        <v>10</v>
      </c>
      <c r="P196" s="146" t="str">
        <f>IF(ISBLANK(N196),"",IF(N196&gt;H196,"No","Yes"))</f>
        <v>Yes</v>
      </c>
      <c r="Q196" s="73" t="s">
        <v>117</v>
      </c>
      <c r="R196" s="71" t="s">
        <v>118</v>
      </c>
      <c r="S196" s="77"/>
      <c r="T196" s="69" t="s">
        <v>141</v>
      </c>
      <c r="AS196" s="144" t="str">
        <v>Quarter 4</v>
      </c>
    </row>
    <row r="197" spans="1:45" ht="30" customHeight="1" x14ac:dyDescent="0.35">
      <c r="A197" s="75">
        <v>196</v>
      </c>
      <c r="B197" s="69" t="s">
        <v>8</v>
      </c>
      <c r="C197" s="69" t="s">
        <v>8</v>
      </c>
      <c r="D197" s="69" t="s">
        <v>1892</v>
      </c>
      <c r="E197" s="71">
        <v>45713</v>
      </c>
      <c r="F197" s="72">
        <f>IF($E197="","",WORKDAY($E197,1,$W$33:$W$42))</f>
        <v>45714</v>
      </c>
      <c r="G197" s="72">
        <f>IF($E197="","",WORKDAY($E197,10,$W$33:$W$42))</f>
        <v>45727</v>
      </c>
      <c r="H197" s="72">
        <f>IF($E197="","",WORKDAY($E197,20,$W$33:$W$42))</f>
        <v>45741</v>
      </c>
      <c r="I197" s="72"/>
      <c r="J197" s="69" t="str">
        <f t="shared" si="10"/>
        <v>Feb</v>
      </c>
      <c r="K197" s="14" t="str">
        <f ca="1">IF(E197="","",IF(N197="",H197-TODAY(),""))</f>
        <v/>
      </c>
      <c r="L197" s="70" t="s">
        <v>1662</v>
      </c>
      <c r="M197" s="70" t="s">
        <v>24</v>
      </c>
      <c r="N197" s="70">
        <v>45727</v>
      </c>
      <c r="O197" s="145">
        <f>IF($N197="","",NETWORKDAYS($E197,$N197,$X$33:$X$48)-1)</f>
        <v>10</v>
      </c>
      <c r="P197" s="146" t="str">
        <f>IF(ISBLANK(N197),"",IF(N197&gt;H197,"No","Yes"))</f>
        <v>Yes</v>
      </c>
      <c r="Q197" s="73" t="s">
        <v>117</v>
      </c>
      <c r="R197" s="71" t="s">
        <v>150</v>
      </c>
      <c r="S197" s="77"/>
      <c r="T197" s="69"/>
      <c r="AS197" s="144" t="str">
        <v>Quarter 4</v>
      </c>
    </row>
    <row r="198" spans="1:45" ht="30" customHeight="1" x14ac:dyDescent="0.35">
      <c r="A198" s="75">
        <v>197</v>
      </c>
      <c r="B198" s="69" t="s">
        <v>8</v>
      </c>
      <c r="C198" s="69" t="s">
        <v>8</v>
      </c>
      <c r="D198" s="69" t="s">
        <v>1893</v>
      </c>
      <c r="E198" s="71">
        <v>45714</v>
      </c>
      <c r="F198" s="72">
        <f>IF($E198="","",WORKDAY($E198,1,$W$33:$W$42))</f>
        <v>45715</v>
      </c>
      <c r="G198" s="72">
        <f>IF($E198="","",WORKDAY($E198,10,$W$33:$W$42))</f>
        <v>45728</v>
      </c>
      <c r="H198" s="72">
        <f>IF($E198="","",WORKDAY($E198,20,$W$33:$W$42))</f>
        <v>45742</v>
      </c>
      <c r="I198" s="72"/>
      <c r="J198" s="69" t="str">
        <f t="shared" si="10"/>
        <v>Feb</v>
      </c>
      <c r="K198" s="14" t="str">
        <f ca="1">IF(E198="","",IF(N198="",H198-TODAY(),""))</f>
        <v/>
      </c>
      <c r="L198" s="70" t="s">
        <v>1662</v>
      </c>
      <c r="M198" s="70" t="s">
        <v>24</v>
      </c>
      <c r="N198" s="70">
        <v>45719</v>
      </c>
      <c r="O198" s="145">
        <f>IF($N198="","",NETWORKDAYS($E198,$N198,$X$33:$X$48)-1)</f>
        <v>3</v>
      </c>
      <c r="P198" s="146" t="str">
        <f>IF(ISBLANK(N198),"",IF(N198&gt;H198,"No","Yes"))</f>
        <v>Yes</v>
      </c>
      <c r="Q198" s="73" t="s">
        <v>117</v>
      </c>
      <c r="R198" s="71" t="s">
        <v>118</v>
      </c>
      <c r="S198" s="77"/>
      <c r="T198" s="69"/>
      <c r="AS198" s="144" t="str">
        <v>Quarter 4</v>
      </c>
    </row>
    <row r="199" spans="1:45" ht="30" customHeight="1" x14ac:dyDescent="0.35">
      <c r="A199" s="75">
        <v>198</v>
      </c>
      <c r="B199" s="69" t="s">
        <v>969</v>
      </c>
      <c r="C199" s="69" t="s">
        <v>6</v>
      </c>
      <c r="D199" s="69" t="s">
        <v>1790</v>
      </c>
      <c r="E199" s="71">
        <v>45714</v>
      </c>
      <c r="F199" s="72">
        <f>IF($E199="","",WORKDAY($E199,1,$W$33:$W$42))</f>
        <v>45715</v>
      </c>
      <c r="G199" s="72">
        <f>IF($E199="","",WORKDAY($E199,10,$W$33:$W$42))</f>
        <v>45728</v>
      </c>
      <c r="H199" s="72">
        <f>IF($E199="","",WORKDAY($E199,20,$W$33:$W$42))</f>
        <v>45742</v>
      </c>
      <c r="I199" s="72"/>
      <c r="J199" s="69" t="str">
        <f t="shared" si="10"/>
        <v>Feb</v>
      </c>
      <c r="K199" s="14" t="str">
        <f ca="1">IF(E199="","",IF(N199="",H199-TODAY(),""))</f>
        <v/>
      </c>
      <c r="L199" s="70" t="s">
        <v>1662</v>
      </c>
      <c r="M199" s="70" t="s">
        <v>20</v>
      </c>
      <c r="N199" s="70">
        <v>45715</v>
      </c>
      <c r="O199" s="145">
        <f>IF($N199="","",NETWORKDAYS($E199,$N199,$X$33:$X$48)-1)</f>
        <v>1</v>
      </c>
      <c r="P199" s="146" t="str">
        <f>IF(ISBLANK(N199),"",IF(N199&gt;H199,"No","Yes"))</f>
        <v>Yes</v>
      </c>
      <c r="Q199" s="73" t="s">
        <v>117</v>
      </c>
      <c r="R199" s="71" t="s">
        <v>118</v>
      </c>
      <c r="S199" s="77"/>
      <c r="T199" s="69"/>
      <c r="AS199" s="144" t="str">
        <v>Quarter 4</v>
      </c>
    </row>
    <row r="200" spans="1:45" ht="30" customHeight="1" x14ac:dyDescent="0.35">
      <c r="A200" s="75">
        <v>199</v>
      </c>
      <c r="B200" s="69" t="s">
        <v>8</v>
      </c>
      <c r="C200" s="69" t="s">
        <v>8</v>
      </c>
      <c r="D200" s="69" t="s">
        <v>1894</v>
      </c>
      <c r="E200" s="71">
        <v>45714</v>
      </c>
      <c r="F200" s="72">
        <f>IF($E200="","",WORKDAY($E200,1,$W$33:$W$42))</f>
        <v>45715</v>
      </c>
      <c r="G200" s="72">
        <f>IF($E200="","",WORKDAY($E200,10,$W$33:$W$42))</f>
        <v>45728</v>
      </c>
      <c r="H200" s="72">
        <f>IF($E200="","",WORKDAY($E200,20,$W$33:$W$42))</f>
        <v>45742</v>
      </c>
      <c r="I200" s="72"/>
      <c r="J200" s="69" t="str">
        <f t="shared" si="10"/>
        <v>Feb</v>
      </c>
      <c r="K200" s="14" t="str">
        <f ca="1">IF(E200="","",IF(N200="",H200-TODAY(),""))</f>
        <v/>
      </c>
      <c r="L200" s="70" t="s">
        <v>1662</v>
      </c>
      <c r="M200" s="70" t="s">
        <v>24</v>
      </c>
      <c r="N200" s="70">
        <v>45741</v>
      </c>
      <c r="O200" s="145">
        <f>IF($N200="","",NETWORKDAYS($E200,$N200,$X$33:$X$48)-1)</f>
        <v>19</v>
      </c>
      <c r="P200" s="146" t="str">
        <f>IF(ISBLANK(N200),"",IF(N200&gt;H200,"No","Yes"))</f>
        <v>Yes</v>
      </c>
      <c r="Q200" s="73" t="s">
        <v>117</v>
      </c>
      <c r="R200" s="71" t="s">
        <v>118</v>
      </c>
      <c r="S200" s="77"/>
      <c r="T200" s="69" t="s">
        <v>141</v>
      </c>
      <c r="AS200" s="144" t="str">
        <v>Quarter 4</v>
      </c>
    </row>
    <row r="201" spans="1:45" ht="30" customHeight="1" x14ac:dyDescent="0.35">
      <c r="A201" s="75">
        <v>200</v>
      </c>
      <c r="B201" s="69" t="s">
        <v>8</v>
      </c>
      <c r="C201" s="69" t="s">
        <v>8</v>
      </c>
      <c r="D201" s="69" t="s">
        <v>1895</v>
      </c>
      <c r="E201" s="71">
        <v>45719</v>
      </c>
      <c r="F201" s="72">
        <f>IF($E201="","",WORKDAY($E201,1,$W$33:$W$42))</f>
        <v>45720</v>
      </c>
      <c r="G201" s="72">
        <f>IF($E201="","",WORKDAY($E201,10,$W$33:$W$42))</f>
        <v>45733</v>
      </c>
      <c r="H201" s="72">
        <f>IF($E201="","",WORKDAY($E201,20,$W$33:$W$42))</f>
        <v>45747</v>
      </c>
      <c r="I201" s="72"/>
      <c r="J201" s="69" t="str">
        <f t="shared" si="10"/>
        <v>Mar</v>
      </c>
      <c r="K201" s="14" t="str">
        <f ca="1">IF(E201="","",IF(N201="",H201-TODAY(),""))</f>
        <v/>
      </c>
      <c r="L201" s="70" t="s">
        <v>1662</v>
      </c>
      <c r="M201" s="70" t="s">
        <v>24</v>
      </c>
      <c r="N201" s="70">
        <v>45719</v>
      </c>
      <c r="O201" s="145">
        <f>IF($N201="","",NETWORKDAYS($E201,$N201,$X$33:$X$48)-1)</f>
        <v>0</v>
      </c>
      <c r="P201" s="146" t="str">
        <f>IF(ISBLANK(N201),"",IF(N201&gt;H201,"No","Yes"))</f>
        <v>Yes</v>
      </c>
      <c r="Q201" s="73" t="s">
        <v>117</v>
      </c>
      <c r="R201" s="71" t="s">
        <v>118</v>
      </c>
      <c r="S201" s="77"/>
      <c r="T201" s="69"/>
      <c r="AS201" s="144" t="str">
        <v>Quarter 4</v>
      </c>
    </row>
    <row r="202" spans="1:45" ht="30" customHeight="1" x14ac:dyDescent="0.35">
      <c r="A202" s="75">
        <v>201</v>
      </c>
      <c r="B202" s="69" t="s">
        <v>8</v>
      </c>
      <c r="C202" s="69" t="s">
        <v>8</v>
      </c>
      <c r="D202" s="69" t="s">
        <v>1896</v>
      </c>
      <c r="E202" s="71">
        <v>45719</v>
      </c>
      <c r="F202" s="72">
        <f>IF($E202="","",WORKDAY($E202,1,$W$33:$W$42))</f>
        <v>45720</v>
      </c>
      <c r="G202" s="72">
        <f>IF($E202="","",WORKDAY($E202,10,$W$33:$W$42))</f>
        <v>45733</v>
      </c>
      <c r="H202" s="72">
        <f>IF($E202="","",WORKDAY($E202,20,$W$33:$W$42))</f>
        <v>45747</v>
      </c>
      <c r="I202" s="72"/>
      <c r="J202" s="69" t="str">
        <f t="shared" si="10"/>
        <v>Mar</v>
      </c>
      <c r="K202" s="14" t="str">
        <f ca="1">IF(E202="","",IF(N202="",H202-TODAY(),""))</f>
        <v/>
      </c>
      <c r="L202" s="70" t="s">
        <v>1662</v>
      </c>
      <c r="M202" s="70" t="s">
        <v>24</v>
      </c>
      <c r="N202" s="70">
        <v>45720</v>
      </c>
      <c r="O202" s="145">
        <f>IF($N202="","",NETWORKDAYS($E202,$N202,$X$33:$X$48)-1)</f>
        <v>1</v>
      </c>
      <c r="P202" s="146" t="str">
        <f>IF(ISBLANK(N202),"",IF(N202&gt;H202,"No","Yes"))</f>
        <v>Yes</v>
      </c>
      <c r="Q202" s="73" t="s">
        <v>117</v>
      </c>
      <c r="R202" s="71" t="s">
        <v>118</v>
      </c>
      <c r="S202" s="77"/>
      <c r="T202" s="69"/>
      <c r="AS202" s="144" t="str">
        <v>Quarter 4</v>
      </c>
    </row>
    <row r="203" spans="1:45" ht="30" customHeight="1" x14ac:dyDescent="0.35">
      <c r="A203" s="75">
        <v>202</v>
      </c>
      <c r="B203" s="69" t="s">
        <v>8</v>
      </c>
      <c r="C203" s="69" t="s">
        <v>8</v>
      </c>
      <c r="D203" s="69" t="s">
        <v>1897</v>
      </c>
      <c r="E203" s="71">
        <v>45719</v>
      </c>
      <c r="F203" s="72">
        <f>IF($E203="","",WORKDAY($E203,1,$W$33:$W$42))</f>
        <v>45720</v>
      </c>
      <c r="G203" s="72">
        <f>IF($E203="","",WORKDAY($E203,10,$W$33:$W$42))</f>
        <v>45733</v>
      </c>
      <c r="H203" s="72">
        <f>IF($E203="","",WORKDAY($E203,20,$W$33:$W$42))</f>
        <v>45747</v>
      </c>
      <c r="I203" s="72"/>
      <c r="J203" s="69" t="str">
        <f t="shared" si="10"/>
        <v>Mar</v>
      </c>
      <c r="K203" s="14" t="str">
        <f ca="1">IF(E203="","",IF(N203="",H203-TODAY(),""))</f>
        <v/>
      </c>
      <c r="L203" s="70" t="s">
        <v>1662</v>
      </c>
      <c r="M203" s="70" t="s">
        <v>24</v>
      </c>
      <c r="N203" s="70">
        <v>45736</v>
      </c>
      <c r="O203" s="145">
        <f>IF($N203="","",NETWORKDAYS($E203,$N203,$X$33:$X$48)-1)</f>
        <v>13</v>
      </c>
      <c r="P203" s="146" t="str">
        <f>IF(ISBLANK(N203),"",IF(N203&gt;H203,"No","Yes"))</f>
        <v>Yes</v>
      </c>
      <c r="Q203" s="73" t="s">
        <v>117</v>
      </c>
      <c r="R203" s="71" t="s">
        <v>118</v>
      </c>
      <c r="S203" s="77"/>
      <c r="T203" s="69"/>
      <c r="AS203" s="144" t="str">
        <v>Quarter 4</v>
      </c>
    </row>
    <row r="204" spans="1:45" ht="30" customHeight="1" x14ac:dyDescent="0.35">
      <c r="A204" s="75">
        <v>203</v>
      </c>
      <c r="B204" s="69" t="s">
        <v>8</v>
      </c>
      <c r="C204" s="69" t="s">
        <v>8</v>
      </c>
      <c r="D204" s="69" t="s">
        <v>1898</v>
      </c>
      <c r="E204" s="71">
        <v>45719</v>
      </c>
      <c r="F204" s="72">
        <f>IF($E204="","",WORKDAY($E204,1,$W$33:$W$42))</f>
        <v>45720</v>
      </c>
      <c r="G204" s="72">
        <f>IF($E204="","",WORKDAY($E204,10,$W$33:$W$42))</f>
        <v>45733</v>
      </c>
      <c r="H204" s="72">
        <f>IF($E204="","",WORKDAY($E204,20,$W$33:$W$42))</f>
        <v>45747</v>
      </c>
      <c r="I204" s="72"/>
      <c r="J204" s="69" t="str">
        <f t="shared" si="10"/>
        <v>Mar</v>
      </c>
      <c r="K204" s="14" t="str">
        <f ca="1">IF(E204="","",IF(N204="",H204-TODAY(),""))</f>
        <v/>
      </c>
      <c r="L204" s="70" t="s">
        <v>1662</v>
      </c>
      <c r="M204" s="70" t="s">
        <v>14</v>
      </c>
      <c r="N204" s="70">
        <v>45733</v>
      </c>
      <c r="O204" s="145">
        <f>IF($N204="","",NETWORKDAYS($E204,$N204,$X$33:$X$48)-1)</f>
        <v>10</v>
      </c>
      <c r="P204" s="146" t="str">
        <f>IF(ISBLANK(N204),"",IF(N204&gt;H204,"No","Yes"))</f>
        <v>Yes</v>
      </c>
      <c r="Q204" s="73" t="s">
        <v>117</v>
      </c>
      <c r="R204" s="71" t="s">
        <v>118</v>
      </c>
      <c r="S204" s="77"/>
      <c r="T204" s="69"/>
      <c r="AS204" s="144" t="str">
        <v>Quarter 4</v>
      </c>
    </row>
    <row r="205" spans="1:45" ht="30" customHeight="1" x14ac:dyDescent="0.35">
      <c r="A205" s="75">
        <v>204</v>
      </c>
      <c r="B205" s="69" t="s">
        <v>8</v>
      </c>
      <c r="C205" s="69" t="s">
        <v>8</v>
      </c>
      <c r="D205" s="69" t="s">
        <v>1899</v>
      </c>
      <c r="E205" s="71">
        <v>45719</v>
      </c>
      <c r="F205" s="72">
        <f>IF($E205="","",WORKDAY($E205,1,$W$33:$W$42))</f>
        <v>45720</v>
      </c>
      <c r="G205" s="72">
        <f>IF($E205="","",WORKDAY($E205,10,$W$33:$W$42))</f>
        <v>45733</v>
      </c>
      <c r="H205" s="72">
        <f>IF($E205="","",WORKDAY($E205,20,$W$33:$W$42))</f>
        <v>45747</v>
      </c>
      <c r="I205" s="72"/>
      <c r="J205" s="69" t="str">
        <f t="shared" si="10"/>
        <v>Mar</v>
      </c>
      <c r="K205" s="14" t="str">
        <f ca="1">IF(E205="","",IF(N205="",H205-TODAY(),""))</f>
        <v/>
      </c>
      <c r="L205" s="70" t="s">
        <v>10</v>
      </c>
      <c r="M205" s="70" t="s">
        <v>12</v>
      </c>
      <c r="N205" s="70">
        <v>45733</v>
      </c>
      <c r="O205" s="145">
        <f>IF($N205="","",NETWORKDAYS($E205,$N205,$X$33:$X$48)-1)</f>
        <v>10</v>
      </c>
      <c r="P205" s="146" t="str">
        <f>IF(ISBLANK(N205),"",IF(N205&gt;H205,"No","Yes"))</f>
        <v>Yes</v>
      </c>
      <c r="Q205" s="73" t="s">
        <v>117</v>
      </c>
      <c r="R205" s="71" t="s">
        <v>118</v>
      </c>
      <c r="S205" s="77"/>
      <c r="T205" s="69"/>
      <c r="AS205" s="144" t="str">
        <v>Quarter 4</v>
      </c>
    </row>
    <row r="206" spans="1:45" ht="30" customHeight="1" x14ac:dyDescent="0.35">
      <c r="A206" s="75">
        <v>205</v>
      </c>
      <c r="B206" s="69" t="s">
        <v>8</v>
      </c>
      <c r="C206" s="69" t="s">
        <v>8</v>
      </c>
      <c r="D206" s="69" t="s">
        <v>1900</v>
      </c>
      <c r="E206" s="71">
        <v>45719</v>
      </c>
      <c r="F206" s="72">
        <f>IF($E206="","",WORKDAY($E206,1,$W$33:$W$42))</f>
        <v>45720</v>
      </c>
      <c r="G206" s="72">
        <f>IF($E206="","",WORKDAY($E206,10,$W$33:$W$42))</f>
        <v>45733</v>
      </c>
      <c r="H206" s="72">
        <f>IF($E206="","",WORKDAY($E206,20,$W$33:$W$42))</f>
        <v>45747</v>
      </c>
      <c r="I206" s="72"/>
      <c r="J206" s="69" t="str">
        <f t="shared" si="10"/>
        <v>Mar</v>
      </c>
      <c r="K206" s="14" t="str">
        <f ca="1">IF(E206="","",IF(N206="",H206-TODAY(),""))</f>
        <v/>
      </c>
      <c r="L206" s="70" t="s">
        <v>1662</v>
      </c>
      <c r="M206" s="70" t="s">
        <v>24</v>
      </c>
      <c r="N206" s="70">
        <v>45756</v>
      </c>
      <c r="O206" s="145">
        <f>IF($N206="","",NETWORKDAYS($E206,$N206,$X$33:$X$48)-1)</f>
        <v>27</v>
      </c>
      <c r="P206" s="146" t="str">
        <f>IF(ISBLANK(N206),"",IF(N206&gt;H206,"No","Yes"))</f>
        <v>No</v>
      </c>
      <c r="Q206" s="73" t="s">
        <v>117</v>
      </c>
      <c r="R206" s="71" t="s">
        <v>118</v>
      </c>
      <c r="S206" s="77"/>
      <c r="T206" s="69" t="s">
        <v>141</v>
      </c>
      <c r="AS206" s="144" t="str">
        <v>Quarter 4</v>
      </c>
    </row>
    <row r="207" spans="1:45" ht="30" customHeight="1" x14ac:dyDescent="0.35">
      <c r="A207" s="75">
        <v>206</v>
      </c>
      <c r="B207" s="69" t="s">
        <v>8</v>
      </c>
      <c r="C207" s="69" t="s">
        <v>8</v>
      </c>
      <c r="D207" s="69" t="s">
        <v>1899</v>
      </c>
      <c r="E207" s="71">
        <v>45719</v>
      </c>
      <c r="F207" s="72">
        <f>IF($E207="","",WORKDAY($E207,1,$W$33:$W$42))</f>
        <v>45720</v>
      </c>
      <c r="G207" s="72">
        <f>IF($E207="","",WORKDAY($E207,10,$W$33:$W$42))</f>
        <v>45733</v>
      </c>
      <c r="H207" s="72">
        <f>IF($E207="","",WORKDAY($E207,20,$W$33:$W$42))</f>
        <v>45747</v>
      </c>
      <c r="I207" s="72"/>
      <c r="J207" s="69" t="str">
        <f t="shared" si="10"/>
        <v>Mar</v>
      </c>
      <c r="K207" s="14" t="str">
        <f ca="1">IF(E207="","",IF(N207="",H207-TODAY(),""))</f>
        <v/>
      </c>
      <c r="L207" s="70" t="s">
        <v>10</v>
      </c>
      <c r="M207" s="70" t="s">
        <v>12</v>
      </c>
      <c r="N207" s="70">
        <v>45733</v>
      </c>
      <c r="O207" s="145">
        <f>IF($N207="","",NETWORKDAYS($E207,$N207,$X$33:$X$48)-1)</f>
        <v>10</v>
      </c>
      <c r="P207" s="146" t="str">
        <f>IF(ISBLANK(N207),"",IF(N207&gt;H207,"No","Yes"))</f>
        <v>Yes</v>
      </c>
      <c r="Q207" s="73" t="s">
        <v>117</v>
      </c>
      <c r="R207" s="71" t="s">
        <v>118</v>
      </c>
      <c r="S207" s="77"/>
      <c r="T207" s="69"/>
      <c r="AS207" s="144" t="str">
        <v>Quarter 4</v>
      </c>
    </row>
    <row r="208" spans="1:45" ht="30" customHeight="1" x14ac:dyDescent="0.35">
      <c r="A208" s="75">
        <v>207</v>
      </c>
      <c r="B208" s="69" t="s">
        <v>1320</v>
      </c>
      <c r="C208" s="69" t="s">
        <v>13</v>
      </c>
      <c r="D208" s="69" t="s">
        <v>1901</v>
      </c>
      <c r="E208" s="71">
        <v>45720</v>
      </c>
      <c r="F208" s="72">
        <f>IF($E208="","",WORKDAY($E208,1,$W$33:$W$42))</f>
        <v>45721</v>
      </c>
      <c r="G208" s="72">
        <f>IF($E208="","",WORKDAY($E208,10,$W$33:$W$42))</f>
        <v>45734</v>
      </c>
      <c r="H208" s="72">
        <f>IF($E208="","",WORKDAY($E208,20,$W$33:$W$42))</f>
        <v>45748</v>
      </c>
      <c r="I208" s="72"/>
      <c r="J208" s="69" t="str">
        <f t="shared" si="10"/>
        <v>Mar</v>
      </c>
      <c r="K208" s="14" t="str">
        <f ca="1">IF(E208="","",IF(N208="",H208-TODAY(),""))</f>
        <v/>
      </c>
      <c r="L208" s="70" t="s">
        <v>1662</v>
      </c>
      <c r="M208" s="70" t="s">
        <v>14</v>
      </c>
      <c r="N208" s="70">
        <v>45720</v>
      </c>
      <c r="O208" s="145">
        <f>IF($N208="","",NETWORKDAYS($E208,$N208,$X$33:$X$48)-1)</f>
        <v>0</v>
      </c>
      <c r="P208" s="146" t="str">
        <f>IF(ISBLANK(N208),"",IF(N208&gt;H208,"No","Yes"))</f>
        <v>Yes</v>
      </c>
      <c r="Q208" s="73" t="s">
        <v>117</v>
      </c>
      <c r="R208" s="71" t="s">
        <v>118</v>
      </c>
      <c r="S208" s="77"/>
      <c r="T208" s="69"/>
      <c r="AS208" s="144" t="str">
        <v>Quarter 4</v>
      </c>
    </row>
    <row r="209" spans="1:45" ht="30" customHeight="1" x14ac:dyDescent="0.35">
      <c r="A209" s="75">
        <v>208</v>
      </c>
      <c r="B209" s="69" t="s">
        <v>8</v>
      </c>
      <c r="C209" s="69" t="s">
        <v>8</v>
      </c>
      <c r="D209" s="69" t="s">
        <v>1902</v>
      </c>
      <c r="E209" s="71">
        <v>45721</v>
      </c>
      <c r="F209" s="72">
        <f>IF($E209="","",WORKDAY($E209,1,$W$33:$W$42))</f>
        <v>45722</v>
      </c>
      <c r="G209" s="72">
        <f>IF($E209="","",WORKDAY($E209,10,$W$33:$W$42))</f>
        <v>45735</v>
      </c>
      <c r="H209" s="72">
        <f>IF($E209="","",WORKDAY($E209,20,$W$33:$W$42))</f>
        <v>45749</v>
      </c>
      <c r="I209" s="72"/>
      <c r="J209" s="69" t="str">
        <f t="shared" si="10"/>
        <v>Mar</v>
      </c>
      <c r="K209" s="14" t="str">
        <f ca="1">IF(E209="","",IF(N209="",H209-TODAY(),""))</f>
        <v/>
      </c>
      <c r="L209" s="70" t="s">
        <v>1662</v>
      </c>
      <c r="M209" s="70" t="s">
        <v>14</v>
      </c>
      <c r="N209" s="70">
        <v>45734</v>
      </c>
      <c r="O209" s="145">
        <f>IF($N209="","",NETWORKDAYS($E209,$N209,$X$33:$X$48)-1)</f>
        <v>9</v>
      </c>
      <c r="P209" s="146" t="str">
        <f>IF(ISBLANK(N209),"",IF(N209&gt;H209,"No","Yes"))</f>
        <v>Yes</v>
      </c>
      <c r="Q209" s="73" t="s">
        <v>117</v>
      </c>
      <c r="R209" s="71" t="s">
        <v>118</v>
      </c>
      <c r="S209" s="77" t="s">
        <v>1663</v>
      </c>
      <c r="T209" s="69" t="s">
        <v>141</v>
      </c>
      <c r="AS209" s="144" t="str">
        <v>Quarter 4</v>
      </c>
    </row>
    <row r="210" spans="1:45" ht="30" customHeight="1" x14ac:dyDescent="0.35">
      <c r="A210" s="75">
        <v>209</v>
      </c>
      <c r="B210" s="69" t="s">
        <v>1903</v>
      </c>
      <c r="C210" s="69" t="s">
        <v>17</v>
      </c>
      <c r="D210" s="69" t="s">
        <v>1904</v>
      </c>
      <c r="E210" s="71">
        <v>45721</v>
      </c>
      <c r="F210" s="72">
        <f>IF($E210="","",WORKDAY($E210,1,$W$33:$W$42))</f>
        <v>45722</v>
      </c>
      <c r="G210" s="72">
        <f>IF($E210="","",WORKDAY($E210,10,$W$33:$W$42))</f>
        <v>45735</v>
      </c>
      <c r="H210" s="72">
        <f>IF($E210="","",WORKDAY($E210,20,$W$33:$W$42))</f>
        <v>45749</v>
      </c>
      <c r="I210" s="72"/>
      <c r="J210" s="69" t="str">
        <f t="shared" ref="J210:J227" si="11">IF(ISBLANK(E210),"",TEXT(E210,"mmm"))</f>
        <v>Mar</v>
      </c>
      <c r="K210" s="14" t="str">
        <f ca="1">IF(E210="","",IF(N210="",H210-TODAY(),""))</f>
        <v/>
      </c>
      <c r="L210" s="70" t="s">
        <v>1662</v>
      </c>
      <c r="M210" s="70" t="s">
        <v>20</v>
      </c>
      <c r="N210" s="70">
        <v>45735</v>
      </c>
      <c r="O210" s="145">
        <f>IF($N210="","",NETWORKDAYS($E210,$N210,$X$33:$X$48)-1)</f>
        <v>10</v>
      </c>
      <c r="P210" s="146" t="str">
        <f>IF(ISBLANK(N210),"",IF(N210&gt;H210,"No","Yes"))</f>
        <v>Yes</v>
      </c>
      <c r="Q210" s="73" t="s">
        <v>117</v>
      </c>
      <c r="R210" s="71" t="s">
        <v>118</v>
      </c>
      <c r="S210" s="77"/>
      <c r="T210" s="69"/>
      <c r="AS210" s="144" t="str">
        <v>Quarter 4</v>
      </c>
    </row>
    <row r="211" spans="1:45" ht="30" customHeight="1" x14ac:dyDescent="0.35">
      <c r="A211" s="75">
        <v>210</v>
      </c>
      <c r="B211" s="69" t="s">
        <v>1279</v>
      </c>
      <c r="C211" s="69" t="s">
        <v>13</v>
      </c>
      <c r="D211" s="69" t="s">
        <v>1905</v>
      </c>
      <c r="E211" s="71">
        <v>45722</v>
      </c>
      <c r="F211" s="72">
        <f>IF($E211="","",WORKDAY($E211,1,$W$33:$W$42))</f>
        <v>45723</v>
      </c>
      <c r="G211" s="72">
        <f>IF($E211="","",WORKDAY($E211,10,$W$33:$W$42))</f>
        <v>45736</v>
      </c>
      <c r="H211" s="72">
        <f>IF($E211="","",WORKDAY($E211,20,$W$33:$W$42))</f>
        <v>45750</v>
      </c>
      <c r="I211" s="72"/>
      <c r="J211" s="69" t="str">
        <f t="shared" si="11"/>
        <v>Mar</v>
      </c>
      <c r="K211" s="14" t="str">
        <f ca="1">IF(E211="","",IF(N211="",H211-TODAY(),""))</f>
        <v/>
      </c>
      <c r="L211" s="70" t="s">
        <v>1662</v>
      </c>
      <c r="M211" s="70" t="s">
        <v>14</v>
      </c>
      <c r="N211" s="70">
        <v>45723</v>
      </c>
      <c r="O211" s="145">
        <f>IF($N211="","",NETWORKDAYS($E211,$N211,$X$33:$X$48)-1)</f>
        <v>1</v>
      </c>
      <c r="P211" s="146" t="str">
        <f>IF(ISBLANK(N211),"",IF(N211&gt;H211,"No","Yes"))</f>
        <v>Yes</v>
      </c>
      <c r="Q211" s="73" t="s">
        <v>117</v>
      </c>
      <c r="R211" s="71" t="s">
        <v>118</v>
      </c>
      <c r="S211" s="77"/>
      <c r="T211" s="69"/>
      <c r="AS211" s="144" t="str">
        <v>Quarter 4</v>
      </c>
    </row>
    <row r="212" spans="1:45" ht="30" customHeight="1" x14ac:dyDescent="0.35">
      <c r="A212" s="75">
        <v>211</v>
      </c>
      <c r="B212" s="69" t="s">
        <v>969</v>
      </c>
      <c r="C212" s="69" t="s">
        <v>6</v>
      </c>
      <c r="D212" s="69" t="s">
        <v>1821</v>
      </c>
      <c r="E212" s="71">
        <v>45722</v>
      </c>
      <c r="F212" s="72">
        <f>IF($E212="","",WORKDAY($E212,1,$W$33:$W$42))</f>
        <v>45723</v>
      </c>
      <c r="G212" s="72">
        <f>IF($E212="","",WORKDAY($E212,10,$W$33:$W$42))</f>
        <v>45736</v>
      </c>
      <c r="H212" s="72">
        <f>IF($E212="","",WORKDAY($E212,20,$W$33:$W$42))</f>
        <v>45750</v>
      </c>
      <c r="I212" s="72"/>
      <c r="J212" s="69" t="str">
        <f t="shared" si="11"/>
        <v>Mar</v>
      </c>
      <c r="K212" s="14" t="str">
        <f ca="1">IF(E212="","",IF(N212="",H212-TODAY(),""))</f>
        <v/>
      </c>
      <c r="L212" s="70" t="s">
        <v>1662</v>
      </c>
      <c r="M212" s="70" t="s">
        <v>24</v>
      </c>
      <c r="N212" s="70">
        <v>45727</v>
      </c>
      <c r="O212" s="145">
        <f>IF($N212="","",NETWORKDAYS($E212,$N212,$X$33:$X$48)-1)</f>
        <v>3</v>
      </c>
      <c r="P212" s="146" t="str">
        <f>IF(ISBLANK(N212),"",IF(N212&gt;H212,"No","Yes"))</f>
        <v>Yes</v>
      </c>
      <c r="Q212" s="73" t="s">
        <v>117</v>
      </c>
      <c r="R212" s="71" t="s">
        <v>118</v>
      </c>
      <c r="S212" s="77" t="s">
        <v>1663</v>
      </c>
      <c r="T212" s="69" t="s">
        <v>141</v>
      </c>
      <c r="AS212" s="144" t="str">
        <v>Quarter 4</v>
      </c>
    </row>
    <row r="213" spans="1:45" ht="30" customHeight="1" x14ac:dyDescent="0.35">
      <c r="A213" s="75">
        <v>212</v>
      </c>
      <c r="B213" s="69" t="s">
        <v>8</v>
      </c>
      <c r="C213" s="69" t="s">
        <v>8</v>
      </c>
      <c r="D213" s="69" t="s">
        <v>1906</v>
      </c>
      <c r="E213" s="71">
        <v>45726</v>
      </c>
      <c r="F213" s="72">
        <f>IF($E213="","",WORKDAY($E213,1,$W$33:$W$42))</f>
        <v>45727</v>
      </c>
      <c r="G213" s="72">
        <f>IF($E213="","",WORKDAY($E213,10,$W$33:$W$42))</f>
        <v>45740</v>
      </c>
      <c r="H213" s="72">
        <f>IF($E213="","",WORKDAY($E213,20,$W$33:$W$42))</f>
        <v>45754</v>
      </c>
      <c r="I213" s="72"/>
      <c r="J213" s="69" t="str">
        <f t="shared" si="11"/>
        <v>Mar</v>
      </c>
      <c r="K213" s="14" t="str">
        <f ca="1">IF(E213="","",IF(N213="",H213-TODAY(),""))</f>
        <v/>
      </c>
      <c r="L213" s="70" t="s">
        <v>10</v>
      </c>
      <c r="M213" s="70" t="s">
        <v>12</v>
      </c>
      <c r="N213" s="70">
        <v>45742</v>
      </c>
      <c r="O213" s="145">
        <f>IF($N213="","",NETWORKDAYS($E213,$N213,$X$33:$X$48)-1)</f>
        <v>12</v>
      </c>
      <c r="P213" s="146" t="str">
        <f>IF(ISBLANK(N213),"",IF(N213&gt;H213,"No","Yes"))</f>
        <v>Yes</v>
      </c>
      <c r="Q213" s="73" t="s">
        <v>117</v>
      </c>
      <c r="R213" s="71" t="s">
        <v>118</v>
      </c>
      <c r="S213" s="77"/>
      <c r="T213" s="69"/>
      <c r="AS213" s="144" t="str">
        <v>Quarter 4</v>
      </c>
    </row>
    <row r="214" spans="1:45" ht="30" customHeight="1" x14ac:dyDescent="0.35">
      <c r="A214" s="75">
        <v>213</v>
      </c>
      <c r="B214" s="69" t="s">
        <v>1713</v>
      </c>
      <c r="C214" s="69" t="s">
        <v>13</v>
      </c>
      <c r="D214" s="69" t="s">
        <v>1907</v>
      </c>
      <c r="E214" s="71">
        <v>45729</v>
      </c>
      <c r="F214" s="72">
        <f>IF($E214="","",WORKDAY($E214,1,$W$33:$W$42))</f>
        <v>45730</v>
      </c>
      <c r="G214" s="72">
        <f>IF($E214="","",WORKDAY($E214,10,$W$33:$W$42))</f>
        <v>45743</v>
      </c>
      <c r="H214" s="72">
        <f>IF($E214="","",WORKDAY($E214,20,$W$33:$W$42))</f>
        <v>45757</v>
      </c>
      <c r="I214" s="72"/>
      <c r="J214" s="69" t="str">
        <f t="shared" si="11"/>
        <v>Mar</v>
      </c>
      <c r="K214" s="14" t="str">
        <f ca="1">IF(E214="","",IF(N214="",H214-TODAY(),""))</f>
        <v/>
      </c>
      <c r="L214" s="70" t="s">
        <v>5</v>
      </c>
      <c r="M214" s="70" t="s">
        <v>18</v>
      </c>
      <c r="N214" s="70">
        <v>45729</v>
      </c>
      <c r="O214" s="145">
        <f>IF($N214="","",NETWORKDAYS($E214,$N214,$X$33:$X$48)-1)</f>
        <v>0</v>
      </c>
      <c r="P214" s="146" t="str">
        <f>IF(ISBLANK(N214),"",IF(N214&gt;H214,"No","Yes"))</f>
        <v>Yes</v>
      </c>
      <c r="Q214" s="73" t="s">
        <v>117</v>
      </c>
      <c r="R214" s="71" t="s">
        <v>118</v>
      </c>
      <c r="S214" s="77"/>
      <c r="T214" s="69"/>
      <c r="AS214" s="144" t="str">
        <v>Quarter 4</v>
      </c>
    </row>
    <row r="215" spans="1:45" ht="30" customHeight="1" x14ac:dyDescent="0.35">
      <c r="A215" s="75">
        <v>214</v>
      </c>
      <c r="B215" s="69" t="s">
        <v>1140</v>
      </c>
      <c r="C215" s="69" t="s">
        <v>17</v>
      </c>
      <c r="D215" s="69" t="s">
        <v>1908</v>
      </c>
      <c r="E215" s="71">
        <v>45729</v>
      </c>
      <c r="F215" s="72">
        <f>IF($E215="","",WORKDAY($E215,1,$W$33:$W$42))</f>
        <v>45730</v>
      </c>
      <c r="G215" s="72">
        <f>IF($E215="","",WORKDAY($E215,10,$W$33:$W$42))</f>
        <v>45743</v>
      </c>
      <c r="H215" s="72">
        <f>IF($E215="","",WORKDAY($E215,20,$W$33:$W$42))</f>
        <v>45757</v>
      </c>
      <c r="I215" s="72"/>
      <c r="J215" s="69" t="str">
        <f t="shared" si="11"/>
        <v>Mar</v>
      </c>
      <c r="K215" s="14" t="str">
        <f ca="1">IF(E215="","",IF(N215="",H215-TODAY(),""))</f>
        <v/>
      </c>
      <c r="L215" s="70" t="s">
        <v>1662</v>
      </c>
      <c r="M215" s="70" t="s">
        <v>24</v>
      </c>
      <c r="N215" s="70">
        <v>45733</v>
      </c>
      <c r="O215" s="145">
        <f>IF($N215="","",NETWORKDAYS($E215,$N215,$X$33:$X$48)-1)</f>
        <v>2</v>
      </c>
      <c r="P215" s="146" t="str">
        <f>IF(ISBLANK(N215),"",IF(N215&gt;H215,"No","Yes"))</f>
        <v>Yes</v>
      </c>
      <c r="Q215" s="73" t="s">
        <v>117</v>
      </c>
      <c r="R215" s="71" t="s">
        <v>118</v>
      </c>
      <c r="S215" s="77" t="s">
        <v>1663</v>
      </c>
      <c r="T215" s="69" t="s">
        <v>141</v>
      </c>
      <c r="AS215" s="144" t="str">
        <v>Quarter 4</v>
      </c>
    </row>
    <row r="216" spans="1:45" ht="30" customHeight="1" x14ac:dyDescent="0.35">
      <c r="A216" s="75">
        <v>215</v>
      </c>
      <c r="B216" s="69" t="s">
        <v>8</v>
      </c>
      <c r="C216" s="69" t="s">
        <v>8</v>
      </c>
      <c r="D216" s="69" t="s">
        <v>1909</v>
      </c>
      <c r="E216" s="71">
        <v>45730</v>
      </c>
      <c r="F216" s="72">
        <f>IF($E216="","",WORKDAY($E216,1,$W$33:$W$42))</f>
        <v>45733</v>
      </c>
      <c r="G216" s="72">
        <f>IF($E216="","",WORKDAY($E216,10,$W$33:$W$42))</f>
        <v>45744</v>
      </c>
      <c r="H216" s="72">
        <f>IF($E216="","",WORKDAY($E216,20,$W$33:$W$42))</f>
        <v>45758</v>
      </c>
      <c r="I216" s="72"/>
      <c r="J216" s="69" t="str">
        <f t="shared" si="11"/>
        <v>Mar</v>
      </c>
      <c r="K216" s="14" t="str">
        <f ca="1">IF(E216="","",IF(N216="",H216-TODAY(),""))</f>
        <v/>
      </c>
      <c r="L216" s="70" t="s">
        <v>1662</v>
      </c>
      <c r="M216" s="70" t="s">
        <v>20</v>
      </c>
      <c r="N216" s="70">
        <v>45758</v>
      </c>
      <c r="O216" s="145">
        <f>IF($N216="","",NETWORKDAYS($E216,$N216,$X$33:$X$48)-1)</f>
        <v>20</v>
      </c>
      <c r="P216" s="146" t="str">
        <f>IF(ISBLANK(N216),"",IF(N216&gt;H216,"No","Yes"))</f>
        <v>Yes</v>
      </c>
      <c r="Q216" s="73" t="s">
        <v>117</v>
      </c>
      <c r="R216" s="71" t="s">
        <v>118</v>
      </c>
      <c r="S216" s="77"/>
      <c r="T216" s="69" t="s">
        <v>141</v>
      </c>
      <c r="AS216" s="144" t="str">
        <v>Quarter 4</v>
      </c>
    </row>
    <row r="217" spans="1:45" ht="30" customHeight="1" x14ac:dyDescent="0.35">
      <c r="A217" s="75">
        <v>216</v>
      </c>
      <c r="B217" s="69" t="s">
        <v>8</v>
      </c>
      <c r="C217" s="69" t="s">
        <v>8</v>
      </c>
      <c r="D217" s="69" t="s">
        <v>1910</v>
      </c>
      <c r="E217" s="71">
        <v>45730</v>
      </c>
      <c r="F217" s="72">
        <f>IF($E217="","",WORKDAY($E217,1,$W$33:$W$42))</f>
        <v>45733</v>
      </c>
      <c r="G217" s="72">
        <f>IF($E217="","",WORKDAY($E217,10,$W$33:$W$42))</f>
        <v>45744</v>
      </c>
      <c r="H217" s="72">
        <f>IF($E217="","",WORKDAY($E217,20,$W$33:$W$42))</f>
        <v>45758</v>
      </c>
      <c r="I217" s="72"/>
      <c r="J217" s="69" t="str">
        <f t="shared" si="11"/>
        <v>Mar</v>
      </c>
      <c r="K217" s="14" t="str">
        <f ca="1">IF(E217="","",IF(N217="",H217-TODAY(),""))</f>
        <v/>
      </c>
      <c r="L217" s="70" t="s">
        <v>1662</v>
      </c>
      <c r="M217" s="70" t="s">
        <v>14</v>
      </c>
      <c r="N217" s="70">
        <v>45737</v>
      </c>
      <c r="O217" s="145">
        <f>IF($N217="","",NETWORKDAYS($E217,$N217,$X$33:$X$48)-1)</f>
        <v>5</v>
      </c>
      <c r="P217" s="146" t="str">
        <f>IF(ISBLANK(N217),"",IF(N217&gt;H217,"No","Yes"))</f>
        <v>Yes</v>
      </c>
      <c r="Q217" s="73" t="s">
        <v>117</v>
      </c>
      <c r="R217" s="71" t="s">
        <v>118</v>
      </c>
      <c r="S217" s="77"/>
      <c r="T217" s="69" t="s">
        <v>141</v>
      </c>
      <c r="AS217" s="144" t="str">
        <v>Quarter 4</v>
      </c>
    </row>
    <row r="218" spans="1:45" ht="30" customHeight="1" x14ac:dyDescent="0.35">
      <c r="A218" s="75">
        <v>217</v>
      </c>
      <c r="B218" s="69" t="s">
        <v>1911</v>
      </c>
      <c r="C218" s="69" t="s">
        <v>8</v>
      </c>
      <c r="D218" s="69" t="s">
        <v>1745</v>
      </c>
      <c r="E218" s="71">
        <v>45730</v>
      </c>
      <c r="F218" s="72">
        <f>IF($E218="","",WORKDAY($E218,1,$W$33:$W$42))</f>
        <v>45733</v>
      </c>
      <c r="G218" s="72">
        <f>IF($E218="","",WORKDAY($E218,10,$W$33:$W$42))</f>
        <v>45744</v>
      </c>
      <c r="H218" s="72">
        <f>IF($E218="","",WORKDAY($E218,20,$W$33:$W$42))</f>
        <v>45758</v>
      </c>
      <c r="I218" s="72"/>
      <c r="J218" s="69" t="str">
        <f t="shared" si="11"/>
        <v>Mar</v>
      </c>
      <c r="K218" s="14" t="str">
        <f ca="1">IF(E218="","",IF(N218="",H218-TODAY(),""))</f>
        <v/>
      </c>
      <c r="L218" s="70" t="s">
        <v>1662</v>
      </c>
      <c r="M218" s="70" t="s">
        <v>20</v>
      </c>
      <c r="N218" s="70">
        <v>45733</v>
      </c>
      <c r="O218" s="145">
        <f>IF($N218="","",NETWORKDAYS($E218,$N218,$X$33:$X$48)-1)</f>
        <v>1</v>
      </c>
      <c r="P218" s="146" t="str">
        <f>IF(ISBLANK(N218),"",IF(N218&gt;H218,"No","Yes"))</f>
        <v>Yes</v>
      </c>
      <c r="Q218" s="73" t="s">
        <v>117</v>
      </c>
      <c r="R218" s="71" t="s">
        <v>118</v>
      </c>
      <c r="S218" s="77" t="s">
        <v>1663</v>
      </c>
      <c r="T218" s="69"/>
      <c r="AS218" s="144" t="str">
        <v>Quarter 4</v>
      </c>
    </row>
    <row r="219" spans="1:45" ht="30" customHeight="1" x14ac:dyDescent="0.35">
      <c r="A219" s="75">
        <v>218</v>
      </c>
      <c r="B219" s="69" t="s">
        <v>8</v>
      </c>
      <c r="C219" s="69" t="s">
        <v>8</v>
      </c>
      <c r="D219" s="69" t="s">
        <v>1912</v>
      </c>
      <c r="E219" s="71">
        <v>45733</v>
      </c>
      <c r="F219" s="72">
        <f>IF($E219="","",WORKDAY($E219,1,$W$33:$W$42))</f>
        <v>45734</v>
      </c>
      <c r="G219" s="72">
        <f>IF($E219="","",WORKDAY($E219,10,$W$33:$W$42))</f>
        <v>45747</v>
      </c>
      <c r="H219" s="72">
        <f>IF($E219="","",WORKDAY($E219,20,$W$33:$W$42))</f>
        <v>45761</v>
      </c>
      <c r="I219" s="72"/>
      <c r="J219" s="69" t="str">
        <f t="shared" si="11"/>
        <v>Mar</v>
      </c>
      <c r="K219" s="14" t="str">
        <f ca="1">IF(E219="","",IF(N219="",H219-TODAY(),""))</f>
        <v/>
      </c>
      <c r="L219" s="70" t="s">
        <v>1662</v>
      </c>
      <c r="M219" s="70" t="s">
        <v>20</v>
      </c>
      <c r="N219" s="70">
        <v>45733</v>
      </c>
      <c r="O219" s="145">
        <f>IF($N219="","",NETWORKDAYS($E219,$N219,$X$33:$X$48)-1)</f>
        <v>0</v>
      </c>
      <c r="P219" s="146" t="str">
        <f>IF(ISBLANK(N219),"",IF(N219&gt;H219,"No","Yes"))</f>
        <v>Yes</v>
      </c>
      <c r="Q219" s="73" t="s">
        <v>117</v>
      </c>
      <c r="R219" s="71" t="s">
        <v>150</v>
      </c>
      <c r="S219" s="77"/>
      <c r="T219" s="69"/>
      <c r="AS219" s="144" t="str">
        <v>Quarter 4</v>
      </c>
    </row>
    <row r="220" spans="1:45" ht="30" customHeight="1" x14ac:dyDescent="0.35">
      <c r="A220" s="75">
        <v>219</v>
      </c>
      <c r="B220" s="69" t="s">
        <v>1913</v>
      </c>
      <c r="C220" s="69" t="s">
        <v>13</v>
      </c>
      <c r="D220" s="69" t="s">
        <v>1914</v>
      </c>
      <c r="E220" s="71">
        <v>45733</v>
      </c>
      <c r="F220" s="72">
        <f>IF($E220="","",WORKDAY($E220,1,$W$33:$W$42))</f>
        <v>45734</v>
      </c>
      <c r="G220" s="72">
        <f>IF($E220="","",WORKDAY($E220,10,$W$33:$W$42))</f>
        <v>45747</v>
      </c>
      <c r="H220" s="72">
        <f>IF($E220="","",WORKDAY($E220,20,$W$33:$W$42))</f>
        <v>45761</v>
      </c>
      <c r="I220" s="72"/>
      <c r="J220" s="69" t="str">
        <f t="shared" si="11"/>
        <v>Mar</v>
      </c>
      <c r="K220" s="14" t="str">
        <f ca="1">IF(E220="","",IF(N220="",H220-TODAY(),""))</f>
        <v/>
      </c>
      <c r="L220" s="70" t="s">
        <v>1662</v>
      </c>
      <c r="M220" s="70" t="s">
        <v>24</v>
      </c>
      <c r="N220" s="70">
        <v>45733</v>
      </c>
      <c r="O220" s="145">
        <f>IF($N220="","",NETWORKDAYS($E220,$N220,$X$33:$X$48)-1)</f>
        <v>0</v>
      </c>
      <c r="P220" s="146" t="str">
        <f>IF(ISBLANK(N220),"",IF(N220&gt;H220,"No","Yes"))</f>
        <v>Yes</v>
      </c>
      <c r="Q220" s="73" t="s">
        <v>117</v>
      </c>
      <c r="R220" s="71" t="s">
        <v>118</v>
      </c>
      <c r="S220" s="77"/>
      <c r="T220" s="69"/>
      <c r="AS220" s="144" t="str">
        <v>Quarter 4</v>
      </c>
    </row>
    <row r="221" spans="1:45" ht="30" customHeight="1" x14ac:dyDescent="0.35">
      <c r="A221" s="75">
        <v>220</v>
      </c>
      <c r="B221" s="69" t="s">
        <v>1682</v>
      </c>
      <c r="C221" s="69" t="s">
        <v>15</v>
      </c>
      <c r="D221" s="69" t="s">
        <v>1915</v>
      </c>
      <c r="E221" s="71">
        <v>45733</v>
      </c>
      <c r="F221" s="72">
        <f>IF($E221="","",WORKDAY($E221,1,$W$33:$W$42))</f>
        <v>45734</v>
      </c>
      <c r="G221" s="72">
        <f>IF($E221="","",WORKDAY($E221,10,$W$33:$W$42))</f>
        <v>45747</v>
      </c>
      <c r="H221" s="72">
        <f>IF($E221="","",WORKDAY($E221,20,$W$33:$W$42))</f>
        <v>45761</v>
      </c>
      <c r="I221" s="72"/>
      <c r="J221" s="69" t="str">
        <f t="shared" si="11"/>
        <v>Mar</v>
      </c>
      <c r="K221" s="14" t="str">
        <f ca="1">IF(E221="","",IF(N221="",H221-TODAY(),""))</f>
        <v/>
      </c>
      <c r="L221" s="70" t="s">
        <v>1662</v>
      </c>
      <c r="M221" s="70" t="s">
        <v>14</v>
      </c>
      <c r="N221" s="70">
        <v>45747</v>
      </c>
      <c r="O221" s="145">
        <f>IF($N221="","",NETWORKDAYS($E221,$N221,$X$33:$X$48)-1)</f>
        <v>10</v>
      </c>
      <c r="P221" s="146" t="str">
        <f>IF(ISBLANK(N221),"",IF(N221&gt;H221,"No","Yes"))</f>
        <v>Yes</v>
      </c>
      <c r="Q221" s="73" t="s">
        <v>117</v>
      </c>
      <c r="R221" s="71" t="s">
        <v>118</v>
      </c>
      <c r="S221" s="77"/>
      <c r="T221" s="69"/>
      <c r="AS221" s="144" t="str">
        <v>Quarter 4</v>
      </c>
    </row>
    <row r="222" spans="1:45" ht="30" customHeight="1" x14ac:dyDescent="0.35">
      <c r="A222" s="75">
        <v>221</v>
      </c>
      <c r="B222" s="69" t="s">
        <v>1713</v>
      </c>
      <c r="C222" s="69" t="s">
        <v>13</v>
      </c>
      <c r="D222" s="69" t="s">
        <v>1916</v>
      </c>
      <c r="E222" s="71">
        <v>45733</v>
      </c>
      <c r="F222" s="72">
        <f>IF($E222="","",WORKDAY($E222,1,$W$33:$W$42))</f>
        <v>45734</v>
      </c>
      <c r="G222" s="72">
        <f>IF($E222="","",WORKDAY($E222,10,$W$33:$W$42))</f>
        <v>45747</v>
      </c>
      <c r="H222" s="72">
        <f>IF($E222="","",WORKDAY($E222,20,$W$33:$W$42))</f>
        <v>45761</v>
      </c>
      <c r="I222" s="72"/>
      <c r="J222" s="69" t="str">
        <f t="shared" si="11"/>
        <v>Mar</v>
      </c>
      <c r="K222" s="14" t="str">
        <f ca="1">IF(E222="","",IF(N222="",H222-TODAY(),""))</f>
        <v/>
      </c>
      <c r="L222" s="70" t="s">
        <v>5</v>
      </c>
      <c r="M222" s="70" t="s">
        <v>18</v>
      </c>
      <c r="N222" s="70">
        <v>45733</v>
      </c>
      <c r="O222" s="145">
        <f>IF($N222="","",NETWORKDAYS($E222,$N222,$X$33:$X$48)-1)</f>
        <v>0</v>
      </c>
      <c r="P222" s="146" t="str">
        <f>IF(ISBLANK(N222),"",IF(N222&gt;H222,"No","Yes"))</f>
        <v>Yes</v>
      </c>
      <c r="Q222" s="73" t="s">
        <v>117</v>
      </c>
      <c r="R222" s="71" t="s">
        <v>118</v>
      </c>
      <c r="S222" s="77"/>
      <c r="T222" s="69"/>
      <c r="AS222" s="144" t="str">
        <v>Quarter 4</v>
      </c>
    </row>
    <row r="223" spans="1:45" ht="30" customHeight="1" x14ac:dyDescent="0.35">
      <c r="A223" s="75">
        <v>222</v>
      </c>
      <c r="B223" s="69" t="s">
        <v>138</v>
      </c>
      <c r="C223" s="69" t="s">
        <v>19</v>
      </c>
      <c r="D223" s="69" t="s">
        <v>1917</v>
      </c>
      <c r="E223" s="71">
        <v>45733</v>
      </c>
      <c r="F223" s="72">
        <f>IF($E223="","",WORKDAY($E223,1,$W$33:$W$42))</f>
        <v>45734</v>
      </c>
      <c r="G223" s="72">
        <f>IF($E223="","",WORKDAY($E223,10,$W$33:$W$42))</f>
        <v>45747</v>
      </c>
      <c r="H223" s="72">
        <f>IF($E223="","",WORKDAY($E223,20,$W$33:$W$42))</f>
        <v>45761</v>
      </c>
      <c r="I223" s="72"/>
      <c r="J223" s="69" t="str">
        <f t="shared" si="11"/>
        <v>Mar</v>
      </c>
      <c r="K223" s="14" t="str">
        <f ca="1">IF(E223="","",IF(N223="",H223-TODAY(),""))</f>
        <v/>
      </c>
      <c r="L223" s="70" t="s">
        <v>1662</v>
      </c>
      <c r="M223" s="70" t="s">
        <v>24</v>
      </c>
      <c r="N223" s="70">
        <v>45736</v>
      </c>
      <c r="O223" s="145">
        <f>IF($N223="","",NETWORKDAYS($E223,$N223,$X$33:$X$48)-1)</f>
        <v>3</v>
      </c>
      <c r="P223" s="146" t="str">
        <f>IF(ISBLANK(N223),"",IF(N223&gt;H223,"No","Yes"))</f>
        <v>Yes</v>
      </c>
      <c r="Q223" s="73" t="s">
        <v>117</v>
      </c>
      <c r="R223" s="71" t="s">
        <v>118</v>
      </c>
      <c r="S223" s="77"/>
      <c r="T223" s="69"/>
      <c r="AS223" s="144" t="str">
        <v>Quarter 4</v>
      </c>
    </row>
    <row r="224" spans="1:45" ht="30" customHeight="1" x14ac:dyDescent="0.35">
      <c r="A224" s="75">
        <v>223</v>
      </c>
      <c r="B224" s="69" t="s">
        <v>138</v>
      </c>
      <c r="C224" s="69" t="s">
        <v>19</v>
      </c>
      <c r="D224" s="69" t="s">
        <v>1918</v>
      </c>
      <c r="E224" s="71">
        <v>45733</v>
      </c>
      <c r="F224" s="72">
        <f>IF($E224="","",WORKDAY($E224,1,$W$33:$W$42))</f>
        <v>45734</v>
      </c>
      <c r="G224" s="72">
        <f>IF($E224="","",WORKDAY($E224,10,$W$33:$W$42))</f>
        <v>45747</v>
      </c>
      <c r="H224" s="72">
        <f>IF($E224="","",WORKDAY($E224,20,$W$33:$W$42))</f>
        <v>45761</v>
      </c>
      <c r="I224" s="72"/>
      <c r="J224" s="69" t="str">
        <f t="shared" si="11"/>
        <v>Mar</v>
      </c>
      <c r="K224" s="14" t="str">
        <f ca="1">IF(E224="","",IF(N224="",H224-TODAY(),""))</f>
        <v/>
      </c>
      <c r="L224" s="70" t="s">
        <v>1662</v>
      </c>
      <c r="M224" s="70" t="s">
        <v>20</v>
      </c>
      <c r="N224" s="70">
        <v>45734</v>
      </c>
      <c r="O224" s="145">
        <f>IF($N224="","",NETWORKDAYS($E224,$N224,$X$33:$X$48)-1)</f>
        <v>1</v>
      </c>
      <c r="P224" s="146" t="str">
        <f>IF(ISBLANK(N224),"",IF(N224&gt;H224,"No","Yes"))</f>
        <v>Yes</v>
      </c>
      <c r="Q224" s="73" t="s">
        <v>117</v>
      </c>
      <c r="R224" s="71" t="s">
        <v>118</v>
      </c>
      <c r="S224" s="77" t="s">
        <v>1663</v>
      </c>
      <c r="T224" s="69"/>
      <c r="AS224" s="144" t="str">
        <v>Quarter 4</v>
      </c>
    </row>
    <row r="225" spans="1:45" ht="30" customHeight="1" x14ac:dyDescent="0.35">
      <c r="A225" s="75">
        <v>224</v>
      </c>
      <c r="B225" s="69" t="s">
        <v>138</v>
      </c>
      <c r="C225" s="69" t="s">
        <v>19</v>
      </c>
      <c r="D225" s="69" t="s">
        <v>1919</v>
      </c>
      <c r="E225" s="71">
        <v>45734</v>
      </c>
      <c r="F225" s="72">
        <f>IF($E225="","",WORKDAY($E225,1,$W$33:$W$42))</f>
        <v>45735</v>
      </c>
      <c r="G225" s="72">
        <f>IF($E225="","",WORKDAY($E225,10,$W$33:$W$42))</f>
        <v>45748</v>
      </c>
      <c r="H225" s="72">
        <f>IF($E225="","",WORKDAY($E225,20,$W$33:$W$42))</f>
        <v>45762</v>
      </c>
      <c r="I225" s="72"/>
      <c r="J225" s="69" t="str">
        <f t="shared" si="11"/>
        <v>Mar</v>
      </c>
      <c r="K225" s="14" t="str">
        <f ca="1">IF(E225="","",IF(N225="",H225-TODAY(),""))</f>
        <v/>
      </c>
      <c r="L225" s="70" t="s">
        <v>1662</v>
      </c>
      <c r="M225" s="70" t="s">
        <v>20</v>
      </c>
      <c r="N225" s="70">
        <v>45742</v>
      </c>
      <c r="O225" s="145">
        <f>IF($N225="","",NETWORKDAYS($E225,$N225,$X$33:$X$48)-1)</f>
        <v>6</v>
      </c>
      <c r="P225" s="146" t="str">
        <f>IF(ISBLANK(N225),"",IF(N225&gt;H225,"No","Yes"))</f>
        <v>Yes</v>
      </c>
      <c r="Q225" s="73" t="s">
        <v>117</v>
      </c>
      <c r="R225" s="71" t="s">
        <v>118</v>
      </c>
      <c r="S225" s="77"/>
      <c r="T225" s="69" t="s">
        <v>141</v>
      </c>
      <c r="AS225" s="144" t="str">
        <v>Quarter 4</v>
      </c>
    </row>
    <row r="226" spans="1:45" ht="30" customHeight="1" x14ac:dyDescent="0.35">
      <c r="A226" s="75">
        <v>225</v>
      </c>
      <c r="B226" s="69" t="s">
        <v>969</v>
      </c>
      <c r="C226" s="69" t="s">
        <v>6</v>
      </c>
      <c r="D226" s="69" t="s">
        <v>1790</v>
      </c>
      <c r="E226" s="71">
        <v>45734</v>
      </c>
      <c r="F226" s="72">
        <f>IF($E226="","",WORKDAY($E226,1,$W$33:$W$42))</f>
        <v>45735</v>
      </c>
      <c r="G226" s="72">
        <f>IF($E226="","",WORKDAY($E226,10,$W$33:$W$42))</f>
        <v>45748</v>
      </c>
      <c r="H226" s="72">
        <f>IF($E226="","",WORKDAY($E226,20,$W$33:$W$42))</f>
        <v>45762</v>
      </c>
      <c r="I226" s="72"/>
      <c r="J226" s="69" t="str">
        <f t="shared" si="11"/>
        <v>Mar</v>
      </c>
      <c r="K226" s="14" t="str">
        <f ca="1">IF(E226="","",IF(N226="",H226-TODAY(),""))</f>
        <v/>
      </c>
      <c r="L226" s="70" t="s">
        <v>1662</v>
      </c>
      <c r="M226" s="70" t="s">
        <v>20</v>
      </c>
      <c r="N226" s="70">
        <v>45734</v>
      </c>
      <c r="O226" s="145">
        <f>IF($N226="","",NETWORKDAYS($E226,$N226,$X$33:$X$48)-1)</f>
        <v>0</v>
      </c>
      <c r="P226" s="146" t="str">
        <f>IF(ISBLANK(N226),"",IF(N226&gt;H226,"No","Yes"))</f>
        <v>Yes</v>
      </c>
      <c r="Q226" s="73" t="s">
        <v>117</v>
      </c>
      <c r="R226" s="71" t="s">
        <v>118</v>
      </c>
      <c r="S226" s="77"/>
      <c r="T226" s="69"/>
      <c r="AS226" s="144" t="str">
        <v>Quarter 4</v>
      </c>
    </row>
    <row r="227" spans="1:45" ht="30" customHeight="1" x14ac:dyDescent="0.35">
      <c r="A227" s="75">
        <v>226</v>
      </c>
      <c r="B227" s="69" t="s">
        <v>8</v>
      </c>
      <c r="C227" s="69" t="s">
        <v>8</v>
      </c>
      <c r="D227" s="69" t="s">
        <v>1920</v>
      </c>
      <c r="E227" s="71">
        <v>45734</v>
      </c>
      <c r="F227" s="72">
        <f>IF($E227="","",WORKDAY($E227,1,$W$33:$W$42))</f>
        <v>45735</v>
      </c>
      <c r="G227" s="72">
        <f>IF($E227="","",WORKDAY($E227,10,$W$33:$W$42))</f>
        <v>45748</v>
      </c>
      <c r="H227" s="72">
        <f>IF($E227="","",WORKDAY($E227,20,$W$33:$W$42))</f>
        <v>45762</v>
      </c>
      <c r="I227" s="72"/>
      <c r="J227" s="69" t="str">
        <f t="shared" si="11"/>
        <v>Mar</v>
      </c>
      <c r="K227" s="14" t="str">
        <f ca="1">IF(E227="","",IF(N227="",H227-TODAY(),""))</f>
        <v/>
      </c>
      <c r="L227" s="70" t="s">
        <v>1662</v>
      </c>
      <c r="M227" s="70" t="s">
        <v>20</v>
      </c>
      <c r="N227" s="70">
        <v>45749</v>
      </c>
      <c r="O227" s="145">
        <f>IF($N227="","",NETWORKDAYS($E227,$N227,$X$33:$X$48)-1)</f>
        <v>11</v>
      </c>
      <c r="P227" s="146" t="str">
        <f>IF(ISBLANK(N227),"",IF(N227&gt;H227,"No","Yes"))</f>
        <v>Yes</v>
      </c>
      <c r="Q227" s="73" t="s">
        <v>117</v>
      </c>
      <c r="R227" s="71" t="s">
        <v>118</v>
      </c>
      <c r="S227" s="77"/>
      <c r="T227" s="69"/>
      <c r="AS227" s="144" t="str">
        <v>Quarter 4</v>
      </c>
    </row>
    <row r="228" spans="1:45" ht="30" customHeight="1" x14ac:dyDescent="0.35">
      <c r="A228" s="75">
        <v>227</v>
      </c>
      <c r="B228" s="69" t="s">
        <v>138</v>
      </c>
      <c r="C228" s="69" t="s">
        <v>19</v>
      </c>
      <c r="D228" s="69" t="s">
        <v>1921</v>
      </c>
      <c r="E228" s="71">
        <v>45734</v>
      </c>
      <c r="F228" s="72">
        <f>IF($E228="","",WORKDAY($E228,1,$W$33:$W$42))</f>
        <v>45735</v>
      </c>
      <c r="G228" s="72">
        <f>IF($E228="","",WORKDAY($E228,10,$W$33:$W$42))</f>
        <v>45748</v>
      </c>
      <c r="H228" s="72">
        <f>IF($E228="","",WORKDAY($E228,20,$W$33:$W$42))</f>
        <v>45762</v>
      </c>
      <c r="I228" s="72"/>
      <c r="J228" s="69" t="str">
        <f t="shared" ref="J228:J234" si="12">IF(ISBLANK(E228),"",TEXT(E228,"mmm"))</f>
        <v>Mar</v>
      </c>
      <c r="K228" s="14" t="str">
        <f ca="1">IF(E228="","",IF(N228="",H228-TODAY(),""))</f>
        <v/>
      </c>
      <c r="L228" s="70" t="s">
        <v>1662</v>
      </c>
      <c r="M228" s="70" t="s">
        <v>14</v>
      </c>
      <c r="N228" s="70">
        <v>45749</v>
      </c>
      <c r="O228" s="145">
        <f>IF($N228="","",NETWORKDAYS($E228,$N228,$X$33:$X$48)-1)</f>
        <v>11</v>
      </c>
      <c r="P228" s="146" t="str">
        <f>IF(ISBLANK(N228),"",IF(N228&gt;H228,"No","Yes"))</f>
        <v>Yes</v>
      </c>
      <c r="Q228" s="73" t="s">
        <v>117</v>
      </c>
      <c r="R228" s="71" t="s">
        <v>118</v>
      </c>
      <c r="S228" s="77"/>
      <c r="T228" s="69"/>
      <c r="AS228" s="144" t="str">
        <v>Quarter 4</v>
      </c>
    </row>
    <row r="229" spans="1:45" ht="30" customHeight="1" x14ac:dyDescent="0.35">
      <c r="A229" s="75">
        <v>228</v>
      </c>
      <c r="B229" s="69" t="s">
        <v>1922</v>
      </c>
      <c r="C229" s="69" t="s">
        <v>13</v>
      </c>
      <c r="D229" s="69" t="s">
        <v>1923</v>
      </c>
      <c r="E229" s="71">
        <v>45734</v>
      </c>
      <c r="F229" s="72">
        <f>IF($E229="","",WORKDAY($E229,1,$W$33:$W$42))</f>
        <v>45735</v>
      </c>
      <c r="G229" s="72">
        <f>IF($E229="","",WORKDAY($E229,10,$W$33:$W$42))</f>
        <v>45748</v>
      </c>
      <c r="H229" s="72">
        <f>IF($E229="","",WORKDAY($E229,20,$W$33:$W$42))</f>
        <v>45762</v>
      </c>
      <c r="I229" s="72"/>
      <c r="J229" s="69" t="str">
        <f t="shared" si="12"/>
        <v>Mar</v>
      </c>
      <c r="K229" s="14" t="str">
        <f ca="1">IF(E229="","",IF(N229="",H229-TODAY(),""))</f>
        <v/>
      </c>
      <c r="L229" s="70" t="s">
        <v>1662</v>
      </c>
      <c r="M229" s="70" t="s">
        <v>24</v>
      </c>
      <c r="N229" s="70">
        <v>45735</v>
      </c>
      <c r="O229" s="145">
        <f>IF($N229="","",NETWORKDAYS($E229,$N229,$X$33:$X$48)-1)</f>
        <v>1</v>
      </c>
      <c r="P229" s="146" t="str">
        <f>IF(ISBLANK(N229),"",IF(N229&gt;H229,"No","Yes"))</f>
        <v>Yes</v>
      </c>
      <c r="Q229" s="73" t="s">
        <v>117</v>
      </c>
      <c r="R229" s="71" t="s">
        <v>150</v>
      </c>
      <c r="S229" s="77"/>
      <c r="T229" s="69"/>
      <c r="AS229" s="144" t="str">
        <v>Quarter 4</v>
      </c>
    </row>
    <row r="230" spans="1:45" ht="30" customHeight="1" x14ac:dyDescent="0.35">
      <c r="A230" s="75">
        <v>229</v>
      </c>
      <c r="B230" s="69" t="s">
        <v>1924</v>
      </c>
      <c r="C230" s="69" t="s">
        <v>13</v>
      </c>
      <c r="D230" s="69" t="s">
        <v>1925</v>
      </c>
      <c r="E230" s="71">
        <v>45735</v>
      </c>
      <c r="F230" s="72">
        <f>IF($E230="","",WORKDAY($E230,1,$W$33:$W$42))</f>
        <v>45736</v>
      </c>
      <c r="G230" s="72">
        <f>IF($E230="","",WORKDAY($E230,10,$W$33:$W$42))</f>
        <v>45749</v>
      </c>
      <c r="H230" s="72">
        <f>IF($E230="","",WORKDAY($E230,20,$W$33:$W$42))</f>
        <v>45763</v>
      </c>
      <c r="I230" s="72"/>
      <c r="J230" s="69" t="str">
        <f t="shared" si="12"/>
        <v>Mar</v>
      </c>
      <c r="K230" s="14" t="str">
        <f ca="1">IF(E230="","",IF(N230="",H230-TODAY(),""))</f>
        <v/>
      </c>
      <c r="L230" s="70" t="s">
        <v>1662</v>
      </c>
      <c r="M230" s="70" t="s">
        <v>20</v>
      </c>
      <c r="N230" s="70">
        <v>45737</v>
      </c>
      <c r="O230" s="145">
        <f>IF($N230="","",NETWORKDAYS($E230,$N230,$X$33:$X$48)-1)</f>
        <v>2</v>
      </c>
      <c r="P230" s="146" t="str">
        <f>IF(ISBLANK(N230),"",IF(N230&gt;H230,"No","Yes"))</f>
        <v>Yes</v>
      </c>
      <c r="Q230" s="73" t="s">
        <v>117</v>
      </c>
      <c r="R230" s="71" t="s">
        <v>118</v>
      </c>
      <c r="S230" s="77" t="s">
        <v>1663</v>
      </c>
      <c r="T230" s="69" t="s">
        <v>141</v>
      </c>
      <c r="AS230" s="144" t="str">
        <v>Quarter 4</v>
      </c>
    </row>
    <row r="231" spans="1:45" ht="30" customHeight="1" x14ac:dyDescent="0.35">
      <c r="A231" s="75">
        <v>230</v>
      </c>
      <c r="B231" s="69" t="s">
        <v>1926</v>
      </c>
      <c r="C231" s="69" t="s">
        <v>13</v>
      </c>
      <c r="D231" s="69" t="s">
        <v>1927</v>
      </c>
      <c r="E231" s="71">
        <v>45737</v>
      </c>
      <c r="F231" s="72">
        <f>IF($E231="","",WORKDAY($E231,1,$W$33:$W$42))</f>
        <v>45740</v>
      </c>
      <c r="G231" s="72">
        <f>IF($E231="","",WORKDAY($E231,10,$W$33:$W$42))</f>
        <v>45751</v>
      </c>
      <c r="H231" s="72">
        <f>IF($E231="","",WORKDAY($E231,20,$W$33:$W$42))</f>
        <v>45769</v>
      </c>
      <c r="I231" s="72"/>
      <c r="J231" s="69" t="str">
        <f t="shared" si="12"/>
        <v>Mar</v>
      </c>
      <c r="K231" s="14" t="str">
        <f ca="1">IF(E231="","",IF(N231="",H231-TODAY(),""))</f>
        <v/>
      </c>
      <c r="L231" s="70" t="s">
        <v>1662</v>
      </c>
      <c r="M231" s="70" t="s">
        <v>24</v>
      </c>
      <c r="N231" s="70">
        <v>45740</v>
      </c>
      <c r="O231" s="145">
        <f>IF($N231="","",NETWORKDAYS($E231,$N231,$X$33:$X$48)-1)</f>
        <v>1</v>
      </c>
      <c r="P231" s="146" t="str">
        <f>IF(ISBLANK(N231),"",IF(N231&gt;H231,"No","Yes"))</f>
        <v>Yes</v>
      </c>
      <c r="Q231" s="73" t="s">
        <v>117</v>
      </c>
      <c r="R231" s="71" t="s">
        <v>118</v>
      </c>
      <c r="S231" s="77" t="s">
        <v>1663</v>
      </c>
      <c r="T231" s="69"/>
      <c r="AS231" s="144" t="str">
        <v>Quarter 4</v>
      </c>
    </row>
    <row r="232" spans="1:45" ht="30" customHeight="1" x14ac:dyDescent="0.35">
      <c r="A232" s="75">
        <v>231</v>
      </c>
      <c r="B232" s="69" t="s">
        <v>2064</v>
      </c>
      <c r="C232" s="69" t="s">
        <v>13</v>
      </c>
      <c r="D232" s="69" t="s">
        <v>2065</v>
      </c>
      <c r="E232" s="71">
        <v>45740</v>
      </c>
      <c r="F232" s="72">
        <f>IF($E232="","",WORKDAY($E232,1,$W$33:$W$42))</f>
        <v>45741</v>
      </c>
      <c r="G232" s="72">
        <f>IF($E232="","",WORKDAY($E232,10,$W$33:$W$42))</f>
        <v>45754</v>
      </c>
      <c r="H232" s="72">
        <f>IF($E232="","",WORKDAY($E232,20,$W$33:$W$42))</f>
        <v>45770</v>
      </c>
      <c r="I232" s="72"/>
      <c r="J232" s="69" t="str">
        <f t="shared" si="12"/>
        <v>Mar</v>
      </c>
      <c r="K232" s="14" t="str">
        <f ca="1">IF(E232="","",IF(N232="",H232-TODAY(),""))</f>
        <v/>
      </c>
      <c r="L232" s="70" t="s">
        <v>1662</v>
      </c>
      <c r="M232" s="70" t="s">
        <v>20</v>
      </c>
      <c r="N232" s="70">
        <v>45758</v>
      </c>
      <c r="O232" s="145">
        <f>IF($N232="","",NETWORKDAYS($E232,$N232,$X$33:$X$48)-1)</f>
        <v>14</v>
      </c>
      <c r="P232" s="146" t="str">
        <f>IF(ISBLANK(N232),"",IF(N232&gt;H232,"No","Yes"))</f>
        <v>Yes</v>
      </c>
      <c r="Q232" s="73" t="s">
        <v>117</v>
      </c>
      <c r="R232" s="71" t="s">
        <v>118</v>
      </c>
      <c r="S232" s="77" t="s">
        <v>1663</v>
      </c>
      <c r="T232" s="69"/>
      <c r="AS232" s="144" t="str">
        <v>Quarter 4</v>
      </c>
    </row>
    <row r="233" spans="1:45" ht="30" customHeight="1" x14ac:dyDescent="0.35">
      <c r="A233" s="75">
        <v>232</v>
      </c>
      <c r="B233" s="69" t="s">
        <v>2067</v>
      </c>
      <c r="C233" s="69" t="s">
        <v>13</v>
      </c>
      <c r="D233" s="69" t="s">
        <v>1815</v>
      </c>
      <c r="E233" s="71">
        <v>45741</v>
      </c>
      <c r="F233" s="72">
        <f>IF($E233="","",WORKDAY($E233,1,$W$33:$W$42))</f>
        <v>45742</v>
      </c>
      <c r="G233" s="72">
        <f>IF($E233="","",WORKDAY($E233,10,$W$33:$W$42))</f>
        <v>45755</v>
      </c>
      <c r="H233" s="72">
        <f>IF($E233="","",WORKDAY($E233,20,$W$33:$W$42))</f>
        <v>45771</v>
      </c>
      <c r="I233" s="72"/>
      <c r="J233" s="69" t="str">
        <f t="shared" si="12"/>
        <v>Mar</v>
      </c>
      <c r="K233" s="14" t="str">
        <f ca="1">IF(E233="","",IF(N233="",H233-TODAY(),""))</f>
        <v/>
      </c>
      <c r="L233" s="70" t="s">
        <v>1662</v>
      </c>
      <c r="M233" s="70" t="s">
        <v>24</v>
      </c>
      <c r="N233" s="70">
        <v>45754</v>
      </c>
      <c r="O233" s="145">
        <f>IF($N233="","",NETWORKDAYS($E233,$N233,$X$33:$X$48)-1)</f>
        <v>9</v>
      </c>
      <c r="P233" s="146" t="str">
        <f>IF(ISBLANK(N233),"",IF(N233&gt;H233,"No","Yes"))</f>
        <v>Yes</v>
      </c>
      <c r="Q233" s="73" t="s">
        <v>117</v>
      </c>
      <c r="R233" s="71" t="s">
        <v>118</v>
      </c>
      <c r="S233" s="77"/>
      <c r="T233" s="69" t="s">
        <v>141</v>
      </c>
      <c r="AS233" s="144" t="str">
        <v>Quarter 4</v>
      </c>
    </row>
    <row r="234" spans="1:45" ht="30" customHeight="1" x14ac:dyDescent="0.35">
      <c r="A234" s="75">
        <v>233</v>
      </c>
      <c r="B234" s="69" t="s">
        <v>8</v>
      </c>
      <c r="C234" s="69" t="s">
        <v>8</v>
      </c>
      <c r="D234" s="69" t="s">
        <v>2071</v>
      </c>
      <c r="E234" s="71">
        <v>45742</v>
      </c>
      <c r="F234" s="72">
        <f>IF($E234="","",WORKDAY($E234,1,$W$33:$W$42))</f>
        <v>45743</v>
      </c>
      <c r="G234" s="72">
        <f>IF($E234="","",WORKDAY($E234,10,$W$33:$W$42))</f>
        <v>45756</v>
      </c>
      <c r="H234" s="72">
        <f>IF($E234="","",WORKDAY($E234,20,$W$33:$W$42))</f>
        <v>45772</v>
      </c>
      <c r="I234" s="72"/>
      <c r="J234" s="69" t="str">
        <f t="shared" si="12"/>
        <v>Mar</v>
      </c>
      <c r="K234" s="14" t="str">
        <f ca="1">IF(E234="","",IF(N234="",H234-TODAY(),""))</f>
        <v/>
      </c>
      <c r="L234" s="70" t="s">
        <v>1662</v>
      </c>
      <c r="M234" s="70" t="s">
        <v>20</v>
      </c>
      <c r="N234" s="70">
        <v>45742</v>
      </c>
      <c r="O234" s="145">
        <f>IF($N234="","",NETWORKDAYS($E234,$N234,$X$33:$X$48)-1)</f>
        <v>0</v>
      </c>
      <c r="P234" s="146" t="str">
        <f>IF(ISBLANK(N234),"",IF(N234&gt;H234,"No","Yes"))</f>
        <v>Yes</v>
      </c>
      <c r="Q234" s="73" t="s">
        <v>117</v>
      </c>
      <c r="R234" s="71" t="s">
        <v>150</v>
      </c>
      <c r="S234" s="77"/>
      <c r="T234" s="69"/>
      <c r="AS234" s="144" t="str">
        <v>Quarter 4</v>
      </c>
    </row>
    <row r="235" spans="1:45" ht="30" customHeight="1" x14ac:dyDescent="0.35">
      <c r="A235" s="75">
        <v>234</v>
      </c>
      <c r="B235" s="69" t="s">
        <v>8</v>
      </c>
      <c r="C235" s="69" t="s">
        <v>8</v>
      </c>
      <c r="D235" s="69" t="s">
        <v>2072</v>
      </c>
      <c r="E235" s="71">
        <v>45742</v>
      </c>
      <c r="F235" s="72">
        <f>IF($E235="","",WORKDAY($E235,1,$W$33:$W$42))</f>
        <v>45743</v>
      </c>
      <c r="G235" s="72">
        <f>IF($E235="","",WORKDAY($E235,10,$W$33:$W$42))</f>
        <v>45756</v>
      </c>
      <c r="H235" s="72">
        <f>IF($E235="","",WORKDAY($E235,20,$W$33:$W$42))</f>
        <v>45772</v>
      </c>
      <c r="I235" s="72"/>
      <c r="J235" s="69" t="str">
        <f t="shared" ref="J235:J240" si="13">IF(ISBLANK(E235),"",TEXT(E235,"mmm"))</f>
        <v>Mar</v>
      </c>
      <c r="K235" s="14" t="str">
        <f ca="1">IF(E235="","",IF(N235="",H235-TODAY(),""))</f>
        <v/>
      </c>
      <c r="L235" s="70" t="s">
        <v>1662</v>
      </c>
      <c r="M235" s="70" t="s">
        <v>14</v>
      </c>
      <c r="N235" s="70">
        <v>45763</v>
      </c>
      <c r="O235" s="145">
        <f>IF($N235="","",NETWORKDAYS($E235,$N235,$X$33:$X$48)-1)</f>
        <v>15</v>
      </c>
      <c r="P235" s="146" t="str">
        <f>IF(ISBLANK(N235),"",IF(N235&gt;H235,"No","Yes"))</f>
        <v>Yes</v>
      </c>
      <c r="Q235" s="73" t="s">
        <v>117</v>
      </c>
      <c r="R235" s="71" t="s">
        <v>118</v>
      </c>
      <c r="S235" s="77"/>
      <c r="T235" s="69"/>
      <c r="AS235" s="144" t="str">
        <v>Quarter 4</v>
      </c>
    </row>
    <row r="236" spans="1:45" ht="30" customHeight="1" x14ac:dyDescent="0.35">
      <c r="A236" s="75">
        <v>235</v>
      </c>
      <c r="B236" s="69" t="s">
        <v>2073</v>
      </c>
      <c r="C236" s="69" t="s">
        <v>13</v>
      </c>
      <c r="D236" s="69" t="s">
        <v>2074</v>
      </c>
      <c r="E236" s="71">
        <v>45742</v>
      </c>
      <c r="F236" s="72">
        <f>IF($E236="","",WORKDAY($E236,1,$W$33:$W$42))</f>
        <v>45743</v>
      </c>
      <c r="G236" s="72">
        <f>IF($E236="","",WORKDAY($E236,10,$W$33:$W$42))</f>
        <v>45756</v>
      </c>
      <c r="H236" s="72">
        <f>IF($E236="","",WORKDAY($E236,20,$W$33:$W$42))</f>
        <v>45772</v>
      </c>
      <c r="I236" s="72"/>
      <c r="J236" s="69" t="str">
        <f t="shared" si="13"/>
        <v>Mar</v>
      </c>
      <c r="K236" s="14" t="str">
        <f ca="1">IF(E236="","",IF(N236="",H236-TODAY(),""))</f>
        <v/>
      </c>
      <c r="L236" s="70" t="s">
        <v>1662</v>
      </c>
      <c r="M236" s="70" t="s">
        <v>24</v>
      </c>
      <c r="N236" s="70">
        <v>45742</v>
      </c>
      <c r="O236" s="145">
        <f>IF($N236="","",NETWORKDAYS($E236,$N236,$X$33:$X$48)-1)</f>
        <v>0</v>
      </c>
      <c r="P236" s="146" t="str">
        <f>IF(ISBLANK(N236),"",IF(N236&gt;H236,"No","Yes"))</f>
        <v>Yes</v>
      </c>
      <c r="Q236" s="73" t="s">
        <v>117</v>
      </c>
      <c r="R236" s="71" t="s">
        <v>118</v>
      </c>
      <c r="S236" s="77"/>
      <c r="T236" s="69"/>
      <c r="AS236" s="144" t="str">
        <v>Quarter 4</v>
      </c>
    </row>
    <row r="237" spans="1:45" ht="30" customHeight="1" x14ac:dyDescent="0.35">
      <c r="A237" s="75">
        <v>236</v>
      </c>
      <c r="B237" s="69" t="s">
        <v>1700</v>
      </c>
      <c r="C237" s="69" t="s">
        <v>13</v>
      </c>
      <c r="D237" s="69" t="s">
        <v>2080</v>
      </c>
      <c r="E237" s="71">
        <v>45742</v>
      </c>
      <c r="F237" s="72">
        <f>IF($E237="","",WORKDAY($E237,1,$W$33:$W$42))</f>
        <v>45743</v>
      </c>
      <c r="G237" s="72">
        <f>IF($E237="","",WORKDAY($E237,10,$W$33:$W$42))</f>
        <v>45756</v>
      </c>
      <c r="H237" s="72">
        <f>IF($E237="","",WORKDAY($E237,20,$W$33:$W$42))</f>
        <v>45772</v>
      </c>
      <c r="I237" s="72"/>
      <c r="J237" s="69" t="str">
        <f t="shared" si="13"/>
        <v>Mar</v>
      </c>
      <c r="K237" s="14" t="str">
        <f ca="1">IF(E237="","",IF(N237="",H237-TODAY(),""))</f>
        <v/>
      </c>
      <c r="L237" s="70" t="s">
        <v>1662</v>
      </c>
      <c r="M237" s="70" t="s">
        <v>24</v>
      </c>
      <c r="N237" s="70">
        <v>45758</v>
      </c>
      <c r="O237" s="145">
        <f>IF($N237="","",NETWORKDAYS($E237,$N237,$X$33:$X$48)-1)</f>
        <v>12</v>
      </c>
      <c r="P237" s="146" t="str">
        <f>IF(ISBLANK(N237),"",IF(N237&gt;H237,"No","Yes"))</f>
        <v>Yes</v>
      </c>
      <c r="Q237" s="73" t="s">
        <v>117</v>
      </c>
      <c r="R237" s="71" t="s">
        <v>118</v>
      </c>
      <c r="S237" s="77"/>
      <c r="T237" s="69" t="s">
        <v>141</v>
      </c>
      <c r="AS237" s="144" t="str">
        <v>Quarter 4</v>
      </c>
    </row>
    <row r="238" spans="1:45" ht="30" customHeight="1" x14ac:dyDescent="0.35">
      <c r="A238" s="75">
        <v>237</v>
      </c>
      <c r="B238" s="69" t="s">
        <v>1700</v>
      </c>
      <c r="C238" s="69" t="s">
        <v>13</v>
      </c>
      <c r="D238" s="69" t="s">
        <v>2083</v>
      </c>
      <c r="E238" s="71">
        <v>45743</v>
      </c>
      <c r="F238" s="72">
        <f>IF($E238="","",WORKDAY($E238,1,$W$33:$W$42))</f>
        <v>45744</v>
      </c>
      <c r="G238" s="72">
        <f>IF($E238="","",WORKDAY($E238,10,$W$33:$W$42))</f>
        <v>45757</v>
      </c>
      <c r="H238" s="72">
        <f>IF($E238="","",WORKDAY($E238,20,$W$33:$W$42))</f>
        <v>45775</v>
      </c>
      <c r="I238" s="72"/>
      <c r="J238" s="69" t="str">
        <f t="shared" si="13"/>
        <v>Mar</v>
      </c>
      <c r="K238" s="14" t="str">
        <f ca="1">IF(E238="","",IF(N238="",H238-TODAY(),""))</f>
        <v/>
      </c>
      <c r="L238" s="70" t="s">
        <v>1662</v>
      </c>
      <c r="M238" s="70" t="s">
        <v>14</v>
      </c>
      <c r="N238" s="70">
        <v>45747</v>
      </c>
      <c r="O238" s="145">
        <f>IF($N238="","",NETWORKDAYS($E238,$N238,$X$33:$X$48)-1)</f>
        <v>2</v>
      </c>
      <c r="P238" s="146" t="str">
        <f>IF(ISBLANK(N238),"",IF(N238&gt;H238,"No","Yes"))</f>
        <v>Yes</v>
      </c>
      <c r="Q238" s="73" t="s">
        <v>117</v>
      </c>
      <c r="R238" s="71" t="s">
        <v>118</v>
      </c>
      <c r="S238" s="77"/>
      <c r="T238" s="69"/>
      <c r="AS238" s="144" t="str">
        <v>Quarter 4</v>
      </c>
    </row>
    <row r="239" spans="1:45" ht="30" customHeight="1" x14ac:dyDescent="0.35">
      <c r="A239" s="75">
        <v>238</v>
      </c>
      <c r="B239" s="69" t="s">
        <v>2085</v>
      </c>
      <c r="C239" s="69" t="s">
        <v>13</v>
      </c>
      <c r="D239" s="69" t="s">
        <v>2086</v>
      </c>
      <c r="E239" s="71">
        <v>45741</v>
      </c>
      <c r="F239" s="72">
        <f>IF($E239="","",WORKDAY($E239,1,$W$33:$W$42))</f>
        <v>45742</v>
      </c>
      <c r="G239" s="72">
        <f>IF($E239="","",WORKDAY($E239,10,$W$33:$W$42))</f>
        <v>45755</v>
      </c>
      <c r="H239" s="72">
        <f>IF($E239="","",WORKDAY($E239,20,$W$33:$W$42))</f>
        <v>45771</v>
      </c>
      <c r="I239" s="72"/>
      <c r="J239" s="69" t="str">
        <f t="shared" si="13"/>
        <v>Mar</v>
      </c>
      <c r="K239" s="14" t="str">
        <f ca="1">IF(E239="","",IF(N239="",H239-TODAY(),""))</f>
        <v/>
      </c>
      <c r="L239" s="70" t="s">
        <v>1662</v>
      </c>
      <c r="M239" s="70" t="s">
        <v>14</v>
      </c>
      <c r="N239" s="70">
        <v>45771</v>
      </c>
      <c r="O239" s="145">
        <f>IF($N239="","",NETWORKDAYS($E239,$N239,$X$33:$X$48)-1)</f>
        <v>22</v>
      </c>
      <c r="P239" s="146" t="str">
        <f>IF(ISBLANK(N239),"",IF(N239&gt;H239,"No","Yes"))</f>
        <v>Yes</v>
      </c>
      <c r="Q239" s="73" t="s">
        <v>117</v>
      </c>
      <c r="R239" s="71" t="s">
        <v>118</v>
      </c>
      <c r="S239" s="77"/>
      <c r="T239" s="69"/>
      <c r="AS239" s="144" t="str">
        <v>Quarter 4</v>
      </c>
    </row>
    <row r="240" spans="1:45" ht="30" customHeight="1" x14ac:dyDescent="0.35">
      <c r="A240" s="75">
        <v>239</v>
      </c>
      <c r="B240" s="69" t="s">
        <v>8</v>
      </c>
      <c r="C240" s="69" t="s">
        <v>8</v>
      </c>
      <c r="D240" s="69" t="s">
        <v>2093</v>
      </c>
      <c r="E240" s="71">
        <v>45743</v>
      </c>
      <c r="F240" s="72">
        <f>IF($E240="","",WORKDAY($E240,1,$W$33:$W$42))</f>
        <v>45744</v>
      </c>
      <c r="G240" s="72">
        <f>IF($E240="","",WORKDAY($E240,10,$W$33:$W$42))</f>
        <v>45757</v>
      </c>
      <c r="H240" s="72">
        <f>IF($E240="","",WORKDAY($E240,20,$W$33:$W$42))</f>
        <v>45775</v>
      </c>
      <c r="I240" s="72"/>
      <c r="J240" s="69" t="str">
        <f t="shared" si="13"/>
        <v>Mar</v>
      </c>
      <c r="K240" s="14" t="str">
        <f ca="1">IF(E240="","",IF(N240="",H240-TODAY(),""))</f>
        <v/>
      </c>
      <c r="L240" s="70" t="s">
        <v>1662</v>
      </c>
      <c r="M240" s="70" t="s">
        <v>24</v>
      </c>
      <c r="N240" s="70">
        <v>45743</v>
      </c>
      <c r="O240" s="145">
        <f>IF($N240="","",NETWORKDAYS($E240,$N240,$X$33:$X$48)-1)</f>
        <v>0</v>
      </c>
      <c r="P240" s="146" t="str">
        <f>IF(ISBLANK(N240),"",IF(N240&gt;H240,"No","Yes"))</f>
        <v>Yes</v>
      </c>
      <c r="Q240" s="73" t="s">
        <v>117</v>
      </c>
      <c r="R240" s="71" t="s">
        <v>118</v>
      </c>
      <c r="S240" s="77" t="s">
        <v>1663</v>
      </c>
      <c r="T240" s="69"/>
      <c r="AS240" s="144" t="str">
        <v>Quarter 4</v>
      </c>
    </row>
    <row r="241" spans="1:45" ht="30" customHeight="1" x14ac:dyDescent="0.35">
      <c r="A241" s="75">
        <v>240</v>
      </c>
      <c r="B241" s="69" t="s">
        <v>2098</v>
      </c>
      <c r="C241" s="69" t="s">
        <v>15</v>
      </c>
      <c r="D241" s="69" t="s">
        <v>2099</v>
      </c>
      <c r="E241" s="71">
        <v>45744</v>
      </c>
      <c r="F241" s="72">
        <f>IF($E241="","",WORKDAY($E241,1,$W$33:$W$42))</f>
        <v>45747</v>
      </c>
      <c r="G241" s="72">
        <f>IF($E241="","",WORKDAY($E241,10,$W$33:$W$42))</f>
        <v>45758</v>
      </c>
      <c r="H241" s="72">
        <f>IF($E241="","",WORKDAY($E241,20,$W$33:$W$42))</f>
        <v>45776</v>
      </c>
      <c r="I241" s="72"/>
      <c r="J241" s="69" t="str">
        <f t="shared" ref="J241:J244" si="14">IF(ISBLANK(E241),"",TEXT(E241,"mmm"))</f>
        <v>Mar</v>
      </c>
      <c r="K241" s="14" t="str">
        <f ca="1">IF(E241="","",IF(N241="",H241-TODAY(),""))</f>
        <v/>
      </c>
      <c r="L241" s="70" t="s">
        <v>1662</v>
      </c>
      <c r="M241" s="70" t="s">
        <v>20</v>
      </c>
      <c r="N241" s="70">
        <v>45749</v>
      </c>
      <c r="O241" s="145">
        <f>IF($N241="","",NETWORKDAYS($E241,$N241,$X$33:$X$48)-1)</f>
        <v>3</v>
      </c>
      <c r="P241" s="146" t="str">
        <f>IF(ISBLANK(N241),"",IF(N241&gt;H241,"No","Yes"))</f>
        <v>Yes</v>
      </c>
      <c r="Q241" s="73" t="s">
        <v>117</v>
      </c>
      <c r="R241" s="71" t="s">
        <v>150</v>
      </c>
      <c r="S241" s="77"/>
      <c r="T241" s="69"/>
      <c r="AS241" s="144" t="str">
        <v>Quarter 4</v>
      </c>
    </row>
    <row r="242" spans="1:45" ht="30" customHeight="1" x14ac:dyDescent="0.35">
      <c r="A242" s="75">
        <v>241</v>
      </c>
      <c r="B242" s="69" t="s">
        <v>8</v>
      </c>
      <c r="C242" s="69" t="s">
        <v>8</v>
      </c>
      <c r="D242" s="69" t="s">
        <v>2103</v>
      </c>
      <c r="E242" s="71">
        <v>45744</v>
      </c>
      <c r="F242" s="72">
        <f>IF($E242="","",WORKDAY($E242,1,$W$33:$W$42))</f>
        <v>45747</v>
      </c>
      <c r="G242" s="72">
        <f>IF($E242="","",WORKDAY($E242,10,$W$33:$W$42))</f>
        <v>45758</v>
      </c>
      <c r="H242" s="72">
        <f>IF($E242="","",WORKDAY($E242,20,$W$33:$W$42))</f>
        <v>45776</v>
      </c>
      <c r="I242" s="72"/>
      <c r="J242" s="69" t="str">
        <f t="shared" si="14"/>
        <v>Mar</v>
      </c>
      <c r="K242" s="14" t="str">
        <f ca="1">IF(E242="","",IF(N242="",H242-TODAY(),""))</f>
        <v/>
      </c>
      <c r="L242" s="70" t="s">
        <v>1662</v>
      </c>
      <c r="M242" s="70" t="s">
        <v>20</v>
      </c>
      <c r="N242" s="70">
        <v>45766</v>
      </c>
      <c r="O242" s="145">
        <f>IF($N242="","",NETWORKDAYS($E242,$N242,$X$33:$X$48)-1)</f>
        <v>15</v>
      </c>
      <c r="P242" s="146" t="str">
        <f>IF(ISBLANK(N242),"",IF(N242&gt;H242,"No","Yes"))</f>
        <v>Yes</v>
      </c>
      <c r="Q242" s="73" t="s">
        <v>117</v>
      </c>
      <c r="R242" s="71" t="s">
        <v>118</v>
      </c>
      <c r="S242" s="77"/>
      <c r="T242" s="69"/>
      <c r="AS242" s="144" t="str">
        <v>Quarter 4</v>
      </c>
    </row>
    <row r="243" spans="1:45" ht="30" customHeight="1" x14ac:dyDescent="0.35">
      <c r="A243" s="75">
        <v>242</v>
      </c>
      <c r="B243" s="69" t="s">
        <v>8</v>
      </c>
      <c r="C243" s="69" t="s">
        <v>8</v>
      </c>
      <c r="D243" s="69" t="s">
        <v>2109</v>
      </c>
      <c r="E243" s="71">
        <v>45747</v>
      </c>
      <c r="F243" s="72">
        <f>IF($E243="","",WORKDAY($E243,1,$W$33:$W$42))</f>
        <v>45748</v>
      </c>
      <c r="G243" s="72">
        <f>IF($E243="","",WORKDAY($E243,10,$W$33:$W$42))</f>
        <v>45761</v>
      </c>
      <c r="H243" s="72">
        <f>IF($E243="","",WORKDAY($E243,20,$W$33:$W$42))</f>
        <v>45777</v>
      </c>
      <c r="I243" s="72"/>
      <c r="J243" s="69" t="str">
        <f t="shared" si="14"/>
        <v>Mar</v>
      </c>
      <c r="K243" s="14" t="str">
        <f ca="1">IF(E243="","",IF(N243="",H243-TODAY(),""))</f>
        <v/>
      </c>
      <c r="L243" s="70" t="s">
        <v>1662</v>
      </c>
      <c r="M243" s="70" t="s">
        <v>20</v>
      </c>
      <c r="N243" s="70">
        <v>45769</v>
      </c>
      <c r="O243" s="145">
        <f>IF($N243="","",NETWORKDAYS($E243,$N243,$X$33:$X$48)-1)</f>
        <v>16</v>
      </c>
      <c r="P243" s="146" t="str">
        <f>IF(ISBLANK(N243),"",IF(N243&gt;H243,"No","Yes"))</f>
        <v>Yes</v>
      </c>
      <c r="Q243" s="73" t="s">
        <v>117</v>
      </c>
      <c r="R243" s="71" t="s">
        <v>118</v>
      </c>
      <c r="S243" s="77" t="s">
        <v>1663</v>
      </c>
      <c r="T243" s="69"/>
      <c r="AS243" s="144" t="str">
        <v>Quarter 4</v>
      </c>
    </row>
    <row r="244" spans="1:45" ht="30" customHeight="1" x14ac:dyDescent="0.35">
      <c r="A244" s="75">
        <v>243</v>
      </c>
      <c r="B244" s="69" t="s">
        <v>2113</v>
      </c>
      <c r="C244" s="69" t="s">
        <v>13</v>
      </c>
      <c r="D244" s="69" t="s">
        <v>2114</v>
      </c>
      <c r="E244" s="71">
        <v>45747</v>
      </c>
      <c r="F244" s="72">
        <f>IF($E244="","",WORKDAY($E244,1,$W$33:$W$42))</f>
        <v>45748</v>
      </c>
      <c r="G244" s="72">
        <f>IF($E244="","",WORKDAY($E244,10,$W$33:$W$42))</f>
        <v>45761</v>
      </c>
      <c r="H244" s="72">
        <f>IF($E244="","",WORKDAY($E244,20,$W$33:$W$42))</f>
        <v>45777</v>
      </c>
      <c r="I244" s="72"/>
      <c r="J244" s="69" t="str">
        <f t="shared" si="14"/>
        <v>Mar</v>
      </c>
      <c r="K244" s="14" t="str">
        <f ca="1">IF(E244="","",IF(N244="",H244-TODAY(),""))</f>
        <v/>
      </c>
      <c r="L244" s="70" t="s">
        <v>1662</v>
      </c>
      <c r="M244" s="70" t="s">
        <v>14</v>
      </c>
      <c r="N244" s="70">
        <v>45754</v>
      </c>
      <c r="O244" s="145">
        <f>IF($N244="","",NETWORKDAYS($E244,$N244,$X$33:$X$48)-1)</f>
        <v>5</v>
      </c>
      <c r="P244" s="146" t="str">
        <f>IF(ISBLANK(N244),"",IF(N244&gt;H244,"No","Yes"))</f>
        <v>Yes</v>
      </c>
      <c r="Q244" s="73" t="s">
        <v>117</v>
      </c>
      <c r="R244" s="71" t="s">
        <v>118</v>
      </c>
      <c r="S244" s="77"/>
      <c r="T244" s="69" t="s">
        <v>141</v>
      </c>
      <c r="AS244" s="144" t="str">
        <v>Quarter 4</v>
      </c>
    </row>
    <row r="245" spans="1:45" ht="30" customHeight="1" x14ac:dyDescent="0.35">
      <c r="A245" s="75">
        <v>244</v>
      </c>
      <c r="B245" s="69" t="s">
        <v>969</v>
      </c>
      <c r="C245" s="69" t="s">
        <v>6</v>
      </c>
      <c r="D245" s="69" t="s">
        <v>1790</v>
      </c>
      <c r="E245" s="71">
        <v>45747</v>
      </c>
      <c r="F245" s="72">
        <f>IF($E245="","",WORKDAY($E245,1,$W$33:$W$42))</f>
        <v>45748</v>
      </c>
      <c r="G245" s="72">
        <f>IF($E245="","",WORKDAY($E245,10,$W$33:$W$42))</f>
        <v>45761</v>
      </c>
      <c r="H245" s="72">
        <f>IF($E245="","",WORKDAY($E245,20,$W$33:$W$42))</f>
        <v>45777</v>
      </c>
      <c r="I245" s="72"/>
      <c r="J245" s="69" t="str">
        <f t="shared" ref="J245" si="15">IF(ISBLANK(E245),"",TEXT(E245,"mmm"))</f>
        <v>Mar</v>
      </c>
      <c r="K245" s="14" t="str">
        <f ca="1">IF(E245="","",IF(N245="",H245-TODAY(),""))</f>
        <v/>
      </c>
      <c r="L245" s="70" t="s">
        <v>1662</v>
      </c>
      <c r="M245" s="70" t="s">
        <v>20</v>
      </c>
      <c r="N245" s="70">
        <v>45748</v>
      </c>
      <c r="O245" s="145">
        <f>IF($N245="","",NETWORKDAYS($E245,$N245,$X$33:$X$48)-1)</f>
        <v>1</v>
      </c>
      <c r="P245" s="146" t="str">
        <f>IF(ISBLANK(N245),"",IF(N245&gt;H245,"No","Yes"))</f>
        <v>Yes</v>
      </c>
      <c r="Q245" s="73" t="s">
        <v>117</v>
      </c>
      <c r="R245" s="71" t="s">
        <v>118</v>
      </c>
      <c r="S245" s="77"/>
      <c r="T245" s="69"/>
      <c r="AS245" s="144" t="str">
        <v>Quarter 4</v>
      </c>
    </row>
    <row r="246" spans="1:45" s="77" customFormat="1" ht="30" customHeight="1" x14ac:dyDescent="0.35">
      <c r="A246" s="217">
        <v>245</v>
      </c>
      <c r="B246" s="77" t="s">
        <v>8</v>
      </c>
      <c r="C246" s="77" t="s">
        <v>8</v>
      </c>
      <c r="D246" s="77" t="s">
        <v>2123</v>
      </c>
      <c r="E246" s="219">
        <v>45732</v>
      </c>
      <c r="F246" s="72">
        <f>IF($E246="","",WORKDAY($E246,1,$W$33:$W$42))</f>
        <v>45733</v>
      </c>
      <c r="G246" s="72">
        <f>IF($E246="","",WORKDAY($E246,10,$W$33:$W$42))</f>
        <v>45744</v>
      </c>
      <c r="H246" s="72">
        <f>IF($E246="","",WORKDAY($E246,20,$W$33:$W$42))</f>
        <v>45758</v>
      </c>
      <c r="I246" s="72"/>
      <c r="J246" s="69" t="str">
        <f t="shared" ref="J246" si="16">IF(ISBLANK(E246),"",TEXT(E246,"mmm"))</f>
        <v>Mar</v>
      </c>
      <c r="K246" s="14">
        <f ca="1">IF(E246="","",IF(N246="",H246-TODAY(),""))</f>
        <v>-25</v>
      </c>
      <c r="L246" s="77" t="s">
        <v>1662</v>
      </c>
      <c r="M246" s="77" t="s">
        <v>20</v>
      </c>
      <c r="Q246" s="218" t="s">
        <v>125</v>
      </c>
      <c r="AS246" s="77" t="str">
        <v>Quarter 4</v>
      </c>
    </row>
    <row r="247" spans="1:45" ht="15" customHeight="1" x14ac:dyDescent="0.35">
      <c r="Q247" s="156"/>
      <c r="T247" s="144"/>
      <c r="AS247" s="144" t="e">
        <v>#N/A</v>
      </c>
    </row>
    <row r="248" spans="1:45" ht="15" customHeight="1" x14ac:dyDescent="0.35">
      <c r="Q248" s="156"/>
      <c r="T248" s="144"/>
      <c r="AS248" s="144" t="e">
        <v>#N/A</v>
      </c>
    </row>
    <row r="249" spans="1:45" ht="15" customHeight="1" x14ac:dyDescent="0.35">
      <c r="Q249" s="156"/>
      <c r="T249" s="144"/>
      <c r="AS249" s="144" t="e">
        <v>#N/A</v>
      </c>
    </row>
    <row r="250" spans="1:45" ht="15" customHeight="1" x14ac:dyDescent="0.35">
      <c r="Q250" s="156"/>
      <c r="T250" s="144"/>
      <c r="AS250" s="144" t="e">
        <v>#N/A</v>
      </c>
    </row>
    <row r="251" spans="1:45" ht="15" customHeight="1" x14ac:dyDescent="0.35">
      <c r="Q251" s="156"/>
      <c r="T251" s="144"/>
      <c r="AS251" s="144" t="e">
        <v>#N/A</v>
      </c>
    </row>
    <row r="252" spans="1:45" ht="15" customHeight="1" x14ac:dyDescent="0.35">
      <c r="Q252" s="156"/>
      <c r="T252" s="144"/>
      <c r="AS252" s="144" t="e">
        <v>#N/A</v>
      </c>
    </row>
    <row r="253" spans="1:45" ht="15" customHeight="1" x14ac:dyDescent="0.35">
      <c r="Q253" s="156"/>
      <c r="T253" s="144"/>
      <c r="AS253" s="144" t="e">
        <v>#N/A</v>
      </c>
    </row>
    <row r="254" spans="1:45" ht="15" customHeight="1" x14ac:dyDescent="0.35">
      <c r="Q254" s="156"/>
      <c r="T254" s="144"/>
      <c r="AS254" s="144" t="e">
        <v>#N/A</v>
      </c>
    </row>
    <row r="255" spans="1:45" ht="15" customHeight="1" x14ac:dyDescent="0.35">
      <c r="Q255" s="156"/>
      <c r="T255" s="144"/>
      <c r="AS255" s="144" t="e">
        <v>#N/A</v>
      </c>
    </row>
    <row r="256" spans="1:45" ht="15" customHeight="1" x14ac:dyDescent="0.35">
      <c r="Q256" s="156"/>
      <c r="T256" s="144"/>
      <c r="AS256" s="144" t="e">
        <v>#N/A</v>
      </c>
    </row>
    <row r="257" spans="17:45" ht="15" customHeight="1" x14ac:dyDescent="0.35">
      <c r="Q257" s="156"/>
      <c r="T257" s="144"/>
      <c r="AS257" s="144" t="e">
        <v>#N/A</v>
      </c>
    </row>
    <row r="258" spans="17:45" ht="15" customHeight="1" x14ac:dyDescent="0.35">
      <c r="Q258" s="156"/>
      <c r="T258" s="144"/>
      <c r="AS258" s="144" t="e">
        <v>#N/A</v>
      </c>
    </row>
    <row r="259" spans="17:45" ht="15" customHeight="1" x14ac:dyDescent="0.35">
      <c r="Q259" s="156"/>
      <c r="T259" s="144"/>
      <c r="AS259" s="144" t="e">
        <v>#N/A</v>
      </c>
    </row>
    <row r="260" spans="17:45" ht="15" customHeight="1" x14ac:dyDescent="0.35">
      <c r="Q260" s="156"/>
      <c r="T260" s="144"/>
      <c r="AS260" s="144" t="e">
        <v>#N/A</v>
      </c>
    </row>
    <row r="261" spans="17:45" ht="15" customHeight="1" x14ac:dyDescent="0.35">
      <c r="Q261" s="156"/>
      <c r="T261" s="144"/>
      <c r="AS261" s="144" t="e">
        <v>#N/A</v>
      </c>
    </row>
    <row r="262" spans="17:45" ht="15" customHeight="1" x14ac:dyDescent="0.35">
      <c r="Q262" s="156"/>
      <c r="T262" s="144"/>
      <c r="AS262" s="144" t="e">
        <v>#N/A</v>
      </c>
    </row>
    <row r="263" spans="17:45" ht="15" customHeight="1" x14ac:dyDescent="0.35">
      <c r="Q263" s="156"/>
      <c r="T263" s="144"/>
      <c r="AS263" s="144" t="e">
        <v>#N/A</v>
      </c>
    </row>
    <row r="264" spans="17:45" ht="15" customHeight="1" x14ac:dyDescent="0.35">
      <c r="Q264" s="156"/>
      <c r="T264" s="144"/>
      <c r="AS264" s="144" t="e">
        <v>#N/A</v>
      </c>
    </row>
    <row r="265" spans="17:45" ht="15" customHeight="1" x14ac:dyDescent="0.35">
      <c r="Q265" s="156"/>
      <c r="T265" s="144"/>
      <c r="AS265" s="144" t="e">
        <v>#N/A</v>
      </c>
    </row>
    <row r="266" spans="17:45" ht="15" customHeight="1" x14ac:dyDescent="0.35">
      <c r="Q266" s="156"/>
      <c r="T266" s="144"/>
      <c r="AS266" s="144" t="e">
        <v>#N/A</v>
      </c>
    </row>
    <row r="267" spans="17:45" ht="15" customHeight="1" x14ac:dyDescent="0.35">
      <c r="Q267" s="156"/>
      <c r="T267" s="144"/>
      <c r="AS267" s="144" t="e">
        <v>#N/A</v>
      </c>
    </row>
    <row r="268" spans="17:45" ht="15" customHeight="1" x14ac:dyDescent="0.35">
      <c r="Q268" s="156"/>
      <c r="T268" s="144"/>
      <c r="AS268" s="144" t="e">
        <v>#N/A</v>
      </c>
    </row>
    <row r="269" spans="17:45" ht="15" customHeight="1" x14ac:dyDescent="0.35">
      <c r="Q269" s="156"/>
      <c r="T269" s="144"/>
      <c r="AS269" s="144" t="e">
        <v>#N/A</v>
      </c>
    </row>
    <row r="270" spans="17:45" ht="15" customHeight="1" x14ac:dyDescent="0.35">
      <c r="Q270" s="156"/>
      <c r="T270" s="144"/>
      <c r="AS270" s="144" t="e">
        <v>#N/A</v>
      </c>
    </row>
    <row r="271" spans="17:45" ht="15" customHeight="1" x14ac:dyDescent="0.35">
      <c r="Q271" s="156"/>
      <c r="T271" s="144"/>
      <c r="AS271" s="144" t="e">
        <v>#N/A</v>
      </c>
    </row>
    <row r="272" spans="17:45" ht="15" customHeight="1" x14ac:dyDescent="0.35">
      <c r="Q272" s="156"/>
      <c r="T272" s="144"/>
      <c r="AS272" s="144" t="e">
        <v>#N/A</v>
      </c>
    </row>
    <row r="273" spans="17:45" ht="15" customHeight="1" x14ac:dyDescent="0.35">
      <c r="Q273" s="156"/>
      <c r="T273" s="144"/>
      <c r="AS273" s="144" t="e">
        <v>#N/A</v>
      </c>
    </row>
    <row r="274" spans="17:45" ht="15" customHeight="1" x14ac:dyDescent="0.35">
      <c r="Q274" s="156"/>
      <c r="T274" s="144"/>
      <c r="AS274" s="144" t="e">
        <v>#N/A</v>
      </c>
    </row>
    <row r="275" spans="17:45" ht="15" customHeight="1" x14ac:dyDescent="0.35">
      <c r="Q275" s="156"/>
      <c r="T275" s="144"/>
      <c r="AS275" s="144" t="e">
        <v>#N/A</v>
      </c>
    </row>
    <row r="276" spans="17:45" ht="15" customHeight="1" x14ac:dyDescent="0.35">
      <c r="Q276" s="156"/>
      <c r="T276" s="144"/>
      <c r="AS276" s="144" t="e">
        <v>#N/A</v>
      </c>
    </row>
    <row r="277" spans="17:45" ht="15" customHeight="1" x14ac:dyDescent="0.35">
      <c r="Q277" s="156"/>
      <c r="T277" s="144"/>
      <c r="AS277" s="144" t="e">
        <v>#N/A</v>
      </c>
    </row>
    <row r="278" spans="17:45" ht="15" customHeight="1" x14ac:dyDescent="0.35">
      <c r="Q278" s="156"/>
      <c r="T278" s="144"/>
      <c r="AS278" s="144" t="e">
        <v>#N/A</v>
      </c>
    </row>
    <row r="279" spans="17:45" ht="15" customHeight="1" x14ac:dyDescent="0.35">
      <c r="Q279" s="156"/>
      <c r="T279" s="144"/>
      <c r="AS279" s="144" t="e">
        <v>#N/A</v>
      </c>
    </row>
    <row r="280" spans="17:45" ht="15" customHeight="1" x14ac:dyDescent="0.35">
      <c r="Q280" s="156"/>
      <c r="T280" s="144"/>
      <c r="AS280" s="144" t="e">
        <v>#N/A</v>
      </c>
    </row>
    <row r="281" spans="17:45" ht="15" customHeight="1" x14ac:dyDescent="0.35">
      <c r="Q281" s="156"/>
      <c r="T281" s="144"/>
      <c r="AS281" s="144" t="e">
        <v>#N/A</v>
      </c>
    </row>
    <row r="282" spans="17:45" ht="15" customHeight="1" x14ac:dyDescent="0.35">
      <c r="Q282" s="156"/>
      <c r="T282" s="144"/>
      <c r="AS282" s="144" t="e">
        <v>#N/A</v>
      </c>
    </row>
    <row r="283" spans="17:45" ht="15" customHeight="1" x14ac:dyDescent="0.35">
      <c r="Q283" s="156"/>
      <c r="T283" s="144"/>
      <c r="AS283" s="144" t="e">
        <v>#N/A</v>
      </c>
    </row>
    <row r="284" spans="17:45" ht="15" customHeight="1" x14ac:dyDescent="0.35">
      <c r="Q284" s="156"/>
      <c r="T284" s="144"/>
      <c r="AS284" s="144" t="e">
        <v>#N/A</v>
      </c>
    </row>
    <row r="285" spans="17:45" ht="15" customHeight="1" x14ac:dyDescent="0.35">
      <c r="Q285" s="156"/>
      <c r="T285" s="144"/>
      <c r="AS285" s="144" t="e">
        <v>#N/A</v>
      </c>
    </row>
    <row r="286" spans="17:45" ht="15" customHeight="1" x14ac:dyDescent="0.35">
      <c r="Q286" s="156"/>
      <c r="T286" s="144"/>
      <c r="AS286" s="144" t="e">
        <v>#N/A</v>
      </c>
    </row>
    <row r="287" spans="17:45" ht="15" customHeight="1" x14ac:dyDescent="0.35">
      <c r="Q287" s="156"/>
      <c r="T287" s="144"/>
      <c r="AS287" s="144" t="e">
        <v>#N/A</v>
      </c>
    </row>
    <row r="288" spans="17:45" ht="15" customHeight="1" x14ac:dyDescent="0.35">
      <c r="Q288" s="156"/>
      <c r="T288" s="144"/>
      <c r="AS288" s="144" t="e">
        <v>#N/A</v>
      </c>
    </row>
    <row r="289" spans="17:45" ht="15" customHeight="1" x14ac:dyDescent="0.35">
      <c r="Q289" s="156"/>
      <c r="T289" s="144"/>
      <c r="AS289" s="144" t="e">
        <v>#N/A</v>
      </c>
    </row>
    <row r="290" spans="17:45" ht="15" customHeight="1" x14ac:dyDescent="0.35">
      <c r="Q290" s="156"/>
      <c r="T290" s="144"/>
      <c r="AS290" s="144" t="e">
        <v>#N/A</v>
      </c>
    </row>
    <row r="291" spans="17:45" ht="15" customHeight="1" x14ac:dyDescent="0.35">
      <c r="Q291" s="156"/>
      <c r="T291" s="144"/>
      <c r="AS291" s="144" t="e">
        <v>#N/A</v>
      </c>
    </row>
    <row r="292" spans="17:45" ht="15" customHeight="1" x14ac:dyDescent="0.35">
      <c r="Q292" s="156"/>
      <c r="T292" s="144"/>
      <c r="AS292" s="144" t="e">
        <v>#N/A</v>
      </c>
    </row>
    <row r="293" spans="17:45" ht="15" customHeight="1" x14ac:dyDescent="0.35">
      <c r="Q293" s="156"/>
      <c r="T293" s="144"/>
      <c r="AS293" s="144" t="e">
        <v>#N/A</v>
      </c>
    </row>
    <row r="294" spans="17:45" ht="15" customHeight="1" x14ac:dyDescent="0.35">
      <c r="Q294" s="156"/>
      <c r="T294" s="144"/>
      <c r="AS294" s="144" t="e">
        <v>#N/A</v>
      </c>
    </row>
    <row r="295" spans="17:45" ht="15" customHeight="1" x14ac:dyDescent="0.35">
      <c r="Q295" s="156"/>
      <c r="T295" s="144"/>
      <c r="AS295" s="144" t="e">
        <v>#N/A</v>
      </c>
    </row>
    <row r="296" spans="17:45" ht="15" customHeight="1" x14ac:dyDescent="0.35">
      <c r="Q296" s="156"/>
      <c r="T296" s="144"/>
      <c r="AS296" s="144" t="e">
        <v>#N/A</v>
      </c>
    </row>
    <row r="297" spans="17:45" ht="15" customHeight="1" x14ac:dyDescent="0.35">
      <c r="Q297" s="156"/>
      <c r="T297" s="144"/>
      <c r="AS297" s="144" t="e">
        <v>#N/A</v>
      </c>
    </row>
    <row r="298" spans="17:45" ht="15" customHeight="1" x14ac:dyDescent="0.35">
      <c r="Q298" s="156"/>
      <c r="T298" s="144"/>
      <c r="AS298" s="144" t="e">
        <v>#N/A</v>
      </c>
    </row>
    <row r="299" spans="17:45" ht="15" customHeight="1" x14ac:dyDescent="0.35">
      <c r="Q299" s="156"/>
      <c r="T299" s="144"/>
      <c r="AS299" s="144" t="e">
        <v>#N/A</v>
      </c>
    </row>
    <row r="300" spans="17:45" ht="15" customHeight="1" x14ac:dyDescent="0.35">
      <c r="Q300" s="156"/>
      <c r="T300" s="144"/>
      <c r="AS300" s="144" t="e">
        <v>#N/A</v>
      </c>
    </row>
    <row r="301" spans="17:45" ht="15" customHeight="1" x14ac:dyDescent="0.35">
      <c r="Q301" s="156"/>
      <c r="T301" s="144"/>
      <c r="AS301" s="144" t="e">
        <v>#N/A</v>
      </c>
    </row>
    <row r="302" spans="17:45" ht="15" customHeight="1" x14ac:dyDescent="0.35">
      <c r="Q302" s="156"/>
      <c r="T302" s="144"/>
      <c r="AS302" s="144" t="e">
        <v>#N/A</v>
      </c>
    </row>
    <row r="303" spans="17:45" ht="15" customHeight="1" x14ac:dyDescent="0.35">
      <c r="Q303" s="156"/>
      <c r="T303" s="144"/>
      <c r="AS303" s="144" t="e">
        <v>#N/A</v>
      </c>
    </row>
    <row r="304" spans="17:45" ht="15" customHeight="1" x14ac:dyDescent="0.35">
      <c r="Q304" s="156"/>
      <c r="T304" s="144"/>
      <c r="AS304" s="144" t="e">
        <v>#N/A</v>
      </c>
    </row>
    <row r="305" spans="17:45" ht="15" customHeight="1" x14ac:dyDescent="0.35">
      <c r="Q305" s="156"/>
      <c r="T305" s="144"/>
      <c r="AS305" s="144" t="e">
        <v>#N/A</v>
      </c>
    </row>
    <row r="306" spans="17:45" ht="15" customHeight="1" x14ac:dyDescent="0.35">
      <c r="Q306" s="156"/>
      <c r="T306" s="144"/>
      <c r="AS306" s="144" t="e">
        <v>#N/A</v>
      </c>
    </row>
    <row r="307" spans="17:45" ht="15" customHeight="1" x14ac:dyDescent="0.35">
      <c r="Q307" s="156"/>
      <c r="T307" s="144"/>
      <c r="AS307" s="144" t="e">
        <v>#N/A</v>
      </c>
    </row>
    <row r="308" spans="17:45" ht="15" customHeight="1" x14ac:dyDescent="0.35">
      <c r="Q308" s="156"/>
      <c r="T308" s="144"/>
      <c r="AS308" s="144" t="e">
        <v>#N/A</v>
      </c>
    </row>
    <row r="309" spans="17:45" ht="15" customHeight="1" x14ac:dyDescent="0.35">
      <c r="Q309" s="156"/>
      <c r="T309" s="144"/>
      <c r="AS309" s="144" t="e">
        <v>#N/A</v>
      </c>
    </row>
    <row r="310" spans="17:45" ht="15" customHeight="1" x14ac:dyDescent="0.35">
      <c r="Q310" s="156"/>
      <c r="T310" s="144"/>
      <c r="AS310" s="144" t="e">
        <v>#N/A</v>
      </c>
    </row>
    <row r="311" spans="17:45" ht="15" customHeight="1" x14ac:dyDescent="0.35">
      <c r="Q311" s="156"/>
      <c r="T311" s="144"/>
      <c r="AS311" s="144" t="e">
        <v>#N/A</v>
      </c>
    </row>
    <row r="312" spans="17:45" ht="15" customHeight="1" x14ac:dyDescent="0.35">
      <c r="Q312" s="156"/>
      <c r="T312" s="144"/>
      <c r="AS312" s="144" t="e">
        <v>#N/A</v>
      </c>
    </row>
    <row r="313" spans="17:45" ht="15" customHeight="1" x14ac:dyDescent="0.35">
      <c r="Q313" s="156"/>
      <c r="T313" s="144"/>
      <c r="AS313" s="144" t="e">
        <v>#N/A</v>
      </c>
    </row>
    <row r="314" spans="17:45" ht="15" customHeight="1" x14ac:dyDescent="0.35">
      <c r="Q314" s="156"/>
      <c r="T314" s="144"/>
      <c r="AS314" s="144" t="e">
        <v>#N/A</v>
      </c>
    </row>
    <row r="315" spans="17:45" ht="15" customHeight="1" x14ac:dyDescent="0.35">
      <c r="Q315" s="156"/>
      <c r="T315" s="144"/>
      <c r="AS315" s="144" t="e">
        <v>#N/A</v>
      </c>
    </row>
    <row r="316" spans="17:45" ht="15" customHeight="1" x14ac:dyDescent="0.35">
      <c r="Q316" s="156"/>
      <c r="T316" s="144"/>
      <c r="AS316" s="144" t="e">
        <v>#N/A</v>
      </c>
    </row>
    <row r="317" spans="17:45" ht="15" customHeight="1" x14ac:dyDescent="0.35">
      <c r="Q317" s="156"/>
      <c r="T317" s="144"/>
      <c r="AS317" s="144" t="e">
        <v>#N/A</v>
      </c>
    </row>
    <row r="318" spans="17:45" ht="15" customHeight="1" x14ac:dyDescent="0.35">
      <c r="Q318" s="156"/>
      <c r="T318" s="144"/>
      <c r="AS318" s="144" t="e">
        <v>#N/A</v>
      </c>
    </row>
    <row r="319" spans="17:45" ht="15" customHeight="1" x14ac:dyDescent="0.35">
      <c r="Q319" s="156"/>
      <c r="T319" s="144"/>
      <c r="AS319" s="144" t="e">
        <v>#N/A</v>
      </c>
    </row>
    <row r="320" spans="17:45" ht="15" customHeight="1" x14ac:dyDescent="0.35">
      <c r="Q320" s="156"/>
      <c r="T320" s="144"/>
      <c r="AS320" s="144" t="e">
        <v>#N/A</v>
      </c>
    </row>
    <row r="321" spans="17:45" ht="15" customHeight="1" x14ac:dyDescent="0.35">
      <c r="Q321" s="156"/>
      <c r="T321" s="144"/>
      <c r="AS321" s="144" t="e">
        <v>#N/A</v>
      </c>
    </row>
    <row r="322" spans="17:45" ht="15" customHeight="1" x14ac:dyDescent="0.35">
      <c r="Q322" s="156"/>
      <c r="T322" s="144"/>
      <c r="AS322" s="144" t="e">
        <v>#N/A</v>
      </c>
    </row>
    <row r="323" spans="17:45" ht="15" customHeight="1" x14ac:dyDescent="0.35">
      <c r="Q323" s="156"/>
      <c r="T323" s="144"/>
      <c r="AS323" s="144" t="e">
        <v>#N/A</v>
      </c>
    </row>
    <row r="324" spans="17:45" ht="15" customHeight="1" x14ac:dyDescent="0.35">
      <c r="Q324" s="156"/>
      <c r="T324" s="144"/>
      <c r="AS324" s="144" t="e">
        <v>#N/A</v>
      </c>
    </row>
    <row r="325" spans="17:45" ht="15" customHeight="1" x14ac:dyDescent="0.35">
      <c r="Q325" s="156"/>
      <c r="T325" s="144"/>
      <c r="AS325" s="144" t="e">
        <v>#N/A</v>
      </c>
    </row>
    <row r="326" spans="17:45" ht="15" customHeight="1" x14ac:dyDescent="0.35">
      <c r="Q326" s="156"/>
      <c r="T326" s="144"/>
      <c r="AS326" s="144" t="e">
        <v>#N/A</v>
      </c>
    </row>
    <row r="327" spans="17:45" ht="15" customHeight="1" x14ac:dyDescent="0.35">
      <c r="Q327" s="156"/>
      <c r="T327" s="144"/>
      <c r="AS327" s="144" t="e">
        <v>#N/A</v>
      </c>
    </row>
    <row r="328" spans="17:45" ht="15" customHeight="1" x14ac:dyDescent="0.35">
      <c r="Q328" s="156"/>
      <c r="T328" s="144"/>
      <c r="AS328" s="144" t="e">
        <v>#N/A</v>
      </c>
    </row>
    <row r="329" spans="17:45" ht="15" customHeight="1" x14ac:dyDescent="0.35">
      <c r="Q329" s="156"/>
      <c r="T329" s="144"/>
      <c r="AS329" s="144" t="e">
        <v>#N/A</v>
      </c>
    </row>
    <row r="330" spans="17:45" ht="15" customHeight="1" x14ac:dyDescent="0.35">
      <c r="Q330" s="156"/>
      <c r="T330" s="144"/>
      <c r="AS330" s="144" t="e">
        <v>#N/A</v>
      </c>
    </row>
    <row r="331" spans="17:45" ht="15" customHeight="1" x14ac:dyDescent="0.35">
      <c r="Q331" s="156"/>
      <c r="T331" s="144"/>
      <c r="AS331" s="144" t="e">
        <v>#N/A</v>
      </c>
    </row>
    <row r="332" spans="17:45" ht="15" customHeight="1" x14ac:dyDescent="0.35">
      <c r="Q332" s="156"/>
      <c r="T332" s="144"/>
      <c r="AS332" s="144" t="e">
        <v>#N/A</v>
      </c>
    </row>
    <row r="333" spans="17:45" ht="15" customHeight="1" x14ac:dyDescent="0.35">
      <c r="Q333" s="156"/>
      <c r="T333" s="144"/>
      <c r="AS333" s="144" t="e">
        <v>#N/A</v>
      </c>
    </row>
    <row r="334" spans="17:45" ht="15" customHeight="1" x14ac:dyDescent="0.35">
      <c r="Q334" s="156"/>
      <c r="T334" s="144"/>
      <c r="AS334" s="144" t="e">
        <v>#N/A</v>
      </c>
    </row>
    <row r="335" spans="17:45" ht="15" customHeight="1" x14ac:dyDescent="0.35">
      <c r="Q335" s="156"/>
      <c r="T335" s="144"/>
      <c r="AS335" s="144" t="e">
        <v>#N/A</v>
      </c>
    </row>
    <row r="336" spans="17:45" ht="15" customHeight="1" x14ac:dyDescent="0.35">
      <c r="Q336" s="156"/>
      <c r="T336" s="144"/>
      <c r="AS336" s="144" t="e">
        <v>#N/A</v>
      </c>
    </row>
    <row r="337" spans="17:45" ht="15" customHeight="1" x14ac:dyDescent="0.35">
      <c r="Q337" s="156"/>
      <c r="T337" s="144"/>
      <c r="AS337" s="144" t="e">
        <v>#N/A</v>
      </c>
    </row>
    <row r="338" spans="17:45" ht="15" customHeight="1" x14ac:dyDescent="0.35">
      <c r="Q338" s="156"/>
      <c r="T338" s="144"/>
      <c r="AS338" s="144" t="e">
        <v>#N/A</v>
      </c>
    </row>
    <row r="339" spans="17:45" ht="15" customHeight="1" x14ac:dyDescent="0.35">
      <c r="Q339" s="156"/>
      <c r="T339" s="144"/>
      <c r="AS339" s="144" t="e">
        <v>#N/A</v>
      </c>
    </row>
    <row r="340" spans="17:45" ht="15" customHeight="1" x14ac:dyDescent="0.35">
      <c r="Q340" s="156"/>
      <c r="T340" s="144"/>
      <c r="AS340" s="144" t="e">
        <v>#N/A</v>
      </c>
    </row>
    <row r="341" spans="17:45" ht="15" customHeight="1" x14ac:dyDescent="0.35">
      <c r="Q341" s="156"/>
      <c r="T341" s="144"/>
      <c r="AS341" s="144" t="e">
        <v>#N/A</v>
      </c>
    </row>
    <row r="342" spans="17:45" ht="15" customHeight="1" x14ac:dyDescent="0.35">
      <c r="Q342" s="156"/>
      <c r="T342" s="144"/>
      <c r="AS342" s="144" t="e">
        <v>#N/A</v>
      </c>
    </row>
    <row r="343" spans="17:45" ht="15" customHeight="1" x14ac:dyDescent="0.35">
      <c r="Q343" s="156"/>
      <c r="T343" s="144"/>
      <c r="AS343" s="144" t="e">
        <v>#N/A</v>
      </c>
    </row>
    <row r="344" spans="17:45" ht="15" customHeight="1" x14ac:dyDescent="0.35">
      <c r="Q344" s="156"/>
      <c r="T344" s="144"/>
      <c r="AS344" s="144" t="e">
        <v>#N/A</v>
      </c>
    </row>
    <row r="345" spans="17:45" ht="15" customHeight="1" x14ac:dyDescent="0.35">
      <c r="Q345" s="156"/>
      <c r="T345" s="144"/>
      <c r="AS345" s="144" t="e">
        <v>#N/A</v>
      </c>
    </row>
    <row r="346" spans="17:45" ht="15" customHeight="1" x14ac:dyDescent="0.35">
      <c r="Q346" s="156"/>
      <c r="T346" s="144"/>
      <c r="AS346" s="144" t="e">
        <v>#N/A</v>
      </c>
    </row>
    <row r="347" spans="17:45" ht="15" customHeight="1" x14ac:dyDescent="0.35">
      <c r="Q347" s="156"/>
      <c r="T347" s="144"/>
      <c r="AS347" s="144" t="e">
        <v>#N/A</v>
      </c>
    </row>
    <row r="348" spans="17:45" ht="15" customHeight="1" x14ac:dyDescent="0.35">
      <c r="Q348" s="156"/>
      <c r="T348" s="144"/>
      <c r="AS348" s="144" t="e">
        <v>#N/A</v>
      </c>
    </row>
    <row r="349" spans="17:45" ht="15" customHeight="1" x14ac:dyDescent="0.35">
      <c r="Q349" s="156"/>
      <c r="T349" s="144"/>
      <c r="AS349" s="144" t="e">
        <v>#N/A</v>
      </c>
    </row>
    <row r="350" spans="17:45" ht="15" customHeight="1" x14ac:dyDescent="0.35">
      <c r="Q350" s="156"/>
      <c r="T350" s="144"/>
      <c r="AS350" s="144" t="e">
        <v>#N/A</v>
      </c>
    </row>
    <row r="351" spans="17:45" ht="15" customHeight="1" x14ac:dyDescent="0.35">
      <c r="Q351" s="156"/>
      <c r="T351" s="144"/>
      <c r="AS351" s="144" t="e">
        <v>#N/A</v>
      </c>
    </row>
    <row r="352" spans="17:45" ht="15" customHeight="1" x14ac:dyDescent="0.35">
      <c r="Q352" s="156"/>
      <c r="T352" s="144"/>
      <c r="AS352" s="144" t="e">
        <v>#N/A</v>
      </c>
    </row>
    <row r="353" spans="17:45" ht="15" customHeight="1" x14ac:dyDescent="0.35">
      <c r="Q353" s="156"/>
      <c r="T353" s="144"/>
      <c r="AS353" s="144" t="e">
        <v>#N/A</v>
      </c>
    </row>
    <row r="354" spans="17:45" ht="15" customHeight="1" x14ac:dyDescent="0.35">
      <c r="Q354" s="156"/>
      <c r="T354" s="144"/>
      <c r="AS354" s="144" t="e">
        <v>#N/A</v>
      </c>
    </row>
    <row r="355" spans="17:45" ht="15" customHeight="1" x14ac:dyDescent="0.35">
      <c r="Q355" s="156"/>
      <c r="T355" s="144"/>
      <c r="AS355" s="144" t="e">
        <v>#N/A</v>
      </c>
    </row>
    <row r="356" spans="17:45" ht="15" customHeight="1" x14ac:dyDescent="0.35">
      <c r="Q356" s="156"/>
      <c r="T356" s="144"/>
      <c r="AS356" s="144" t="e">
        <v>#N/A</v>
      </c>
    </row>
    <row r="357" spans="17:45" ht="15" customHeight="1" x14ac:dyDescent="0.35">
      <c r="Q357" s="156"/>
      <c r="T357" s="144"/>
      <c r="AS357" s="144" t="e">
        <v>#N/A</v>
      </c>
    </row>
    <row r="358" spans="17:45" ht="15" customHeight="1" x14ac:dyDescent="0.35">
      <c r="Q358" s="156"/>
      <c r="T358" s="144"/>
      <c r="AS358" s="144" t="e">
        <v>#N/A</v>
      </c>
    </row>
    <row r="359" spans="17:45" ht="15" customHeight="1" x14ac:dyDescent="0.35">
      <c r="Q359" s="156"/>
      <c r="T359" s="144"/>
      <c r="AS359" s="144" t="e">
        <v>#N/A</v>
      </c>
    </row>
    <row r="360" spans="17:45" ht="15" customHeight="1" x14ac:dyDescent="0.35">
      <c r="Q360" s="156"/>
      <c r="T360" s="144"/>
      <c r="AS360" s="144" t="e">
        <v>#N/A</v>
      </c>
    </row>
    <row r="361" spans="17:45" ht="15" customHeight="1" x14ac:dyDescent="0.35">
      <c r="Q361" s="156"/>
      <c r="T361" s="144"/>
      <c r="AS361" s="144" t="e">
        <v>#N/A</v>
      </c>
    </row>
    <row r="362" spans="17:45" ht="15" customHeight="1" x14ac:dyDescent="0.35">
      <c r="Q362" s="156"/>
      <c r="T362" s="144"/>
      <c r="AS362" s="144" t="e">
        <v>#N/A</v>
      </c>
    </row>
    <row r="363" spans="17:45" ht="15" customHeight="1" x14ac:dyDescent="0.35">
      <c r="Q363" s="156"/>
      <c r="T363" s="144"/>
      <c r="AS363" s="144" t="e">
        <v>#N/A</v>
      </c>
    </row>
    <row r="364" spans="17:45" ht="15" customHeight="1" x14ac:dyDescent="0.35">
      <c r="Q364" s="156"/>
      <c r="T364" s="144"/>
      <c r="AS364" s="144" t="e">
        <v>#N/A</v>
      </c>
    </row>
    <row r="365" spans="17:45" ht="15" customHeight="1" x14ac:dyDescent="0.35">
      <c r="Q365" s="156"/>
      <c r="T365" s="144"/>
      <c r="AS365" s="144" t="e">
        <v>#N/A</v>
      </c>
    </row>
    <row r="366" spans="17:45" ht="15" customHeight="1" x14ac:dyDescent="0.35">
      <c r="Q366" s="156"/>
      <c r="T366" s="144"/>
      <c r="AS366" s="144" t="e">
        <v>#N/A</v>
      </c>
    </row>
    <row r="367" spans="17:45" ht="15" customHeight="1" x14ac:dyDescent="0.35">
      <c r="Q367" s="156"/>
      <c r="T367" s="144"/>
      <c r="AS367" s="144" t="e">
        <v>#N/A</v>
      </c>
    </row>
    <row r="368" spans="17:45" ht="15" customHeight="1" x14ac:dyDescent="0.35">
      <c r="Q368" s="156"/>
      <c r="T368" s="144"/>
      <c r="AS368" s="144" t="e">
        <v>#N/A</v>
      </c>
    </row>
    <row r="369" spans="17:45" ht="15" customHeight="1" x14ac:dyDescent="0.35">
      <c r="Q369" s="156"/>
      <c r="T369" s="144"/>
      <c r="AS369" s="144" t="e">
        <v>#N/A</v>
      </c>
    </row>
    <row r="370" spans="17:45" ht="15" customHeight="1" x14ac:dyDescent="0.35">
      <c r="Q370" s="156"/>
      <c r="T370" s="144"/>
      <c r="AS370" s="144" t="e">
        <v>#N/A</v>
      </c>
    </row>
    <row r="371" spans="17:45" ht="15" customHeight="1" x14ac:dyDescent="0.35">
      <c r="Q371" s="156"/>
      <c r="T371" s="144"/>
      <c r="AS371" s="144" t="e">
        <v>#N/A</v>
      </c>
    </row>
    <row r="372" spans="17:45" ht="15" customHeight="1" x14ac:dyDescent="0.35">
      <c r="Q372" s="156"/>
      <c r="T372" s="144"/>
      <c r="AS372" s="144" t="e">
        <v>#N/A</v>
      </c>
    </row>
    <row r="373" spans="17:45" ht="15" customHeight="1" x14ac:dyDescent="0.35">
      <c r="Q373" s="156"/>
      <c r="T373" s="144"/>
      <c r="AS373" s="144" t="e">
        <v>#N/A</v>
      </c>
    </row>
    <row r="374" spans="17:45" ht="15" customHeight="1" x14ac:dyDescent="0.35">
      <c r="Q374" s="156"/>
      <c r="T374" s="144"/>
      <c r="AS374" s="144" t="e">
        <v>#N/A</v>
      </c>
    </row>
    <row r="375" spans="17:45" ht="15" customHeight="1" x14ac:dyDescent="0.35">
      <c r="Q375" s="156"/>
      <c r="T375" s="144"/>
      <c r="AS375" s="144" t="e">
        <v>#N/A</v>
      </c>
    </row>
    <row r="376" spans="17:45" ht="15" customHeight="1" x14ac:dyDescent="0.35">
      <c r="Q376" s="156"/>
      <c r="T376" s="144"/>
      <c r="AS376" s="144" t="e">
        <v>#N/A</v>
      </c>
    </row>
    <row r="377" spans="17:45" ht="15" customHeight="1" x14ac:dyDescent="0.35">
      <c r="Q377" s="156"/>
      <c r="T377" s="144"/>
      <c r="AS377" s="144" t="e">
        <v>#N/A</v>
      </c>
    </row>
    <row r="378" spans="17:45" ht="15" customHeight="1" x14ac:dyDescent="0.35">
      <c r="Q378" s="156"/>
      <c r="T378" s="144"/>
      <c r="AS378" s="144" t="e">
        <v>#N/A</v>
      </c>
    </row>
    <row r="379" spans="17:45" ht="15" customHeight="1" x14ac:dyDescent="0.35">
      <c r="Q379" s="156"/>
      <c r="T379" s="144"/>
      <c r="AS379" s="144" t="e">
        <v>#N/A</v>
      </c>
    </row>
    <row r="380" spans="17:45" ht="15" customHeight="1" x14ac:dyDescent="0.35">
      <c r="Q380" s="156"/>
      <c r="T380" s="144"/>
      <c r="AS380" s="144" t="e">
        <v>#N/A</v>
      </c>
    </row>
    <row r="381" spans="17:45" ht="15" customHeight="1" x14ac:dyDescent="0.35">
      <c r="Q381" s="156"/>
      <c r="T381" s="144"/>
      <c r="AS381" s="144" t="e">
        <v>#N/A</v>
      </c>
    </row>
    <row r="382" spans="17:45" ht="15" customHeight="1" x14ac:dyDescent="0.35">
      <c r="Q382" s="156"/>
      <c r="T382" s="144"/>
      <c r="AS382" s="144" t="e">
        <v>#N/A</v>
      </c>
    </row>
    <row r="383" spans="17:45" ht="15" customHeight="1" x14ac:dyDescent="0.35">
      <c r="Q383" s="156"/>
      <c r="T383" s="144"/>
      <c r="AS383" s="144" t="e">
        <v>#N/A</v>
      </c>
    </row>
    <row r="384" spans="17:45" ht="15" customHeight="1" x14ac:dyDescent="0.35">
      <c r="Q384" s="156"/>
      <c r="T384" s="144"/>
      <c r="AS384" s="144" t="e">
        <v>#N/A</v>
      </c>
    </row>
    <row r="385" spans="17:45" ht="15" customHeight="1" x14ac:dyDescent="0.35">
      <c r="Q385" s="156"/>
      <c r="T385" s="144"/>
      <c r="AS385" s="144" t="e">
        <v>#N/A</v>
      </c>
    </row>
    <row r="386" spans="17:45" ht="15" customHeight="1" x14ac:dyDescent="0.35">
      <c r="Q386" s="156"/>
      <c r="T386" s="144"/>
      <c r="AS386" s="144" t="e">
        <v>#N/A</v>
      </c>
    </row>
    <row r="387" spans="17:45" ht="15" customHeight="1" x14ac:dyDescent="0.35">
      <c r="Q387" s="156"/>
      <c r="T387" s="144"/>
      <c r="AS387" s="144" t="e">
        <v>#N/A</v>
      </c>
    </row>
    <row r="388" spans="17:45" ht="15" customHeight="1" x14ac:dyDescent="0.35">
      <c r="Q388" s="156"/>
      <c r="T388" s="144"/>
      <c r="AS388" s="144" t="e">
        <v>#N/A</v>
      </c>
    </row>
    <row r="389" spans="17:45" ht="15" customHeight="1" x14ac:dyDescent="0.35">
      <c r="Q389" s="156"/>
      <c r="T389" s="144"/>
      <c r="AS389" s="144" t="e">
        <v>#N/A</v>
      </c>
    </row>
    <row r="390" spans="17:45" ht="15" customHeight="1" x14ac:dyDescent="0.35">
      <c r="Q390" s="156"/>
      <c r="T390" s="144"/>
      <c r="AS390" s="144" t="e">
        <v>#N/A</v>
      </c>
    </row>
    <row r="391" spans="17:45" ht="15" customHeight="1" x14ac:dyDescent="0.35">
      <c r="Q391" s="156"/>
      <c r="T391" s="144"/>
      <c r="AS391" s="144" t="e">
        <v>#N/A</v>
      </c>
    </row>
    <row r="392" spans="17:45" ht="15" customHeight="1" x14ac:dyDescent="0.35">
      <c r="Q392" s="156"/>
      <c r="T392" s="144"/>
      <c r="AS392" s="144" t="e">
        <v>#N/A</v>
      </c>
    </row>
    <row r="393" spans="17:45" ht="15" customHeight="1" x14ac:dyDescent="0.35">
      <c r="Q393" s="156"/>
      <c r="T393" s="144"/>
      <c r="AS393" s="144" t="e">
        <v>#N/A</v>
      </c>
    </row>
    <row r="394" spans="17:45" ht="15" customHeight="1" x14ac:dyDescent="0.35">
      <c r="Q394" s="156"/>
      <c r="T394" s="144"/>
      <c r="AS394" s="144" t="e">
        <v>#N/A</v>
      </c>
    </row>
    <row r="395" spans="17:45" ht="15" customHeight="1" x14ac:dyDescent="0.35">
      <c r="Q395" s="156"/>
      <c r="T395" s="144"/>
      <c r="AS395" s="144" t="e">
        <v>#N/A</v>
      </c>
    </row>
    <row r="396" spans="17:45" ht="15" customHeight="1" x14ac:dyDescent="0.35">
      <c r="Q396" s="156"/>
      <c r="T396" s="144"/>
      <c r="AS396" s="144" t="e">
        <v>#N/A</v>
      </c>
    </row>
    <row r="397" spans="17:45" ht="15" customHeight="1" x14ac:dyDescent="0.35">
      <c r="Q397" s="156"/>
      <c r="T397" s="144"/>
      <c r="AS397" s="144" t="e">
        <v>#N/A</v>
      </c>
    </row>
    <row r="398" spans="17:45" ht="15" customHeight="1" x14ac:dyDescent="0.35">
      <c r="Q398" s="156"/>
      <c r="T398" s="144"/>
      <c r="AS398" s="144" t="e">
        <v>#N/A</v>
      </c>
    </row>
    <row r="399" spans="17:45" ht="15" customHeight="1" x14ac:dyDescent="0.35">
      <c r="Q399" s="156"/>
      <c r="T399" s="144"/>
      <c r="AS399" s="144" t="e">
        <v>#N/A</v>
      </c>
    </row>
    <row r="400" spans="17:45" ht="15" customHeight="1" x14ac:dyDescent="0.35">
      <c r="Q400" s="156"/>
      <c r="T400" s="144"/>
      <c r="AS400" s="144" t="e">
        <v>#N/A</v>
      </c>
    </row>
    <row r="401" spans="17:45" ht="15" customHeight="1" x14ac:dyDescent="0.35">
      <c r="Q401" s="156"/>
      <c r="T401" s="144"/>
      <c r="AS401" s="144" t="e">
        <v>#N/A</v>
      </c>
    </row>
    <row r="402" spans="17:45" ht="15" customHeight="1" x14ac:dyDescent="0.35">
      <c r="Q402" s="156"/>
      <c r="T402" s="144"/>
      <c r="AS402" s="144" t="e">
        <v>#N/A</v>
      </c>
    </row>
    <row r="403" spans="17:45" ht="15" customHeight="1" x14ac:dyDescent="0.35">
      <c r="Q403" s="156"/>
      <c r="T403" s="144"/>
      <c r="AS403" s="144" t="e">
        <v>#N/A</v>
      </c>
    </row>
    <row r="404" spans="17:45" ht="15" customHeight="1" x14ac:dyDescent="0.35">
      <c r="Q404" s="156"/>
      <c r="T404" s="144"/>
      <c r="AS404" s="144" t="e">
        <v>#N/A</v>
      </c>
    </row>
    <row r="405" spans="17:45" ht="15" customHeight="1" x14ac:dyDescent="0.35">
      <c r="Q405" s="156"/>
      <c r="T405" s="144"/>
      <c r="AS405" s="144" t="e">
        <v>#N/A</v>
      </c>
    </row>
    <row r="406" spans="17:45" ht="15" customHeight="1" x14ac:dyDescent="0.35">
      <c r="Q406" s="156"/>
      <c r="T406" s="144"/>
      <c r="AS406" s="144" t="e">
        <v>#N/A</v>
      </c>
    </row>
    <row r="407" spans="17:45" ht="15" customHeight="1" x14ac:dyDescent="0.35">
      <c r="Q407" s="156"/>
      <c r="T407" s="144"/>
      <c r="AS407" s="144" t="e">
        <v>#N/A</v>
      </c>
    </row>
    <row r="408" spans="17:45" ht="15" customHeight="1" x14ac:dyDescent="0.35">
      <c r="Q408" s="156"/>
      <c r="T408" s="144"/>
      <c r="AS408" s="144" t="e">
        <v>#N/A</v>
      </c>
    </row>
    <row r="409" spans="17:45" ht="15" customHeight="1" x14ac:dyDescent="0.35">
      <c r="Q409" s="156"/>
      <c r="T409" s="144"/>
      <c r="AS409" s="144" t="e">
        <v>#N/A</v>
      </c>
    </row>
    <row r="410" spans="17:45" ht="15" customHeight="1" x14ac:dyDescent="0.35">
      <c r="Q410" s="156"/>
      <c r="T410" s="144"/>
      <c r="AS410" s="144" t="e">
        <v>#N/A</v>
      </c>
    </row>
    <row r="411" spans="17:45" ht="15" customHeight="1" x14ac:dyDescent="0.35">
      <c r="Q411" s="156"/>
      <c r="T411" s="144"/>
      <c r="AS411" s="144" t="e">
        <v>#N/A</v>
      </c>
    </row>
    <row r="412" spans="17:45" ht="15" customHeight="1" x14ac:dyDescent="0.35">
      <c r="Q412" s="156"/>
      <c r="T412" s="144"/>
      <c r="AS412" s="144" t="e">
        <v>#N/A</v>
      </c>
    </row>
    <row r="413" spans="17:45" ht="15" customHeight="1" x14ac:dyDescent="0.35">
      <c r="Q413" s="156"/>
      <c r="T413" s="144"/>
      <c r="AS413" s="144" t="e">
        <v>#N/A</v>
      </c>
    </row>
    <row r="414" spans="17:45" ht="15" customHeight="1" x14ac:dyDescent="0.35">
      <c r="Q414" s="156"/>
      <c r="T414" s="144"/>
      <c r="AS414" s="144" t="e">
        <v>#N/A</v>
      </c>
    </row>
    <row r="415" spans="17:45" ht="15" customHeight="1" x14ac:dyDescent="0.35">
      <c r="Q415" s="156"/>
      <c r="T415" s="144"/>
      <c r="AS415" s="144" t="e">
        <v>#N/A</v>
      </c>
    </row>
    <row r="416" spans="17:45" ht="15" customHeight="1" x14ac:dyDescent="0.35">
      <c r="Q416" s="156"/>
      <c r="T416" s="144"/>
      <c r="AS416" s="144" t="e">
        <v>#N/A</v>
      </c>
    </row>
    <row r="417" spans="17:45" ht="15" customHeight="1" x14ac:dyDescent="0.35">
      <c r="Q417" s="156"/>
      <c r="T417" s="144"/>
      <c r="AS417" s="144" t="e">
        <v>#N/A</v>
      </c>
    </row>
    <row r="418" spans="17:45" ht="15" customHeight="1" x14ac:dyDescent="0.35">
      <c r="Q418" s="156"/>
      <c r="T418" s="144"/>
      <c r="AS418" s="144" t="e">
        <v>#N/A</v>
      </c>
    </row>
    <row r="419" spans="17:45" ht="15" customHeight="1" x14ac:dyDescent="0.35">
      <c r="Q419" s="156"/>
      <c r="T419" s="144"/>
      <c r="AS419" s="144" t="e">
        <v>#N/A</v>
      </c>
    </row>
    <row r="420" spans="17:45" ht="15" customHeight="1" x14ac:dyDescent="0.35">
      <c r="Q420" s="156"/>
      <c r="T420" s="144"/>
      <c r="AS420" s="144" t="e">
        <v>#N/A</v>
      </c>
    </row>
    <row r="421" spans="17:45" ht="15" customHeight="1" x14ac:dyDescent="0.35">
      <c r="Q421" s="156"/>
      <c r="T421" s="144"/>
      <c r="AS421" s="144" t="e">
        <v>#N/A</v>
      </c>
    </row>
    <row r="422" spans="17:45" ht="15" customHeight="1" x14ac:dyDescent="0.35">
      <c r="Q422" s="156"/>
      <c r="T422" s="144"/>
      <c r="AS422" s="144" t="e">
        <v>#N/A</v>
      </c>
    </row>
    <row r="423" spans="17:45" ht="15" customHeight="1" x14ac:dyDescent="0.35">
      <c r="Q423" s="156"/>
      <c r="T423" s="144"/>
      <c r="AS423" s="144" t="e">
        <v>#N/A</v>
      </c>
    </row>
    <row r="424" spans="17:45" ht="15" customHeight="1" x14ac:dyDescent="0.35">
      <c r="Q424" s="156"/>
      <c r="T424" s="144"/>
      <c r="AS424" s="144" t="e">
        <v>#N/A</v>
      </c>
    </row>
    <row r="425" spans="17:45" ht="15" customHeight="1" x14ac:dyDescent="0.35">
      <c r="Q425" s="156"/>
      <c r="T425" s="144"/>
      <c r="AS425" s="144" t="e">
        <v>#N/A</v>
      </c>
    </row>
    <row r="426" spans="17:45" ht="15" customHeight="1" x14ac:dyDescent="0.35">
      <c r="Q426" s="156"/>
      <c r="T426" s="144"/>
      <c r="AS426" s="144" t="e">
        <v>#N/A</v>
      </c>
    </row>
    <row r="427" spans="17:45" ht="15" customHeight="1" x14ac:dyDescent="0.35">
      <c r="Q427" s="156"/>
      <c r="T427" s="144"/>
      <c r="AS427" s="144" t="e">
        <v>#N/A</v>
      </c>
    </row>
    <row r="428" spans="17:45" ht="15" customHeight="1" x14ac:dyDescent="0.35">
      <c r="Q428" s="156"/>
      <c r="T428" s="144"/>
      <c r="AS428" s="144" t="e">
        <v>#N/A</v>
      </c>
    </row>
    <row r="429" spans="17:45" ht="15" customHeight="1" x14ac:dyDescent="0.35">
      <c r="Q429" s="156"/>
      <c r="T429" s="144"/>
      <c r="AS429" s="144" t="e">
        <v>#N/A</v>
      </c>
    </row>
    <row r="430" spans="17:45" ht="15" customHeight="1" x14ac:dyDescent="0.35">
      <c r="Q430" s="156"/>
      <c r="T430" s="144"/>
      <c r="AS430" s="144" t="e">
        <v>#N/A</v>
      </c>
    </row>
    <row r="431" spans="17:45" ht="15" customHeight="1" x14ac:dyDescent="0.35">
      <c r="Q431" s="156"/>
      <c r="T431" s="144"/>
      <c r="AS431" s="144" t="e">
        <v>#N/A</v>
      </c>
    </row>
    <row r="432" spans="17:45" ht="15" customHeight="1" x14ac:dyDescent="0.35">
      <c r="Q432" s="156"/>
      <c r="T432" s="144"/>
      <c r="AS432" s="144" t="e">
        <v>#N/A</v>
      </c>
    </row>
    <row r="433" spans="17:45" ht="15" customHeight="1" x14ac:dyDescent="0.35">
      <c r="Q433" s="156"/>
      <c r="T433" s="144"/>
      <c r="AS433" s="144" t="e">
        <v>#N/A</v>
      </c>
    </row>
    <row r="434" spans="17:45" ht="15" customHeight="1" x14ac:dyDescent="0.35">
      <c r="Q434" s="156"/>
      <c r="T434" s="144"/>
      <c r="AS434" s="144" t="e">
        <v>#N/A</v>
      </c>
    </row>
    <row r="435" spans="17:45" ht="15" customHeight="1" x14ac:dyDescent="0.35">
      <c r="Q435" s="156"/>
      <c r="T435" s="144"/>
      <c r="AS435" s="144" t="e">
        <v>#N/A</v>
      </c>
    </row>
    <row r="436" spans="17:45" ht="15" customHeight="1" x14ac:dyDescent="0.35">
      <c r="Q436" s="156"/>
      <c r="T436" s="144"/>
      <c r="AS436" s="144" t="e">
        <v>#N/A</v>
      </c>
    </row>
    <row r="437" spans="17:45" ht="15" customHeight="1" x14ac:dyDescent="0.35">
      <c r="Q437" s="156"/>
      <c r="T437" s="144"/>
      <c r="AS437" s="144" t="e">
        <v>#N/A</v>
      </c>
    </row>
    <row r="438" spans="17:45" ht="15" customHeight="1" x14ac:dyDescent="0.35">
      <c r="Q438" s="156"/>
      <c r="T438" s="144"/>
      <c r="AS438" s="144" t="e">
        <v>#N/A</v>
      </c>
    </row>
    <row r="439" spans="17:45" ht="15" customHeight="1" x14ac:dyDescent="0.35">
      <c r="Q439" s="156"/>
      <c r="T439" s="144"/>
      <c r="AS439" s="144" t="e">
        <v>#N/A</v>
      </c>
    </row>
    <row r="440" spans="17:45" ht="15" customHeight="1" x14ac:dyDescent="0.35">
      <c r="Q440" s="156"/>
      <c r="T440" s="144"/>
      <c r="AS440" s="144" t="e">
        <v>#N/A</v>
      </c>
    </row>
    <row r="441" spans="17:45" ht="15" customHeight="1" x14ac:dyDescent="0.35">
      <c r="Q441" s="156"/>
      <c r="T441" s="144"/>
      <c r="AS441" s="144" t="e">
        <v>#N/A</v>
      </c>
    </row>
    <row r="442" spans="17:45" ht="15" customHeight="1" x14ac:dyDescent="0.35">
      <c r="Q442" s="156"/>
      <c r="T442" s="144"/>
      <c r="AS442" s="144" t="e">
        <v>#N/A</v>
      </c>
    </row>
    <row r="443" spans="17:45" ht="15" customHeight="1" x14ac:dyDescent="0.35">
      <c r="Q443" s="156"/>
      <c r="T443" s="144"/>
      <c r="AS443" s="144" t="e">
        <v>#N/A</v>
      </c>
    </row>
    <row r="444" spans="17:45" ht="15" customHeight="1" x14ac:dyDescent="0.35">
      <c r="Q444" s="156"/>
      <c r="T444" s="144"/>
      <c r="AS444" s="144" t="e">
        <v>#N/A</v>
      </c>
    </row>
    <row r="445" spans="17:45" ht="15" customHeight="1" x14ac:dyDescent="0.35">
      <c r="Q445" s="156"/>
      <c r="T445" s="144"/>
      <c r="AS445" s="144" t="e">
        <v>#N/A</v>
      </c>
    </row>
    <row r="446" spans="17:45" ht="15" customHeight="1" x14ac:dyDescent="0.35">
      <c r="Q446" s="156"/>
      <c r="T446" s="144"/>
      <c r="AS446" s="144" t="e">
        <v>#N/A</v>
      </c>
    </row>
    <row r="447" spans="17:45" ht="15" customHeight="1" x14ac:dyDescent="0.35">
      <c r="Q447" s="156"/>
      <c r="T447" s="144"/>
      <c r="AS447" s="144" t="e">
        <v>#N/A</v>
      </c>
    </row>
    <row r="448" spans="17:45" ht="15" customHeight="1" x14ac:dyDescent="0.35">
      <c r="Q448" s="156"/>
      <c r="T448" s="144"/>
      <c r="AS448" s="144" t="e">
        <v>#N/A</v>
      </c>
    </row>
    <row r="449" spans="17:45" ht="15" customHeight="1" x14ac:dyDescent="0.35">
      <c r="Q449" s="156"/>
      <c r="T449" s="144"/>
      <c r="AS449" s="144" t="e">
        <v>#N/A</v>
      </c>
    </row>
    <row r="450" spans="17:45" ht="15" customHeight="1" x14ac:dyDescent="0.35">
      <c r="Q450" s="156"/>
      <c r="T450" s="144"/>
      <c r="AS450" s="144" t="e">
        <v>#N/A</v>
      </c>
    </row>
    <row r="451" spans="17:45" ht="15" customHeight="1" x14ac:dyDescent="0.35">
      <c r="Q451" s="156"/>
      <c r="T451" s="144"/>
      <c r="AS451" s="144" t="e">
        <v>#N/A</v>
      </c>
    </row>
    <row r="452" spans="17:45" ht="15" customHeight="1" x14ac:dyDescent="0.35">
      <c r="Q452" s="156"/>
      <c r="T452" s="144"/>
      <c r="AS452" s="144" t="e">
        <v>#N/A</v>
      </c>
    </row>
    <row r="453" spans="17:45" ht="15" customHeight="1" x14ac:dyDescent="0.35">
      <c r="Q453" s="156"/>
      <c r="T453" s="144"/>
      <c r="AS453" s="144" t="e">
        <v>#N/A</v>
      </c>
    </row>
    <row r="454" spans="17:45" ht="15" customHeight="1" x14ac:dyDescent="0.35">
      <c r="Q454" s="156"/>
      <c r="T454" s="144"/>
      <c r="AS454" s="144" t="e">
        <v>#N/A</v>
      </c>
    </row>
    <row r="455" spans="17:45" ht="15" customHeight="1" x14ac:dyDescent="0.35">
      <c r="Q455" s="156"/>
      <c r="T455" s="144"/>
      <c r="AS455" s="144" t="e">
        <v>#N/A</v>
      </c>
    </row>
    <row r="456" spans="17:45" ht="15" customHeight="1" x14ac:dyDescent="0.35">
      <c r="Q456" s="156"/>
      <c r="T456" s="144"/>
      <c r="AS456" s="144" t="e">
        <v>#N/A</v>
      </c>
    </row>
    <row r="457" spans="17:45" ht="15" customHeight="1" x14ac:dyDescent="0.35">
      <c r="Q457" s="156"/>
      <c r="T457" s="144"/>
      <c r="AS457" s="144" t="e">
        <v>#N/A</v>
      </c>
    </row>
    <row r="458" spans="17:45" ht="15" customHeight="1" x14ac:dyDescent="0.35">
      <c r="Q458" s="156"/>
      <c r="T458" s="144"/>
      <c r="AS458" s="144" t="e">
        <v>#N/A</v>
      </c>
    </row>
    <row r="459" spans="17:45" ht="15" customHeight="1" x14ac:dyDescent="0.35">
      <c r="Q459" s="156"/>
      <c r="T459" s="144"/>
      <c r="AS459" s="144" t="e">
        <v>#N/A</v>
      </c>
    </row>
    <row r="460" spans="17:45" ht="15" customHeight="1" x14ac:dyDescent="0.35">
      <c r="Q460" s="156"/>
      <c r="T460" s="144"/>
      <c r="AS460" s="144" t="e">
        <v>#N/A</v>
      </c>
    </row>
    <row r="461" spans="17:45" ht="15" customHeight="1" x14ac:dyDescent="0.35">
      <c r="Q461" s="156"/>
      <c r="T461" s="144"/>
      <c r="AS461" s="144" t="e">
        <v>#N/A</v>
      </c>
    </row>
    <row r="462" spans="17:45" ht="15" customHeight="1" x14ac:dyDescent="0.35">
      <c r="Q462" s="156"/>
      <c r="T462" s="144"/>
      <c r="AS462" s="144" t="e">
        <v>#N/A</v>
      </c>
    </row>
    <row r="463" spans="17:45" ht="15" customHeight="1" x14ac:dyDescent="0.35">
      <c r="Q463" s="156"/>
      <c r="T463" s="144"/>
      <c r="AS463" s="144" t="e">
        <v>#N/A</v>
      </c>
    </row>
    <row r="464" spans="17:45" ht="15" customHeight="1" x14ac:dyDescent="0.35">
      <c r="Q464" s="156"/>
      <c r="T464" s="144"/>
      <c r="AS464" s="144" t="e">
        <v>#N/A</v>
      </c>
    </row>
    <row r="465" spans="17:45" ht="15" customHeight="1" x14ac:dyDescent="0.35">
      <c r="Q465" s="156"/>
      <c r="T465" s="144"/>
      <c r="AS465" s="144" t="e">
        <v>#N/A</v>
      </c>
    </row>
    <row r="466" spans="17:45" ht="15" customHeight="1" x14ac:dyDescent="0.35">
      <c r="Q466" s="156"/>
      <c r="T466" s="144"/>
      <c r="AS466" s="144" t="e">
        <v>#N/A</v>
      </c>
    </row>
    <row r="467" spans="17:45" ht="15" customHeight="1" x14ac:dyDescent="0.35">
      <c r="Q467" s="156"/>
      <c r="T467" s="144"/>
      <c r="AS467" s="144" t="e">
        <v>#N/A</v>
      </c>
    </row>
    <row r="468" spans="17:45" ht="15" customHeight="1" x14ac:dyDescent="0.35">
      <c r="Q468" s="156"/>
      <c r="T468" s="144"/>
      <c r="AS468" s="144" t="e">
        <v>#N/A</v>
      </c>
    </row>
    <row r="469" spans="17:45" ht="15" customHeight="1" x14ac:dyDescent="0.35">
      <c r="Q469" s="156"/>
      <c r="T469" s="144"/>
      <c r="AS469" s="144" t="e">
        <v>#N/A</v>
      </c>
    </row>
    <row r="470" spans="17:45" ht="15" customHeight="1" x14ac:dyDescent="0.35">
      <c r="Q470" s="156"/>
      <c r="T470" s="144"/>
      <c r="AS470" s="144" t="e">
        <v>#N/A</v>
      </c>
    </row>
    <row r="471" spans="17:45" ht="15" customHeight="1" x14ac:dyDescent="0.35">
      <c r="Q471" s="156"/>
      <c r="T471" s="144"/>
      <c r="AS471" s="144" t="e">
        <v>#N/A</v>
      </c>
    </row>
    <row r="472" spans="17:45" ht="15" customHeight="1" x14ac:dyDescent="0.35">
      <c r="Q472" s="156"/>
      <c r="T472" s="144"/>
      <c r="AS472" s="144" t="e">
        <v>#N/A</v>
      </c>
    </row>
    <row r="473" spans="17:45" ht="15" customHeight="1" x14ac:dyDescent="0.35">
      <c r="Q473" s="156"/>
      <c r="T473" s="144"/>
      <c r="AS473" s="144" t="e">
        <v>#N/A</v>
      </c>
    </row>
    <row r="474" spans="17:45" ht="15" customHeight="1" x14ac:dyDescent="0.35">
      <c r="Q474" s="156"/>
      <c r="T474" s="144"/>
      <c r="AS474" s="144" t="e">
        <v>#N/A</v>
      </c>
    </row>
    <row r="475" spans="17:45" ht="15" customHeight="1" x14ac:dyDescent="0.35">
      <c r="Q475" s="156"/>
      <c r="T475" s="144"/>
      <c r="AS475" s="144" t="e">
        <v>#N/A</v>
      </c>
    </row>
    <row r="476" spans="17:45" ht="15" customHeight="1" x14ac:dyDescent="0.35">
      <c r="Q476" s="156"/>
      <c r="T476" s="144"/>
      <c r="AS476" s="144" t="e">
        <v>#N/A</v>
      </c>
    </row>
    <row r="477" spans="17:45" ht="15" customHeight="1" x14ac:dyDescent="0.35">
      <c r="Q477" s="156"/>
      <c r="T477" s="144"/>
      <c r="AS477" s="144" t="e">
        <v>#N/A</v>
      </c>
    </row>
    <row r="478" spans="17:45" ht="15" customHeight="1" x14ac:dyDescent="0.35">
      <c r="Q478" s="156"/>
      <c r="T478" s="144"/>
      <c r="AS478" s="144" t="e">
        <v>#N/A</v>
      </c>
    </row>
    <row r="479" spans="17:45" ht="15" customHeight="1" x14ac:dyDescent="0.35">
      <c r="Q479" s="156"/>
      <c r="T479" s="144"/>
      <c r="AS479" s="144" t="e">
        <v>#N/A</v>
      </c>
    </row>
    <row r="480" spans="17:45" ht="15" customHeight="1" x14ac:dyDescent="0.35">
      <c r="Q480" s="156"/>
      <c r="T480" s="144"/>
      <c r="AS480" s="144" t="e">
        <v>#N/A</v>
      </c>
    </row>
    <row r="481" spans="17:45" ht="15" customHeight="1" x14ac:dyDescent="0.35">
      <c r="Q481" s="156"/>
      <c r="T481" s="144"/>
      <c r="AS481" s="144" t="e">
        <v>#N/A</v>
      </c>
    </row>
    <row r="482" spans="17:45" ht="15" customHeight="1" x14ac:dyDescent="0.35">
      <c r="Q482" s="156"/>
      <c r="T482" s="144"/>
      <c r="AS482" s="144" t="e">
        <v>#N/A</v>
      </c>
    </row>
    <row r="483" spans="17:45" ht="15" customHeight="1" x14ac:dyDescent="0.35">
      <c r="Q483" s="156"/>
      <c r="T483" s="144"/>
      <c r="AS483" s="144" t="e">
        <v>#N/A</v>
      </c>
    </row>
    <row r="484" spans="17:45" ht="15" customHeight="1" x14ac:dyDescent="0.35">
      <c r="Q484" s="156"/>
      <c r="T484" s="144"/>
      <c r="AS484" s="144" t="e">
        <v>#N/A</v>
      </c>
    </row>
    <row r="485" spans="17:45" ht="15" customHeight="1" x14ac:dyDescent="0.35">
      <c r="Q485" s="156"/>
      <c r="T485" s="144"/>
      <c r="AS485" s="144" t="e">
        <v>#N/A</v>
      </c>
    </row>
    <row r="486" spans="17:45" ht="15" customHeight="1" x14ac:dyDescent="0.35">
      <c r="Q486" s="156"/>
      <c r="T486" s="144"/>
      <c r="AS486" s="144" t="e">
        <v>#N/A</v>
      </c>
    </row>
    <row r="487" spans="17:45" ht="15" customHeight="1" x14ac:dyDescent="0.35">
      <c r="Q487" s="156"/>
      <c r="T487" s="144"/>
      <c r="AS487" s="144" t="e">
        <v>#N/A</v>
      </c>
    </row>
    <row r="488" spans="17:45" ht="15" customHeight="1" x14ac:dyDescent="0.35">
      <c r="Q488" s="156"/>
      <c r="T488" s="144"/>
      <c r="AS488" s="144" t="e">
        <v>#N/A</v>
      </c>
    </row>
    <row r="489" spans="17:45" ht="15" customHeight="1" x14ac:dyDescent="0.35">
      <c r="Q489" s="156"/>
      <c r="T489" s="144"/>
      <c r="AS489" s="144" t="e">
        <v>#N/A</v>
      </c>
    </row>
    <row r="490" spans="17:45" ht="15" customHeight="1" x14ac:dyDescent="0.35">
      <c r="Q490" s="156"/>
      <c r="T490" s="144"/>
      <c r="AS490" s="144" t="e">
        <v>#N/A</v>
      </c>
    </row>
    <row r="491" spans="17:45" ht="15" customHeight="1" x14ac:dyDescent="0.35">
      <c r="Q491" s="156"/>
      <c r="T491" s="144"/>
      <c r="AS491" s="144" t="e">
        <v>#N/A</v>
      </c>
    </row>
    <row r="492" spans="17:45" ht="15" customHeight="1" x14ac:dyDescent="0.35">
      <c r="Q492" s="156"/>
      <c r="T492" s="144"/>
      <c r="AS492" s="144" t="e">
        <v>#N/A</v>
      </c>
    </row>
    <row r="493" spans="17:45" ht="15" customHeight="1" x14ac:dyDescent="0.35">
      <c r="Q493" s="156"/>
      <c r="T493" s="144"/>
      <c r="AS493" s="144" t="e">
        <v>#N/A</v>
      </c>
    </row>
    <row r="494" spans="17:45" ht="15" customHeight="1" x14ac:dyDescent="0.35">
      <c r="Q494" s="156"/>
      <c r="T494" s="144"/>
      <c r="AS494" s="144" t="e">
        <v>#N/A</v>
      </c>
    </row>
    <row r="495" spans="17:45" ht="15" customHeight="1" x14ac:dyDescent="0.35">
      <c r="Q495" s="156"/>
      <c r="T495" s="144"/>
      <c r="AS495" s="144" t="e">
        <v>#N/A</v>
      </c>
    </row>
    <row r="496" spans="17:45" ht="15" customHeight="1" x14ac:dyDescent="0.35">
      <c r="Q496" s="156"/>
      <c r="T496" s="144"/>
      <c r="AS496" s="144" t="e">
        <v>#N/A</v>
      </c>
    </row>
    <row r="497" spans="17:45" ht="15" customHeight="1" x14ac:dyDescent="0.35">
      <c r="Q497" s="156"/>
      <c r="T497" s="144"/>
      <c r="AS497" s="144" t="e">
        <v>#N/A</v>
      </c>
    </row>
    <row r="498" spans="17:45" ht="15" customHeight="1" x14ac:dyDescent="0.35">
      <c r="Q498" s="156"/>
      <c r="T498" s="144"/>
      <c r="AS498" s="144" t="e">
        <v>#N/A</v>
      </c>
    </row>
    <row r="499" spans="17:45" ht="15" customHeight="1" x14ac:dyDescent="0.35">
      <c r="Q499" s="156"/>
      <c r="T499" s="144"/>
      <c r="AS499" s="144" t="e">
        <v>#N/A</v>
      </c>
    </row>
    <row r="500" spans="17:45" ht="15" customHeight="1" x14ac:dyDescent="0.35">
      <c r="Q500" s="156"/>
      <c r="T500" s="144"/>
      <c r="AS500" s="144" t="e">
        <v>#N/A</v>
      </c>
    </row>
    <row r="501" spans="17:45" ht="15" customHeight="1" x14ac:dyDescent="0.35">
      <c r="Q501" s="156"/>
      <c r="T501" s="144"/>
      <c r="AS501" s="144" t="e">
        <v>#N/A</v>
      </c>
    </row>
    <row r="502" spans="17:45" ht="15" customHeight="1" x14ac:dyDescent="0.35">
      <c r="Q502" s="156"/>
      <c r="T502" s="144"/>
      <c r="AS502" s="144" t="e">
        <v>#N/A</v>
      </c>
    </row>
    <row r="503" spans="17:45" ht="15" customHeight="1" x14ac:dyDescent="0.35">
      <c r="Q503" s="156"/>
      <c r="T503" s="144"/>
      <c r="AS503" s="144" t="e">
        <v>#N/A</v>
      </c>
    </row>
    <row r="504" spans="17:45" ht="15" customHeight="1" x14ac:dyDescent="0.35">
      <c r="Q504" s="156"/>
      <c r="T504" s="144"/>
      <c r="AS504" s="144" t="e">
        <v>#N/A</v>
      </c>
    </row>
    <row r="505" spans="17:45" ht="15" customHeight="1" x14ac:dyDescent="0.35">
      <c r="Q505" s="156"/>
      <c r="T505" s="144"/>
      <c r="AS505" s="144" t="e">
        <v>#N/A</v>
      </c>
    </row>
    <row r="506" spans="17:45" ht="15" customHeight="1" x14ac:dyDescent="0.35">
      <c r="Q506" s="156"/>
      <c r="T506" s="144"/>
      <c r="AS506" s="144" t="e">
        <v>#N/A</v>
      </c>
    </row>
    <row r="507" spans="17:45" ht="15" customHeight="1" x14ac:dyDescent="0.35">
      <c r="Q507" s="156"/>
      <c r="T507" s="144"/>
      <c r="AS507" s="144" t="e">
        <v>#N/A</v>
      </c>
    </row>
    <row r="508" spans="17:45" ht="15" customHeight="1" x14ac:dyDescent="0.35">
      <c r="Q508" s="156"/>
      <c r="T508" s="144"/>
      <c r="AS508" s="144" t="e">
        <v>#N/A</v>
      </c>
    </row>
    <row r="509" spans="17:45" ht="15" customHeight="1" x14ac:dyDescent="0.35">
      <c r="Q509" s="156"/>
      <c r="T509" s="144"/>
      <c r="AS509" s="144" t="e">
        <v>#N/A</v>
      </c>
    </row>
    <row r="510" spans="17:45" ht="15" customHeight="1" x14ac:dyDescent="0.35">
      <c r="Q510" s="156"/>
      <c r="T510" s="144"/>
      <c r="AS510" s="144" t="e">
        <v>#N/A</v>
      </c>
    </row>
    <row r="511" spans="17:45" ht="15" customHeight="1" x14ac:dyDescent="0.35">
      <c r="Q511" s="156"/>
      <c r="T511" s="144"/>
      <c r="AS511" s="144" t="e">
        <v>#N/A</v>
      </c>
    </row>
    <row r="512" spans="17:45" ht="15" customHeight="1" x14ac:dyDescent="0.35">
      <c r="Q512" s="156"/>
      <c r="T512" s="144"/>
      <c r="AS512" s="144" t="e">
        <v>#N/A</v>
      </c>
    </row>
    <row r="513" spans="17:45" ht="15" customHeight="1" x14ac:dyDescent="0.35">
      <c r="Q513" s="156"/>
      <c r="T513" s="144"/>
      <c r="AS513" s="144" t="e">
        <v>#N/A</v>
      </c>
    </row>
    <row r="514" spans="17:45" ht="15" customHeight="1" x14ac:dyDescent="0.35">
      <c r="Q514" s="156"/>
      <c r="T514" s="144"/>
      <c r="AS514" s="144" t="e">
        <v>#N/A</v>
      </c>
    </row>
    <row r="515" spans="17:45" ht="15" customHeight="1" x14ac:dyDescent="0.35">
      <c r="Q515" s="156"/>
      <c r="T515" s="144"/>
      <c r="AS515" s="144" t="e">
        <v>#N/A</v>
      </c>
    </row>
    <row r="516" spans="17:45" ht="15" customHeight="1" x14ac:dyDescent="0.35">
      <c r="Q516" s="156"/>
      <c r="T516" s="144"/>
      <c r="AS516" s="144" t="e">
        <v>#N/A</v>
      </c>
    </row>
    <row r="517" spans="17:45" ht="15" customHeight="1" x14ac:dyDescent="0.35">
      <c r="Q517" s="156"/>
      <c r="T517" s="144"/>
      <c r="AS517" s="144" t="e">
        <v>#N/A</v>
      </c>
    </row>
    <row r="518" spans="17:45" ht="15" customHeight="1" x14ac:dyDescent="0.35">
      <c r="Q518" s="156"/>
      <c r="T518" s="144"/>
      <c r="AS518" s="144" t="e">
        <v>#N/A</v>
      </c>
    </row>
    <row r="519" spans="17:45" ht="15" customHeight="1" x14ac:dyDescent="0.35">
      <c r="Q519" s="156"/>
      <c r="T519" s="144"/>
      <c r="AS519" s="144" t="e">
        <v>#N/A</v>
      </c>
    </row>
    <row r="520" spans="17:45" ht="15" customHeight="1" x14ac:dyDescent="0.35">
      <c r="Q520" s="156"/>
      <c r="T520" s="144"/>
      <c r="AS520" s="144" t="e">
        <v>#N/A</v>
      </c>
    </row>
    <row r="521" spans="17:45" ht="15" customHeight="1" x14ac:dyDescent="0.35">
      <c r="Q521" s="156"/>
      <c r="T521" s="144"/>
      <c r="AS521" s="144" t="e">
        <v>#N/A</v>
      </c>
    </row>
    <row r="522" spans="17:45" ht="15" customHeight="1" x14ac:dyDescent="0.35">
      <c r="Q522" s="156"/>
      <c r="T522" s="144"/>
      <c r="AS522" s="144" t="e">
        <v>#N/A</v>
      </c>
    </row>
    <row r="523" spans="17:45" ht="15" customHeight="1" x14ac:dyDescent="0.35">
      <c r="Q523" s="156"/>
      <c r="T523" s="144"/>
      <c r="AS523" s="144" t="e">
        <v>#N/A</v>
      </c>
    </row>
    <row r="524" spans="17:45" ht="15" customHeight="1" x14ac:dyDescent="0.35">
      <c r="Q524" s="156"/>
      <c r="T524" s="144"/>
      <c r="AS524" s="144" t="e">
        <v>#N/A</v>
      </c>
    </row>
    <row r="525" spans="17:45" ht="15" customHeight="1" x14ac:dyDescent="0.35">
      <c r="Q525" s="156"/>
      <c r="T525" s="144"/>
      <c r="AS525" s="144" t="e">
        <v>#N/A</v>
      </c>
    </row>
    <row r="526" spans="17:45" ht="15" customHeight="1" x14ac:dyDescent="0.35">
      <c r="Q526" s="156"/>
      <c r="T526" s="144"/>
      <c r="AS526" s="144" t="e">
        <v>#N/A</v>
      </c>
    </row>
    <row r="527" spans="17:45" ht="15" customHeight="1" x14ac:dyDescent="0.35">
      <c r="Q527" s="156"/>
      <c r="T527" s="144"/>
      <c r="AS527" s="144" t="e">
        <v>#N/A</v>
      </c>
    </row>
    <row r="528" spans="17:45" ht="15" customHeight="1" x14ac:dyDescent="0.35">
      <c r="Q528" s="156"/>
      <c r="T528" s="144"/>
      <c r="AS528" s="144" t="e">
        <v>#N/A</v>
      </c>
    </row>
    <row r="529" spans="17:45" ht="15" customHeight="1" x14ac:dyDescent="0.35">
      <c r="Q529" s="156"/>
      <c r="T529" s="144"/>
      <c r="AS529" s="144" t="e">
        <v>#N/A</v>
      </c>
    </row>
    <row r="530" spans="17:45" ht="15" customHeight="1" x14ac:dyDescent="0.35">
      <c r="Q530" s="156"/>
      <c r="T530" s="144"/>
      <c r="AS530" s="144" t="e">
        <v>#N/A</v>
      </c>
    </row>
    <row r="531" spans="17:45" ht="15" customHeight="1" x14ac:dyDescent="0.35">
      <c r="Q531" s="156"/>
      <c r="T531" s="144"/>
      <c r="AS531" s="144" t="e">
        <v>#N/A</v>
      </c>
    </row>
    <row r="532" spans="17:45" ht="15" customHeight="1" x14ac:dyDescent="0.35">
      <c r="Q532" s="156"/>
      <c r="T532" s="144"/>
      <c r="AS532" s="144" t="e">
        <v>#N/A</v>
      </c>
    </row>
    <row r="533" spans="17:45" ht="15" customHeight="1" x14ac:dyDescent="0.35">
      <c r="Q533" s="156"/>
      <c r="T533" s="144"/>
      <c r="AS533" s="144" t="e">
        <v>#N/A</v>
      </c>
    </row>
    <row r="534" spans="17:45" ht="15" customHeight="1" x14ac:dyDescent="0.35">
      <c r="Q534" s="156"/>
      <c r="T534" s="144"/>
      <c r="AS534" s="144" t="e">
        <v>#N/A</v>
      </c>
    </row>
    <row r="535" spans="17:45" ht="15" customHeight="1" x14ac:dyDescent="0.35">
      <c r="Q535" s="156"/>
      <c r="T535" s="144"/>
      <c r="AS535" s="144" t="e">
        <v>#N/A</v>
      </c>
    </row>
    <row r="536" spans="17:45" ht="15" customHeight="1" x14ac:dyDescent="0.35">
      <c r="Q536" s="156"/>
      <c r="T536" s="144"/>
      <c r="AS536" s="144" t="e">
        <v>#N/A</v>
      </c>
    </row>
    <row r="537" spans="17:45" ht="15" customHeight="1" x14ac:dyDescent="0.35">
      <c r="Q537" s="156"/>
      <c r="T537" s="144"/>
      <c r="AS537" s="144" t="e">
        <v>#N/A</v>
      </c>
    </row>
    <row r="538" spans="17:45" ht="15" customHeight="1" x14ac:dyDescent="0.35">
      <c r="Q538" s="156"/>
      <c r="T538" s="144"/>
      <c r="AS538" s="144" t="e">
        <v>#N/A</v>
      </c>
    </row>
    <row r="539" spans="17:45" ht="15" customHeight="1" x14ac:dyDescent="0.35">
      <c r="Q539" s="156"/>
      <c r="T539" s="144"/>
      <c r="AS539" s="144" t="e">
        <v>#N/A</v>
      </c>
    </row>
    <row r="540" spans="17:45" ht="15" customHeight="1" x14ac:dyDescent="0.35">
      <c r="Q540" s="156"/>
      <c r="T540" s="144"/>
      <c r="AS540" s="144" t="e">
        <v>#N/A</v>
      </c>
    </row>
    <row r="541" spans="17:45" ht="15" customHeight="1" x14ac:dyDescent="0.35">
      <c r="Q541" s="156"/>
      <c r="T541" s="144"/>
      <c r="AS541" s="144" t="e">
        <v>#N/A</v>
      </c>
    </row>
    <row r="542" spans="17:45" ht="15" customHeight="1" x14ac:dyDescent="0.35">
      <c r="Q542" s="156"/>
      <c r="T542" s="144"/>
      <c r="AS542" s="144" t="e">
        <v>#N/A</v>
      </c>
    </row>
    <row r="543" spans="17:45" ht="15" customHeight="1" x14ac:dyDescent="0.35">
      <c r="Q543" s="156"/>
      <c r="T543" s="144"/>
      <c r="AS543" s="144" t="e">
        <v>#N/A</v>
      </c>
    </row>
    <row r="544" spans="17:45" ht="15" customHeight="1" x14ac:dyDescent="0.35">
      <c r="Q544" s="156"/>
      <c r="T544" s="144"/>
      <c r="AS544" s="144" t="e">
        <v>#N/A</v>
      </c>
    </row>
    <row r="545" spans="17:45" ht="15" customHeight="1" x14ac:dyDescent="0.35">
      <c r="Q545" s="156"/>
      <c r="T545" s="144"/>
      <c r="AS545" s="144" t="e">
        <v>#N/A</v>
      </c>
    </row>
    <row r="546" spans="17:45" ht="15" customHeight="1" x14ac:dyDescent="0.35">
      <c r="Q546" s="156"/>
      <c r="T546" s="144"/>
      <c r="AS546" s="144" t="e">
        <v>#N/A</v>
      </c>
    </row>
    <row r="547" spans="17:45" ht="15" customHeight="1" x14ac:dyDescent="0.35">
      <c r="Q547" s="156"/>
      <c r="T547" s="144"/>
      <c r="AS547" s="144" t="e">
        <v>#N/A</v>
      </c>
    </row>
    <row r="548" spans="17:45" ht="15" customHeight="1" x14ac:dyDescent="0.35">
      <c r="Q548" s="156"/>
      <c r="T548" s="144"/>
      <c r="AS548" s="144" t="e">
        <v>#N/A</v>
      </c>
    </row>
    <row r="549" spans="17:45" ht="15" customHeight="1" x14ac:dyDescent="0.35">
      <c r="Q549" s="156"/>
      <c r="T549" s="144"/>
      <c r="AS549" s="144" t="e">
        <v>#N/A</v>
      </c>
    </row>
    <row r="550" spans="17:45" ht="15" customHeight="1" x14ac:dyDescent="0.35">
      <c r="Q550" s="156"/>
      <c r="T550" s="144"/>
      <c r="AS550" s="144" t="e">
        <v>#N/A</v>
      </c>
    </row>
    <row r="551" spans="17:45" ht="15" customHeight="1" x14ac:dyDescent="0.35">
      <c r="Q551" s="156"/>
      <c r="T551" s="144"/>
      <c r="AS551" s="144" t="e">
        <v>#N/A</v>
      </c>
    </row>
    <row r="552" spans="17:45" ht="15" customHeight="1" x14ac:dyDescent="0.35">
      <c r="Q552" s="156"/>
      <c r="T552" s="144"/>
      <c r="AS552" s="144" t="e">
        <v>#N/A</v>
      </c>
    </row>
    <row r="553" spans="17:45" ht="15" customHeight="1" x14ac:dyDescent="0.35">
      <c r="Q553" s="156"/>
      <c r="T553" s="144"/>
      <c r="AS553" s="144" t="e">
        <v>#N/A</v>
      </c>
    </row>
    <row r="554" spans="17:45" ht="15" customHeight="1" x14ac:dyDescent="0.35">
      <c r="Q554" s="156"/>
      <c r="T554" s="144"/>
      <c r="AS554" s="144" t="e">
        <v>#N/A</v>
      </c>
    </row>
    <row r="555" spans="17:45" ht="15" customHeight="1" x14ac:dyDescent="0.35">
      <c r="Q555" s="156"/>
      <c r="T555" s="144"/>
      <c r="AS555" s="144" t="e">
        <v>#N/A</v>
      </c>
    </row>
    <row r="556" spans="17:45" ht="15" customHeight="1" x14ac:dyDescent="0.35">
      <c r="Q556" s="156"/>
      <c r="T556" s="144"/>
      <c r="AS556" s="144" t="e">
        <v>#N/A</v>
      </c>
    </row>
    <row r="557" spans="17:45" ht="15" customHeight="1" x14ac:dyDescent="0.35">
      <c r="Q557" s="156"/>
      <c r="T557" s="144"/>
      <c r="AS557" s="144" t="e">
        <v>#N/A</v>
      </c>
    </row>
    <row r="558" spans="17:45" ht="15" customHeight="1" x14ac:dyDescent="0.35">
      <c r="Q558" s="156"/>
      <c r="T558" s="144"/>
      <c r="AS558" s="144" t="e">
        <v>#N/A</v>
      </c>
    </row>
    <row r="559" spans="17:45" ht="15" customHeight="1" x14ac:dyDescent="0.35">
      <c r="Q559" s="156"/>
      <c r="T559" s="144"/>
      <c r="AS559" s="144" t="e">
        <v>#N/A</v>
      </c>
    </row>
    <row r="560" spans="17:45" ht="15" customHeight="1" x14ac:dyDescent="0.35">
      <c r="Q560" s="156"/>
      <c r="T560" s="144"/>
      <c r="AS560" s="144" t="e">
        <v>#N/A</v>
      </c>
    </row>
    <row r="561" spans="17:45" ht="15" customHeight="1" x14ac:dyDescent="0.35">
      <c r="Q561" s="156"/>
      <c r="T561" s="144"/>
      <c r="AS561" s="144" t="e">
        <v>#N/A</v>
      </c>
    </row>
    <row r="562" spans="17:45" ht="15" customHeight="1" x14ac:dyDescent="0.35">
      <c r="Q562" s="156"/>
      <c r="T562" s="144"/>
      <c r="AS562" s="144" t="e">
        <v>#N/A</v>
      </c>
    </row>
    <row r="563" spans="17:45" ht="15" customHeight="1" x14ac:dyDescent="0.35">
      <c r="Q563" s="156"/>
      <c r="T563" s="144"/>
      <c r="AS563" s="144" t="e">
        <v>#N/A</v>
      </c>
    </row>
    <row r="564" spans="17:45" ht="15" customHeight="1" x14ac:dyDescent="0.35">
      <c r="Q564" s="156"/>
      <c r="T564" s="144"/>
      <c r="AS564" s="144" t="e">
        <v>#N/A</v>
      </c>
    </row>
    <row r="565" spans="17:45" ht="15" customHeight="1" x14ac:dyDescent="0.35">
      <c r="Q565" s="156"/>
      <c r="T565" s="144"/>
      <c r="AS565" s="144" t="e">
        <v>#N/A</v>
      </c>
    </row>
    <row r="566" spans="17:45" ht="15" customHeight="1" x14ac:dyDescent="0.35">
      <c r="Q566" s="156"/>
      <c r="T566" s="144"/>
      <c r="AS566" s="144" t="e">
        <v>#N/A</v>
      </c>
    </row>
    <row r="567" spans="17:45" ht="15" customHeight="1" x14ac:dyDescent="0.35">
      <c r="Q567" s="156"/>
      <c r="T567" s="144"/>
      <c r="AS567" s="144" t="e">
        <v>#N/A</v>
      </c>
    </row>
    <row r="568" spans="17:45" ht="15" customHeight="1" x14ac:dyDescent="0.35">
      <c r="Q568" s="156"/>
      <c r="T568" s="144"/>
      <c r="AS568" s="144" t="e">
        <v>#N/A</v>
      </c>
    </row>
    <row r="569" spans="17:45" ht="15" customHeight="1" x14ac:dyDescent="0.35">
      <c r="Q569" s="156"/>
      <c r="T569" s="144"/>
      <c r="AS569" s="144" t="e">
        <v>#N/A</v>
      </c>
    </row>
    <row r="570" spans="17:45" ht="15" customHeight="1" x14ac:dyDescent="0.35">
      <c r="Q570" s="156"/>
      <c r="T570" s="144"/>
      <c r="AS570" s="144" t="e">
        <v>#N/A</v>
      </c>
    </row>
    <row r="571" spans="17:45" ht="15" customHeight="1" x14ac:dyDescent="0.35">
      <c r="Q571" s="156"/>
      <c r="T571" s="144"/>
      <c r="AS571" s="144" t="e">
        <v>#N/A</v>
      </c>
    </row>
    <row r="572" spans="17:45" ht="15" customHeight="1" x14ac:dyDescent="0.35">
      <c r="Q572" s="156"/>
      <c r="T572" s="144"/>
      <c r="AS572" s="144" t="e">
        <v>#N/A</v>
      </c>
    </row>
    <row r="573" spans="17:45" ht="15" customHeight="1" x14ac:dyDescent="0.35">
      <c r="Q573" s="156"/>
      <c r="T573" s="144"/>
      <c r="AS573" s="144" t="e">
        <v>#N/A</v>
      </c>
    </row>
    <row r="574" spans="17:45" ht="15" customHeight="1" x14ac:dyDescent="0.35">
      <c r="Q574" s="156"/>
      <c r="T574" s="144"/>
      <c r="AS574" s="144" t="e">
        <v>#N/A</v>
      </c>
    </row>
    <row r="575" spans="17:45" ht="15" customHeight="1" x14ac:dyDescent="0.35">
      <c r="Q575" s="156"/>
      <c r="T575" s="144"/>
      <c r="AS575" s="144" t="e">
        <v>#N/A</v>
      </c>
    </row>
    <row r="576" spans="17:45" ht="15" customHeight="1" x14ac:dyDescent="0.35">
      <c r="Q576" s="156"/>
      <c r="T576" s="144"/>
      <c r="AS576" s="144" t="e">
        <v>#N/A</v>
      </c>
    </row>
    <row r="577" spans="17:45" ht="15" customHeight="1" x14ac:dyDescent="0.35">
      <c r="Q577" s="156"/>
      <c r="T577" s="144"/>
      <c r="AS577" s="144" t="e">
        <v>#N/A</v>
      </c>
    </row>
    <row r="578" spans="17:45" ht="15" customHeight="1" x14ac:dyDescent="0.35">
      <c r="Q578" s="156"/>
      <c r="T578" s="144"/>
      <c r="AS578" s="144" t="e">
        <v>#N/A</v>
      </c>
    </row>
    <row r="579" spans="17:45" ht="15" customHeight="1" x14ac:dyDescent="0.35">
      <c r="Q579" s="156"/>
      <c r="T579" s="144"/>
      <c r="AS579" s="144" t="e">
        <v>#N/A</v>
      </c>
    </row>
    <row r="580" spans="17:45" ht="15" customHeight="1" x14ac:dyDescent="0.35">
      <c r="Q580" s="156"/>
      <c r="T580" s="144"/>
      <c r="AS580" s="144" t="e">
        <v>#N/A</v>
      </c>
    </row>
    <row r="581" spans="17:45" ht="15" customHeight="1" x14ac:dyDescent="0.35">
      <c r="Q581" s="156"/>
      <c r="T581" s="144"/>
      <c r="AS581" s="144" t="e">
        <v>#N/A</v>
      </c>
    </row>
    <row r="582" spans="17:45" ht="15" customHeight="1" x14ac:dyDescent="0.35">
      <c r="Q582" s="156"/>
      <c r="T582" s="144"/>
      <c r="AS582" s="144" t="e">
        <v>#N/A</v>
      </c>
    </row>
    <row r="583" spans="17:45" ht="15" customHeight="1" x14ac:dyDescent="0.35">
      <c r="Q583" s="156"/>
      <c r="T583" s="144"/>
      <c r="AS583" s="144" t="e">
        <v>#N/A</v>
      </c>
    </row>
    <row r="584" spans="17:45" ht="15" customHeight="1" x14ac:dyDescent="0.35">
      <c r="Q584" s="156"/>
      <c r="T584" s="144"/>
      <c r="AS584" s="144" t="e">
        <v>#N/A</v>
      </c>
    </row>
    <row r="585" spans="17:45" ht="15" customHeight="1" x14ac:dyDescent="0.35">
      <c r="Q585" s="156"/>
      <c r="T585" s="144"/>
      <c r="AS585" s="144" t="e">
        <v>#N/A</v>
      </c>
    </row>
    <row r="586" spans="17:45" ht="15" customHeight="1" x14ac:dyDescent="0.35">
      <c r="Q586" s="156"/>
      <c r="T586" s="144"/>
      <c r="AS586" s="144" t="e">
        <v>#N/A</v>
      </c>
    </row>
    <row r="587" spans="17:45" ht="15" customHeight="1" x14ac:dyDescent="0.35">
      <c r="Q587" s="156"/>
      <c r="T587" s="144"/>
      <c r="AS587" s="144" t="e">
        <v>#N/A</v>
      </c>
    </row>
    <row r="588" spans="17:45" ht="15" customHeight="1" x14ac:dyDescent="0.35">
      <c r="Q588" s="156"/>
      <c r="T588" s="144"/>
      <c r="AS588" s="144" t="e">
        <v>#N/A</v>
      </c>
    </row>
    <row r="589" spans="17:45" ht="15" customHeight="1" x14ac:dyDescent="0.35">
      <c r="Q589" s="156"/>
      <c r="T589" s="144"/>
      <c r="AS589" s="144" t="e">
        <v>#N/A</v>
      </c>
    </row>
    <row r="590" spans="17:45" ht="15" customHeight="1" x14ac:dyDescent="0.35">
      <c r="Q590" s="156"/>
      <c r="T590" s="144"/>
      <c r="AS590" s="144" t="e">
        <v>#N/A</v>
      </c>
    </row>
    <row r="591" spans="17:45" ht="15" customHeight="1" x14ac:dyDescent="0.35">
      <c r="Q591" s="156"/>
      <c r="T591" s="144"/>
      <c r="AS591" s="144" t="e">
        <v>#N/A</v>
      </c>
    </row>
    <row r="592" spans="17:45" ht="15" customHeight="1" x14ac:dyDescent="0.35">
      <c r="Q592" s="156"/>
      <c r="T592" s="144"/>
      <c r="AS592" s="144" t="e">
        <v>#N/A</v>
      </c>
    </row>
    <row r="593" spans="17:45" ht="15" customHeight="1" x14ac:dyDescent="0.35">
      <c r="Q593" s="156"/>
      <c r="T593" s="144"/>
      <c r="AS593" s="144" t="e">
        <v>#N/A</v>
      </c>
    </row>
    <row r="594" spans="17:45" ht="15" customHeight="1" x14ac:dyDescent="0.35">
      <c r="Q594" s="156"/>
      <c r="T594" s="144"/>
      <c r="AS594" s="144" t="e">
        <v>#N/A</v>
      </c>
    </row>
    <row r="595" spans="17:45" ht="15" customHeight="1" x14ac:dyDescent="0.35">
      <c r="Q595" s="156"/>
      <c r="T595" s="144"/>
      <c r="AS595" s="144" t="e">
        <v>#N/A</v>
      </c>
    </row>
    <row r="596" spans="17:45" ht="15" customHeight="1" x14ac:dyDescent="0.35">
      <c r="Q596" s="156"/>
      <c r="T596" s="144"/>
      <c r="AS596" s="144" t="e">
        <v>#N/A</v>
      </c>
    </row>
    <row r="597" spans="17:45" ht="15" customHeight="1" x14ac:dyDescent="0.35">
      <c r="Q597" s="156"/>
      <c r="T597" s="144"/>
      <c r="AS597" s="144" t="e">
        <v>#N/A</v>
      </c>
    </row>
    <row r="598" spans="17:45" ht="15" customHeight="1" x14ac:dyDescent="0.35">
      <c r="Q598" s="156"/>
      <c r="T598" s="144"/>
      <c r="AS598" s="144" t="e">
        <v>#N/A</v>
      </c>
    </row>
    <row r="599" spans="17:45" ht="15" customHeight="1" x14ac:dyDescent="0.35">
      <c r="Q599" s="156"/>
      <c r="T599" s="144"/>
      <c r="AS599" s="144" t="e">
        <v>#N/A</v>
      </c>
    </row>
    <row r="600" spans="17:45" ht="15" customHeight="1" x14ac:dyDescent="0.35">
      <c r="Q600" s="156"/>
      <c r="T600" s="144"/>
      <c r="AS600" s="144" t="e">
        <v>#N/A</v>
      </c>
    </row>
    <row r="601" spans="17:45" ht="15" customHeight="1" x14ac:dyDescent="0.35">
      <c r="Q601" s="156"/>
      <c r="T601" s="144"/>
      <c r="AS601" s="144" t="e">
        <v>#N/A</v>
      </c>
    </row>
    <row r="602" spans="17:45" ht="15" customHeight="1" x14ac:dyDescent="0.35">
      <c r="Q602" s="156"/>
      <c r="T602" s="144"/>
      <c r="AS602" s="144" t="e">
        <v>#N/A</v>
      </c>
    </row>
    <row r="603" spans="17:45" ht="15" customHeight="1" x14ac:dyDescent="0.35">
      <c r="Q603" s="156"/>
      <c r="T603" s="144"/>
      <c r="AS603" s="144" t="e">
        <v>#N/A</v>
      </c>
    </row>
    <row r="604" spans="17:45" ht="15" customHeight="1" x14ac:dyDescent="0.35">
      <c r="Q604" s="156"/>
      <c r="T604" s="144"/>
      <c r="AS604" s="144" t="e">
        <v>#N/A</v>
      </c>
    </row>
    <row r="605" spans="17:45" ht="15" customHeight="1" x14ac:dyDescent="0.35">
      <c r="Q605" s="156"/>
      <c r="T605" s="144"/>
      <c r="AS605" s="144" t="e">
        <v>#N/A</v>
      </c>
    </row>
    <row r="606" spans="17:45" ht="15" customHeight="1" x14ac:dyDescent="0.35">
      <c r="Q606" s="156"/>
      <c r="T606" s="144"/>
      <c r="AS606" s="144" t="e">
        <v>#N/A</v>
      </c>
    </row>
    <row r="607" spans="17:45" ht="15" customHeight="1" x14ac:dyDescent="0.35">
      <c r="Q607" s="156"/>
      <c r="T607" s="144"/>
      <c r="AS607" s="144" t="e">
        <v>#N/A</v>
      </c>
    </row>
    <row r="608" spans="17:45" ht="15" customHeight="1" x14ac:dyDescent="0.35">
      <c r="Q608" s="156"/>
      <c r="T608" s="144"/>
      <c r="AS608" s="144" t="e">
        <v>#N/A</v>
      </c>
    </row>
    <row r="609" spans="17:45" ht="15" customHeight="1" x14ac:dyDescent="0.35">
      <c r="Q609" s="156"/>
      <c r="T609" s="144"/>
      <c r="AS609" s="144" t="e">
        <v>#N/A</v>
      </c>
    </row>
    <row r="610" spans="17:45" ht="15" customHeight="1" x14ac:dyDescent="0.35">
      <c r="Q610" s="156"/>
      <c r="T610" s="144"/>
      <c r="AS610" s="144" t="e">
        <v>#N/A</v>
      </c>
    </row>
    <row r="611" spans="17:45" ht="15" customHeight="1" x14ac:dyDescent="0.35">
      <c r="Q611" s="156"/>
      <c r="T611" s="144"/>
      <c r="AS611" s="144" t="e">
        <v>#N/A</v>
      </c>
    </row>
    <row r="612" spans="17:45" ht="15" customHeight="1" x14ac:dyDescent="0.35">
      <c r="Q612" s="156"/>
      <c r="T612" s="144"/>
      <c r="AS612" s="144" t="e">
        <v>#N/A</v>
      </c>
    </row>
    <row r="613" spans="17:45" ht="15" customHeight="1" x14ac:dyDescent="0.35">
      <c r="Q613" s="156"/>
      <c r="T613" s="144"/>
      <c r="AS613" s="144" t="e">
        <v>#N/A</v>
      </c>
    </row>
    <row r="614" spans="17:45" ht="15" customHeight="1" x14ac:dyDescent="0.35">
      <c r="Q614" s="156"/>
      <c r="T614" s="144"/>
      <c r="AS614" s="144" t="e">
        <v>#N/A</v>
      </c>
    </row>
    <row r="615" spans="17:45" ht="15" customHeight="1" x14ac:dyDescent="0.35">
      <c r="Q615" s="156"/>
      <c r="T615" s="144"/>
      <c r="AS615" s="144" t="e">
        <v>#N/A</v>
      </c>
    </row>
    <row r="616" spans="17:45" ht="15" customHeight="1" x14ac:dyDescent="0.35">
      <c r="Q616" s="156"/>
      <c r="T616" s="144"/>
      <c r="AS616" s="144" t="e">
        <v>#N/A</v>
      </c>
    </row>
    <row r="617" spans="17:45" ht="15" customHeight="1" x14ac:dyDescent="0.35">
      <c r="Q617" s="156"/>
      <c r="T617" s="144"/>
      <c r="AS617" s="144" t="e">
        <v>#N/A</v>
      </c>
    </row>
    <row r="618" spans="17:45" ht="15" customHeight="1" x14ac:dyDescent="0.35">
      <c r="Q618" s="156"/>
      <c r="T618" s="144"/>
      <c r="AS618" s="144" t="e">
        <v>#N/A</v>
      </c>
    </row>
    <row r="619" spans="17:45" ht="15" customHeight="1" x14ac:dyDescent="0.35">
      <c r="Q619" s="156"/>
      <c r="T619" s="144"/>
      <c r="AS619" s="144" t="e">
        <v>#N/A</v>
      </c>
    </row>
    <row r="620" spans="17:45" ht="15" customHeight="1" x14ac:dyDescent="0.35">
      <c r="Q620" s="156"/>
      <c r="T620" s="144"/>
      <c r="AS620" s="144" t="e">
        <v>#N/A</v>
      </c>
    </row>
    <row r="621" spans="17:45" ht="15" customHeight="1" x14ac:dyDescent="0.35">
      <c r="Q621" s="156"/>
      <c r="T621" s="144"/>
      <c r="AS621" s="144" t="e">
        <v>#N/A</v>
      </c>
    </row>
    <row r="622" spans="17:45" ht="15" customHeight="1" x14ac:dyDescent="0.35">
      <c r="Q622" s="156"/>
      <c r="T622" s="144"/>
      <c r="AS622" s="144" t="e">
        <v>#N/A</v>
      </c>
    </row>
    <row r="623" spans="17:45" ht="15" customHeight="1" x14ac:dyDescent="0.35">
      <c r="Q623" s="156"/>
      <c r="T623" s="144"/>
      <c r="AS623" s="144" t="e">
        <v>#N/A</v>
      </c>
    </row>
    <row r="624" spans="17:45" ht="15" customHeight="1" x14ac:dyDescent="0.35">
      <c r="Q624" s="156"/>
      <c r="T624" s="144"/>
      <c r="AS624" s="144" t="e">
        <v>#N/A</v>
      </c>
    </row>
    <row r="625" spans="17:45" ht="15" customHeight="1" x14ac:dyDescent="0.35">
      <c r="Q625" s="156"/>
      <c r="T625" s="144"/>
      <c r="AS625" s="144" t="e">
        <v>#N/A</v>
      </c>
    </row>
    <row r="626" spans="17:45" ht="15" customHeight="1" x14ac:dyDescent="0.35">
      <c r="Q626" s="156"/>
      <c r="T626" s="144"/>
      <c r="AS626" s="144" t="e">
        <v>#N/A</v>
      </c>
    </row>
    <row r="627" spans="17:45" ht="15" customHeight="1" x14ac:dyDescent="0.35">
      <c r="Q627" s="156"/>
      <c r="T627" s="144"/>
      <c r="AS627" s="144" t="e">
        <v>#N/A</v>
      </c>
    </row>
    <row r="628" spans="17:45" ht="15" customHeight="1" x14ac:dyDescent="0.35">
      <c r="Q628" s="156"/>
      <c r="T628" s="144"/>
      <c r="AS628" s="144" t="e">
        <v>#N/A</v>
      </c>
    </row>
    <row r="629" spans="17:45" ht="15" customHeight="1" x14ac:dyDescent="0.35">
      <c r="Q629" s="156"/>
      <c r="T629" s="144"/>
      <c r="AS629" s="144" t="e">
        <v>#N/A</v>
      </c>
    </row>
    <row r="630" spans="17:45" ht="15" customHeight="1" x14ac:dyDescent="0.35">
      <c r="Q630" s="156"/>
      <c r="T630" s="144"/>
      <c r="AS630" s="144" t="e">
        <v>#N/A</v>
      </c>
    </row>
    <row r="631" spans="17:45" ht="15" customHeight="1" x14ac:dyDescent="0.35">
      <c r="Q631" s="156"/>
      <c r="T631" s="144"/>
      <c r="AS631" s="144" t="e">
        <v>#N/A</v>
      </c>
    </row>
    <row r="632" spans="17:45" ht="15" customHeight="1" x14ac:dyDescent="0.35">
      <c r="Q632" s="156"/>
      <c r="T632" s="144"/>
      <c r="AS632" s="144" t="e">
        <v>#N/A</v>
      </c>
    </row>
    <row r="633" spans="17:45" ht="15" customHeight="1" x14ac:dyDescent="0.35">
      <c r="Q633" s="156"/>
      <c r="T633" s="144"/>
      <c r="AS633" s="144" t="e">
        <v>#N/A</v>
      </c>
    </row>
    <row r="634" spans="17:45" ht="15" customHeight="1" x14ac:dyDescent="0.35">
      <c r="Q634" s="156"/>
      <c r="T634" s="144"/>
      <c r="AS634" s="144" t="e">
        <v>#N/A</v>
      </c>
    </row>
    <row r="635" spans="17:45" ht="15" customHeight="1" x14ac:dyDescent="0.35">
      <c r="Q635" s="156"/>
      <c r="T635" s="144"/>
      <c r="AS635" s="144" t="e">
        <v>#N/A</v>
      </c>
    </row>
    <row r="636" spans="17:45" ht="15" customHeight="1" x14ac:dyDescent="0.35">
      <c r="Q636" s="156"/>
      <c r="T636" s="144"/>
      <c r="AS636" s="144" t="e">
        <v>#N/A</v>
      </c>
    </row>
    <row r="637" spans="17:45" ht="15" customHeight="1" x14ac:dyDescent="0.35">
      <c r="Q637" s="156"/>
      <c r="T637" s="144"/>
      <c r="AS637" s="144" t="e">
        <v>#N/A</v>
      </c>
    </row>
    <row r="638" spans="17:45" ht="15" customHeight="1" x14ac:dyDescent="0.35">
      <c r="Q638" s="156"/>
      <c r="T638" s="144"/>
      <c r="AS638" s="144" t="e">
        <v>#N/A</v>
      </c>
    </row>
    <row r="639" spans="17:45" ht="15" customHeight="1" x14ac:dyDescent="0.35">
      <c r="Q639" s="156"/>
      <c r="T639" s="144"/>
      <c r="AS639" s="144" t="e">
        <v>#N/A</v>
      </c>
    </row>
    <row r="640" spans="17:45" ht="15" customHeight="1" x14ac:dyDescent="0.35">
      <c r="Q640" s="156"/>
      <c r="T640" s="144"/>
      <c r="AS640" s="144" t="e">
        <v>#N/A</v>
      </c>
    </row>
    <row r="641" spans="17:45" ht="15" customHeight="1" x14ac:dyDescent="0.35">
      <c r="Q641" s="156"/>
      <c r="T641" s="144"/>
      <c r="AS641" s="144" t="e">
        <v>#N/A</v>
      </c>
    </row>
    <row r="642" spans="17:45" ht="15" customHeight="1" x14ac:dyDescent="0.35">
      <c r="Q642" s="156"/>
      <c r="T642" s="144"/>
      <c r="AS642" s="144" t="e">
        <v>#N/A</v>
      </c>
    </row>
    <row r="643" spans="17:45" ht="15" customHeight="1" x14ac:dyDescent="0.35">
      <c r="Q643" s="156"/>
      <c r="T643" s="144"/>
      <c r="AS643" s="144" t="e">
        <v>#N/A</v>
      </c>
    </row>
    <row r="644" spans="17:45" ht="15" customHeight="1" x14ac:dyDescent="0.35">
      <c r="Q644" s="156"/>
      <c r="T644" s="144"/>
      <c r="AS644" s="144" t="e">
        <v>#N/A</v>
      </c>
    </row>
    <row r="645" spans="17:45" ht="15" customHeight="1" x14ac:dyDescent="0.35">
      <c r="Q645" s="156"/>
      <c r="T645" s="144"/>
      <c r="AS645" s="144" t="e">
        <v>#N/A</v>
      </c>
    </row>
    <row r="646" spans="17:45" ht="15" customHeight="1" x14ac:dyDescent="0.35">
      <c r="Q646" s="156"/>
      <c r="T646" s="144"/>
      <c r="AS646" s="144" t="e">
        <v>#N/A</v>
      </c>
    </row>
    <row r="647" spans="17:45" ht="15" customHeight="1" x14ac:dyDescent="0.35">
      <c r="Q647" s="156"/>
      <c r="T647" s="144"/>
      <c r="AS647" s="144" t="e">
        <v>#N/A</v>
      </c>
    </row>
    <row r="648" spans="17:45" ht="15" customHeight="1" x14ac:dyDescent="0.35">
      <c r="Q648" s="156"/>
      <c r="T648" s="144"/>
      <c r="AS648" s="144" t="e">
        <v>#N/A</v>
      </c>
    </row>
    <row r="649" spans="17:45" ht="15" customHeight="1" x14ac:dyDescent="0.35">
      <c r="Q649" s="156"/>
      <c r="T649" s="144"/>
      <c r="AS649" s="144" t="e">
        <v>#N/A</v>
      </c>
    </row>
    <row r="650" spans="17:45" ht="15" customHeight="1" x14ac:dyDescent="0.35">
      <c r="Q650" s="156"/>
      <c r="T650" s="144"/>
      <c r="AS650" s="144" t="e">
        <v>#N/A</v>
      </c>
    </row>
    <row r="651" spans="17:45" ht="15" customHeight="1" x14ac:dyDescent="0.35">
      <c r="Q651" s="156"/>
      <c r="T651" s="144"/>
      <c r="AS651" s="144" t="e">
        <v>#N/A</v>
      </c>
    </row>
    <row r="652" spans="17:45" ht="15" customHeight="1" x14ac:dyDescent="0.35">
      <c r="Q652" s="156"/>
      <c r="T652" s="144"/>
      <c r="AS652" s="144" t="e">
        <v>#N/A</v>
      </c>
    </row>
    <row r="653" spans="17:45" ht="15" customHeight="1" x14ac:dyDescent="0.35">
      <c r="Q653" s="156"/>
      <c r="T653" s="144"/>
      <c r="AS653" s="144" t="e">
        <v>#N/A</v>
      </c>
    </row>
    <row r="654" spans="17:45" ht="15" customHeight="1" x14ac:dyDescent="0.35">
      <c r="Q654" s="156"/>
      <c r="T654" s="144"/>
      <c r="AS654" s="144" t="e">
        <v>#N/A</v>
      </c>
    </row>
    <row r="655" spans="17:45" ht="15" customHeight="1" x14ac:dyDescent="0.35">
      <c r="Q655" s="156"/>
      <c r="T655" s="144"/>
      <c r="AS655" s="144" t="e">
        <v>#N/A</v>
      </c>
    </row>
    <row r="656" spans="17:45" ht="15" customHeight="1" x14ac:dyDescent="0.35">
      <c r="Q656" s="156"/>
      <c r="T656" s="144"/>
      <c r="AS656" s="144" t="e">
        <v>#N/A</v>
      </c>
    </row>
    <row r="657" spans="17:45" ht="15" customHeight="1" x14ac:dyDescent="0.35">
      <c r="Q657" s="156"/>
      <c r="T657" s="144"/>
      <c r="AS657" s="144" t="e">
        <v>#N/A</v>
      </c>
    </row>
    <row r="658" spans="17:45" ht="15" customHeight="1" x14ac:dyDescent="0.35">
      <c r="Q658" s="156"/>
      <c r="T658" s="144"/>
      <c r="AS658" s="144" t="e">
        <v>#N/A</v>
      </c>
    </row>
    <row r="659" spans="17:45" ht="15" customHeight="1" x14ac:dyDescent="0.35">
      <c r="Q659" s="156"/>
      <c r="T659" s="144"/>
      <c r="AS659" s="144" t="e">
        <v>#N/A</v>
      </c>
    </row>
    <row r="660" spans="17:45" ht="15" customHeight="1" x14ac:dyDescent="0.35">
      <c r="Q660" s="156"/>
      <c r="T660" s="144"/>
      <c r="AS660" s="144" t="e">
        <v>#N/A</v>
      </c>
    </row>
    <row r="661" spans="17:45" ht="15" customHeight="1" x14ac:dyDescent="0.35">
      <c r="Q661" s="156"/>
      <c r="T661" s="144"/>
      <c r="AS661" s="144" t="e">
        <v>#N/A</v>
      </c>
    </row>
    <row r="662" spans="17:45" ht="15" customHeight="1" x14ac:dyDescent="0.35">
      <c r="Q662" s="156"/>
      <c r="T662" s="144"/>
      <c r="AS662" s="144" t="e">
        <v>#N/A</v>
      </c>
    </row>
    <row r="663" spans="17:45" ht="15" customHeight="1" x14ac:dyDescent="0.35">
      <c r="Q663" s="156"/>
      <c r="T663" s="144"/>
      <c r="AS663" s="144" t="e">
        <v>#N/A</v>
      </c>
    </row>
    <row r="664" spans="17:45" ht="15" customHeight="1" x14ac:dyDescent="0.35">
      <c r="Q664" s="156"/>
      <c r="T664" s="144"/>
      <c r="AS664" s="144" t="e">
        <v>#N/A</v>
      </c>
    </row>
    <row r="665" spans="17:45" ht="15" customHeight="1" x14ac:dyDescent="0.35">
      <c r="Q665" s="156"/>
      <c r="T665" s="144"/>
      <c r="AS665" s="144" t="e">
        <v>#N/A</v>
      </c>
    </row>
    <row r="666" spans="17:45" ht="15" customHeight="1" x14ac:dyDescent="0.35">
      <c r="Q666" s="156"/>
      <c r="T666" s="144"/>
      <c r="AS666" s="144" t="e">
        <v>#N/A</v>
      </c>
    </row>
    <row r="667" spans="17:45" ht="15" customHeight="1" x14ac:dyDescent="0.35">
      <c r="Q667" s="156"/>
      <c r="T667" s="144"/>
      <c r="AS667" s="144" t="e">
        <v>#N/A</v>
      </c>
    </row>
    <row r="668" spans="17:45" ht="15" customHeight="1" x14ac:dyDescent="0.35">
      <c r="Q668" s="156"/>
      <c r="T668" s="144"/>
      <c r="AS668" s="144" t="e">
        <v>#N/A</v>
      </c>
    </row>
    <row r="669" spans="17:45" ht="15" customHeight="1" x14ac:dyDescent="0.35">
      <c r="Q669" s="156"/>
      <c r="T669" s="144"/>
      <c r="AS669" s="144" t="e">
        <v>#N/A</v>
      </c>
    </row>
    <row r="670" spans="17:45" ht="15" customHeight="1" x14ac:dyDescent="0.35">
      <c r="Q670" s="156"/>
      <c r="T670" s="144"/>
      <c r="AS670" s="144" t="e">
        <v>#N/A</v>
      </c>
    </row>
    <row r="671" spans="17:45" ht="15" customHeight="1" x14ac:dyDescent="0.35">
      <c r="Q671" s="156"/>
      <c r="T671" s="144"/>
      <c r="AS671" s="144" t="e">
        <v>#N/A</v>
      </c>
    </row>
    <row r="672" spans="17:45" ht="15" customHeight="1" x14ac:dyDescent="0.35">
      <c r="Q672" s="156"/>
      <c r="T672" s="144"/>
      <c r="AS672" s="144" t="e">
        <v>#N/A</v>
      </c>
    </row>
    <row r="673" spans="17:45" ht="15" customHeight="1" x14ac:dyDescent="0.35">
      <c r="Q673" s="156"/>
      <c r="T673" s="144"/>
      <c r="AS673" s="144" t="e">
        <v>#N/A</v>
      </c>
    </row>
    <row r="674" spans="17:45" ht="15" customHeight="1" x14ac:dyDescent="0.35">
      <c r="Q674" s="156"/>
      <c r="T674" s="144"/>
      <c r="AS674" s="144" t="e">
        <v>#N/A</v>
      </c>
    </row>
    <row r="675" spans="17:45" ht="15" customHeight="1" x14ac:dyDescent="0.35">
      <c r="Q675" s="156"/>
      <c r="T675" s="144"/>
      <c r="AS675" s="144" t="e">
        <v>#N/A</v>
      </c>
    </row>
    <row r="676" spans="17:45" ht="15" customHeight="1" x14ac:dyDescent="0.35">
      <c r="Q676" s="156"/>
      <c r="T676" s="144"/>
      <c r="AS676" s="144" t="e">
        <v>#N/A</v>
      </c>
    </row>
    <row r="677" spans="17:45" ht="15" customHeight="1" x14ac:dyDescent="0.35">
      <c r="Q677" s="156"/>
      <c r="T677" s="144"/>
      <c r="AS677" s="144" t="e">
        <v>#N/A</v>
      </c>
    </row>
    <row r="678" spans="17:45" ht="15" customHeight="1" x14ac:dyDescent="0.35">
      <c r="Q678" s="156"/>
      <c r="T678" s="144"/>
      <c r="AS678" s="144" t="e">
        <v>#N/A</v>
      </c>
    </row>
    <row r="679" spans="17:45" ht="15" customHeight="1" x14ac:dyDescent="0.35">
      <c r="Q679" s="156"/>
      <c r="T679" s="144"/>
      <c r="AS679" s="144" t="e">
        <v>#N/A</v>
      </c>
    </row>
    <row r="680" spans="17:45" ht="15" customHeight="1" x14ac:dyDescent="0.35">
      <c r="Q680" s="156"/>
      <c r="T680" s="144"/>
      <c r="AS680" s="144" t="e">
        <v>#N/A</v>
      </c>
    </row>
    <row r="681" spans="17:45" ht="15" customHeight="1" x14ac:dyDescent="0.35">
      <c r="Q681" s="156"/>
      <c r="T681" s="144"/>
      <c r="AS681" s="144" t="e">
        <v>#N/A</v>
      </c>
    </row>
    <row r="682" spans="17:45" ht="15" customHeight="1" x14ac:dyDescent="0.35">
      <c r="Q682" s="156"/>
      <c r="T682" s="144"/>
      <c r="AS682" s="144" t="e">
        <v>#N/A</v>
      </c>
    </row>
    <row r="683" spans="17:45" ht="15" customHeight="1" x14ac:dyDescent="0.35">
      <c r="Q683" s="156"/>
      <c r="T683" s="144"/>
      <c r="AS683" s="144" t="e">
        <v>#N/A</v>
      </c>
    </row>
    <row r="684" spans="17:45" ht="15" customHeight="1" x14ac:dyDescent="0.35">
      <c r="Q684" s="156"/>
      <c r="T684" s="144"/>
      <c r="AS684" s="144" t="e">
        <v>#N/A</v>
      </c>
    </row>
    <row r="685" spans="17:45" ht="15" customHeight="1" x14ac:dyDescent="0.35">
      <c r="Q685" s="156"/>
      <c r="T685" s="144"/>
      <c r="AS685" s="144" t="e">
        <v>#N/A</v>
      </c>
    </row>
    <row r="686" spans="17:45" ht="15" customHeight="1" x14ac:dyDescent="0.35">
      <c r="Q686" s="156"/>
      <c r="T686" s="144"/>
      <c r="AS686" s="144" t="e">
        <v>#N/A</v>
      </c>
    </row>
    <row r="687" spans="17:45" ht="15" customHeight="1" x14ac:dyDescent="0.35">
      <c r="Q687" s="156"/>
      <c r="T687" s="144"/>
      <c r="AS687" s="144" t="e">
        <v>#N/A</v>
      </c>
    </row>
    <row r="688" spans="17:45" ht="15" customHeight="1" x14ac:dyDescent="0.35">
      <c r="Q688" s="156"/>
      <c r="T688" s="144"/>
      <c r="AS688" s="144" t="e">
        <v>#N/A</v>
      </c>
    </row>
    <row r="689" spans="17:45" ht="15" customHeight="1" x14ac:dyDescent="0.35">
      <c r="Q689" s="156"/>
      <c r="T689" s="144"/>
      <c r="AS689" s="144" t="e">
        <v>#N/A</v>
      </c>
    </row>
    <row r="690" spans="17:45" ht="15" customHeight="1" x14ac:dyDescent="0.35">
      <c r="Q690" s="156"/>
      <c r="T690" s="144"/>
      <c r="AS690" s="144" t="e">
        <v>#N/A</v>
      </c>
    </row>
    <row r="691" spans="17:45" ht="15" customHeight="1" x14ac:dyDescent="0.35">
      <c r="Q691" s="156"/>
      <c r="T691" s="144"/>
      <c r="AS691" s="144" t="e">
        <v>#N/A</v>
      </c>
    </row>
    <row r="692" spans="17:45" ht="15" customHeight="1" x14ac:dyDescent="0.35">
      <c r="Q692" s="156"/>
      <c r="T692" s="144"/>
      <c r="AS692" s="144" t="e">
        <v>#N/A</v>
      </c>
    </row>
    <row r="693" spans="17:45" ht="15" customHeight="1" x14ac:dyDescent="0.35">
      <c r="Q693" s="156"/>
      <c r="T693" s="144"/>
      <c r="AS693" s="144" t="e">
        <v>#N/A</v>
      </c>
    </row>
    <row r="694" spans="17:45" ht="15" customHeight="1" x14ac:dyDescent="0.35">
      <c r="Q694" s="156"/>
      <c r="T694" s="144"/>
      <c r="AS694" s="144" t="e">
        <v>#N/A</v>
      </c>
    </row>
    <row r="695" spans="17:45" ht="15" customHeight="1" x14ac:dyDescent="0.35">
      <c r="Q695" s="156"/>
      <c r="T695" s="144"/>
      <c r="AS695" s="144" t="e">
        <v>#N/A</v>
      </c>
    </row>
    <row r="696" spans="17:45" ht="15" customHeight="1" x14ac:dyDescent="0.35">
      <c r="Q696" s="156"/>
      <c r="T696" s="144"/>
      <c r="AS696" s="144" t="e">
        <v>#N/A</v>
      </c>
    </row>
    <row r="697" spans="17:45" ht="15" customHeight="1" x14ac:dyDescent="0.35">
      <c r="Q697" s="156"/>
      <c r="T697" s="144"/>
      <c r="AS697" s="144" t="e">
        <v>#N/A</v>
      </c>
    </row>
    <row r="698" spans="17:45" ht="15" customHeight="1" x14ac:dyDescent="0.35">
      <c r="Q698" s="156"/>
      <c r="T698" s="144"/>
      <c r="AS698" s="144" t="e">
        <v>#N/A</v>
      </c>
    </row>
    <row r="699" spans="17:45" ht="15" customHeight="1" x14ac:dyDescent="0.35">
      <c r="Q699" s="156"/>
      <c r="T699" s="144"/>
      <c r="AS699" s="144" t="e">
        <v>#N/A</v>
      </c>
    </row>
    <row r="700" spans="17:45" ht="15" customHeight="1" x14ac:dyDescent="0.35">
      <c r="Q700" s="156"/>
      <c r="T700" s="144"/>
      <c r="AS700" s="144" t="e">
        <v>#N/A</v>
      </c>
    </row>
    <row r="701" spans="17:45" ht="15" customHeight="1" x14ac:dyDescent="0.35">
      <c r="Q701" s="156"/>
      <c r="T701" s="144"/>
      <c r="AS701" s="144" t="e">
        <v>#N/A</v>
      </c>
    </row>
    <row r="702" spans="17:45" ht="15" customHeight="1" x14ac:dyDescent="0.35">
      <c r="Q702" s="156"/>
      <c r="T702" s="144"/>
      <c r="AS702" s="144" t="e">
        <v>#N/A</v>
      </c>
    </row>
    <row r="703" spans="17:45" ht="15" customHeight="1" x14ac:dyDescent="0.35">
      <c r="Q703" s="156"/>
      <c r="T703" s="144"/>
      <c r="AS703" s="144" t="e">
        <v>#N/A</v>
      </c>
    </row>
    <row r="704" spans="17:45" ht="15" customHeight="1" x14ac:dyDescent="0.35">
      <c r="Q704" s="156"/>
      <c r="T704" s="144"/>
      <c r="AS704" s="144" t="e">
        <v>#N/A</v>
      </c>
    </row>
    <row r="705" spans="17:45" ht="15" customHeight="1" x14ac:dyDescent="0.35">
      <c r="Q705" s="156"/>
      <c r="T705" s="144"/>
      <c r="AS705" s="144" t="e">
        <v>#N/A</v>
      </c>
    </row>
    <row r="706" spans="17:45" ht="15" customHeight="1" x14ac:dyDescent="0.35">
      <c r="Q706" s="156"/>
      <c r="T706" s="144"/>
      <c r="AS706" s="144" t="e">
        <v>#N/A</v>
      </c>
    </row>
    <row r="707" spans="17:45" ht="15" customHeight="1" x14ac:dyDescent="0.35">
      <c r="Q707" s="156"/>
      <c r="T707" s="144"/>
      <c r="AS707" s="144" t="e">
        <v>#N/A</v>
      </c>
    </row>
    <row r="708" spans="17:45" ht="15" customHeight="1" x14ac:dyDescent="0.35">
      <c r="Q708" s="156"/>
      <c r="T708" s="144"/>
      <c r="AS708" s="144" t="e">
        <v>#N/A</v>
      </c>
    </row>
    <row r="709" spans="17:45" ht="15" customHeight="1" x14ac:dyDescent="0.35">
      <c r="Q709" s="156"/>
      <c r="T709" s="144"/>
      <c r="AS709" s="144" t="e">
        <v>#N/A</v>
      </c>
    </row>
    <row r="710" spans="17:45" ht="15" customHeight="1" x14ac:dyDescent="0.35">
      <c r="Q710" s="156"/>
      <c r="T710" s="144"/>
      <c r="AS710" s="144" t="e">
        <v>#N/A</v>
      </c>
    </row>
    <row r="711" spans="17:45" ht="15" customHeight="1" x14ac:dyDescent="0.35">
      <c r="Q711" s="156"/>
      <c r="T711" s="144"/>
      <c r="AS711" s="144" t="e">
        <v>#N/A</v>
      </c>
    </row>
    <row r="712" spans="17:45" ht="15" customHeight="1" x14ac:dyDescent="0.35">
      <c r="Q712" s="156"/>
      <c r="T712" s="144"/>
      <c r="AS712" s="144" t="e">
        <v>#N/A</v>
      </c>
    </row>
    <row r="713" spans="17:45" ht="15" customHeight="1" x14ac:dyDescent="0.35">
      <c r="Q713" s="156"/>
      <c r="T713" s="144"/>
      <c r="AS713" s="144" t="e">
        <v>#N/A</v>
      </c>
    </row>
    <row r="714" spans="17:45" ht="15" customHeight="1" x14ac:dyDescent="0.35">
      <c r="Q714" s="156"/>
      <c r="T714" s="144"/>
      <c r="AS714" s="144" t="e">
        <v>#N/A</v>
      </c>
    </row>
    <row r="715" spans="17:45" ht="15" customHeight="1" x14ac:dyDescent="0.35">
      <c r="Q715" s="156"/>
      <c r="T715" s="144"/>
      <c r="AS715" s="144" t="e">
        <v>#N/A</v>
      </c>
    </row>
    <row r="716" spans="17:45" ht="15" customHeight="1" x14ac:dyDescent="0.35">
      <c r="Q716" s="156"/>
      <c r="T716" s="144"/>
      <c r="AS716" s="144" t="e">
        <v>#N/A</v>
      </c>
    </row>
    <row r="717" spans="17:45" ht="15" customHeight="1" x14ac:dyDescent="0.35">
      <c r="Q717" s="156"/>
      <c r="T717" s="144"/>
      <c r="AS717" s="144" t="e">
        <v>#N/A</v>
      </c>
    </row>
    <row r="718" spans="17:45" ht="15" customHeight="1" x14ac:dyDescent="0.35">
      <c r="Q718" s="156"/>
      <c r="T718" s="144"/>
      <c r="AS718" s="144" t="e">
        <v>#N/A</v>
      </c>
    </row>
    <row r="719" spans="17:45" ht="15" customHeight="1" x14ac:dyDescent="0.35">
      <c r="Q719" s="156"/>
      <c r="T719" s="144"/>
      <c r="AS719" s="144" t="e">
        <v>#N/A</v>
      </c>
    </row>
    <row r="720" spans="17:45" ht="15" customHeight="1" x14ac:dyDescent="0.35">
      <c r="Q720" s="156"/>
      <c r="T720" s="144"/>
      <c r="AS720" s="144" t="e">
        <v>#N/A</v>
      </c>
    </row>
    <row r="721" spans="17:45" ht="15" customHeight="1" x14ac:dyDescent="0.35">
      <c r="Q721" s="156"/>
      <c r="T721" s="144"/>
      <c r="AS721" s="144" t="e">
        <v>#N/A</v>
      </c>
    </row>
    <row r="722" spans="17:45" ht="15" customHeight="1" x14ac:dyDescent="0.35">
      <c r="Q722" s="156"/>
      <c r="T722" s="144"/>
      <c r="AS722" s="144" t="e">
        <v>#N/A</v>
      </c>
    </row>
    <row r="723" spans="17:45" ht="15" customHeight="1" x14ac:dyDescent="0.35">
      <c r="Q723" s="156"/>
      <c r="T723" s="144"/>
      <c r="AS723" s="144" t="e">
        <v>#N/A</v>
      </c>
    </row>
    <row r="724" spans="17:45" ht="15" customHeight="1" x14ac:dyDescent="0.35">
      <c r="Q724" s="156"/>
      <c r="T724" s="144"/>
      <c r="AS724" s="144" t="e">
        <v>#N/A</v>
      </c>
    </row>
    <row r="725" spans="17:45" ht="15" customHeight="1" x14ac:dyDescent="0.35">
      <c r="Q725" s="156"/>
      <c r="T725" s="144"/>
      <c r="AS725" s="144" t="e">
        <v>#N/A</v>
      </c>
    </row>
    <row r="726" spans="17:45" ht="15" customHeight="1" x14ac:dyDescent="0.35">
      <c r="Q726" s="156"/>
      <c r="T726" s="144"/>
      <c r="AS726" s="144" t="e">
        <v>#N/A</v>
      </c>
    </row>
    <row r="727" spans="17:45" ht="15" customHeight="1" x14ac:dyDescent="0.35">
      <c r="Q727" s="156"/>
      <c r="T727" s="144"/>
      <c r="AS727" s="144" t="e">
        <v>#N/A</v>
      </c>
    </row>
    <row r="728" spans="17:45" ht="15" customHeight="1" x14ac:dyDescent="0.35">
      <c r="Q728" s="156"/>
      <c r="T728" s="144"/>
      <c r="AS728" s="144" t="e">
        <v>#N/A</v>
      </c>
    </row>
    <row r="729" spans="17:45" ht="15" customHeight="1" x14ac:dyDescent="0.35">
      <c r="Q729" s="156"/>
      <c r="T729" s="144"/>
      <c r="AS729" s="144" t="e">
        <v>#N/A</v>
      </c>
    </row>
    <row r="730" spans="17:45" ht="15" customHeight="1" x14ac:dyDescent="0.35">
      <c r="Q730" s="156"/>
      <c r="T730" s="144"/>
      <c r="AS730" s="144" t="e">
        <v>#N/A</v>
      </c>
    </row>
    <row r="731" spans="17:45" ht="15" customHeight="1" x14ac:dyDescent="0.35">
      <c r="Q731" s="156"/>
      <c r="T731" s="144"/>
      <c r="AS731" s="144" t="e">
        <v>#N/A</v>
      </c>
    </row>
    <row r="732" spans="17:45" ht="15" customHeight="1" x14ac:dyDescent="0.35">
      <c r="Q732" s="156"/>
      <c r="T732" s="144"/>
      <c r="AS732" s="144" t="e">
        <v>#N/A</v>
      </c>
    </row>
    <row r="733" spans="17:45" ht="15" customHeight="1" x14ac:dyDescent="0.35">
      <c r="Q733" s="156"/>
      <c r="T733" s="144"/>
      <c r="AS733" s="144" t="e">
        <v>#N/A</v>
      </c>
    </row>
    <row r="734" spans="17:45" ht="15" customHeight="1" x14ac:dyDescent="0.35">
      <c r="Q734" s="156"/>
      <c r="T734" s="144"/>
      <c r="AS734" s="144" t="e">
        <v>#N/A</v>
      </c>
    </row>
    <row r="735" spans="17:45" ht="15" customHeight="1" x14ac:dyDescent="0.35">
      <c r="Q735" s="156"/>
      <c r="T735" s="144"/>
      <c r="AS735" s="144" t="e">
        <v>#N/A</v>
      </c>
    </row>
    <row r="736" spans="17:45" ht="15" customHeight="1" x14ac:dyDescent="0.35">
      <c r="Q736" s="156"/>
      <c r="T736" s="144"/>
      <c r="AS736" s="144" t="e">
        <v>#N/A</v>
      </c>
    </row>
    <row r="737" spans="17:45" ht="15" customHeight="1" x14ac:dyDescent="0.35">
      <c r="Q737" s="156"/>
      <c r="T737" s="144"/>
      <c r="AS737" s="144" t="e">
        <v>#N/A</v>
      </c>
    </row>
    <row r="738" spans="17:45" ht="15" customHeight="1" x14ac:dyDescent="0.35">
      <c r="Q738" s="156"/>
      <c r="T738" s="144"/>
      <c r="AS738" s="144" t="e">
        <v>#N/A</v>
      </c>
    </row>
    <row r="739" spans="17:45" ht="15" customHeight="1" x14ac:dyDescent="0.35">
      <c r="Q739" s="156"/>
      <c r="T739" s="144"/>
      <c r="AS739" s="144" t="e">
        <v>#N/A</v>
      </c>
    </row>
    <row r="740" spans="17:45" ht="15" customHeight="1" x14ac:dyDescent="0.35">
      <c r="Q740" s="156"/>
      <c r="T740" s="144"/>
      <c r="AS740" s="144" t="e">
        <v>#N/A</v>
      </c>
    </row>
    <row r="741" spans="17:45" ht="15" customHeight="1" x14ac:dyDescent="0.35">
      <c r="Q741" s="156"/>
      <c r="T741" s="144"/>
      <c r="AS741" s="144" t="e">
        <v>#N/A</v>
      </c>
    </row>
    <row r="742" spans="17:45" ht="15" customHeight="1" x14ac:dyDescent="0.35">
      <c r="Q742" s="156"/>
      <c r="T742" s="144"/>
      <c r="AS742" s="144" t="e">
        <v>#N/A</v>
      </c>
    </row>
    <row r="743" spans="17:45" ht="15" customHeight="1" x14ac:dyDescent="0.35">
      <c r="Q743" s="156"/>
      <c r="T743" s="144"/>
      <c r="AS743" s="144" t="e">
        <v>#N/A</v>
      </c>
    </row>
    <row r="744" spans="17:45" ht="15" customHeight="1" x14ac:dyDescent="0.35">
      <c r="Q744" s="156"/>
      <c r="T744" s="144"/>
      <c r="AS744" s="144" t="e">
        <v>#N/A</v>
      </c>
    </row>
    <row r="745" spans="17:45" ht="15" customHeight="1" x14ac:dyDescent="0.35">
      <c r="Q745" s="156"/>
      <c r="T745" s="144"/>
      <c r="AS745" s="144" t="e">
        <v>#N/A</v>
      </c>
    </row>
    <row r="746" spans="17:45" ht="15" customHeight="1" x14ac:dyDescent="0.35">
      <c r="Q746" s="156"/>
      <c r="T746" s="144"/>
      <c r="AS746" s="144" t="e">
        <v>#N/A</v>
      </c>
    </row>
    <row r="747" spans="17:45" ht="15" customHeight="1" x14ac:dyDescent="0.35">
      <c r="Q747" s="156"/>
      <c r="T747" s="144"/>
      <c r="AS747" s="144" t="e">
        <v>#N/A</v>
      </c>
    </row>
    <row r="748" spans="17:45" ht="15" customHeight="1" x14ac:dyDescent="0.35">
      <c r="Q748" s="156"/>
      <c r="T748" s="144"/>
      <c r="AS748" s="144" t="e">
        <v>#N/A</v>
      </c>
    </row>
    <row r="749" spans="17:45" ht="15" customHeight="1" x14ac:dyDescent="0.35">
      <c r="Q749" s="156"/>
      <c r="T749" s="144"/>
      <c r="AS749" s="144" t="e">
        <v>#N/A</v>
      </c>
    </row>
    <row r="750" spans="17:45" ht="15" customHeight="1" x14ac:dyDescent="0.35">
      <c r="Q750" s="156"/>
      <c r="T750" s="144"/>
      <c r="AS750" s="144" t="e">
        <v>#N/A</v>
      </c>
    </row>
    <row r="751" spans="17:45" ht="15" customHeight="1" x14ac:dyDescent="0.35">
      <c r="Q751" s="156"/>
      <c r="T751" s="144"/>
      <c r="AS751" s="144" t="e">
        <v>#N/A</v>
      </c>
    </row>
    <row r="752" spans="17:45" ht="15" customHeight="1" x14ac:dyDescent="0.35">
      <c r="Q752" s="156"/>
      <c r="T752" s="144"/>
      <c r="AS752" s="144" t="e">
        <v>#N/A</v>
      </c>
    </row>
    <row r="753" spans="17:45" ht="15" customHeight="1" x14ac:dyDescent="0.35">
      <c r="Q753" s="156"/>
      <c r="T753" s="144"/>
      <c r="AS753" s="144" t="e">
        <v>#N/A</v>
      </c>
    </row>
    <row r="754" spans="17:45" ht="15" customHeight="1" x14ac:dyDescent="0.35">
      <c r="Q754" s="156"/>
      <c r="T754" s="144"/>
      <c r="AS754" s="144" t="e">
        <v>#N/A</v>
      </c>
    </row>
    <row r="755" spans="17:45" ht="15" customHeight="1" x14ac:dyDescent="0.35">
      <c r="Q755" s="156"/>
      <c r="T755" s="144"/>
      <c r="AS755" s="144" t="e">
        <v>#N/A</v>
      </c>
    </row>
    <row r="756" spans="17:45" ht="15" customHeight="1" x14ac:dyDescent="0.35">
      <c r="Q756" s="156"/>
      <c r="T756" s="144"/>
      <c r="AS756" s="144" t="e">
        <v>#N/A</v>
      </c>
    </row>
    <row r="757" spans="17:45" ht="15" customHeight="1" x14ac:dyDescent="0.35">
      <c r="Q757" s="156"/>
      <c r="T757" s="144"/>
      <c r="AS757" s="144" t="e">
        <v>#N/A</v>
      </c>
    </row>
    <row r="758" spans="17:45" ht="15" customHeight="1" x14ac:dyDescent="0.35">
      <c r="Q758" s="156"/>
      <c r="T758" s="144"/>
      <c r="AS758" s="144" t="e">
        <v>#N/A</v>
      </c>
    </row>
    <row r="759" spans="17:45" ht="15" customHeight="1" x14ac:dyDescent="0.35">
      <c r="Q759" s="156"/>
      <c r="T759" s="144"/>
      <c r="AS759" s="144" t="e">
        <v>#N/A</v>
      </c>
    </row>
    <row r="760" spans="17:45" ht="15" customHeight="1" x14ac:dyDescent="0.35">
      <c r="Q760" s="156"/>
      <c r="T760" s="144"/>
      <c r="AS760" s="144" t="e">
        <v>#N/A</v>
      </c>
    </row>
    <row r="761" spans="17:45" ht="15" customHeight="1" x14ac:dyDescent="0.35">
      <c r="Q761" s="156"/>
      <c r="T761" s="144"/>
      <c r="AS761" s="144" t="e">
        <v>#N/A</v>
      </c>
    </row>
    <row r="762" spans="17:45" ht="15" customHeight="1" x14ac:dyDescent="0.35">
      <c r="Q762" s="156"/>
      <c r="T762" s="144"/>
      <c r="AS762" s="144" t="e">
        <v>#N/A</v>
      </c>
    </row>
    <row r="763" spans="17:45" ht="15" customHeight="1" x14ac:dyDescent="0.35">
      <c r="Q763" s="156"/>
      <c r="T763" s="144"/>
      <c r="AS763" s="144" t="e">
        <v>#N/A</v>
      </c>
    </row>
    <row r="764" spans="17:45" ht="15" customHeight="1" x14ac:dyDescent="0.35">
      <c r="Q764" s="156"/>
      <c r="T764" s="144"/>
      <c r="AS764" s="144" t="e">
        <v>#N/A</v>
      </c>
    </row>
    <row r="765" spans="17:45" ht="15" customHeight="1" x14ac:dyDescent="0.35">
      <c r="Q765" s="156"/>
      <c r="T765" s="144"/>
      <c r="AS765" s="144" t="e">
        <v>#N/A</v>
      </c>
    </row>
    <row r="766" spans="17:45" ht="15" customHeight="1" x14ac:dyDescent="0.35">
      <c r="Q766" s="156"/>
      <c r="T766" s="144"/>
      <c r="AS766" s="144" t="e">
        <v>#N/A</v>
      </c>
    </row>
    <row r="767" spans="17:45" ht="15" customHeight="1" x14ac:dyDescent="0.35">
      <c r="Q767" s="156"/>
      <c r="T767" s="144"/>
      <c r="AS767" s="144" t="e">
        <v>#N/A</v>
      </c>
    </row>
    <row r="768" spans="17:45" ht="15" customHeight="1" x14ac:dyDescent="0.35">
      <c r="Q768" s="156"/>
      <c r="T768" s="144"/>
      <c r="AS768" s="144" t="e">
        <v>#N/A</v>
      </c>
    </row>
    <row r="769" spans="17:45" ht="15" customHeight="1" x14ac:dyDescent="0.35">
      <c r="Q769" s="156"/>
      <c r="T769" s="144"/>
      <c r="AS769" s="144" t="e">
        <v>#N/A</v>
      </c>
    </row>
    <row r="770" spans="17:45" ht="15" customHeight="1" x14ac:dyDescent="0.35">
      <c r="Q770" s="156"/>
      <c r="T770" s="144"/>
      <c r="AS770" s="144" t="e">
        <v>#N/A</v>
      </c>
    </row>
    <row r="771" spans="17:45" ht="15" customHeight="1" x14ac:dyDescent="0.35">
      <c r="Q771" s="156"/>
      <c r="T771" s="144"/>
      <c r="AS771" s="144" t="e">
        <v>#N/A</v>
      </c>
    </row>
    <row r="772" spans="17:45" ht="15" customHeight="1" x14ac:dyDescent="0.35">
      <c r="Q772" s="156"/>
      <c r="T772" s="144"/>
      <c r="AS772" s="144" t="e">
        <v>#N/A</v>
      </c>
    </row>
    <row r="773" spans="17:45" ht="15" customHeight="1" x14ac:dyDescent="0.35">
      <c r="Q773" s="156"/>
      <c r="T773" s="144"/>
      <c r="AS773" s="144" t="e">
        <v>#N/A</v>
      </c>
    </row>
    <row r="774" spans="17:45" ht="15" customHeight="1" x14ac:dyDescent="0.35">
      <c r="Q774" s="156"/>
      <c r="T774" s="144"/>
      <c r="AS774" s="144" t="e">
        <v>#N/A</v>
      </c>
    </row>
    <row r="775" spans="17:45" ht="15" customHeight="1" x14ac:dyDescent="0.35">
      <c r="Q775" s="156"/>
      <c r="T775" s="144"/>
      <c r="AS775" s="144" t="e">
        <v>#N/A</v>
      </c>
    </row>
    <row r="776" spans="17:45" ht="15" customHeight="1" x14ac:dyDescent="0.35">
      <c r="Q776" s="156"/>
      <c r="T776" s="144"/>
      <c r="AS776" s="144" t="e">
        <v>#N/A</v>
      </c>
    </row>
    <row r="777" spans="17:45" ht="15" customHeight="1" x14ac:dyDescent="0.35">
      <c r="Q777" s="156"/>
      <c r="T777" s="144"/>
      <c r="AS777" s="144" t="e">
        <v>#N/A</v>
      </c>
    </row>
    <row r="778" spans="17:45" ht="15" customHeight="1" x14ac:dyDescent="0.35">
      <c r="Q778" s="156"/>
      <c r="T778" s="144"/>
      <c r="AS778" s="144" t="e">
        <v>#N/A</v>
      </c>
    </row>
    <row r="779" spans="17:45" ht="15" customHeight="1" x14ac:dyDescent="0.35">
      <c r="Q779" s="156"/>
      <c r="T779" s="144"/>
      <c r="AS779" s="144" t="e">
        <v>#N/A</v>
      </c>
    </row>
    <row r="780" spans="17:45" ht="15" customHeight="1" x14ac:dyDescent="0.35">
      <c r="Q780" s="156"/>
      <c r="T780" s="144"/>
      <c r="AS780" s="144" t="e">
        <v>#N/A</v>
      </c>
    </row>
    <row r="781" spans="17:45" ht="15" customHeight="1" x14ac:dyDescent="0.35">
      <c r="Q781" s="156"/>
      <c r="T781" s="144"/>
      <c r="AS781" s="144" t="e">
        <v>#N/A</v>
      </c>
    </row>
    <row r="782" spans="17:45" ht="15" customHeight="1" x14ac:dyDescent="0.35">
      <c r="Q782" s="156"/>
      <c r="T782" s="144"/>
      <c r="AS782" s="144" t="e">
        <v>#N/A</v>
      </c>
    </row>
    <row r="783" spans="17:45" ht="15" customHeight="1" x14ac:dyDescent="0.35">
      <c r="Q783" s="156"/>
      <c r="T783" s="144"/>
      <c r="AS783" s="144" t="e">
        <v>#N/A</v>
      </c>
    </row>
    <row r="784" spans="17:45" ht="15" customHeight="1" x14ac:dyDescent="0.35">
      <c r="Q784" s="156"/>
      <c r="T784" s="144"/>
      <c r="AS784" s="144" t="e">
        <v>#N/A</v>
      </c>
    </row>
    <row r="785" spans="17:45" ht="15" customHeight="1" x14ac:dyDescent="0.35">
      <c r="Q785" s="156"/>
      <c r="T785" s="144"/>
      <c r="AS785" s="144" t="e">
        <v>#N/A</v>
      </c>
    </row>
    <row r="786" spans="17:45" ht="15" customHeight="1" x14ac:dyDescent="0.35">
      <c r="Q786" s="156"/>
      <c r="T786" s="144"/>
      <c r="AS786" s="144" t="e">
        <v>#N/A</v>
      </c>
    </row>
    <row r="787" spans="17:45" ht="15" customHeight="1" x14ac:dyDescent="0.35">
      <c r="Q787" s="156"/>
      <c r="T787" s="144"/>
      <c r="AS787" s="144" t="e">
        <v>#N/A</v>
      </c>
    </row>
    <row r="788" spans="17:45" ht="15" customHeight="1" x14ac:dyDescent="0.35">
      <c r="Q788" s="156"/>
      <c r="T788" s="144"/>
      <c r="AS788" s="144" t="e">
        <v>#N/A</v>
      </c>
    </row>
    <row r="789" spans="17:45" ht="15" customHeight="1" x14ac:dyDescent="0.35">
      <c r="Q789" s="156"/>
      <c r="T789" s="144"/>
      <c r="AS789" s="144" t="e">
        <v>#N/A</v>
      </c>
    </row>
    <row r="790" spans="17:45" ht="15" customHeight="1" x14ac:dyDescent="0.35">
      <c r="Q790" s="156"/>
      <c r="T790" s="144"/>
      <c r="AS790" s="144" t="e">
        <v>#N/A</v>
      </c>
    </row>
    <row r="791" spans="17:45" ht="15" customHeight="1" x14ac:dyDescent="0.35">
      <c r="Q791" s="156"/>
      <c r="T791" s="144"/>
      <c r="AS791" s="144" t="e">
        <v>#N/A</v>
      </c>
    </row>
    <row r="792" spans="17:45" ht="15" customHeight="1" x14ac:dyDescent="0.35">
      <c r="Q792" s="156"/>
      <c r="T792" s="144"/>
      <c r="AS792" s="144" t="e">
        <v>#N/A</v>
      </c>
    </row>
    <row r="793" spans="17:45" ht="15" customHeight="1" x14ac:dyDescent="0.35">
      <c r="Q793" s="156"/>
      <c r="T793" s="144"/>
      <c r="AS793" s="144" t="e">
        <v>#N/A</v>
      </c>
    </row>
    <row r="794" spans="17:45" ht="15" customHeight="1" x14ac:dyDescent="0.35">
      <c r="Q794" s="156"/>
      <c r="T794" s="144"/>
      <c r="AS794" s="144" t="e">
        <v>#N/A</v>
      </c>
    </row>
    <row r="795" spans="17:45" ht="15" customHeight="1" x14ac:dyDescent="0.35">
      <c r="Q795" s="156"/>
      <c r="T795" s="144"/>
      <c r="AS795" s="144" t="e">
        <v>#N/A</v>
      </c>
    </row>
    <row r="796" spans="17:45" ht="15" customHeight="1" x14ac:dyDescent="0.35">
      <c r="Q796" s="156"/>
      <c r="T796" s="144"/>
      <c r="AS796" s="144" t="e">
        <v>#N/A</v>
      </c>
    </row>
    <row r="797" spans="17:45" ht="15" customHeight="1" x14ac:dyDescent="0.35">
      <c r="Q797" s="156"/>
      <c r="T797" s="144"/>
      <c r="AS797" s="144" t="e">
        <v>#N/A</v>
      </c>
    </row>
    <row r="798" spans="17:45" ht="15" customHeight="1" x14ac:dyDescent="0.35">
      <c r="Q798" s="156"/>
      <c r="T798" s="144"/>
      <c r="AS798" s="144" t="e">
        <v>#N/A</v>
      </c>
    </row>
    <row r="799" spans="17:45" ht="15" customHeight="1" x14ac:dyDescent="0.35">
      <c r="Q799" s="156"/>
      <c r="T799" s="144"/>
      <c r="AS799" s="144" t="e">
        <v>#N/A</v>
      </c>
    </row>
    <row r="800" spans="17:45" ht="15" customHeight="1" x14ac:dyDescent="0.35">
      <c r="Q800" s="156"/>
      <c r="T800" s="144"/>
      <c r="AS800" s="144" t="e">
        <v>#N/A</v>
      </c>
    </row>
    <row r="801" spans="17:45" ht="15" customHeight="1" x14ac:dyDescent="0.35">
      <c r="Q801" s="156"/>
      <c r="T801" s="144"/>
      <c r="AS801" s="144" t="e">
        <v>#N/A</v>
      </c>
    </row>
    <row r="802" spans="17:45" ht="15" customHeight="1" x14ac:dyDescent="0.35">
      <c r="Q802" s="156"/>
      <c r="T802" s="144"/>
      <c r="AS802" s="144" t="e">
        <v>#N/A</v>
      </c>
    </row>
    <row r="803" spans="17:45" ht="15" customHeight="1" x14ac:dyDescent="0.35">
      <c r="Q803" s="156"/>
      <c r="T803" s="144"/>
      <c r="AS803" s="144" t="e">
        <v>#N/A</v>
      </c>
    </row>
    <row r="804" spans="17:45" ht="15" customHeight="1" x14ac:dyDescent="0.35">
      <c r="Q804" s="156"/>
      <c r="T804" s="144"/>
      <c r="AS804" s="144" t="e">
        <v>#N/A</v>
      </c>
    </row>
    <row r="805" spans="17:45" ht="15" customHeight="1" x14ac:dyDescent="0.35">
      <c r="Q805" s="156"/>
      <c r="T805" s="144"/>
      <c r="AS805" s="144" t="e">
        <v>#N/A</v>
      </c>
    </row>
    <row r="806" spans="17:45" ht="15" customHeight="1" x14ac:dyDescent="0.35">
      <c r="Q806" s="156"/>
      <c r="T806" s="144"/>
      <c r="AS806" s="144" t="e">
        <v>#N/A</v>
      </c>
    </row>
    <row r="807" spans="17:45" ht="15" customHeight="1" x14ac:dyDescent="0.35">
      <c r="Q807" s="156"/>
      <c r="T807" s="144"/>
      <c r="AS807" s="144" t="e">
        <v>#N/A</v>
      </c>
    </row>
    <row r="808" spans="17:45" ht="15" customHeight="1" x14ac:dyDescent="0.35">
      <c r="Q808" s="156"/>
      <c r="T808" s="144"/>
      <c r="AS808" s="144" t="e">
        <v>#N/A</v>
      </c>
    </row>
    <row r="809" spans="17:45" ht="15" customHeight="1" x14ac:dyDescent="0.35">
      <c r="Q809" s="156"/>
      <c r="T809" s="144"/>
      <c r="AS809" s="144" t="e">
        <v>#N/A</v>
      </c>
    </row>
    <row r="810" spans="17:45" ht="15" customHeight="1" x14ac:dyDescent="0.35">
      <c r="Q810" s="156"/>
      <c r="T810" s="144"/>
      <c r="AS810" s="144" t="e">
        <v>#N/A</v>
      </c>
    </row>
    <row r="811" spans="17:45" ht="15" customHeight="1" x14ac:dyDescent="0.35">
      <c r="Q811" s="156"/>
      <c r="T811" s="144"/>
      <c r="AS811" s="144" t="e">
        <v>#N/A</v>
      </c>
    </row>
    <row r="812" spans="17:45" ht="15" customHeight="1" x14ac:dyDescent="0.35">
      <c r="Q812" s="156"/>
      <c r="T812" s="144"/>
      <c r="AS812" s="144" t="e">
        <v>#N/A</v>
      </c>
    </row>
    <row r="813" spans="17:45" ht="15" customHeight="1" x14ac:dyDescent="0.35">
      <c r="Q813" s="156"/>
      <c r="T813" s="144"/>
      <c r="AS813" s="144" t="e">
        <v>#N/A</v>
      </c>
    </row>
    <row r="814" spans="17:45" ht="15" customHeight="1" x14ac:dyDescent="0.35">
      <c r="Q814" s="156"/>
      <c r="T814" s="144"/>
      <c r="AS814" s="144" t="e">
        <v>#N/A</v>
      </c>
    </row>
    <row r="815" spans="17:45" ht="15" customHeight="1" x14ac:dyDescent="0.35">
      <c r="Q815" s="156"/>
      <c r="T815" s="144"/>
      <c r="AS815" s="144" t="e">
        <v>#N/A</v>
      </c>
    </row>
    <row r="816" spans="17:45" ht="15" customHeight="1" x14ac:dyDescent="0.35">
      <c r="Q816" s="156"/>
      <c r="T816" s="144"/>
      <c r="AS816" s="144" t="e">
        <v>#N/A</v>
      </c>
    </row>
    <row r="817" spans="17:45" ht="15" customHeight="1" x14ac:dyDescent="0.35">
      <c r="Q817" s="156"/>
      <c r="T817" s="144"/>
      <c r="AS817" s="144" t="e">
        <v>#N/A</v>
      </c>
    </row>
    <row r="818" spans="17:45" ht="15" customHeight="1" x14ac:dyDescent="0.35">
      <c r="Q818" s="156"/>
      <c r="T818" s="144"/>
      <c r="AS818" s="144" t="e">
        <v>#N/A</v>
      </c>
    </row>
    <row r="819" spans="17:45" ht="15" customHeight="1" x14ac:dyDescent="0.35">
      <c r="Q819" s="156"/>
      <c r="T819" s="144"/>
      <c r="AS819" s="144" t="e">
        <v>#N/A</v>
      </c>
    </row>
    <row r="820" spans="17:45" ht="15" customHeight="1" x14ac:dyDescent="0.35">
      <c r="Q820" s="156"/>
      <c r="T820" s="144"/>
      <c r="AS820" s="144" t="e">
        <v>#N/A</v>
      </c>
    </row>
    <row r="821" spans="17:45" ht="15" customHeight="1" x14ac:dyDescent="0.35">
      <c r="Q821" s="156"/>
      <c r="T821" s="144"/>
      <c r="AS821" s="144" t="e">
        <v>#N/A</v>
      </c>
    </row>
    <row r="822" spans="17:45" ht="15" customHeight="1" x14ac:dyDescent="0.35">
      <c r="Q822" s="156"/>
      <c r="T822" s="144"/>
      <c r="AS822" s="144" t="e">
        <v>#N/A</v>
      </c>
    </row>
    <row r="823" spans="17:45" ht="15" customHeight="1" x14ac:dyDescent="0.35">
      <c r="Q823" s="156"/>
      <c r="T823" s="144"/>
      <c r="AS823" s="144" t="e">
        <v>#N/A</v>
      </c>
    </row>
    <row r="824" spans="17:45" ht="15" customHeight="1" x14ac:dyDescent="0.35">
      <c r="Q824" s="156"/>
      <c r="T824" s="144"/>
      <c r="AS824" s="144" t="e">
        <v>#N/A</v>
      </c>
    </row>
    <row r="825" spans="17:45" ht="15" customHeight="1" x14ac:dyDescent="0.35">
      <c r="Q825" s="156"/>
      <c r="T825" s="144"/>
      <c r="AS825" s="144" t="e">
        <v>#N/A</v>
      </c>
    </row>
    <row r="826" spans="17:45" ht="15" customHeight="1" x14ac:dyDescent="0.35">
      <c r="Q826" s="156"/>
      <c r="T826" s="144"/>
      <c r="AS826" s="144" t="e">
        <v>#N/A</v>
      </c>
    </row>
    <row r="827" spans="17:45" ht="15" customHeight="1" x14ac:dyDescent="0.35">
      <c r="Q827" s="156"/>
      <c r="T827" s="144"/>
      <c r="AS827" s="144" t="e">
        <v>#N/A</v>
      </c>
    </row>
    <row r="828" spans="17:45" ht="15" customHeight="1" x14ac:dyDescent="0.35">
      <c r="Q828" s="156"/>
      <c r="T828" s="144"/>
      <c r="AS828" s="144" t="e">
        <v>#N/A</v>
      </c>
    </row>
    <row r="829" spans="17:45" ht="15" customHeight="1" x14ac:dyDescent="0.35">
      <c r="Q829" s="156"/>
      <c r="T829" s="144"/>
      <c r="AS829" s="144" t="e">
        <v>#N/A</v>
      </c>
    </row>
    <row r="830" spans="17:45" ht="15" customHeight="1" x14ac:dyDescent="0.35">
      <c r="Q830" s="156"/>
      <c r="T830" s="144"/>
      <c r="AS830" s="144" t="e">
        <v>#N/A</v>
      </c>
    </row>
    <row r="831" spans="17:45" ht="15" customHeight="1" x14ac:dyDescent="0.35">
      <c r="Q831" s="156"/>
      <c r="T831" s="144"/>
      <c r="AS831" s="144" t="e">
        <v>#N/A</v>
      </c>
    </row>
    <row r="832" spans="17:45" ht="15" customHeight="1" x14ac:dyDescent="0.35">
      <c r="Q832" s="156"/>
      <c r="T832" s="144"/>
      <c r="AS832" s="144" t="e">
        <v>#N/A</v>
      </c>
    </row>
    <row r="833" spans="17:45" ht="15" customHeight="1" x14ac:dyDescent="0.35">
      <c r="Q833" s="156"/>
      <c r="T833" s="144"/>
      <c r="AS833" s="144" t="e">
        <v>#N/A</v>
      </c>
    </row>
    <row r="834" spans="17:45" ht="15" customHeight="1" x14ac:dyDescent="0.35">
      <c r="Q834" s="156"/>
      <c r="T834" s="144"/>
      <c r="AS834" s="144" t="e">
        <v>#N/A</v>
      </c>
    </row>
    <row r="835" spans="17:45" ht="15" customHeight="1" x14ac:dyDescent="0.35">
      <c r="Q835" s="156"/>
      <c r="T835" s="144"/>
      <c r="AS835" s="144" t="e">
        <v>#N/A</v>
      </c>
    </row>
    <row r="836" spans="17:45" ht="15" customHeight="1" x14ac:dyDescent="0.35">
      <c r="Q836" s="156"/>
      <c r="T836" s="144"/>
      <c r="AS836" s="144" t="e">
        <v>#N/A</v>
      </c>
    </row>
    <row r="837" spans="17:45" ht="15" customHeight="1" x14ac:dyDescent="0.35">
      <c r="Q837" s="156"/>
      <c r="T837" s="144"/>
      <c r="AS837" s="144" t="e">
        <v>#N/A</v>
      </c>
    </row>
    <row r="838" spans="17:45" ht="15" customHeight="1" x14ac:dyDescent="0.35">
      <c r="Q838" s="156"/>
      <c r="T838" s="144"/>
      <c r="AS838" s="144" t="e">
        <v>#N/A</v>
      </c>
    </row>
    <row r="839" spans="17:45" ht="15" customHeight="1" x14ac:dyDescent="0.35">
      <c r="Q839" s="156"/>
      <c r="T839" s="144"/>
      <c r="AS839" s="144" t="e">
        <v>#N/A</v>
      </c>
    </row>
    <row r="840" spans="17:45" ht="15" customHeight="1" x14ac:dyDescent="0.35">
      <c r="Q840" s="156"/>
      <c r="T840" s="144"/>
      <c r="AS840" s="144" t="e">
        <v>#N/A</v>
      </c>
    </row>
    <row r="841" spans="17:45" ht="15" customHeight="1" x14ac:dyDescent="0.35">
      <c r="Q841" s="156"/>
      <c r="T841" s="144"/>
      <c r="AS841" s="144" t="e">
        <v>#N/A</v>
      </c>
    </row>
    <row r="842" spans="17:45" ht="15" customHeight="1" x14ac:dyDescent="0.35">
      <c r="Q842" s="156"/>
      <c r="T842" s="144"/>
      <c r="AS842" s="144" t="e">
        <v>#N/A</v>
      </c>
    </row>
    <row r="843" spans="17:45" ht="15" customHeight="1" x14ac:dyDescent="0.35">
      <c r="Q843" s="156"/>
      <c r="T843" s="144"/>
      <c r="AS843" s="144" t="e">
        <v>#N/A</v>
      </c>
    </row>
    <row r="844" spans="17:45" ht="15" customHeight="1" x14ac:dyDescent="0.35">
      <c r="Q844" s="156"/>
      <c r="T844" s="144"/>
      <c r="AS844" s="144" t="e">
        <v>#N/A</v>
      </c>
    </row>
    <row r="845" spans="17:45" ht="15" customHeight="1" x14ac:dyDescent="0.35">
      <c r="Q845" s="156"/>
      <c r="T845" s="144"/>
      <c r="AS845" s="144" t="e">
        <v>#N/A</v>
      </c>
    </row>
    <row r="846" spans="17:45" ht="15" customHeight="1" x14ac:dyDescent="0.35">
      <c r="Q846" s="156"/>
      <c r="T846" s="144"/>
      <c r="AS846" s="144" t="e">
        <v>#N/A</v>
      </c>
    </row>
    <row r="847" spans="17:45" ht="15" customHeight="1" x14ac:dyDescent="0.35">
      <c r="Q847" s="156"/>
      <c r="T847" s="144"/>
      <c r="AS847" s="144" t="e">
        <v>#N/A</v>
      </c>
    </row>
    <row r="848" spans="17:45" ht="15" customHeight="1" x14ac:dyDescent="0.35">
      <c r="Q848" s="156"/>
      <c r="T848" s="144"/>
      <c r="AS848" s="144" t="e">
        <v>#N/A</v>
      </c>
    </row>
    <row r="849" spans="17:45" ht="15" customHeight="1" x14ac:dyDescent="0.35">
      <c r="Q849" s="156"/>
      <c r="T849" s="144"/>
      <c r="AS849" s="144" t="e">
        <v>#N/A</v>
      </c>
    </row>
    <row r="850" spans="17:45" ht="15" customHeight="1" x14ac:dyDescent="0.35">
      <c r="Q850" s="156"/>
      <c r="T850" s="144"/>
      <c r="AS850" s="144" t="e">
        <v>#N/A</v>
      </c>
    </row>
    <row r="851" spans="17:45" ht="15" customHeight="1" x14ac:dyDescent="0.35">
      <c r="Q851" s="156"/>
      <c r="T851" s="144"/>
      <c r="AS851" s="144" t="e">
        <v>#N/A</v>
      </c>
    </row>
    <row r="852" spans="17:45" ht="15" customHeight="1" x14ac:dyDescent="0.35">
      <c r="Q852" s="156"/>
      <c r="T852" s="144"/>
      <c r="AS852" s="144" t="e">
        <v>#N/A</v>
      </c>
    </row>
    <row r="853" spans="17:45" ht="15" customHeight="1" x14ac:dyDescent="0.35">
      <c r="Q853" s="156"/>
      <c r="T853" s="144"/>
      <c r="AS853" s="144" t="e">
        <v>#N/A</v>
      </c>
    </row>
    <row r="854" spans="17:45" ht="15" customHeight="1" x14ac:dyDescent="0.35">
      <c r="Q854" s="156"/>
      <c r="T854" s="144"/>
      <c r="AS854" s="144" t="e">
        <v>#N/A</v>
      </c>
    </row>
    <row r="855" spans="17:45" ht="15" customHeight="1" x14ac:dyDescent="0.35">
      <c r="Q855" s="156"/>
      <c r="T855" s="144"/>
      <c r="AS855" s="144" t="e">
        <v>#N/A</v>
      </c>
    </row>
    <row r="856" spans="17:45" ht="15" customHeight="1" x14ac:dyDescent="0.35">
      <c r="Q856" s="156"/>
      <c r="T856" s="144"/>
      <c r="AS856" s="144" t="e">
        <v>#N/A</v>
      </c>
    </row>
    <row r="857" spans="17:45" ht="15" customHeight="1" x14ac:dyDescent="0.35">
      <c r="Q857" s="156"/>
      <c r="T857" s="144"/>
      <c r="AS857" s="144" t="e">
        <v>#N/A</v>
      </c>
    </row>
    <row r="858" spans="17:45" ht="15" customHeight="1" x14ac:dyDescent="0.35">
      <c r="Q858" s="156"/>
      <c r="T858" s="144"/>
      <c r="AS858" s="144" t="e">
        <v>#N/A</v>
      </c>
    </row>
    <row r="859" spans="17:45" ht="15" customHeight="1" x14ac:dyDescent="0.35">
      <c r="Q859" s="156"/>
      <c r="T859" s="144"/>
      <c r="AS859" s="144" t="e">
        <v>#N/A</v>
      </c>
    </row>
    <row r="860" spans="17:45" ht="15" customHeight="1" x14ac:dyDescent="0.35">
      <c r="Q860" s="156"/>
      <c r="T860" s="144"/>
      <c r="AS860" s="144" t="e">
        <v>#N/A</v>
      </c>
    </row>
    <row r="861" spans="17:45" ht="15" customHeight="1" x14ac:dyDescent="0.35">
      <c r="Q861" s="156"/>
      <c r="T861" s="144"/>
      <c r="AS861" s="144" t="e">
        <v>#N/A</v>
      </c>
    </row>
    <row r="862" spans="17:45" ht="15" customHeight="1" x14ac:dyDescent="0.35">
      <c r="Q862" s="156"/>
      <c r="T862" s="144"/>
      <c r="AS862" s="144" t="e">
        <v>#N/A</v>
      </c>
    </row>
    <row r="863" spans="17:45" ht="15" customHeight="1" x14ac:dyDescent="0.35">
      <c r="Q863" s="156"/>
      <c r="T863" s="144"/>
      <c r="AS863" s="144" t="e">
        <v>#N/A</v>
      </c>
    </row>
    <row r="864" spans="17:45" ht="15" customHeight="1" x14ac:dyDescent="0.35">
      <c r="Q864" s="156"/>
      <c r="T864" s="144"/>
      <c r="AS864" s="144" t="e">
        <v>#N/A</v>
      </c>
    </row>
    <row r="865" spans="17:45" ht="15" customHeight="1" x14ac:dyDescent="0.35">
      <c r="Q865" s="156"/>
      <c r="T865" s="144"/>
      <c r="AS865" s="144" t="e">
        <v>#N/A</v>
      </c>
    </row>
    <row r="866" spans="17:45" ht="15" customHeight="1" x14ac:dyDescent="0.35">
      <c r="Q866" s="156"/>
      <c r="T866" s="144"/>
      <c r="AS866" s="144" t="e">
        <v>#N/A</v>
      </c>
    </row>
    <row r="867" spans="17:45" ht="15" customHeight="1" x14ac:dyDescent="0.35">
      <c r="Q867" s="156"/>
      <c r="T867" s="144"/>
      <c r="AS867" s="144" t="e">
        <v>#N/A</v>
      </c>
    </row>
    <row r="868" spans="17:45" ht="15" customHeight="1" x14ac:dyDescent="0.35">
      <c r="Q868" s="156"/>
      <c r="T868" s="144"/>
      <c r="AS868" s="144" t="e">
        <v>#N/A</v>
      </c>
    </row>
    <row r="869" spans="17:45" ht="15" customHeight="1" x14ac:dyDescent="0.35">
      <c r="Q869" s="156"/>
      <c r="T869" s="144"/>
      <c r="AS869" s="144" t="e">
        <v>#N/A</v>
      </c>
    </row>
    <row r="870" spans="17:45" ht="15" customHeight="1" x14ac:dyDescent="0.35">
      <c r="Q870" s="156"/>
      <c r="T870" s="144"/>
      <c r="AS870" s="144" t="e">
        <v>#N/A</v>
      </c>
    </row>
    <row r="871" spans="17:45" ht="15" customHeight="1" x14ac:dyDescent="0.35">
      <c r="Q871" s="156"/>
      <c r="T871" s="144"/>
      <c r="AS871" s="144" t="e">
        <v>#N/A</v>
      </c>
    </row>
    <row r="872" spans="17:45" ht="15" customHeight="1" x14ac:dyDescent="0.35">
      <c r="Q872" s="156"/>
      <c r="T872" s="144"/>
      <c r="AS872" s="144" t="e">
        <v>#N/A</v>
      </c>
    </row>
    <row r="873" spans="17:45" ht="15" customHeight="1" x14ac:dyDescent="0.35">
      <c r="Q873" s="156"/>
      <c r="T873" s="144"/>
      <c r="AS873" s="144" t="e">
        <v>#N/A</v>
      </c>
    </row>
    <row r="874" spans="17:45" ht="15" customHeight="1" x14ac:dyDescent="0.35">
      <c r="Q874" s="156"/>
      <c r="T874" s="144"/>
      <c r="AS874" s="144" t="e">
        <v>#N/A</v>
      </c>
    </row>
    <row r="875" spans="17:45" ht="15" customHeight="1" x14ac:dyDescent="0.35">
      <c r="Q875" s="156"/>
      <c r="T875" s="144"/>
      <c r="AS875" s="144" t="e">
        <v>#N/A</v>
      </c>
    </row>
    <row r="876" spans="17:45" ht="15" customHeight="1" x14ac:dyDescent="0.35">
      <c r="Q876" s="156"/>
      <c r="T876" s="144"/>
      <c r="AS876" s="144" t="e">
        <v>#N/A</v>
      </c>
    </row>
    <row r="877" spans="17:45" ht="15" customHeight="1" x14ac:dyDescent="0.35">
      <c r="Q877" s="156"/>
      <c r="T877" s="144"/>
      <c r="AS877" s="144" t="e">
        <v>#N/A</v>
      </c>
    </row>
    <row r="878" spans="17:45" ht="15" customHeight="1" x14ac:dyDescent="0.35">
      <c r="Q878" s="156"/>
      <c r="T878" s="144"/>
      <c r="AS878" s="144" t="e">
        <v>#N/A</v>
      </c>
    </row>
    <row r="879" spans="17:45" ht="15" customHeight="1" x14ac:dyDescent="0.35">
      <c r="Q879" s="156"/>
      <c r="T879" s="144"/>
      <c r="AS879" s="144" t="e">
        <v>#N/A</v>
      </c>
    </row>
    <row r="880" spans="17:45" ht="15" customHeight="1" x14ac:dyDescent="0.35">
      <c r="Q880" s="156"/>
      <c r="T880" s="144"/>
      <c r="AS880" s="144" t="e">
        <v>#N/A</v>
      </c>
    </row>
    <row r="881" spans="17:45" ht="15" customHeight="1" x14ac:dyDescent="0.35">
      <c r="Q881" s="156"/>
      <c r="T881" s="144"/>
      <c r="AS881" s="144" t="e">
        <v>#N/A</v>
      </c>
    </row>
    <row r="882" spans="17:45" ht="15" customHeight="1" x14ac:dyDescent="0.35">
      <c r="Q882" s="156"/>
      <c r="T882" s="144"/>
      <c r="AS882" s="144" t="e">
        <v>#N/A</v>
      </c>
    </row>
    <row r="883" spans="17:45" ht="15" customHeight="1" x14ac:dyDescent="0.35">
      <c r="Q883" s="156"/>
      <c r="T883" s="144"/>
      <c r="AS883" s="144" t="e">
        <v>#N/A</v>
      </c>
    </row>
    <row r="884" spans="17:45" ht="15" customHeight="1" x14ac:dyDescent="0.35">
      <c r="Q884" s="156"/>
      <c r="T884" s="144"/>
      <c r="AS884" s="144" t="e">
        <v>#N/A</v>
      </c>
    </row>
    <row r="885" spans="17:45" ht="15" customHeight="1" x14ac:dyDescent="0.35">
      <c r="Q885" s="156"/>
      <c r="T885" s="144"/>
      <c r="AS885" s="144" t="e">
        <v>#N/A</v>
      </c>
    </row>
    <row r="886" spans="17:45" ht="15" customHeight="1" x14ac:dyDescent="0.35">
      <c r="Q886" s="156"/>
      <c r="T886" s="144"/>
      <c r="AS886" s="144" t="e">
        <v>#N/A</v>
      </c>
    </row>
    <row r="887" spans="17:45" ht="15" customHeight="1" x14ac:dyDescent="0.35">
      <c r="Q887" s="156"/>
      <c r="T887" s="144"/>
      <c r="AS887" s="144" t="e">
        <v>#N/A</v>
      </c>
    </row>
    <row r="888" spans="17:45" ht="15" customHeight="1" x14ac:dyDescent="0.35">
      <c r="Q888" s="156"/>
      <c r="T888" s="144"/>
      <c r="AS888" s="144" t="e">
        <v>#N/A</v>
      </c>
    </row>
    <row r="889" spans="17:45" ht="15" customHeight="1" x14ac:dyDescent="0.35">
      <c r="Q889" s="156"/>
      <c r="T889" s="144"/>
      <c r="AS889" s="144" t="e">
        <v>#N/A</v>
      </c>
    </row>
    <row r="890" spans="17:45" ht="15" customHeight="1" x14ac:dyDescent="0.35">
      <c r="Q890" s="156"/>
      <c r="T890" s="144"/>
      <c r="AS890" s="144" t="e">
        <v>#N/A</v>
      </c>
    </row>
    <row r="891" spans="17:45" ht="15" customHeight="1" x14ac:dyDescent="0.35">
      <c r="Q891" s="156"/>
      <c r="T891" s="144"/>
      <c r="AS891" s="144" t="e">
        <v>#N/A</v>
      </c>
    </row>
    <row r="892" spans="17:45" ht="15" customHeight="1" x14ac:dyDescent="0.35">
      <c r="Q892" s="156"/>
      <c r="T892" s="144"/>
      <c r="AS892" s="144" t="e">
        <v>#N/A</v>
      </c>
    </row>
    <row r="893" spans="17:45" ht="15" customHeight="1" x14ac:dyDescent="0.35">
      <c r="Q893" s="156"/>
      <c r="T893" s="144"/>
      <c r="AS893" s="144" t="e">
        <v>#N/A</v>
      </c>
    </row>
    <row r="894" spans="17:45" ht="15" customHeight="1" x14ac:dyDescent="0.35">
      <c r="Q894" s="156"/>
      <c r="T894" s="144"/>
      <c r="AS894" s="144" t="e">
        <v>#N/A</v>
      </c>
    </row>
    <row r="895" spans="17:45" ht="15" customHeight="1" x14ac:dyDescent="0.35">
      <c r="Q895" s="156"/>
      <c r="T895" s="144"/>
      <c r="AS895" s="144" t="e">
        <v>#N/A</v>
      </c>
    </row>
    <row r="896" spans="17:45" ht="15" customHeight="1" x14ac:dyDescent="0.35">
      <c r="Q896" s="156"/>
      <c r="T896" s="144"/>
      <c r="AS896" s="144" t="e">
        <v>#N/A</v>
      </c>
    </row>
    <row r="897" spans="17:45" ht="15" customHeight="1" x14ac:dyDescent="0.35">
      <c r="Q897" s="156"/>
      <c r="T897" s="144"/>
      <c r="AS897" s="144" t="e">
        <v>#N/A</v>
      </c>
    </row>
    <row r="898" spans="17:45" ht="15" customHeight="1" x14ac:dyDescent="0.35">
      <c r="Q898" s="156"/>
      <c r="T898" s="144"/>
      <c r="AS898" s="144" t="e">
        <v>#N/A</v>
      </c>
    </row>
    <row r="899" spans="17:45" ht="15" customHeight="1" x14ac:dyDescent="0.35">
      <c r="Q899" s="156"/>
      <c r="T899" s="144"/>
      <c r="AS899" s="144" t="e">
        <v>#N/A</v>
      </c>
    </row>
    <row r="900" spans="17:45" ht="15" customHeight="1" x14ac:dyDescent="0.35">
      <c r="Q900" s="156"/>
      <c r="T900" s="144"/>
      <c r="AS900" s="144" t="e">
        <v>#N/A</v>
      </c>
    </row>
    <row r="901" spans="17:45" ht="15" customHeight="1" x14ac:dyDescent="0.35">
      <c r="Q901" s="156"/>
      <c r="T901" s="144"/>
      <c r="AS901" s="144" t="e">
        <v>#N/A</v>
      </c>
    </row>
    <row r="902" spans="17:45" ht="15" customHeight="1" x14ac:dyDescent="0.35">
      <c r="Q902" s="156"/>
      <c r="T902" s="144"/>
      <c r="AS902" s="144" t="e">
        <v>#N/A</v>
      </c>
    </row>
    <row r="903" spans="17:45" ht="15" customHeight="1" x14ac:dyDescent="0.35">
      <c r="Q903" s="156"/>
      <c r="T903" s="144"/>
      <c r="AS903" s="144" t="e">
        <v>#N/A</v>
      </c>
    </row>
    <row r="904" spans="17:45" ht="15" customHeight="1" x14ac:dyDescent="0.35">
      <c r="Q904" s="156"/>
      <c r="T904" s="144"/>
      <c r="AS904" s="144" t="e">
        <v>#N/A</v>
      </c>
    </row>
    <row r="905" spans="17:45" ht="15" customHeight="1" x14ac:dyDescent="0.35">
      <c r="Q905" s="156"/>
      <c r="T905" s="144"/>
      <c r="AS905" s="144" t="e">
        <v>#N/A</v>
      </c>
    </row>
    <row r="906" spans="17:45" ht="15" customHeight="1" x14ac:dyDescent="0.35">
      <c r="Q906" s="156"/>
      <c r="T906" s="144"/>
      <c r="AS906" s="144" t="e">
        <v>#N/A</v>
      </c>
    </row>
    <row r="907" spans="17:45" ht="15" customHeight="1" x14ac:dyDescent="0.35">
      <c r="Q907" s="156"/>
      <c r="T907" s="144"/>
      <c r="AS907" s="144" t="e">
        <v>#N/A</v>
      </c>
    </row>
    <row r="908" spans="17:45" ht="15" customHeight="1" x14ac:dyDescent="0.35">
      <c r="Q908" s="156"/>
      <c r="T908" s="144"/>
      <c r="AS908" s="144" t="e">
        <v>#N/A</v>
      </c>
    </row>
    <row r="909" spans="17:45" ht="15" customHeight="1" x14ac:dyDescent="0.35">
      <c r="Q909" s="156"/>
      <c r="T909" s="144"/>
      <c r="AS909" s="144" t="e">
        <v>#N/A</v>
      </c>
    </row>
    <row r="910" spans="17:45" ht="15" customHeight="1" x14ac:dyDescent="0.35">
      <c r="Q910" s="156"/>
      <c r="T910" s="144"/>
      <c r="AS910" s="144" t="e">
        <v>#N/A</v>
      </c>
    </row>
    <row r="911" spans="17:45" ht="15" customHeight="1" x14ac:dyDescent="0.35">
      <c r="Q911" s="156"/>
      <c r="T911" s="144"/>
      <c r="AS911" s="144" t="e">
        <v>#N/A</v>
      </c>
    </row>
    <row r="912" spans="17:45" ht="15" customHeight="1" x14ac:dyDescent="0.35">
      <c r="Q912" s="156"/>
      <c r="T912" s="144"/>
      <c r="AS912" s="144" t="e">
        <v>#N/A</v>
      </c>
    </row>
    <row r="913" spans="17:45" ht="15" customHeight="1" x14ac:dyDescent="0.35">
      <c r="Q913" s="156"/>
      <c r="T913" s="144"/>
      <c r="AS913" s="144" t="e">
        <v>#N/A</v>
      </c>
    </row>
    <row r="914" spans="17:45" ht="15" customHeight="1" x14ac:dyDescent="0.35">
      <c r="Q914" s="156"/>
      <c r="T914" s="144"/>
      <c r="AS914" s="144" t="e">
        <v>#N/A</v>
      </c>
    </row>
    <row r="915" spans="17:45" ht="15" customHeight="1" x14ac:dyDescent="0.35">
      <c r="Q915" s="156"/>
      <c r="T915" s="144"/>
      <c r="AS915" s="144" t="e">
        <v>#N/A</v>
      </c>
    </row>
    <row r="916" spans="17:45" ht="15" customHeight="1" x14ac:dyDescent="0.35">
      <c r="Q916" s="156"/>
      <c r="T916" s="144"/>
      <c r="AS916" s="144" t="e">
        <v>#N/A</v>
      </c>
    </row>
    <row r="917" spans="17:45" ht="15" customHeight="1" x14ac:dyDescent="0.35">
      <c r="Q917" s="156"/>
      <c r="T917" s="144"/>
      <c r="AS917" s="144" t="e">
        <v>#N/A</v>
      </c>
    </row>
    <row r="918" spans="17:45" ht="15" customHeight="1" x14ac:dyDescent="0.35">
      <c r="Q918" s="156"/>
      <c r="T918" s="144"/>
      <c r="AS918" s="144" t="e">
        <v>#N/A</v>
      </c>
    </row>
    <row r="919" spans="17:45" ht="15" customHeight="1" x14ac:dyDescent="0.35">
      <c r="Q919" s="156"/>
      <c r="T919" s="144"/>
      <c r="AS919" s="144" t="e">
        <v>#N/A</v>
      </c>
    </row>
    <row r="920" spans="17:45" ht="15" customHeight="1" x14ac:dyDescent="0.35">
      <c r="Q920" s="156"/>
      <c r="T920" s="144"/>
      <c r="AS920" s="144" t="e">
        <v>#N/A</v>
      </c>
    </row>
    <row r="921" spans="17:45" ht="15" customHeight="1" x14ac:dyDescent="0.35">
      <c r="Q921" s="156"/>
      <c r="T921" s="144"/>
      <c r="AS921" s="144" t="e">
        <v>#N/A</v>
      </c>
    </row>
    <row r="922" spans="17:45" ht="15" customHeight="1" x14ac:dyDescent="0.35">
      <c r="Q922" s="156"/>
      <c r="T922" s="144"/>
      <c r="AS922" s="144" t="e">
        <v>#N/A</v>
      </c>
    </row>
    <row r="923" spans="17:45" ht="15" customHeight="1" x14ac:dyDescent="0.35">
      <c r="Q923" s="156"/>
      <c r="T923" s="144"/>
      <c r="AS923" s="144" t="e">
        <v>#N/A</v>
      </c>
    </row>
    <row r="924" spans="17:45" ht="15" customHeight="1" x14ac:dyDescent="0.35">
      <c r="Q924" s="156"/>
      <c r="T924" s="144"/>
      <c r="AS924" s="144" t="e">
        <v>#N/A</v>
      </c>
    </row>
    <row r="925" spans="17:45" ht="15" customHeight="1" x14ac:dyDescent="0.35">
      <c r="Q925" s="156"/>
      <c r="T925" s="144"/>
      <c r="AS925" s="144" t="e">
        <v>#N/A</v>
      </c>
    </row>
    <row r="926" spans="17:45" ht="15" customHeight="1" x14ac:dyDescent="0.35">
      <c r="Q926" s="156"/>
      <c r="T926" s="144"/>
      <c r="AS926" s="144" t="e">
        <v>#N/A</v>
      </c>
    </row>
    <row r="927" spans="17:45" ht="15" customHeight="1" x14ac:dyDescent="0.35">
      <c r="Q927" s="156"/>
      <c r="T927" s="144"/>
      <c r="AS927" s="144" t="e">
        <v>#N/A</v>
      </c>
    </row>
    <row r="928" spans="17:45" ht="15" customHeight="1" x14ac:dyDescent="0.35">
      <c r="Q928" s="156"/>
      <c r="T928" s="144"/>
      <c r="AS928" s="144" t="e">
        <v>#N/A</v>
      </c>
    </row>
    <row r="929" spans="17:45" ht="15" customHeight="1" x14ac:dyDescent="0.35">
      <c r="Q929" s="156"/>
      <c r="T929" s="144"/>
      <c r="AS929" s="144" t="e">
        <v>#N/A</v>
      </c>
    </row>
    <row r="930" spans="17:45" ht="15" customHeight="1" x14ac:dyDescent="0.35">
      <c r="Q930" s="156"/>
      <c r="T930" s="144"/>
      <c r="AS930" s="144" t="e">
        <v>#N/A</v>
      </c>
    </row>
    <row r="931" spans="17:45" ht="15" customHeight="1" x14ac:dyDescent="0.35">
      <c r="Q931" s="156"/>
      <c r="T931" s="144"/>
      <c r="AS931" s="144" t="e">
        <v>#N/A</v>
      </c>
    </row>
    <row r="932" spans="17:45" ht="15" customHeight="1" x14ac:dyDescent="0.35">
      <c r="Q932" s="156"/>
      <c r="T932" s="144"/>
      <c r="AS932" s="144" t="e">
        <v>#N/A</v>
      </c>
    </row>
    <row r="933" spans="17:45" ht="15" customHeight="1" x14ac:dyDescent="0.35">
      <c r="Q933" s="156"/>
      <c r="T933" s="144"/>
      <c r="AS933" s="144" t="e">
        <v>#N/A</v>
      </c>
    </row>
    <row r="934" spans="17:45" ht="15" customHeight="1" x14ac:dyDescent="0.35">
      <c r="Q934" s="156"/>
      <c r="T934" s="144"/>
      <c r="AS934" s="144" t="e">
        <v>#N/A</v>
      </c>
    </row>
    <row r="935" spans="17:45" ht="15" customHeight="1" x14ac:dyDescent="0.35">
      <c r="Q935" s="156"/>
      <c r="T935" s="144"/>
      <c r="AS935" s="144" t="e">
        <v>#N/A</v>
      </c>
    </row>
    <row r="936" spans="17:45" ht="15" customHeight="1" x14ac:dyDescent="0.35">
      <c r="Q936" s="156"/>
      <c r="T936" s="144"/>
      <c r="AS936" s="144" t="e">
        <v>#N/A</v>
      </c>
    </row>
    <row r="937" spans="17:45" ht="15" customHeight="1" x14ac:dyDescent="0.35">
      <c r="Q937" s="156"/>
      <c r="T937" s="144"/>
      <c r="AS937" s="144" t="e">
        <v>#N/A</v>
      </c>
    </row>
    <row r="938" spans="17:45" ht="15" customHeight="1" x14ac:dyDescent="0.35">
      <c r="Q938" s="156"/>
      <c r="T938" s="144"/>
      <c r="AS938" s="144" t="e">
        <v>#N/A</v>
      </c>
    </row>
    <row r="939" spans="17:45" ht="15" customHeight="1" x14ac:dyDescent="0.35">
      <c r="Q939" s="156"/>
      <c r="T939" s="144"/>
      <c r="AS939" s="144" t="e">
        <v>#N/A</v>
      </c>
    </row>
    <row r="940" spans="17:45" ht="15" customHeight="1" x14ac:dyDescent="0.35">
      <c r="Q940" s="156"/>
      <c r="T940" s="144"/>
      <c r="AS940" s="144" t="e">
        <v>#N/A</v>
      </c>
    </row>
    <row r="941" spans="17:45" ht="15" customHeight="1" x14ac:dyDescent="0.35">
      <c r="Q941" s="156"/>
      <c r="T941" s="144"/>
      <c r="AS941" s="144" t="e">
        <v>#N/A</v>
      </c>
    </row>
    <row r="942" spans="17:45" ht="15" customHeight="1" x14ac:dyDescent="0.35">
      <c r="Q942" s="156"/>
      <c r="T942" s="144"/>
      <c r="AS942" s="144" t="e">
        <v>#N/A</v>
      </c>
    </row>
    <row r="943" spans="17:45" ht="15" customHeight="1" x14ac:dyDescent="0.35">
      <c r="Q943" s="156"/>
      <c r="T943" s="144"/>
      <c r="AS943" s="144" t="e">
        <v>#N/A</v>
      </c>
    </row>
    <row r="944" spans="17:45" ht="15" customHeight="1" x14ac:dyDescent="0.35">
      <c r="Q944" s="156"/>
      <c r="T944" s="144"/>
      <c r="AS944" s="144" t="e">
        <v>#N/A</v>
      </c>
    </row>
    <row r="945" spans="17:45" ht="15" customHeight="1" x14ac:dyDescent="0.35">
      <c r="Q945" s="156"/>
      <c r="T945" s="144"/>
      <c r="AS945" s="144" t="e">
        <v>#N/A</v>
      </c>
    </row>
    <row r="946" spans="17:45" ht="15" customHeight="1" x14ac:dyDescent="0.35">
      <c r="Q946" s="156"/>
      <c r="T946" s="144"/>
      <c r="AS946" s="144" t="e">
        <v>#N/A</v>
      </c>
    </row>
    <row r="947" spans="17:45" ht="15" customHeight="1" x14ac:dyDescent="0.35">
      <c r="Q947" s="156"/>
      <c r="T947" s="144"/>
      <c r="AS947" s="144" t="e">
        <v>#N/A</v>
      </c>
    </row>
    <row r="948" spans="17:45" ht="15" customHeight="1" x14ac:dyDescent="0.35">
      <c r="Q948" s="156"/>
      <c r="T948" s="144"/>
      <c r="AS948" s="144" t="e">
        <v>#N/A</v>
      </c>
    </row>
    <row r="949" spans="17:45" ht="15" customHeight="1" x14ac:dyDescent="0.35">
      <c r="Q949" s="156"/>
      <c r="T949" s="144"/>
      <c r="AS949" s="144" t="e">
        <v>#N/A</v>
      </c>
    </row>
    <row r="950" spans="17:45" ht="15" customHeight="1" x14ac:dyDescent="0.35">
      <c r="Q950" s="156"/>
      <c r="T950" s="144"/>
      <c r="AS950" s="144" t="e">
        <v>#N/A</v>
      </c>
    </row>
    <row r="951" spans="17:45" ht="15" customHeight="1" x14ac:dyDescent="0.35">
      <c r="Q951" s="156"/>
      <c r="T951" s="144"/>
      <c r="AS951" s="144" t="e">
        <v>#N/A</v>
      </c>
    </row>
    <row r="952" spans="17:45" ht="15" customHeight="1" x14ac:dyDescent="0.35">
      <c r="Q952" s="156"/>
      <c r="T952" s="144"/>
      <c r="AS952" s="144" t="e">
        <v>#N/A</v>
      </c>
    </row>
    <row r="953" spans="17:45" ht="15" customHeight="1" x14ac:dyDescent="0.35">
      <c r="Q953" s="156"/>
      <c r="T953" s="144"/>
      <c r="AS953" s="144" t="e">
        <v>#N/A</v>
      </c>
    </row>
    <row r="954" spans="17:45" ht="15" customHeight="1" x14ac:dyDescent="0.35">
      <c r="Q954" s="156"/>
      <c r="T954" s="144"/>
      <c r="AS954" s="144" t="e">
        <v>#N/A</v>
      </c>
    </row>
    <row r="955" spans="17:45" ht="15" customHeight="1" x14ac:dyDescent="0.35">
      <c r="Q955" s="156"/>
      <c r="T955" s="144"/>
      <c r="AS955" s="144" t="e">
        <v>#N/A</v>
      </c>
    </row>
    <row r="956" spans="17:45" ht="15" customHeight="1" x14ac:dyDescent="0.35">
      <c r="Q956" s="156"/>
      <c r="T956" s="144"/>
      <c r="AS956" s="144" t="e">
        <v>#N/A</v>
      </c>
    </row>
    <row r="957" spans="17:45" ht="15" customHeight="1" x14ac:dyDescent="0.35">
      <c r="Q957" s="156"/>
      <c r="T957" s="144"/>
      <c r="AS957" s="144" t="e">
        <v>#N/A</v>
      </c>
    </row>
    <row r="958" spans="17:45" ht="15" customHeight="1" x14ac:dyDescent="0.35">
      <c r="Q958" s="156"/>
      <c r="T958" s="144"/>
      <c r="AS958" s="144" t="e">
        <v>#N/A</v>
      </c>
    </row>
    <row r="959" spans="17:45" ht="15" customHeight="1" x14ac:dyDescent="0.35">
      <c r="Q959" s="156"/>
      <c r="T959" s="144"/>
      <c r="AS959" s="144" t="e">
        <v>#N/A</v>
      </c>
    </row>
    <row r="960" spans="17:45" ht="15" customHeight="1" x14ac:dyDescent="0.35">
      <c r="Q960" s="156"/>
      <c r="T960" s="144"/>
      <c r="AS960" s="144" t="e">
        <v>#N/A</v>
      </c>
    </row>
    <row r="961" spans="17:45" ht="15" customHeight="1" x14ac:dyDescent="0.35">
      <c r="Q961" s="156"/>
      <c r="T961" s="144"/>
      <c r="AS961" s="144" t="e">
        <v>#N/A</v>
      </c>
    </row>
    <row r="962" spans="17:45" ht="15" customHeight="1" x14ac:dyDescent="0.35">
      <c r="Q962" s="156"/>
      <c r="T962" s="144"/>
      <c r="AS962" s="144" t="e">
        <v>#N/A</v>
      </c>
    </row>
    <row r="963" spans="17:45" ht="15" customHeight="1" x14ac:dyDescent="0.35">
      <c r="Q963" s="156"/>
      <c r="T963" s="144"/>
      <c r="AS963" s="144" t="e">
        <v>#N/A</v>
      </c>
    </row>
    <row r="964" spans="17:45" ht="15" customHeight="1" x14ac:dyDescent="0.35">
      <c r="Q964" s="156"/>
      <c r="T964" s="144"/>
      <c r="AS964" s="144" t="e">
        <v>#N/A</v>
      </c>
    </row>
    <row r="965" spans="17:45" ht="15" customHeight="1" x14ac:dyDescent="0.35">
      <c r="Q965" s="156"/>
      <c r="T965" s="144"/>
      <c r="AS965" s="144" t="e">
        <v>#N/A</v>
      </c>
    </row>
    <row r="966" spans="17:45" ht="15" customHeight="1" x14ac:dyDescent="0.35">
      <c r="Q966" s="156"/>
      <c r="T966" s="144"/>
      <c r="AS966" s="144" t="e">
        <v>#N/A</v>
      </c>
    </row>
    <row r="967" spans="17:45" ht="15" customHeight="1" x14ac:dyDescent="0.35">
      <c r="Q967" s="156"/>
      <c r="T967" s="144"/>
      <c r="AS967" s="144" t="e">
        <v>#N/A</v>
      </c>
    </row>
    <row r="968" spans="17:45" ht="15" customHeight="1" x14ac:dyDescent="0.35">
      <c r="Q968" s="156"/>
      <c r="T968" s="144"/>
      <c r="AS968" s="144" t="e">
        <v>#N/A</v>
      </c>
    </row>
    <row r="969" spans="17:45" ht="15" customHeight="1" x14ac:dyDescent="0.35">
      <c r="Q969" s="156"/>
      <c r="T969" s="144"/>
      <c r="AS969" s="144" t="e">
        <v>#N/A</v>
      </c>
    </row>
    <row r="970" spans="17:45" ht="15" customHeight="1" x14ac:dyDescent="0.35">
      <c r="Q970" s="156"/>
      <c r="T970" s="144"/>
      <c r="AS970" s="144" t="e">
        <v>#N/A</v>
      </c>
    </row>
    <row r="971" spans="17:45" ht="15" customHeight="1" x14ac:dyDescent="0.35">
      <c r="Q971" s="156"/>
      <c r="T971" s="144"/>
      <c r="AS971" s="144" t="e">
        <v>#N/A</v>
      </c>
    </row>
    <row r="972" spans="17:45" ht="15" customHeight="1" x14ac:dyDescent="0.35">
      <c r="Q972" s="156"/>
      <c r="T972" s="144"/>
      <c r="AS972" s="144" t="e">
        <v>#N/A</v>
      </c>
    </row>
    <row r="973" spans="17:45" ht="15" customHeight="1" x14ac:dyDescent="0.35">
      <c r="Q973" s="156"/>
      <c r="T973" s="144"/>
      <c r="AS973" s="144" t="e">
        <v>#N/A</v>
      </c>
    </row>
    <row r="974" spans="17:45" ht="15" customHeight="1" x14ac:dyDescent="0.35">
      <c r="Q974" s="156"/>
      <c r="T974" s="144"/>
      <c r="AS974" s="144" t="e">
        <v>#N/A</v>
      </c>
    </row>
    <row r="975" spans="17:45" ht="15" customHeight="1" x14ac:dyDescent="0.35">
      <c r="Q975" s="156"/>
      <c r="T975" s="144"/>
      <c r="AS975" s="144" t="e">
        <v>#N/A</v>
      </c>
    </row>
    <row r="976" spans="17:45" ht="15" customHeight="1" x14ac:dyDescent="0.35">
      <c r="Q976" s="156"/>
      <c r="T976" s="144"/>
      <c r="AS976" s="144" t="e">
        <v>#N/A</v>
      </c>
    </row>
    <row r="977" spans="17:45" ht="15" customHeight="1" x14ac:dyDescent="0.35">
      <c r="Q977" s="156"/>
      <c r="T977" s="144"/>
      <c r="AS977" s="144" t="e">
        <v>#N/A</v>
      </c>
    </row>
    <row r="978" spans="17:45" ht="15" customHeight="1" x14ac:dyDescent="0.35">
      <c r="Q978" s="156"/>
      <c r="T978" s="144"/>
      <c r="AS978" s="144" t="e">
        <v>#N/A</v>
      </c>
    </row>
    <row r="979" spans="17:45" ht="15" customHeight="1" x14ac:dyDescent="0.35">
      <c r="Q979" s="156"/>
      <c r="T979" s="144"/>
      <c r="AS979" s="144" t="e">
        <v>#N/A</v>
      </c>
    </row>
    <row r="980" spans="17:45" ht="15" customHeight="1" x14ac:dyDescent="0.35">
      <c r="Q980" s="156"/>
      <c r="T980" s="144"/>
      <c r="AS980" s="144" t="e">
        <v>#N/A</v>
      </c>
    </row>
    <row r="981" spans="17:45" ht="15" customHeight="1" x14ac:dyDescent="0.35">
      <c r="Q981" s="156"/>
      <c r="T981" s="144"/>
      <c r="AS981" s="144" t="e">
        <v>#N/A</v>
      </c>
    </row>
    <row r="982" spans="17:45" ht="15" customHeight="1" x14ac:dyDescent="0.35">
      <c r="Q982" s="156"/>
      <c r="T982" s="144"/>
      <c r="AS982" s="144" t="e">
        <v>#N/A</v>
      </c>
    </row>
    <row r="983" spans="17:45" ht="15" customHeight="1" x14ac:dyDescent="0.35">
      <c r="Q983" s="156"/>
      <c r="T983" s="144"/>
      <c r="AS983" s="144" t="e">
        <v>#N/A</v>
      </c>
    </row>
    <row r="984" spans="17:45" ht="15" customHeight="1" x14ac:dyDescent="0.35">
      <c r="Q984" s="156"/>
      <c r="T984" s="144"/>
      <c r="AS984" s="144" t="e">
        <v>#N/A</v>
      </c>
    </row>
    <row r="985" spans="17:45" ht="15" customHeight="1" x14ac:dyDescent="0.35">
      <c r="Q985" s="156"/>
      <c r="T985" s="144"/>
      <c r="AS985" s="144" t="e">
        <v>#N/A</v>
      </c>
    </row>
    <row r="986" spans="17:45" ht="15" customHeight="1" x14ac:dyDescent="0.35">
      <c r="Q986" s="156"/>
      <c r="T986" s="144"/>
      <c r="AS986" s="144" t="e">
        <v>#N/A</v>
      </c>
    </row>
    <row r="987" spans="17:45" ht="15" customHeight="1" x14ac:dyDescent="0.35">
      <c r="Q987" s="156"/>
      <c r="T987" s="144"/>
      <c r="AS987" s="144" t="e">
        <v>#N/A</v>
      </c>
    </row>
    <row r="988" spans="17:45" ht="15" customHeight="1" x14ac:dyDescent="0.35">
      <c r="Q988" s="156"/>
      <c r="T988" s="144"/>
      <c r="AS988" s="144" t="e">
        <v>#N/A</v>
      </c>
    </row>
    <row r="989" spans="17:45" ht="15" customHeight="1" x14ac:dyDescent="0.35">
      <c r="Q989" s="156"/>
      <c r="T989" s="144"/>
      <c r="AS989" s="144" t="e">
        <v>#N/A</v>
      </c>
    </row>
    <row r="990" spans="17:45" ht="15" customHeight="1" x14ac:dyDescent="0.35">
      <c r="Q990" s="156"/>
      <c r="T990" s="144"/>
      <c r="AS990" s="144" t="e">
        <v>#N/A</v>
      </c>
    </row>
    <row r="991" spans="17:45" ht="15" customHeight="1" x14ac:dyDescent="0.35">
      <c r="Q991" s="156"/>
      <c r="T991" s="144"/>
      <c r="AS991" s="144" t="e">
        <v>#N/A</v>
      </c>
    </row>
    <row r="992" spans="17:45" ht="15" customHeight="1" x14ac:dyDescent="0.35">
      <c r="Q992" s="156"/>
      <c r="T992" s="144"/>
      <c r="AS992" s="144" t="e">
        <v>#N/A</v>
      </c>
    </row>
    <row r="993" spans="17:45" ht="15" customHeight="1" x14ac:dyDescent="0.35">
      <c r="Q993" s="156"/>
      <c r="T993" s="144"/>
      <c r="AS993" s="144" t="e">
        <v>#N/A</v>
      </c>
    </row>
    <row r="994" spans="17:45" ht="15" customHeight="1" x14ac:dyDescent="0.35">
      <c r="Q994" s="156"/>
      <c r="T994" s="144"/>
      <c r="AS994" s="144" t="e">
        <v>#N/A</v>
      </c>
    </row>
    <row r="995" spans="17:45" ht="15" customHeight="1" x14ac:dyDescent="0.35">
      <c r="Q995" s="156"/>
      <c r="T995" s="144"/>
      <c r="AS995" s="144" t="e">
        <v>#N/A</v>
      </c>
    </row>
    <row r="996" spans="17:45" ht="15" customHeight="1" x14ac:dyDescent="0.35">
      <c r="Q996" s="156"/>
      <c r="T996" s="144"/>
      <c r="AS996" s="144" t="e">
        <v>#N/A</v>
      </c>
    </row>
    <row r="997" spans="17:45" ht="15" customHeight="1" x14ac:dyDescent="0.35">
      <c r="Q997" s="156"/>
      <c r="T997" s="144"/>
      <c r="AS997" s="144" t="e">
        <v>#N/A</v>
      </c>
    </row>
    <row r="998" spans="17:45" ht="15" customHeight="1" x14ac:dyDescent="0.35">
      <c r="Q998" s="156"/>
      <c r="T998" s="144"/>
      <c r="AS998" s="144" t="e">
        <v>#N/A</v>
      </c>
    </row>
    <row r="999" spans="17:45" ht="15" customHeight="1" x14ac:dyDescent="0.35">
      <c r="Q999" s="156"/>
      <c r="T999" s="144"/>
      <c r="AS999" s="144" t="e">
        <v>#N/A</v>
      </c>
    </row>
    <row r="1000" spans="17:45" ht="15" customHeight="1" x14ac:dyDescent="0.35">
      <c r="Q1000" s="156"/>
      <c r="T1000" s="144"/>
      <c r="AS1000" s="144" t="e">
        <v>#N/A</v>
      </c>
    </row>
  </sheetData>
  <autoFilter ref="A1:AK246" xr:uid="{00000000-0009-0000-0000-000002000000}"/>
  <mergeCells count="1">
    <mergeCell ref="X14:AB14"/>
  </mergeCells>
  <phoneticPr fontId="7" type="noConversion"/>
  <conditionalFormatting sqref="K2:K246">
    <cfRule type="cellIs" dxfId="2" priority="1" stopIfTrue="1" operator="between">
      <formula>1</formula>
      <formula>10</formula>
    </cfRule>
  </conditionalFormatting>
  <conditionalFormatting sqref="P2:P245">
    <cfRule type="containsText" dxfId="1" priority="2" stopIfTrue="1" operator="containsText" text="No">
      <formula>NOT(ISERROR(SEARCH("No",P2)))</formula>
    </cfRule>
    <cfRule type="containsText" dxfId="0" priority="3" stopIfTrue="1" operator="containsText" text="Yes">
      <formula>NOT(ISERROR(SEARCH("Yes",P2)))</formula>
    </cfRule>
  </conditionalFormatting>
  <dataValidations count="4">
    <dataValidation type="list" allowBlank="1" showInputMessage="1" showErrorMessage="1" sqref="J1" xr:uid="{00000000-0002-0000-0200-000003000000}">
      <formula1>#REF!</formula1>
    </dataValidation>
    <dataValidation showDropDown="1" showInputMessage="1" showErrorMessage="1" sqref="N1:O1 N10:N15 P246:P1000 R1001:R65536" xr:uid="{00000000-0002-0000-0200-000004000000}"/>
    <dataValidation type="list" allowBlank="1" showInputMessage="1" showErrorMessage="1" sqref="W1001:W1048576 P1 R1:S1000 U1001:U1048576 M2:M1000 N1001:N1048576 L2:L1048576" xr:uid="{00000000-0002-0000-0200-000007000000}">
      <formula1>#REF!</formula1>
    </dataValidation>
    <dataValidation allowBlank="1" showInputMessage="1" showErrorMessage="1" sqref="T1001:T1048576 Q1:Q1000" xr:uid="{997D1C18-C725-4792-8375-58F1F317AEF9}"/>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D35AE28-252B-47A5-A3DB-D544DE5434E8}">
          <x14:formula1>
            <xm:f>#REF!</xm:f>
          </x14:formula1>
          <xm:sqref>C2:C1048576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H23"/>
  <sheetViews>
    <sheetView workbookViewId="0">
      <selection activeCell="B1" sqref="B1:B1048576"/>
    </sheetView>
  </sheetViews>
  <sheetFormatPr defaultRowHeight="12.5" x14ac:dyDescent="0.25"/>
  <cols>
    <col min="1" max="1" width="17.453125" customWidth="1"/>
    <col min="2" max="2" width="11" style="1" customWidth="1"/>
    <col min="3" max="4" width="26.453125" style="80" customWidth="1"/>
    <col min="5" max="5" width="26" style="80" customWidth="1"/>
    <col min="6" max="6" width="26" style="101" customWidth="1"/>
    <col min="7" max="7" width="26" customWidth="1"/>
    <col min="8" max="8" width="40.54296875" customWidth="1"/>
  </cols>
  <sheetData>
    <row r="1" spans="1:8" ht="45" customHeight="1" x14ac:dyDescent="0.25">
      <c r="A1" s="2" t="s">
        <v>96</v>
      </c>
      <c r="B1" s="2" t="s">
        <v>103</v>
      </c>
      <c r="C1" s="78" t="s">
        <v>1929</v>
      </c>
      <c r="D1" s="78" t="s">
        <v>1930</v>
      </c>
      <c r="E1" s="78" t="s">
        <v>1931</v>
      </c>
      <c r="F1" s="78" t="s">
        <v>1932</v>
      </c>
      <c r="G1" s="2" t="s">
        <v>1933</v>
      </c>
      <c r="H1" s="2" t="s">
        <v>1934</v>
      </c>
    </row>
    <row r="2" spans="1:8" ht="25.5" customHeight="1" x14ac:dyDescent="0.25">
      <c r="A2" s="26" t="s">
        <v>1935</v>
      </c>
      <c r="B2" s="95" t="s">
        <v>115</v>
      </c>
      <c r="C2" s="84">
        <v>45386</v>
      </c>
      <c r="D2" s="84">
        <v>45414</v>
      </c>
      <c r="E2" s="84">
        <v>45398</v>
      </c>
      <c r="F2" s="98" t="str">
        <f t="shared" ref="F2:F9" si="0">IF(ISBLANK(E2),"",IF(E2&gt;D2,"No","Yes"))</f>
        <v>Yes</v>
      </c>
      <c r="G2" s="26" t="s">
        <v>1936</v>
      </c>
      <c r="H2" s="26"/>
    </row>
    <row r="3" spans="1:8" ht="25.5" customHeight="1" x14ac:dyDescent="0.25">
      <c r="A3" s="26" t="s">
        <v>1937</v>
      </c>
      <c r="B3" s="95" t="s">
        <v>115</v>
      </c>
      <c r="C3" s="84">
        <v>45393</v>
      </c>
      <c r="D3" s="84">
        <v>45422</v>
      </c>
      <c r="E3" s="84">
        <v>45404</v>
      </c>
      <c r="F3" s="98" t="str">
        <f t="shared" si="0"/>
        <v>Yes</v>
      </c>
      <c r="G3" s="26" t="s">
        <v>1936</v>
      </c>
      <c r="H3" s="26"/>
    </row>
    <row r="4" spans="1:8" ht="25.5" customHeight="1" x14ac:dyDescent="0.25">
      <c r="A4" s="26" t="s">
        <v>1938</v>
      </c>
      <c r="B4" s="95" t="s">
        <v>115</v>
      </c>
      <c r="C4" s="84">
        <v>45404</v>
      </c>
      <c r="D4" s="84">
        <v>45433</v>
      </c>
      <c r="E4" s="84">
        <v>45432</v>
      </c>
      <c r="F4" s="98" t="str">
        <f t="shared" si="0"/>
        <v>Yes</v>
      </c>
      <c r="G4" s="26" t="s">
        <v>1936</v>
      </c>
      <c r="H4" s="26"/>
    </row>
    <row r="5" spans="1:8" ht="25.5" customHeight="1" x14ac:dyDescent="0.25">
      <c r="A5" s="26" t="s">
        <v>1939</v>
      </c>
      <c r="B5" s="95" t="s">
        <v>115</v>
      </c>
      <c r="C5" s="84">
        <v>45406</v>
      </c>
      <c r="D5" s="84">
        <v>45435</v>
      </c>
      <c r="E5" s="84">
        <v>45426</v>
      </c>
      <c r="F5" s="98" t="str">
        <f t="shared" si="0"/>
        <v>Yes</v>
      </c>
      <c r="G5" s="26" t="s">
        <v>1936</v>
      </c>
      <c r="H5" s="26"/>
    </row>
    <row r="6" spans="1:8" ht="26.15" customHeight="1" x14ac:dyDescent="0.25">
      <c r="A6" s="26" t="s">
        <v>1940</v>
      </c>
      <c r="B6" s="95" t="s">
        <v>115</v>
      </c>
      <c r="C6" s="84">
        <v>45407</v>
      </c>
      <c r="D6" s="84">
        <v>45436</v>
      </c>
      <c r="E6" s="84">
        <v>45426</v>
      </c>
      <c r="F6" s="98" t="str">
        <f t="shared" si="0"/>
        <v>Yes</v>
      </c>
      <c r="G6" s="26" t="s">
        <v>1941</v>
      </c>
      <c r="H6" s="26"/>
    </row>
    <row r="7" spans="1:8" ht="26.15" customHeight="1" x14ac:dyDescent="0.25">
      <c r="A7" s="26" t="s">
        <v>1942</v>
      </c>
      <c r="B7" s="95" t="s">
        <v>200</v>
      </c>
      <c r="C7" s="84">
        <v>45436</v>
      </c>
      <c r="D7" s="84">
        <v>45467</v>
      </c>
      <c r="E7" s="81">
        <v>45443</v>
      </c>
      <c r="F7" s="98" t="str">
        <f t="shared" si="0"/>
        <v>Yes</v>
      </c>
      <c r="G7" s="3" t="s">
        <v>1936</v>
      </c>
      <c r="H7" s="26"/>
    </row>
    <row r="8" spans="1:8" ht="26.15" customHeight="1" x14ac:dyDescent="0.25">
      <c r="A8" s="26" t="s">
        <v>1943</v>
      </c>
      <c r="B8" s="95" t="s">
        <v>734</v>
      </c>
      <c r="C8" s="84">
        <v>45461</v>
      </c>
      <c r="D8" s="84">
        <v>45489</v>
      </c>
      <c r="E8" s="81">
        <v>45476</v>
      </c>
      <c r="F8" s="99" t="str">
        <f t="shared" si="0"/>
        <v>Yes</v>
      </c>
      <c r="G8" s="3" t="s">
        <v>1941</v>
      </c>
      <c r="H8" s="26"/>
    </row>
    <row r="9" spans="1:8" ht="24.65" customHeight="1" x14ac:dyDescent="0.25">
      <c r="A9" s="3" t="s">
        <v>1944</v>
      </c>
      <c r="B9" s="96" t="s">
        <v>993</v>
      </c>
      <c r="C9" s="81">
        <v>45561</v>
      </c>
      <c r="D9" s="81">
        <v>45589</v>
      </c>
      <c r="E9" s="81">
        <v>45586</v>
      </c>
      <c r="F9" s="99" t="str">
        <f t="shared" si="0"/>
        <v>Yes</v>
      </c>
      <c r="G9" s="3" t="s">
        <v>1936</v>
      </c>
      <c r="H9" s="26"/>
    </row>
    <row r="10" spans="1:8" ht="24.65" customHeight="1" x14ac:dyDescent="0.25">
      <c r="A10" s="3" t="s">
        <v>1945</v>
      </c>
      <c r="B10" s="95" t="s">
        <v>1106</v>
      </c>
      <c r="C10" s="81">
        <v>45590</v>
      </c>
      <c r="D10" s="81">
        <f>WORKDAY(C10,20)</f>
        <v>45618</v>
      </c>
      <c r="E10" s="81">
        <v>45602</v>
      </c>
      <c r="F10" s="99" t="s">
        <v>116</v>
      </c>
      <c r="G10" s="3" t="s">
        <v>1936</v>
      </c>
      <c r="H10" s="26"/>
    </row>
    <row r="11" spans="1:8" ht="24.65" customHeight="1" x14ac:dyDescent="0.25">
      <c r="A11" s="26" t="s">
        <v>1946</v>
      </c>
      <c r="B11" s="95" t="s">
        <v>1106</v>
      </c>
      <c r="C11" s="81">
        <v>45593</v>
      </c>
      <c r="D11" s="81">
        <v>45621</v>
      </c>
      <c r="E11" s="81">
        <v>45604</v>
      </c>
      <c r="F11" s="99" t="s">
        <v>116</v>
      </c>
      <c r="G11" s="3" t="s">
        <v>1936</v>
      </c>
      <c r="H11" s="26"/>
    </row>
    <row r="12" spans="1:8" ht="24.65" customHeight="1" x14ac:dyDescent="0.25">
      <c r="A12" s="26" t="s">
        <v>1947</v>
      </c>
      <c r="B12" s="95" t="s">
        <v>1106</v>
      </c>
      <c r="C12" s="81">
        <v>45593</v>
      </c>
      <c r="D12" s="81">
        <v>45621</v>
      </c>
      <c r="E12" s="81">
        <v>45604</v>
      </c>
      <c r="F12" s="99" t="s">
        <v>116</v>
      </c>
      <c r="G12" s="3" t="s">
        <v>1936</v>
      </c>
      <c r="H12" s="26"/>
    </row>
    <row r="13" spans="1:8" ht="24.65" customHeight="1" x14ac:dyDescent="0.25">
      <c r="A13" s="3" t="s">
        <v>1948</v>
      </c>
      <c r="B13" s="96" t="s">
        <v>1213</v>
      </c>
      <c r="C13" s="81">
        <v>45607</v>
      </c>
      <c r="D13" s="81">
        <v>45635</v>
      </c>
      <c r="E13" s="81">
        <v>45611</v>
      </c>
      <c r="F13" s="99" t="s">
        <v>116</v>
      </c>
      <c r="G13" s="3" t="s">
        <v>1941</v>
      </c>
      <c r="H13" s="26"/>
    </row>
    <row r="14" spans="1:8" ht="24.65" customHeight="1" x14ac:dyDescent="0.25">
      <c r="A14" s="3" t="s">
        <v>1949</v>
      </c>
      <c r="B14" s="96" t="s">
        <v>1213</v>
      </c>
      <c r="C14" s="81">
        <v>45607</v>
      </c>
      <c r="D14" s="81">
        <v>45635</v>
      </c>
      <c r="E14" s="81">
        <v>45611</v>
      </c>
      <c r="F14" s="99" t="s">
        <v>116</v>
      </c>
      <c r="G14" s="3" t="s">
        <v>1936</v>
      </c>
      <c r="H14" s="26"/>
    </row>
    <row r="15" spans="1:8" ht="24.65" customHeight="1" x14ac:dyDescent="0.25">
      <c r="A15" s="3" t="s">
        <v>1950</v>
      </c>
      <c r="B15" s="96" t="s">
        <v>1213</v>
      </c>
      <c r="C15" s="81">
        <v>45609</v>
      </c>
      <c r="D15" s="81">
        <v>45637</v>
      </c>
      <c r="E15" s="84">
        <v>45637</v>
      </c>
      <c r="F15" s="98" t="s">
        <v>116</v>
      </c>
      <c r="G15" s="26" t="s">
        <v>1936</v>
      </c>
      <c r="H15" s="26"/>
    </row>
    <row r="16" spans="1:8" s="207" customFormat="1" ht="24.65" customHeight="1" x14ac:dyDescent="0.25">
      <c r="A16" s="203" t="s">
        <v>1951</v>
      </c>
      <c r="B16" s="204" t="s">
        <v>1513</v>
      </c>
      <c r="C16" s="205">
        <v>45700</v>
      </c>
      <c r="D16" s="205">
        <v>45728</v>
      </c>
      <c r="E16" s="205">
        <v>45709</v>
      </c>
      <c r="F16" s="206" t="s">
        <v>116</v>
      </c>
      <c r="G16" s="205" t="s">
        <v>1936</v>
      </c>
      <c r="H16" s="93"/>
    </row>
    <row r="17" spans="1:8" ht="24.65" customHeight="1" x14ac:dyDescent="0.25">
      <c r="A17" s="208" t="s">
        <v>1952</v>
      </c>
      <c r="B17" s="209" t="s">
        <v>1513</v>
      </c>
      <c r="C17" s="82">
        <v>45712</v>
      </c>
      <c r="D17" s="82">
        <v>45740</v>
      </c>
      <c r="E17" s="82">
        <v>45722</v>
      </c>
      <c r="F17" s="92" t="s">
        <v>116</v>
      </c>
      <c r="G17" s="83" t="s">
        <v>1936</v>
      </c>
      <c r="H17" s="94"/>
    </row>
    <row r="18" spans="1:8" ht="24.65" customHeight="1" x14ac:dyDescent="0.25">
      <c r="A18" s="215"/>
      <c r="B18" s="97"/>
      <c r="C18" s="212"/>
      <c r="D18" s="100"/>
      <c r="E18" s="212"/>
      <c r="F18" s="100"/>
      <c r="G18" s="213"/>
      <c r="H18" s="214"/>
    </row>
    <row r="19" spans="1:8" ht="24.65" customHeight="1" x14ac:dyDescent="0.25">
      <c r="A19" s="215"/>
      <c r="B19" s="97"/>
      <c r="C19" s="212"/>
      <c r="D19" s="100"/>
      <c r="E19" s="212"/>
      <c r="F19" s="100"/>
      <c r="G19" s="215"/>
      <c r="H19" s="216"/>
    </row>
    <row r="20" spans="1:8" ht="24.65" customHeight="1" x14ac:dyDescent="0.25">
      <c r="A20" s="23"/>
      <c r="B20" s="97"/>
      <c r="C20" s="79"/>
      <c r="D20" s="79"/>
      <c r="E20" s="79"/>
      <c r="F20" s="100"/>
      <c r="G20" s="23"/>
      <c r="H20" s="23"/>
    </row>
    <row r="21" spans="1:8" ht="24.65" customHeight="1" x14ac:dyDescent="0.25">
      <c r="A21" s="23"/>
      <c r="B21" s="97"/>
      <c r="C21" s="79"/>
      <c r="D21" s="79"/>
      <c r="E21" s="79"/>
      <c r="F21" s="100"/>
      <c r="G21" s="23"/>
      <c r="H21" s="23"/>
    </row>
    <row r="22" spans="1:8" ht="24.65" customHeight="1" x14ac:dyDescent="0.25">
      <c r="A22" s="23"/>
      <c r="B22" s="97"/>
      <c r="C22" s="79"/>
      <c r="D22" s="79"/>
      <c r="E22" s="79"/>
      <c r="F22" s="100"/>
      <c r="G22" s="23"/>
      <c r="H22" s="23"/>
    </row>
    <row r="23" spans="1:8" x14ac:dyDescent="0.25">
      <c r="A23" s="23"/>
      <c r="B23" s="97"/>
      <c r="C23" s="79"/>
      <c r="D23" s="79"/>
      <c r="E23" s="79"/>
      <c r="F23" s="100"/>
      <c r="G23" s="23"/>
      <c r="H23" s="23"/>
    </row>
  </sheetData>
  <phoneticPr fontId="1"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0FED8-EFF1-472E-958B-F5FEF34A5871}">
  <dimension ref="B1:F21"/>
  <sheetViews>
    <sheetView workbookViewId="0">
      <selection activeCell="B7" sqref="B7"/>
    </sheetView>
  </sheetViews>
  <sheetFormatPr defaultColWidth="8.81640625" defaultRowHeight="12.5" x14ac:dyDescent="0.25"/>
  <cols>
    <col min="1" max="1" width="8.81640625" style="27"/>
    <col min="2" max="2" width="60" style="27" customWidth="1"/>
    <col min="3" max="6" width="17.453125" style="27" customWidth="1"/>
    <col min="7" max="16384" width="8.81640625" style="27"/>
  </cols>
  <sheetData>
    <row r="1" spans="2:6" x14ac:dyDescent="0.25">
      <c r="B1" s="227" t="s">
        <v>1953</v>
      </c>
      <c r="C1" s="227"/>
      <c r="D1" s="227"/>
      <c r="E1" s="227"/>
      <c r="F1" s="227"/>
    </row>
    <row r="2" spans="2:6" x14ac:dyDescent="0.25">
      <c r="B2" s="227"/>
      <c r="C2" s="227"/>
      <c r="D2" s="227"/>
      <c r="E2" s="227"/>
      <c r="F2" s="227"/>
    </row>
    <row r="3" spans="2:6" ht="15" x14ac:dyDescent="0.25">
      <c r="B3" s="28"/>
      <c r="C3" s="28"/>
      <c r="D3" s="28"/>
      <c r="E3" s="28"/>
      <c r="F3" s="28"/>
    </row>
    <row r="4" spans="2:6" ht="15" x14ac:dyDescent="0.25">
      <c r="B4" s="29" t="s">
        <v>1954</v>
      </c>
      <c r="C4" s="228" t="s">
        <v>1955</v>
      </c>
      <c r="D4" s="229"/>
      <c r="E4" s="229"/>
      <c r="F4" s="230"/>
    </row>
    <row r="5" spans="2:6" ht="15" x14ac:dyDescent="0.25">
      <c r="B5" s="29" t="s">
        <v>1956</v>
      </c>
      <c r="C5" s="231">
        <v>45783</v>
      </c>
      <c r="D5" s="232"/>
      <c r="E5" s="232"/>
      <c r="F5" s="232"/>
    </row>
    <row r="6" spans="2:6" ht="13" thickBot="1" x14ac:dyDescent="0.3"/>
    <row r="7" spans="2:6" ht="17.5" x14ac:dyDescent="0.25">
      <c r="B7" s="30" t="s">
        <v>2125</v>
      </c>
      <c r="C7" s="31" t="s">
        <v>1957</v>
      </c>
      <c r="D7" s="31" t="s">
        <v>1958</v>
      </c>
      <c r="E7" s="31" t="s">
        <v>1959</v>
      </c>
      <c r="F7" s="32" t="s">
        <v>1960</v>
      </c>
    </row>
    <row r="8" spans="2:6" ht="15" x14ac:dyDescent="0.25">
      <c r="B8" s="33" t="s">
        <v>1961</v>
      </c>
      <c r="C8" s="54">
        <f>COUNTIF('FOI 2024-25'!I2:I2000, "Apr")+COUNTIF('FOI 2024-25'!I2:I2000, "May")+COUNTIF('FOI 2024-25'!I2:I2000, "Jun")</f>
        <v>264</v>
      </c>
      <c r="D8" s="54">
        <f>COUNTIF('FOI 2024-25'!I2:I2000, "Jul")+COUNTIF('FOI 2024-25'!I2:I2000, "Aug")+COUNTIF('FOI 2024-25'!I2:I2000, "Sep")</f>
        <v>269</v>
      </c>
      <c r="E8" s="54">
        <f>COUNTIF('FOI 2024-25'!I2:I2000, "Oct")+COUNTIF('FOI 2024-25'!I2:I2000, "Nov")+COUNTIF('FOI 2024-25'!I2:I2000, "Dec")</f>
        <v>232</v>
      </c>
      <c r="F8" s="55">
        <f>COUNTIF('FOI 2024-25'!I2:I2000, "Jan")+COUNTIF('FOI 2024-25'!I2:I2000, "Feb")+COUNTIF('FOI 2024-25'!I2:I2000, "Mar")</f>
        <v>275</v>
      </c>
    </row>
    <row r="9" spans="2:6" ht="15" x14ac:dyDescent="0.25">
      <c r="B9" s="36" t="s">
        <v>1962</v>
      </c>
      <c r="C9" s="53">
        <f>COUNTIFS('FOI 2024-25'!Q2:Q2000, "In Progress", 'FOI 2024-25'!I2:I2000, "Apr")+COUNTIFS('FOI 2024-25'!Q2:Q2000, "In Progress", 'FOI 2024-25'!I2:I2000, "May")+COUNTIFS('FOI 2024-25'!Q2:Q2000, "In Progress", 'FOI 2024-25'!I2:I2000, "Jun")+COUNTIFS('FOI 2024-25'!Q2:Q2000, "Clarification Sought", 'FOI 2024-25'!I2:I2000, "Apr")+COUNTIFS('FOI 2024-25'!Q2:Q2000, "Clarification Sought", 'FOI 2024-25'!I2:I2000, "May")+COUNTIFS('FOI 2024-25'!Q2:Q2000, "Clarification Sought", 'FOI 2024-25'!I2:I2000, "Jun")</f>
        <v>0</v>
      </c>
      <c r="D9" s="53">
        <f>COUNTIFS('FOI 2024-25'!Q2:Q2000, "In Progress", 'FOI 2024-25'!I2:I2000, "Jul")+COUNTIFS('FOI 2024-25'!Q2:Q2000, "In Progress", 'FOI 2024-25'!I2:I2000, "Aug")+COUNTIFS('FOI 2024-25'!Q2:Q2000, "In Progress", 'FOI 2024-25'!I2:I2000, "Sep")+COUNTIFS('FOI 2024-25'!Q2:Q2000, "Clarification Sought", 'FOI 2024-25'!I2:I2000, "Jul")+COUNTIFS('FOI 2024-25'!Q2:Q2000, "Clarification Sought", 'FOI 2024-25'!I2:I2000, "Aug")+COUNTIFS('FOI 2024-25'!Q2:Q2000, "Clarification Sought", 'FOI 2024-25'!I2:I2000, "Sep")</f>
        <v>0</v>
      </c>
      <c r="E9" s="53">
        <f>COUNTIFS('FOI 2024-25'!Q2:Q2000, "In Progress", 'FOI 2024-25'!I2:I2000, "Oct")+COUNTIFS('FOI 2024-25'!Q2:Q2000, "In Progress", 'FOI 2024-25'!I2:I2000, "Nov")+COUNTIFS('FOI 2024-25'!Q2:Q2000, "In Progress", 'FOI 2024-25'!I2:I2000, "Dec")+COUNTIFS('FOI 2024-25'!Q2:Q2000, "Clarification Sought", 'FOI 2024-25'!I2:I2000, "Oct")+COUNTIFS('FOI 2024-25'!Q2:Q2000, "Clarification Sought", 'FOI 2024-25'!I2:I2000, "Nov")+COUNTIFS('FOI 2024-25'!Q2:Q2000, "Clarification Sought", 'FOI 2024-25'!I2:I2000, "Dec")</f>
        <v>0</v>
      </c>
      <c r="F9" s="85">
        <f>COUNTIFS('FOI 2024-25'!Q2:Q2000, "In Progress", 'FOI 2024-25'!I2:I2000, "Jan")+COUNTIFS('FOI 2024-25'!Q2:Q2000, "In Progress", 'FOI 2024-25'!I2:I2000, "Feb")+COUNTIFS('FOI 2024-25'!Q2:Q2000, "In Progress", 'FOI 2024-25'!I2:I2000, "Mar")+COUNTIFS('FOI 2024-25'!Q2:Q2000, "Clarification Sought", 'FOI 2024-25'!I2:I2000, "Jan")+COUNTIFS('FOI 2024-25'!Q2:Q2000, "Clarification Sought", 'FOI 2024-25'!I2:I2000, "Feb")+COUNTIFS('FOI 2024-25'!Q2:Q2000, "Clarification Sought", 'FOI 2024-25'!I2:I2000, "Mar")</f>
        <v>3</v>
      </c>
    </row>
    <row r="10" spans="2:6" ht="30" x14ac:dyDescent="0.25">
      <c r="B10" s="33" t="s">
        <v>1963</v>
      </c>
      <c r="C10" s="37">
        <v>0</v>
      </c>
      <c r="D10" s="37">
        <v>0</v>
      </c>
      <c r="E10" s="37">
        <v>0</v>
      </c>
      <c r="F10" s="38">
        <v>0</v>
      </c>
    </row>
    <row r="11" spans="2:6" ht="30" x14ac:dyDescent="0.25">
      <c r="B11" s="39" t="s">
        <v>1964</v>
      </c>
      <c r="C11" s="40">
        <v>0</v>
      </c>
      <c r="D11" s="40">
        <v>0</v>
      </c>
      <c r="E11" s="40">
        <v>0</v>
      </c>
      <c r="F11" s="41">
        <v>0</v>
      </c>
    </row>
    <row r="12" spans="2:6" ht="15" x14ac:dyDescent="0.25">
      <c r="B12" s="33" t="s">
        <v>1965</v>
      </c>
      <c r="C12" s="54">
        <f>COUNTIFS('FOI 2024-25'!Q2:Q2000, "Complete", 'FOI 2024-25'!I2:I2000, "Apr")+COUNTIFS('FOI 2024-25'!Q2:Q2000, "Complete", 'FOI 2024-25'!I2:I2000, "May")+COUNTIFS('FOI 2024-25'!Q2:Q2000, "Complete", 'FOI 2024-25'!I2:I2000, "Jun")</f>
        <v>261</v>
      </c>
      <c r="D12" s="54">
        <f>COUNTIFS('FOI 2024-25'!Q2:Q2000, "Complete", 'FOI 2024-25'!I2:I2000, "Jul")+COUNTIFS('FOI 2024-25'!Q2:Q2000, "Complete", 'FOI 2024-25'!I2:I2000, "Aug")+COUNTIFS('FOI 2024-25'!Q2:Q2000, "Complete", 'FOI 2024-25'!I2:I2000, "Sep")</f>
        <v>262</v>
      </c>
      <c r="E12" s="54">
        <f>COUNTIFS('FOI 2024-25'!Q2:Q2000, "Complete", 'FOI 2024-25'!I2:I2000, "Oct")+COUNTIFS('FOI 2024-25'!Q2:Q2000, "Complete", 'FOI 2024-25'!I2:I2000, "Nov")+COUNTIFS('FOI 2024-25'!Q2:Q2000, "Complete", 'FOI 2024-25'!I2:I2000, "Dec")</f>
        <v>224</v>
      </c>
      <c r="F12" s="55">
        <f>COUNTIFS('FOI 2024-25'!Q2:Q2000, "Complete", 'FOI 2024-25'!I2:I2000, "Jan")+COUNTIFS('FOI 2024-25'!Q2:Q2000, "Complete", 'FOI 2024-25'!I2:I2000, "Feb")+COUNTIFS('FOI 2024-25'!Q2:Q2000, "Complete", 'FOI 2024-25'!I2:I2000, "Mar")</f>
        <v>268</v>
      </c>
    </row>
    <row r="13" spans="2:6" ht="15" x14ac:dyDescent="0.25">
      <c r="B13" s="42" t="s">
        <v>1966</v>
      </c>
      <c r="C13" s="86">
        <f>COUNTIFS('FOI 2024-25'!P2:P2000, "Yes", 'FOI 2024-25'!I2:I2000, "Apr")+COUNTIFS('FOI 2024-25'!P2:P2000, "Yes", 'FOI 2024-25'!I2:I2000, "May")+COUNTIFS('FOI 2024-25'!P2:P2000, "Yes", 'FOI 2024-25'!I2:I2000, "Jun")</f>
        <v>253</v>
      </c>
      <c r="D13" s="86">
        <f>COUNTIFS('FOI 2024-25'!P2:P2000, "Yes", 'FOI 2024-25'!I2:I2000, "Jul")+COUNTIFS('FOI 2024-25'!P2:P2000, "Yes", 'FOI 2024-25'!I2:I2000, "Aug")+COUNTIFS('FOI 2024-25'!P2:P2000, "Yes", 'FOI 2024-25'!I2:I2000, "Sep")</f>
        <v>248</v>
      </c>
      <c r="E13" s="86">
        <f>COUNTIFS('FOI 2024-25'!P2:P2000, "Yes", 'FOI 2024-25'!I2:I2000, "Oct")+COUNTIFS('FOI 2024-25'!P2:P2000, "Yes", 'FOI 2024-25'!I2:I2000, "Nov")+COUNTIFS('FOI 2024-25'!P2:P2000, "Yes", 'FOI 2024-25'!I2:I2000, "Dec")</f>
        <v>210</v>
      </c>
      <c r="F13" s="87">
        <f>COUNTIFS('FOI 2024-25'!P2:P2000, "Yes", 'FOI 2024-25'!I2:I2000, "Jan")+COUNTIFS('FOI 2024-25'!P2:P2000, "Yes", 'FOI 2024-25'!I2:I2000, "Feb")+COUNTIFS('FOI 2024-25'!P2:P2000, "Yes", 'FOI 2024-25'!I2:I2000, "Mar")</f>
        <v>260</v>
      </c>
    </row>
    <row r="14" spans="2:6" ht="15" x14ac:dyDescent="0.25">
      <c r="B14" s="33" t="s">
        <v>1967</v>
      </c>
      <c r="C14" s="34">
        <v>0</v>
      </c>
      <c r="D14" s="34">
        <v>0</v>
      </c>
      <c r="E14" s="34">
        <v>0</v>
      </c>
      <c r="F14" s="35">
        <v>0</v>
      </c>
    </row>
    <row r="15" spans="2:6" ht="15" x14ac:dyDescent="0.25">
      <c r="B15" s="36" t="s">
        <v>1968</v>
      </c>
      <c r="C15" s="53">
        <f>COUNTIFS('FOI 2024-25'!P2:P2000, "No", 'FOI 2024-25'!I2:I2000, "Apr")+COUNTIFS('FOI 2024-25'!P2:P2000, "No", 'FOI 2024-25'!I2:I2000, "May")+COUNTIFS('FOI 2024-25'!P2:P2000, "No", 'FOI 2024-25'!I2:I2000, "Jun")</f>
        <v>8</v>
      </c>
      <c r="D15" s="53">
        <f>COUNTIFS('FOI 2024-25'!P2:P2000, "No", 'FOI 2024-25'!I2:I2000, "Jul")+COUNTIFS('FOI 2024-25'!P2:P2000, "No", 'FOI 2024-25'!I2:I2000, "Aug")+COUNTIFS('FOI 2024-25'!P2:P2000, "No", 'FOI 2024-25'!I2:I2000, "Sep")</f>
        <v>14</v>
      </c>
      <c r="E15" s="53">
        <f>COUNTIFS('FOI 2024-25'!P2:P2000, "No", 'FOI 2024-25'!I2:I2000, "Oct")+COUNTIFS('FOI 2024-25'!P2:P2000, "No", 'FOI 2024-25'!I2:I2000, "Nov")+COUNTIFS('FOI 2024-25'!P2:P2000, "No", 'FOI 2024-25'!I2:I2000, "Dec")</f>
        <v>14</v>
      </c>
      <c r="F15" s="85">
        <f>COUNTIFS('FOI 2024-25'!P2:P2000, "No", 'FOI 2024-25'!I2:I2000, "Jan")+COUNTIFS('FOI 2024-25'!P2:P2000, "No", 'FOI 2024-25'!I2:I2000, "Feb")+COUNTIFS('FOI 2024-25'!P2:P2000, "No", 'FOI 2024-25'!I2:I2000, "Mar")</f>
        <v>8</v>
      </c>
    </row>
    <row r="16" spans="2:6" ht="30" x14ac:dyDescent="0.25">
      <c r="B16" s="33" t="s">
        <v>1969</v>
      </c>
      <c r="C16" s="54">
        <f>COUNTIFS('FOI 2024-25'!R2:R2000, "Full disclosure", 'FOI 2024-25'!I2:I2000, "Apr")+COUNTIFS('FOI 2024-25'!R2:R2000, "Full disclosure", 'FOI 2024-25'!I2:I2000, "May")+COUNTIFS('FOI 2024-25'!R2:R2000, "Full disclosure", 'FOI 2024-25'!I2:I2000, "Jun")</f>
        <v>210</v>
      </c>
      <c r="D16" s="54">
        <f>COUNTIFS('FOI 2024-25'!R2:R2000, "Full disclosure", 'FOI 2024-25'!I2:I2000, "Jul")+COUNTIFS('FOI 2024-25'!R2:R2000, "Full disclosure", 'FOI 2024-25'!I2:I2000, "Aug")+COUNTIFS('FOI 2024-25'!R2:R2000, "Full disclosure", 'FOI 2024-25'!I2:I2000, "Sep")</f>
        <v>194</v>
      </c>
      <c r="E16" s="54">
        <f>COUNTIFS('FOI 2024-25'!R2:R2000, "Full disclosure", 'FOI 2024-25'!I2:I2000, "Oct")+COUNTIFS('FOI 2024-25'!R2:R2000, "Full disclosure", 'FOI 2024-25'!I2:I2000, "Nov")+COUNTIFS('FOI 2024-25'!R2:R2000, "Full disclosure", 'FOI 2024-25'!I2:I2000, "Dec")</f>
        <v>161</v>
      </c>
      <c r="F16" s="55">
        <f>COUNTIFS('FOI 2024-25'!R2:R2000, "Full disclosure", 'FOI 2024-25'!I2:I2000, "Jan")+COUNTIFS('FOI 2024-25'!R2:R2000, "Full disclosure", 'FOI 2024-25'!I2:I2000, "Feb")+COUNTIFS('FOI 2024-25'!R2:R2000, "Full disclosure", 'FOI 2024-25'!I2:I2000, "Mar")</f>
        <v>203</v>
      </c>
    </row>
    <row r="17" spans="2:6" ht="30" x14ac:dyDescent="0.25">
      <c r="B17" s="36" t="s">
        <v>1970</v>
      </c>
      <c r="C17" s="53">
        <f>COUNTIFS('FOI 2024-25'!R2:R2000, "Refused", 'FOI 2024-25'!I2:I2000, "Apr")+COUNTIFS('FOI 2024-25'!R2:R2000, "Refused", 'FOI 2024-25'!I2:I2000, "May")+COUNTIFS('FOI 2024-25'!R2:R2000, "Refused", 'FOI 2024-25'!I2:I2000, "Jun")</f>
        <v>13</v>
      </c>
      <c r="D17" s="53">
        <f>COUNTIFS('FOI 2024-25'!R2:R2000, "Refused", 'FOI 2024-25'!I2:I2000, "Jul")+COUNTIFS('FOI 2024-25'!R2:R2000, "Refused", 'FOI 2024-25'!I2:I2000, "Aug")+COUNTIFS('FOI 2024-25'!R2:R2000, "Refused", 'FOI 2024-25'!I2:I2000, "Sep")</f>
        <v>17</v>
      </c>
      <c r="E17" s="53">
        <f>COUNTIFS('FOI 2024-25'!R2:R2000, "Refused", 'FOI 2024-25'!I2:I2000, "Oct")+COUNTIFS('FOI 2024-25'!R2:R2000, "Refused", 'FOI 2024-25'!I2:I2000, "Nov")+COUNTIFS('FOI 2024-25'!R2:R2000, "Refused", 'FOI 2024-25'!I2:I2000, "Dec")</f>
        <v>9</v>
      </c>
      <c r="F17" s="85">
        <f>COUNTIFS('FOI 2024-25'!R2:R2000, "Refused", 'FOI 2024-25'!I2:I2000, "Jan")+COUNTIFS('FOI 2024-25'!R2:R2000, "Refused", 'FOI 2024-25'!I2:I2000, "Feb")+COUNTIFS('FOI 2024-25'!R2:R2000, "Refused", 'FOI 2024-25'!I2:I2000, "Mar")</f>
        <v>11</v>
      </c>
    </row>
    <row r="18" spans="2:6" ht="30" x14ac:dyDescent="0.25">
      <c r="B18" s="33" t="s">
        <v>1971</v>
      </c>
      <c r="C18" s="54">
        <f>COUNTIFS('FOI 2024-25'!R2:R2000, "Partial disclosure", 'FOI 2024-25'!I2:I2000, "Apr")+COUNTIFS('FOI 2024-25'!R2:R2000, "Partial disclosure", 'FOI 2024-25'!I2:I2000, "May")+COUNTIFS('FOI 2024-25'!R2:R2000, "Partial disclosure", 'FOI 2024-25'!I2:I2000, "Jun")</f>
        <v>15</v>
      </c>
      <c r="D18" s="54">
        <f>COUNTIFS('FOI 2024-25'!R2:R2000, "Partial disclosure", 'FOI 2024-25'!I2:I2000, "Jul")+COUNTIFS('FOI 2024-25'!R2:R2000, "Partial disclosure", 'FOI 2024-25'!I2:I2000, "Aug")+COUNTIFS('FOI 2024-25'!R2:R2000, "Partial disclosure", 'FOI 2024-25'!I2:I2000, "Sep")</f>
        <v>20</v>
      </c>
      <c r="E18" s="54">
        <f>COUNTIFS('FOI 2024-25'!R2:R2000, "Partial disclosure", 'FOI 2024-25'!I2:I2000, "Oct")+COUNTIFS('FOI 2024-25'!R2:R2000, "Partial disclosure", 'FOI 2024-25'!I2:I2000, "Nov")+COUNTIFS('FOI 2024-25'!R2:R2000, "Partial disclosure", 'FOI 2024-25'!I2:I2000, "Dec")</f>
        <v>27</v>
      </c>
      <c r="F18" s="55">
        <f>COUNTIFS('FOI 2024-25'!R2:R2000, "Partial disclosure", 'FOI 2024-25'!I2:I2000, "Jan")+COUNTIFS('FOI 2024-25'!R2:R2000, "Partial disclosure", 'FOI 2024-25'!I2:I2000, "Feb")+COUNTIFS('FOI 2024-25'!R2:R2000, "Partial disclosure", 'FOI 2024-25'!I2:I2000, "Mar")</f>
        <v>34</v>
      </c>
    </row>
    <row r="19" spans="2:6" ht="15" x14ac:dyDescent="0.25">
      <c r="B19" s="36" t="s">
        <v>1972</v>
      </c>
      <c r="C19" s="53">
        <f>COUNTIFS('Internal Review 2024-25'!B2:B50, "Apr")+COUNTIFS('Internal Review 2024-25'!B2:B50, "May")+COUNTIFS('Internal Review 2024-25'!B2:B50, "Jun")</f>
        <v>7</v>
      </c>
      <c r="D19" s="53">
        <f>COUNTIFS('Internal Review 2024-25'!B2:B50, "Jul")+COUNTIFS('Internal Review 2024-25'!B2:B50, "Aug")+COUNTIFS('Internal Review 2024-25'!B2:B50, "Sep")</f>
        <v>1</v>
      </c>
      <c r="E19" s="53">
        <f>COUNTIFS('Internal Review 2024-25'!B2:B50, "Oct")+COUNTIFS('Internal Review 2024-25'!B2:B50, "Nov")+COUNTIFS('Internal Review 2024-25'!B2:B50, "Dec")</f>
        <v>6</v>
      </c>
      <c r="F19" s="85">
        <f>COUNTIFS('Internal Review 2024-25'!B2:B50, "Jan")+COUNTIFS('Internal Review 2024-25'!B2:B50, "Feb")+COUNTIFS('Internal Review 2024-25'!B2:B50, "Mar")</f>
        <v>2</v>
      </c>
    </row>
    <row r="20" spans="2:6" ht="15" x14ac:dyDescent="0.25">
      <c r="B20" s="33" t="s">
        <v>1973</v>
      </c>
      <c r="C20" s="88">
        <f>COUNTIFS('FOI 2024-25'!Q2:Q2000, "Clarification Sought", 'FOI 2024-25'!I2:I2000, "Apr")+COUNTIFS('FOI 2024-25'!Q2:Q2000, "Clarification Sought", 'FOI 2024-25'!I2:I2000, "May")+COUNTIFS('FOI 2024-25'!Q2:Q2000, "Clarification Sought", 'FOI 2024-25'!I2:I2000, "Jun")</f>
        <v>0</v>
      </c>
      <c r="D20" s="88">
        <f>COUNTIFS('FOI 2024-25'!Q2:Q2000, "Clarification Sought", 'FOI 2024-25'!I2:I2000, "Jul")+COUNTIFS('FOI 2024-25'!Q2:Q2000, "Clarification Sought", 'FOI 2024-25'!I2:I2000, "Aug")+COUNTIFS('FOI 2024-25'!Q2:Q2000, "Clarification Sought", 'FOI 2024-25'!I2:I2000, "Sep")</f>
        <v>0</v>
      </c>
      <c r="E20" s="88">
        <f>COUNTIFS('FOI 2024-25'!Q2:Q2000, "Clarification Sought", 'FOI 2024-25'!I2:I2000, "Oct")+COUNTIFS('FOI 2024-25'!Q2:Q2000, "Clarification Sought", 'FOI 2024-25'!I2:I2000, "Nov")+COUNTIFS('FOI 2024-25'!Q2:Q2000, "Clarification Sought", 'FOI 2024-25'!I2:I2000, "Dec")</f>
        <v>0</v>
      </c>
      <c r="F20" s="89">
        <f>COUNTIFS('FOI 2024-25'!Q2:Q2000, "Clarification Sought", 'FOI 2024-25'!I2:I2000, "Jan")+COUNTIFS('FOI 2024-25'!Q2:Q2000, "Clarification Sought", 'FOI 2024-25'!I2:I2000, "Feb")+COUNTIFS('FOI 2024-25'!Q2:Q2000, "Clarification Sought", 'FOI 2024-25'!I2:I2000, "Mar")</f>
        <v>0</v>
      </c>
    </row>
    <row r="21" spans="2:6" ht="15.5" thickBot="1" x14ac:dyDescent="0.3">
      <c r="B21" s="43" t="s">
        <v>1974</v>
      </c>
      <c r="C21" s="44">
        <v>0</v>
      </c>
      <c r="D21" s="44">
        <v>0</v>
      </c>
      <c r="E21" s="44">
        <v>0</v>
      </c>
      <c r="F21" s="45">
        <v>0</v>
      </c>
    </row>
  </sheetData>
  <protectedRanges>
    <protectedRange sqref="C4:F5" name="Range2"/>
    <protectedRange sqref="C8:F21" name="Range1"/>
  </protectedRanges>
  <mergeCells count="3">
    <mergeCell ref="B1:F2"/>
    <mergeCell ref="C4:F4"/>
    <mergeCell ref="C5:F5"/>
  </mergeCells>
  <dataValidations count="18">
    <dataValidation allowBlank="1" showInputMessage="1" showErrorMessage="1" promptTitle="Definition" prompt="All requests that remain open because you applied the public interest test to extend the time limit. Inlcude requests received during or before the period" sqref="B10" xr:uid="{BFB6EDDF-E213-45C8-B39D-9E64120F8C4D}"/>
    <dataValidation allowBlank="1" showInputMessage="1" showErrorMessage="1" promptTitle="Definition" prompt="All requests that remain open, including any subject to a permitted extension. Include requests received during the period" sqref="B9" xr:uid="{7536A132-A6EB-4C09-B0F4-443DC4319F12}"/>
    <dataValidation type="whole" operator="greaterThanOrEqual" allowBlank="1" showInputMessage="1" showErrorMessage="1" sqref="C8:F21" xr:uid="{CB2BEBCC-698B-4FBC-B2CF-83675DBD7313}">
      <formula1>0</formula1>
    </dataValidation>
    <dataValidation allowBlank="1" showInputMessage="1" showErrorMessage="1" promptTitle="Definition" prompt="EIR only. All EIR requests which remain open at the end of the period due to the application of a permitted extension accounting for the complexity or volume of the request. This should include all requests received within and prior to the period." sqref="B11" xr:uid="{80370187-0295-424D-A619-FF9CDBED9772}"/>
    <dataValidation allowBlank="1" showInputMessage="1" showErrorMessage="1" promptTitle="Definition" prompt="EIR only. All EIR requests which remain open at the end of the period due to the application a permitted extension accounting for the complexity or volume of the request. This should include all requests received within and prior to the period." sqref="B11" xr:uid="{787BB881-D843-4194-9686-6855E62583D0}"/>
    <dataValidation allowBlank="1" showInputMessage="1" showErrorMessage="1" promptTitle="Definition" prompt="All requests you closed using a permitted extension. Include requests opened during and before the period" sqref="B14" xr:uid="{EE97B50F-3B3E-46E5-85C0-18A83229E725}"/>
    <dataValidation allowBlank="1" showInputMessage="1" showErrorMessage="1" promptTitle="Definition" prompt="All requests that remain open because the request is on hold, awaiting requestor clarification. Include requests received during and before the period" sqref="B20" xr:uid="{22059FC3-73F0-4053-8ABB-6C2B72CB7207}"/>
    <dataValidation allowBlank="1" showInputMessage="1" showErrorMessage="1" promptTitle="Definition" prompt="All requests that remain open because the request is on hold, awaiting payment of a fee. Include requests received during and before the period" sqref="B21" xr:uid="{8A0D2787-25CA-4570-BE21-6D9FC581E699}"/>
    <dataValidation allowBlank="1" showInputMessage="1" showErrorMessage="1" promptTitle="Definition" prompt="All requests that remain open because you applied the public interest test to extend the time limit. Include requests received during and before the period" sqref="B10" xr:uid="{9897D69B-5501-4E49-8A13-0C644190FD84}"/>
    <dataValidation allowBlank="1" showInputMessage="1" showErrorMessage="1" promptTitle="Definition" prompt="All requests that resulted in you opening an internal review. Include reviews received during the period" sqref="B19" xr:uid="{8F3234E2-4C20-410C-805F-E4B1D558EF44}"/>
    <dataValidation allowBlank="1" showInputMessage="1" showErrorMessage="1" promptTitle="Definition" prompt="All requests you closed and partially provided information. Include requests opened during or before the period" sqref="B18" xr:uid="{3F2D2ED1-82C8-4FB1-8B63-A91871158CB6}"/>
    <dataValidation allowBlank="1" showInputMessage="1" showErrorMessage="1" promptTitle="Definition" prompt="All requests you closed and provided all information. Include requests opened during and before the period" sqref="B16" xr:uid="{99A4D399-9D98-4A4D-9A5F-CD6661A11838}"/>
    <dataValidation allowBlank="1" showInputMessage="1" showErrorMessage="1" promptTitle="Definition" prompt="All requests you closed and withheld all information. Include requests opened during and before the period" sqref="B17" xr:uid="{73B6AB85-F2E5-4C7D-A5DA-ABC68CDEA18E}"/>
    <dataValidation allowBlank="1" showInputMessage="1" showErrorMessage="1" promptTitle="Definition" prompt="All requests you closed outside the statutory deadline, including all requests you closed in over 20 working days and beyond the reasonable limits of a permitted extension. Include requests opened during and before the period" sqref="B15" xr:uid="{05739AEF-695B-4874-8027-3FF836AEC4B9}"/>
    <dataValidation allowBlank="1" showInputMessage="1" showErrorMessage="1" promptTitle="Definition" prompt="All requests you closed within the statutory 20 working day deadline or those you completed under permitted extensions, where appropriate. Include requests opened during and before the period" sqref="B13" xr:uid="{75A93D9B-6CFA-4563-97B4-7F317E8C8579}"/>
    <dataValidation allowBlank="1" showInputMessage="1" showErrorMessage="1" promptTitle="Definition" prompt="All requests you closed, including withdrawn requests. Include requests opened during and before the period" sqref="B12" xr:uid="{0BB2C79E-D697-4907-A3A4-B2E16A54A768}"/>
    <dataValidation allowBlank="1" showInputMessage="1" showErrorMessage="1" promptTitle="Definition" prompt="All EIR requests that remain open because you applied a permitted extension due to the complexity or volume of the request. Include requests received during and before the period " sqref="B11" xr:uid="{B068C142-CEB0-466E-9FFB-EDE0B204AD18}"/>
    <dataValidation allowBlank="1" showInputMessage="1" showErrorMessage="1" promptTitle="Definition" prompt="All valid requests, including all processed and unprocessed requests. Do not include information requests that you have not responded to under FOIA (eg business as usual or subject access). Include requests received during the period" sqref="B8" xr:uid="{B2BCEBD7-A78B-4822-ACA7-418177B5B8DE}"/>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37A73-63EA-4BB5-8F42-B8CE0E3F8C96}">
  <dimension ref="B1:I35"/>
  <sheetViews>
    <sheetView showGridLines="0" workbookViewId="0">
      <selection activeCell="B1" sqref="B1:F2"/>
    </sheetView>
  </sheetViews>
  <sheetFormatPr defaultColWidth="8.81640625" defaultRowHeight="12.5" x14ac:dyDescent="0.25"/>
  <cols>
    <col min="1" max="1" width="8.81640625" style="47"/>
    <col min="2" max="2" width="48.81640625" style="47" customWidth="1"/>
    <col min="3" max="4" width="17.453125" style="47" customWidth="1"/>
    <col min="5" max="5" width="17.453125" style="60" customWidth="1"/>
    <col min="6" max="6" width="17.453125" style="47" customWidth="1"/>
    <col min="7" max="9" width="41.453125" style="47" customWidth="1"/>
    <col min="10" max="16384" width="8.81640625" style="47"/>
  </cols>
  <sheetData>
    <row r="1" spans="2:9" ht="20" x14ac:dyDescent="0.25">
      <c r="B1" s="233" t="s">
        <v>1975</v>
      </c>
      <c r="C1" s="233"/>
      <c r="D1" s="233"/>
      <c r="E1" s="233"/>
      <c r="F1" s="233"/>
      <c r="G1" s="46"/>
      <c r="H1" s="46"/>
      <c r="I1" s="46"/>
    </row>
    <row r="2" spans="2:9" ht="20" x14ac:dyDescent="0.25">
      <c r="B2" s="233"/>
      <c r="C2" s="233"/>
      <c r="D2" s="233"/>
      <c r="E2" s="233"/>
      <c r="F2" s="233"/>
      <c r="G2" s="46"/>
      <c r="H2" s="46"/>
      <c r="I2" s="46"/>
    </row>
    <row r="3" spans="2:9" ht="20" x14ac:dyDescent="0.25">
      <c r="B3" s="48"/>
      <c r="C3" s="48"/>
      <c r="D3" s="48"/>
      <c r="E3" s="48"/>
      <c r="F3" s="48"/>
      <c r="G3" s="46"/>
      <c r="H3" s="46"/>
      <c r="I3" s="46"/>
    </row>
    <row r="4" spans="2:9" ht="20" x14ac:dyDescent="0.25">
      <c r="B4" s="29" t="s">
        <v>1954</v>
      </c>
      <c r="C4" s="228" t="s">
        <v>1955</v>
      </c>
      <c r="D4" s="229"/>
      <c r="E4" s="229"/>
      <c r="F4" s="230"/>
      <c r="G4" s="46"/>
      <c r="H4" s="46"/>
      <c r="I4" s="46"/>
    </row>
    <row r="5" spans="2:9" ht="20" x14ac:dyDescent="0.25">
      <c r="B5" s="29" t="s">
        <v>1956</v>
      </c>
      <c r="C5" s="231">
        <v>45783</v>
      </c>
      <c r="D5" s="232"/>
      <c r="E5" s="232"/>
      <c r="F5" s="232"/>
      <c r="G5" s="46"/>
      <c r="H5" s="46"/>
      <c r="I5" s="46"/>
    </row>
    <row r="6" spans="2:9" ht="20.5" thickBot="1" x14ac:dyDescent="0.3">
      <c r="B6" s="48"/>
      <c r="C6" s="48"/>
      <c r="D6" s="48"/>
      <c r="E6" s="48"/>
      <c r="F6" s="48"/>
      <c r="G6" s="46"/>
      <c r="H6" s="46"/>
      <c r="I6" s="46"/>
    </row>
    <row r="7" spans="2:9" ht="17.5" x14ac:dyDescent="0.25">
      <c r="B7" s="49"/>
      <c r="C7" s="50" t="s">
        <v>1957</v>
      </c>
      <c r="D7" s="50" t="s">
        <v>1958</v>
      </c>
      <c r="E7" s="50" t="s">
        <v>1959</v>
      </c>
      <c r="F7" s="51" t="s">
        <v>1960</v>
      </c>
      <c r="H7" s="52"/>
      <c r="I7" s="52"/>
    </row>
    <row r="8" spans="2:9" ht="17.5" x14ac:dyDescent="0.25">
      <c r="B8" s="33" t="s">
        <v>2126</v>
      </c>
      <c r="C8" s="122">
        <f>'Key data collection'!C13/'Key data collection'!C12*100%</f>
        <v>0.96934865900383138</v>
      </c>
      <c r="D8" s="122">
        <f>'Key data collection'!D13/'Key data collection'!D12*100%</f>
        <v>0.94656488549618323</v>
      </c>
      <c r="E8" s="122">
        <f>'Key data collection'!E13/'Key data collection'!E12*100%</f>
        <v>0.9375</v>
      </c>
      <c r="F8" s="122">
        <f>'Key data collection'!F13/'Key data collection'!F12*100%</f>
        <v>0.97014925373134331</v>
      </c>
      <c r="H8" s="52"/>
      <c r="I8" s="52"/>
    </row>
    <row r="9" spans="2:9" ht="17.5" x14ac:dyDescent="0.25">
      <c r="B9" s="36" t="s">
        <v>1976</v>
      </c>
      <c r="C9" s="53">
        <f>'Key data collection'!C8</f>
        <v>264</v>
      </c>
      <c r="D9" s="53">
        <f>'Key data collection'!D8</f>
        <v>269</v>
      </c>
      <c r="E9" s="53">
        <f>'Key data collection'!E8</f>
        <v>232</v>
      </c>
      <c r="F9" s="53">
        <f>'Key data collection'!F8</f>
        <v>275</v>
      </c>
      <c r="H9" s="52"/>
      <c r="I9" s="52"/>
    </row>
    <row r="10" spans="2:9" ht="17.5" x14ac:dyDescent="0.25">
      <c r="B10" s="33" t="s">
        <v>1977</v>
      </c>
      <c r="C10" s="54">
        <f>COUNTIF('EIR 2024-25'!J2:J2000, "Apr")+COUNTIF('EIR 2024-25'!J2:J2000, "May")+COUNTIF('EIR 2024-25'!J2:J2000, "Jun")</f>
        <v>38</v>
      </c>
      <c r="D10" s="54">
        <f>COUNTIF('EIR 2024-25'!J2:J2000, "Jul")+COUNTIF('EIR 2024-25'!J2:J2000, "Aug")+COUNTIF('EIR 2024-25'!J2:J2000, "Sep")</f>
        <v>51</v>
      </c>
      <c r="E10" s="54">
        <f>COUNTIF('EIR 2024-25'!J2:J2000, "Oct")+COUNTIF('EIR 2024-25'!J2:J2000, "Nov")+COUNTIF('EIR 2024-25'!J2:J2000, "Dec")</f>
        <v>57</v>
      </c>
      <c r="F10" s="55">
        <f>COUNTIF('EIR 2024-25'!J2:J2000, "Jan")+COUNTIF('EIR 2024-25'!J2:J2000, "Feb")+COUNTIF('EIR 2024-25'!J2:J2000, "Mar")</f>
        <v>99</v>
      </c>
      <c r="H10" s="52"/>
      <c r="I10" s="52"/>
    </row>
    <row r="11" spans="2:9" ht="15" x14ac:dyDescent="0.25">
      <c r="B11" s="36" t="s">
        <v>2127</v>
      </c>
      <c r="C11" s="90">
        <f ca="1">COUNTIFS('EIR 2024-25'!K2:K2000, "&lt;0", 'EIR 2024-25'!J2:J2000, "Apr")+COUNTIFS('EIR 2024-25'!K2:K2000, "&lt;0", 'EIR 2024-25'!J2:J2000, "May")+COUNTIFS('EIR 2024-25'!K2:K2000, "&lt;0", 'EIR 2024-25'!J2:J2000, "Jun")+COUNTIFS('FOI 2024-25'!J2:J2000, "&lt;0", 'FOI 2024-25'!I2:I2000, "Apr")+COUNTIFS('FOI 2024-25'!J2:J2000, "&lt;0", 'FOI 2024-25'!I2:I2000, "May")+COUNTIFS('FOI 2024-25'!J2:J2000, "&lt;0", 'FOI 2024-25'!I2:I2000, "Jun")</f>
        <v>0</v>
      </c>
      <c r="D11" s="90">
        <f ca="1">COUNTIFS('EIR 2024-25'!K2:K2000, "&lt;0", 'EIR 2024-25'!J2:J2000, "Jul")+COUNTIFS('EIR 2024-25'!K2:K2000, "&lt;0", 'EIR 2024-25'!J2:J2000, "Aug")+COUNTIFS('EIR 2024-25'!K2:K2000, "&lt;0", 'EIR 2024-25'!J2:J2000, "Sep")+COUNTIFS('FOI 2024-25'!J2:J2000, "&lt;0", 'FOI 2024-25'!I2:I2000, "Jul")+COUNTIFS('FOI 2024-25'!J2:J2000, "&lt;0", 'FOI 2024-25'!I2:I2000, "Aug")+COUNTIFS('FOI 2024-25'!J2:J2000, "&lt;0", 'FOI 2024-25'!I2:I2000, "Sep")</f>
        <v>0</v>
      </c>
      <c r="E11" s="90">
        <f ca="1">COUNTIFS('EIR 2024-25'!K2:K2000, "&lt;0", 'EIR 2024-25'!J2:J2000, "Oct")+COUNTIFS('EIR 2024-25'!K2:K2000, "&lt;0", 'EIR 2024-25'!J2:J2000, "Nov")+COUNTIFS('EIR 2024-25'!K2:K2000, "&lt;0", 'EIR 2024-25'!J2:J2000, "Dec")+COUNTIFS('FOI 2024-25'!J2:J2000, "&lt;0", 'FOI 2024-25'!I2:I2000, "Oct")+COUNTIFS('FOI 2024-25'!J2:J2000, "&lt;0", 'FOI 2024-25'!I2:I2000, "Nov")+COUNTIFS('FOI 2024-25'!J2:J2000, "&lt;0", 'FOI 2024-25'!I2:I2000, "Dec")</f>
        <v>0</v>
      </c>
      <c r="F11" s="91">
        <f ca="1">COUNTIFS('EIR 2024-25'!K2:K2000, "&lt;0", 'EIR 2024-25'!J2:J2000, "Jan")+COUNTIFS('EIR 2024-25'!K2:K2000, "&lt;0", 'EIR 2024-25'!J2:J2000, "Feb")+COUNTIFS('EIR 2024-25'!K2:K2000, "&lt;0", 'EIR 2024-25'!J2:J2000, "Mar")+COUNTIFS('FOI 2024-25'!J2:J2000, "&lt;0", 'FOI 2024-25'!I2:I2000, "Jan")+COUNTIFS('FOI 2024-25'!J2:J2000, "&lt;0", 'FOI 2024-25'!I2:I2000, "Feb")+COUNTIFS('FOI 2024-25'!J2:J2000, "&lt;0", 'FOI 2024-25'!I2:I2000, "Mar")</f>
        <v>5</v>
      </c>
      <c r="H11" s="56"/>
      <c r="I11" s="57"/>
    </row>
    <row r="12" spans="2:9" ht="30" x14ac:dyDescent="0.25">
      <c r="B12" s="33" t="s">
        <v>1978</v>
      </c>
      <c r="C12" s="88">
        <f ca="1">COUNTIFS('EIR 2024-25'!K2:K2000, "&lt;-30", 'EIR 2024-25'!J2:J2000, "Apr")+COUNTIFS('EIR 2024-25'!K2:K2000, "&lt;-30", 'EIR 2024-25'!J2:J2000, "May")+COUNTIFS('EIR 2024-25'!K2:K2000, "&lt;-30", 'EIR 2024-25'!J2:J2000, "Jun")+COUNTIFS('FOI 2024-25'!J2:J2000, "&lt;-30", 'FOI 2024-25'!I2:I2000, "Apr")+COUNTIFS('FOI 2024-25'!J2:J2000, "&lt;-30", 'FOI 2024-25'!I2:I2000, "May")+COUNTIFS('FOI 2024-25'!J2:J2000, "&lt;-30", 'FOI 2024-25'!I2:I2000, "Jun")</f>
        <v>0</v>
      </c>
      <c r="D12" s="88">
        <f ca="1">COUNTIFS('EIR 2024-25'!K2:K2000, "&lt;-30", 'EIR 2024-25'!J2:J2000, "Jul")+COUNTIFS('EIR 2024-25'!K2:K2000, "&lt;-30", 'EIR 2024-25'!J2:J2000, "Aug")+COUNTIFS('EIR 2024-25'!K2:K2000, "&lt;-30", 'EIR 2024-25'!J2:J2000, "Sep")+COUNTIFS('FOI 2024-25'!J2:J2000, "&lt;-30", 'FOI 2024-25'!I2:I2000, "Jul")+COUNTIFS('FOI 2024-25'!J2:J2000, "&lt;-30", 'FOI 2024-25'!I2:I2000, "Aug")+COUNTIFS('FOI 2024-25'!J2:J2000, "&lt;-30", 'FOI 2024-25'!I2:I2000, "Sep")</f>
        <v>0</v>
      </c>
      <c r="E12" s="88">
        <f ca="1">COUNTIFS('EIR 2024-25'!K2:K2000, "&lt;-30", 'EIR 2024-25'!J2:J2000, "Oct")+COUNTIFS('EIR 2024-25'!K2:K2000, "&lt;-30", 'EIR 2024-25'!J2:J2000, "Nov")+COUNTIFS('EIR 2024-25'!K2:K2000, "&lt;-30", 'EIR 2024-25'!J2:J2000, "Dec")+COUNTIFS('FOI 2024-25'!J2:J2000, "&lt;-30", 'FOI 2024-25'!I2:I2000, "Jul")+COUNTIFS('FOI 2024-25'!J2:J2000, "&lt;-30", 'FOI 2024-25'!I2:I2000, "Aug")+COUNTIFS('FOI 2024-25'!J2:J2000, "&lt;-30", 'FOI 2024-25'!I2:I2000, "Sep")</f>
        <v>0</v>
      </c>
      <c r="F12" s="89">
        <f ca="1">COUNTIFS('EIR 2024-25'!K2:K2000, "&lt;-30", 'EIR 2024-25'!J2:J2000, "Jan")+COUNTIFS('EIR 2024-25'!K2:K2000, "&lt;-30", 'EIR 2024-25'!J2:J2000, "Feb")+COUNTIFS('EIR 2024-25'!K2:K2000, "&lt;-30", 'EIR 2024-25'!J2:J2000, "Mar")+COUNTIFS('FOI 2024-25'!J2:J2000, "&lt;-30", 'FOI 2024-25'!I2:I2000, "Jan")+COUNTIFS('FOI 2024-25'!J2:J2000, "&lt;-30", 'FOI 2024-25'!I2:I2000, "Feb")+COUNTIFS('FOI 2024-25'!J2:J2000, "&lt;-30", 'FOI 2024-25'!I2:I2000, "Mar")</f>
        <v>1</v>
      </c>
      <c r="H12" s="56"/>
      <c r="I12" s="57"/>
    </row>
    <row r="13" spans="2:9" ht="30" x14ac:dyDescent="0.25">
      <c r="B13" s="36" t="s">
        <v>1979</v>
      </c>
      <c r="C13" s="90">
        <f ca="1">COUNTIFS('EIR 2024-25'!K2:K2000, "&lt;-90", 'EIR 2024-25'!J2:J2000, "Apr")+COUNTIFS('EIR 2024-25'!K2:K2000, "&lt;-90", 'EIR 2024-25'!J2:J2000, "May")+COUNTIFS('EIR 2024-25'!K2:K2000, "&lt;-90", 'EIR 2024-25'!J2:J2000, "Jun")+COUNTIFS('FOI 2024-25'!J2:J2000, "&lt;-90", 'FOI 2024-25'!I2:I2000, "Apr")+COUNTIFS('FOI 2024-25'!J2:J2000, "&lt;-90", 'FOI 2024-25'!I2:I2000, "May")+COUNTIFS('FOI 2024-25'!J2:J2000, "&lt;-90", 'FOI 2024-25'!I2:I2000, "Jun")</f>
        <v>0</v>
      </c>
      <c r="D13" s="90">
        <f ca="1">COUNTIFS('EIR 2024-25'!K2:K2000, "&lt;-90", 'EIR 2024-25'!J2:J2000, "Jul")+COUNTIFS('EIR 2024-25'!K2:K2000, "&lt;-90", 'EIR 2024-25'!J2:J2000, "Aug")+COUNTIFS('EIR 2024-25'!K2:K2000, "&lt;-90", 'EIR 2024-25'!J2:J2000, "Sep")+COUNTIFS('FOI 2024-25'!J2:J2000, "&lt;-90", 'FOI 2024-25'!I2:I2000, "Jul")+COUNTIFS('FOI 2024-25'!J2:J2000, "&lt;-90", 'FOI 2024-25'!I2:I2000, "Aug")+COUNTIFS('FOI 2024-25'!J2:J2000, "&lt;-90", 'FOI 2024-25'!I2:I2000, "Sep")</f>
        <v>0</v>
      </c>
      <c r="E13" s="90">
        <f ca="1">COUNTIFS('EIR 2024-25'!K2:K2000, "&lt;-90", 'EIR 2024-25'!J2:J2000, "Oct")+COUNTIFS('EIR 2024-25'!K2:K2000, "&lt;-90", 'EIR 2024-25'!J2:J2000, "Nov")+COUNTIFS('EIR 2024-25'!K2:K2000, "&lt;-90", 'EIR 2024-25'!J2:J2000, "Dec")+COUNTIFS('FOI 2024-25'!J2:J2000, "&lt;-90", 'FOI 2024-25'!I2:I2000, "Jul")+COUNTIFS('FOI 2024-25'!J2:J2000, "&lt;-90", 'FOI 2024-25'!I2:I2000, "Aug")+COUNTIFS('FOI 2024-25'!J2:J2000, "&lt;-90", 'FOI 2024-25'!I2:I2000, "Sep")</f>
        <v>0</v>
      </c>
      <c r="F13" s="91">
        <f ca="1">COUNTIFS('EIR 2024-25'!K2:K2000, "&lt;-90", 'EIR 2024-25'!J2:J2000, "Jan")+COUNTIFS('EIR 2024-25'!K2:K2000, "&lt;-90", 'EIR 2024-25'!J2:J2000, "Feb")+COUNTIFS('EIR 2024-25'!K2:K2000, "&lt;-90", 'EIR 2024-25'!J2:J2000, "Mar")+COUNTIFS('FOI 2024-25'!J2:J2000, "&lt;-90", 'FOI 2024-25'!I2:I2000, "Jan")+COUNTIFS('FOI 2024-25'!J2:J2000, "&lt;-90", 'FOI 2024-25'!I2:I2000, "Feb")+COUNTIFS('FOI 2024-25'!J2:J2000, "&lt;-90", 'FOI 2024-25'!I2:I2000, "Mar")</f>
        <v>0</v>
      </c>
      <c r="H13" s="56"/>
      <c r="I13" s="57"/>
    </row>
    <row r="14" spans="2:9" ht="30" x14ac:dyDescent="0.25">
      <c r="B14" s="33" t="s">
        <v>1980</v>
      </c>
      <c r="C14" s="88">
        <f ca="1">COUNTIFS('EIR 2024-25'!K2:K2000, "&lt;-180", 'EIR 2024-25'!J2:J2000, "Apr")+COUNTIFS('EIR 2024-25'!K2:K2000, "&lt;-180", 'EIR 2024-25'!J2:J2000, "May")+COUNTIFS('EIR 2024-25'!K2:K2000, "&lt;-180", 'EIR 2024-25'!J2:J2000, "Jun")+COUNTIFS('FOI 2024-25'!J2:J2000, "&lt;-180", 'FOI 2024-25'!I2:I2000, "Apr")+COUNTIFS('FOI 2024-25'!J2:J2000, "&lt;-180", 'FOI 2024-25'!I2:I2000, "May")+COUNTIFS('FOI 2024-25'!J2:J2000, "&lt;-180", 'FOI 2024-25'!I2:I2000, "Jun")</f>
        <v>0</v>
      </c>
      <c r="D14" s="88">
        <f ca="1">COUNTIFS('EIR 2024-25'!K2:K2000, "&lt;-180", 'EIR 2024-25'!J2:J2000, "Jul")+COUNTIFS('EIR 2024-25'!K2:K2000, "&lt;-180", 'EIR 2024-25'!J2:J2000, "Aug")+COUNTIFS('EIR 2024-25'!K2:K2000, "&lt;-180", 'EIR 2024-25'!J2:J2000, "Sep")+COUNTIFS('FOI 2024-25'!J2:J2000, "&lt;-180", 'FOI 2024-25'!I2:I2000, "Jul")+COUNTIFS('FOI 2024-25'!J2:J2000, "&lt;-180", 'FOI 2024-25'!I2:I2000, "Aug")+COUNTIFS('FOI 2024-25'!J2:J2000, "&lt;-180", 'FOI 2024-25'!I2:I2000, "Sep")</f>
        <v>0</v>
      </c>
      <c r="E14" s="88">
        <f ca="1">COUNTIFS('EIR 2024-25'!K2:K2000, "&lt;-180", 'EIR 2024-25'!J2:J2000, "Oct")+COUNTIFS('EIR 2024-25'!K2:K2000, "&lt;-180", 'EIR 2024-25'!J2:J2000, "Nov")+COUNTIFS('EIR 2024-25'!K2:K2000, "&lt;-180", 'EIR 2024-25'!J2:J2000, "Dec")+COUNTIFS('FOI 2024-25'!J2:J2000, "&lt;-180", 'FOI 2024-25'!I2:I2000, "Jul")+COUNTIFS('FOI 2024-25'!J2:J2000, "&lt;-180", 'FOI 2024-25'!I2:I2000, "Aug")+COUNTIFS('FOI 2024-25'!J2:J2000, "&lt;-180", 'FOI 2024-25'!I2:I2000, "Sep")</f>
        <v>0</v>
      </c>
      <c r="F14" s="89">
        <f ca="1">COUNTIFS('EIR 2024-25'!K2:K2000, "&lt;-180", 'EIR 2024-25'!J2:J2000, "Jan")+COUNTIFS('EIR 2024-25'!K2:K2000, "&lt;-180", 'EIR 2024-25'!J2:J2000, "Feb")+COUNTIFS('EIR 2024-25'!K2:K2000, "&lt;-180", 'EIR 2024-25'!J2:J2000, "Mar")+COUNTIFS('FOI 2024-25'!J2:J2000, "&lt;-180", 'FOI 2024-25'!I2:I2000, "Jan")+COUNTIFS('FOI 2024-25'!J2:J2000, "&lt;-180", 'FOI 2024-25'!I2:I2000, "Feb")+COUNTIFS('FOI 2024-25'!J2:J2000, "&lt;-180", 'FOI 2024-25'!I2:I2000, "Mar")</f>
        <v>0</v>
      </c>
      <c r="H14" s="56"/>
      <c r="I14" s="57"/>
    </row>
    <row r="15" spans="2:9" ht="30" x14ac:dyDescent="0.25">
      <c r="B15" s="36" t="s">
        <v>1981</v>
      </c>
      <c r="C15" s="90">
        <f ca="1">COUNTIFS('EIR 2024-25'!K2:K2000, "&lt;-270", 'EIR 2024-25'!J2:J2000, "Apr")+COUNTIFS('EIR 2024-25'!K2:K2000, "&lt;-270", 'EIR 2024-25'!J2:J2000, "May")+COUNTIFS('EIR 2024-25'!K2:K2000, "&lt;-270", 'EIR 2024-25'!J2:J2000, "Jun")+COUNTIFS('FOI 2024-25'!J2:J2000, "&lt;-270", 'FOI 2024-25'!I2:I2000, "Apr")+COUNTIFS('FOI 2024-25'!J2:J2000, "&lt;-270", 'FOI 2024-25'!I2:I2000, "May")+COUNTIFS('FOI 2024-25'!J2:J2000, "&lt;-270", 'FOI 2024-25'!I2:I2000, "Jun")</f>
        <v>0</v>
      </c>
      <c r="D15" s="90">
        <f ca="1">COUNTIFS('EIR 2024-25'!K2:K2000, "&lt;-270", 'EIR 2024-25'!J2:J2000, "Jul")+COUNTIFS('EIR 2024-25'!K2:K2000, "&lt;-270", 'EIR 2024-25'!J2:J2000, "Aug")+COUNTIFS('EIR 2024-25'!K2:K2000, "&lt;-270", 'EIR 2024-25'!J2:J2000, "Sep")+COUNTIFS('FOI 2024-25'!J2:J2000, "&lt;-270", 'FOI 2024-25'!I2:I2000, "Jul")+COUNTIFS('FOI 2024-25'!J2:J2000, "&lt;-270", 'FOI 2024-25'!I2:I2000, "Aug")+COUNTIFS('FOI 2024-25'!J2:J2000, "&lt;-270", 'FOI 2024-25'!I2:I2000, "Sep")</f>
        <v>0</v>
      </c>
      <c r="E15" s="90">
        <f ca="1">COUNTIFS('EIR 2024-25'!K2:K2000, "&lt;-270", 'EIR 2024-25'!J2:J2000, "Oct")+COUNTIFS('EIR 2024-25'!K2:K2000, "&lt;-270", 'EIR 2024-25'!J2:J2000, "Nov")+COUNTIFS('EIR 2024-25'!K2:K2000, "&lt;-270", 'EIR 2024-25'!J2:J2000, "Dec")+COUNTIFS('FOI 2024-25'!J2:J2000, "&lt;-270", 'FOI 2024-25'!I2:I2000, "Jul")+COUNTIFS('FOI 2024-25'!J2:J2000, "&lt;-270", 'FOI 2024-25'!I2:I2000, "Aug")+COUNTIFS('FOI 2024-25'!J2:J2000, "&lt;-270", 'FOI 2024-25'!I2:I2000, "Sep")</f>
        <v>0</v>
      </c>
      <c r="F15" s="91">
        <f ca="1">COUNTIFS('EIR 2024-25'!K2:K2000, "&lt;-270", 'EIR 2024-25'!J2:J2000, "Jan")+COUNTIFS('EIR 2024-25'!K2:K2000, "&lt;-270", 'EIR 2024-25'!J2:J2000, "Feb")+COUNTIFS('EIR 2024-25'!K2:K2000, "&lt;-270", 'EIR 2024-25'!J2:J2000, "Mar")+COUNTIFS('FOI 2024-25'!J2:J2000, "&lt;-270", 'FOI 2024-25'!I2:I2000, "Jan")+COUNTIFS('FOI 2024-25'!J2:J2000, "&lt;-270", 'FOI 2024-25'!I2:I2000, "Feb")+COUNTIFS('FOI 2024-25'!J2:J2000, "&lt;-270", 'FOI 2024-25'!I2:I2000, "Mar")</f>
        <v>0</v>
      </c>
      <c r="H15" s="56"/>
      <c r="I15" s="57"/>
    </row>
    <row r="16" spans="2:9" ht="30" x14ac:dyDescent="0.25">
      <c r="B16" s="33" t="s">
        <v>1982</v>
      </c>
      <c r="C16" s="88">
        <f ca="1">COUNTIFS('EIR 2024-25'!K2:K2000, "&lt;-365", 'EIR 2024-25'!J2:J2000, "Apr")+COUNTIFS('EIR 2024-25'!K2:K2000, "&lt;-365", 'EIR 2024-25'!J2:J2000, "May")+COUNTIFS('EIR 2024-25'!K2:K2000, "&lt;-365", 'EIR 2024-25'!J2:J2000, "Jun")+COUNTIFS('FOI 2024-25'!J2:J2000, "&lt;-365", 'FOI 2024-25'!I2:I2000, "Apr")+COUNTIFS('FOI 2024-25'!J2:J2000, "&lt;-365", 'FOI 2024-25'!I2:I2000, "May")+COUNTIFS('FOI 2024-25'!J2:J2000, "&lt;-365", 'FOI 2024-25'!I2:I2000, "Jun")</f>
        <v>0</v>
      </c>
      <c r="D16" s="88">
        <f ca="1">COUNTIFS('EIR 2024-25'!K2:K2000, "&lt;-365", 'EIR 2024-25'!J2:J2000, "Jul")+COUNTIFS('EIR 2024-25'!K2:K2000, "&lt;-365", 'EIR 2024-25'!J2:J2000, "Aug")+COUNTIFS('EIR 2024-25'!K2:K2000, "&lt;-365", 'EIR 2024-25'!J2:J2000, "Sep")+COUNTIFS('FOI 2024-25'!J2:J2000, "&lt;-365", 'FOI 2024-25'!I2:I2000, "Jul")+COUNTIFS('FOI 2024-25'!J2:J2000, "&lt;-365", 'FOI 2024-25'!I2:I2000, "Aug")+COUNTIFS('FOI 2024-25'!J2:J2000, "&lt;-365", 'FOI 2024-25'!I2:I2000, "Sep")</f>
        <v>0</v>
      </c>
      <c r="E16" s="88">
        <f ca="1">COUNTIFS('EIR 2024-25'!K2:K2000, "&lt;-365", 'EIR 2024-25'!J2:J2000, "Oct")+COUNTIFS('EIR 2024-25'!K2:K2000, "&lt;-365", 'EIR 2024-25'!J2:J2000, "Nov")+COUNTIFS('EIR 2024-25'!K2:K2000, "&lt;-365", 'EIR 2024-25'!J2:J2000, "Dec")+COUNTIFS('FOI 2024-25'!J2:J2000, "&lt;-365", 'FOI 2024-25'!I2:I2000, "Jul")+COUNTIFS('FOI 2024-25'!J2:J2000, "&lt;-365", 'FOI 2024-25'!I2:I2000, "Aug")+COUNTIFS('FOI 2024-25'!J2:J2000, "&lt;-365", 'FOI 2024-25'!I2:I2000, "Sep")</f>
        <v>0</v>
      </c>
      <c r="F16" s="89">
        <f ca="1">COUNTIFS('EIR 2024-25'!K2:K2000, "&lt;-365", 'EIR 2024-25'!J2:J2000, "Jan")+COUNTIFS('EIR 2024-25'!K2:K2000, "&lt;-365", 'EIR 2024-25'!J2:J2000, "Feb")+COUNTIFS('EIR 2024-25'!K2:K2000, "&lt;-365", 'EIR 2024-25'!J2:J2000, "Mar")+COUNTIFS('FOI 2024-25'!J2:J2000, "&lt;-365", 'FOI 2024-25'!I2:I2000, "Jan")+COUNTIFS('FOI 2024-25'!J2:J2000, "&lt;-365", 'FOI 2024-25'!I2:I2000, "Feb")+COUNTIFS('FOI 2024-25'!J2:J2000, "&lt;-365", 'FOI 2024-25'!I2:I2000, "Mar")</f>
        <v>0</v>
      </c>
      <c r="H16" s="56"/>
      <c r="I16" s="57"/>
    </row>
    <row r="17" spans="2:9" ht="15" x14ac:dyDescent="0.25">
      <c r="B17" s="36" t="s">
        <v>1983</v>
      </c>
      <c r="C17" s="234" t="s">
        <v>1984</v>
      </c>
      <c r="D17" s="234"/>
      <c r="E17" s="234"/>
      <c r="F17" s="235"/>
      <c r="H17" s="56"/>
      <c r="I17" s="57"/>
    </row>
    <row r="18" spans="2:9" ht="45" x14ac:dyDescent="0.25">
      <c r="B18" s="33" t="s">
        <v>1985</v>
      </c>
      <c r="C18" s="88">
        <f>COUNTIFS('FOI 2024-25'!S2:S2000, "*S12*", 'FOI 2024-25'!I2:I2000, "Apr")+COUNTIFS('FOI 2024-25'!S2:S2000, "*S12*", 'FOI 2024-25'!I2:I2000, "May")+COUNTIFS('FOI 2024-25'!S2:S2000, "*S12*", 'FOI 2024-25'!I2:I2000, "Jun")</f>
        <v>7</v>
      </c>
      <c r="D18" s="88">
        <f>COUNTIFS('FOI 2024-25'!S2:S2000, "*S12*", 'FOI 2024-25'!I2:I2000, "Jul")+COUNTIFS('FOI 2024-25'!S2:S2000, "*S12*", 'FOI 2024-25'!I2:I2000, "Aug")+COUNTIFS('FOI 2024-25'!S2:S2000, "*S12*", 'FOI 2024-25'!I2:I2000, "Sep")</f>
        <v>8</v>
      </c>
      <c r="E18" s="88">
        <f>COUNTIFS('FOI 2024-25'!S2:S2000, "*S12*", 'FOI 2024-25'!I2:I2000, "Oct")+COUNTIFS('FOI 2024-25'!S2:S2000, "*S12*", 'FOI 2024-25'!I2:I2000, "Nov")+COUNTIFS('FOI 2024-25'!S2:S2000, "*S12*", 'FOI 2024-25'!I2:I2000, "Dec")</f>
        <v>11</v>
      </c>
      <c r="F18" s="89">
        <f>COUNTIFS('FOI 2024-25'!S2:S2000, "*S12*", 'FOI 2024-25'!I2:I2000, "Jan")+COUNTIFS('FOI 2024-25'!S2:S2000, "*S12*", 'FOI 2024-25'!I2:I2000, "Feb")+COUNTIFS('FOI 2024-25'!S2:S2000, "*S12*", 'FOI 2024-25'!I2:I2000, "Mar")</f>
        <v>6</v>
      </c>
      <c r="H18" s="56"/>
      <c r="I18" s="57"/>
    </row>
    <row r="19" spans="2:9" ht="45" x14ac:dyDescent="0.25">
      <c r="B19" s="36" t="s">
        <v>1986</v>
      </c>
      <c r="C19" s="90">
        <f>COUNTIFS('FOI 2024-25'!S2:S2000, "*S14*", 'FOI 2024-25'!I2:I2000, "Apr")+COUNTIFS('FOI 2024-25'!S2:S2000, "*S14*", 'FOI 2024-25'!I2:I2000, "May")+COUNTIFS('FOI 2024-25'!S2:S2000, "*S14*", 'FOI 2024-25'!I2:I2000, "Jun")</f>
        <v>0</v>
      </c>
      <c r="D19" s="90">
        <f>COUNTIFS('FOI 2024-25'!S2:S2000, "*S14*", 'FOI 2024-25'!I2:I2000, "Jul")+COUNTIFS('FOI 2024-25'!S2:S2000, "*S14*", 'FOI 2024-25'!I2:I2000, "Aug")+COUNTIFS('FOI 2024-25'!S2:S2000, "*S14*", 'FOI 2024-25'!I2:I2000, "Sep")</f>
        <v>0</v>
      </c>
      <c r="E19" s="90">
        <f>COUNTIFS('FOI 2024-25'!S2:S2000, "*S14*", 'FOI 2024-25'!I2:I2000, "Oct")+COUNTIFS('FOI 2024-25'!S2:S2000, "*S14*", 'FOI 2024-25'!I2:I2000, "Nov")+COUNTIFS('FOI 2024-25'!S2:S2000, "*S14*", 'FOI 2024-25'!I2:I2000, "Dec")</f>
        <v>0</v>
      </c>
      <c r="F19" s="91">
        <f>COUNTIFS('FOI 2024-25'!S2:S2000, "*S14*", 'FOI 2024-25'!I2:I2000, "Jan")+COUNTIFS('FOI 2024-25'!S2:S2000, "*S14*", 'FOI 2024-25'!I2:I2000, "Feb")+COUNTIFS('FOI 2024-25'!S2:S2000, "*S14*", 'FOI 2024-25'!I2:I2000, "Mar")</f>
        <v>0</v>
      </c>
      <c r="H19" s="56"/>
      <c r="I19" s="57"/>
    </row>
    <row r="20" spans="2:9" ht="15" x14ac:dyDescent="0.25">
      <c r="B20" s="33" t="s">
        <v>1987</v>
      </c>
      <c r="C20" s="88">
        <f>COUNTIFS('Internal Review 2024-25'!$C$2:$C$34,"&gt;=01/04/2024", 'Internal Review 2024-25'!$C$2:$C$34,"&lt;=30/06/2024", 'Internal Review 2024-25'!$G$2:$G$34, "*")</f>
        <v>7</v>
      </c>
      <c r="D20" s="88">
        <f>COUNTIFS('Internal Review 2024-25'!$C$2:$C$34,"&gt;=01/07/2024", 'Internal Review 2024-25'!$C$2:$C$34,"&lt;=30/09/2024", 'Internal Review 2024-25'!$G$2:$G$34, "*")</f>
        <v>1</v>
      </c>
      <c r="E20" s="88">
        <f>COUNTIFS('Internal Review 2024-25'!$C$2:$C$34,"&gt;=01/10/2024", 'Internal Review 2024-25'!$C$2:$C$34,"&lt;=31/12/2024", 'Internal Review 2024-25'!$G$2:$G$34, "*")</f>
        <v>6</v>
      </c>
      <c r="F20" s="89">
        <f>COUNTIFS('Internal Review 2024-25'!$C$2:$C$34,"&gt;=01/01/2025", 'Internal Review 2024-25'!$C$2:$C$34,"&lt;=31/03/2025", 'Internal Review 2024-25'!$G$2:$G$34, "*")</f>
        <v>2</v>
      </c>
      <c r="H20" s="56"/>
      <c r="I20" s="57"/>
    </row>
    <row r="21" spans="2:9" ht="30" x14ac:dyDescent="0.25">
      <c r="B21" s="39" t="s">
        <v>1988</v>
      </c>
      <c r="C21" s="102">
        <f>COUNTIFS('Internal Review 2024-25'!F2:F50, "Yes", 'Internal Review 2024-25'!B2:B50, "Apr")+COUNTIFS('Internal Review 2024-25'!F2:F50, "Yes", 'Internal Review 2024-25'!B2:B50, "May")+COUNTIFS('Internal Review 2024-25'!F2:F50, "Yes", 'Internal Review 2024-25'!B2:B50, "Jun")</f>
        <v>7</v>
      </c>
      <c r="D21" s="90">
        <f>COUNTIFS('Internal Review 2024-25'!F2:F50, "Yes", 'Internal Review 2024-25'!B2:B50, "Jul")+COUNTIFS('Internal Review 2024-25'!F2:F50, "Yes", 'Internal Review 2024-25'!B2:B50, "Aug")+COUNTIFS('Internal Review 2024-25'!F2:F50, "Yes", 'Internal Review 2024-25'!B2:B50, "Sep")</f>
        <v>1</v>
      </c>
      <c r="E21" s="90">
        <f>COUNTIFS('Internal Review 2024-25'!F2:F50, "Yes", 'Internal Review 2024-25'!B2:B50, "Oct")+COUNTIFS('Internal Review 2024-25'!F2:F50, "Yes", 'Internal Review 2024-25'!B2:B50, "Nov")+COUNTIFS('Internal Review 2024-25'!F2:F50, "Yes", 'Internal Review 2024-25'!B2:B50, "Mar")</f>
        <v>6</v>
      </c>
      <c r="F21" s="91">
        <f>COUNTIFS('Internal Review 2024-25'!F2:F50, "Yes", 'Internal Review 2024-25'!B2:B50, "Jan")+COUNTIFS('Internal Review 2024-25'!F2:F50, "Yes", 'Internal Review 2024-25'!B2:B50, "Feb")+COUNTIFS('Internal Review 2024-25'!F2:F50, "Yes", 'Internal Review 2024-25'!B2:B50, "Mar")</f>
        <v>2</v>
      </c>
      <c r="H21" s="56"/>
      <c r="I21" s="57"/>
    </row>
    <row r="22" spans="2:9" ht="30" x14ac:dyDescent="0.25">
      <c r="B22" s="33" t="s">
        <v>1989</v>
      </c>
      <c r="C22" s="88">
        <f>COUNTIFS('Internal Review 2024-25'!F2:F50, "No", 'Internal Review 2024-25'!B2:B50, "Apr")+COUNTIFS('Internal Review 2024-25'!F2:F50, "No", 'Internal Review 2024-25'!B2:B50, "May")+COUNTIFS('Internal Review 2024-25'!F2:F50, "No", 'Internal Review 2024-25'!B2:B50, "Jun")</f>
        <v>0</v>
      </c>
      <c r="D22" s="88">
        <f>COUNTIFS('Internal Review 2024-25'!F2:F50, "No", 'Internal Review 2024-25'!B2:B50, "Jul")+COUNTIFS('Internal Review 2024-25'!F2:F50, "No", 'Internal Review 2024-25'!B2:B50, "Aug")+COUNTIFS('Internal Review 2024-25'!F2:F50, "No", 'Internal Review 2024-25'!B2:B50, "Sep")</f>
        <v>0</v>
      </c>
      <c r="E22" s="88">
        <f>COUNTIFS('Internal Review 2024-25'!F2:F50, "No", 'Internal Review 2024-25'!B2:B50, "Oct")+COUNTIFS('Internal Review 2024-25'!F2:F50, "No", 'Internal Review 2024-25'!B2:B50, "Nov")+COUNTIFS('Internal Review 2024-25'!F2:F50, "No", 'Internal Review 2024-25'!B2:B50, "Mar")</f>
        <v>0</v>
      </c>
      <c r="F22" s="89">
        <f>COUNTIFS('Internal Review 2024-25'!F2:F50, "No", 'Internal Review 2024-25'!B2:B50, "Jan")+COUNTIFS('Internal Review 2024-25'!F2:F50, "No", 'Internal Review 2024-25'!B2:B50, "Feb")+COUNTIFS('Internal Review 2024-25'!F2:F50, "No", 'Internal Review 2024-25'!B2:B50, "Mar")</f>
        <v>0</v>
      </c>
      <c r="H22" s="56"/>
      <c r="I22" s="57"/>
    </row>
    <row r="23" spans="2:9" ht="30" x14ac:dyDescent="0.25">
      <c r="B23" s="36" t="s">
        <v>1990</v>
      </c>
      <c r="C23" s="103">
        <f>COUNTIFS('Internal Review 2024-25'!G2:G50, "Original response upheld", 'Internal Review 2024-25'!B2:B50, "Apr")+COUNTIFS('Internal Review 2024-25'!G2:G50, "Original response upheld", 'Internal Review 2024-25'!B2:B50, "May")+COUNTIFS('Internal Review 2024-25'!G2:G50, "Original response upheld", 'Internal Review 2024-25'!B2:B50, "Jun")</f>
        <v>5</v>
      </c>
      <c r="D23" s="103">
        <f>COUNTIFS('Internal Review 2024-25'!G2:G50, "Original response upheld", 'Internal Review 2024-25'!B2:B50, "Jul")+COUNTIFS('Internal Review 2024-25'!G2:G50, "Original response upheld", 'Internal Review 2024-25'!B2:B50, "Aug")+COUNTIFS('Internal Review 2024-25'!G2:G50, "Original response upheld", 'Internal Review 2024-25'!B2:B50, "Sep")</f>
        <v>1</v>
      </c>
      <c r="E23" s="53">
        <f>COUNTIFS('Internal Review 2024-25'!G2:G50, "Original response upheld", 'Internal Review 2024-25'!B2:B50, "Oct")+COUNTIFS('Internal Review 2024-25'!G2:G50, "Original response upheld", 'Internal Review 2024-25'!B2:B50, "Nov")+COUNTIFS('Internal Review 2024-25'!G2:G50, "Original response upheld", 'Internal Review 2024-25'!B2:B50, "Dec")</f>
        <v>5</v>
      </c>
      <c r="F23" s="104">
        <f>COUNTIFS('Internal Review 2024-25'!G2:G50, "Original response upheld", 'Internal Review 2024-25'!B2:B50, "Jan")+COUNTIFS('Internal Review 2024-25'!G2:G50, "Original response upheld", 'Internal Review 2024-25'!B2:B50, "Feb")+COUNTIFS('Internal Review 2024-25'!G2:G50, "Original response upheld", 'Internal Review 2024-25'!B2:B50, "Mar")</f>
        <v>2</v>
      </c>
      <c r="H23" s="56"/>
      <c r="I23" s="57"/>
    </row>
    <row r="24" spans="2:9" ht="30" x14ac:dyDescent="0.25">
      <c r="B24" s="33" t="s">
        <v>1991</v>
      </c>
      <c r="C24" s="105">
        <f>COUNTIFS('Internal Review 2024-25'!G2:G50, "Original response partially upheld", 'Internal Review 2024-25'!B2:B50, "Apr")+COUNTIFS('Internal Review 2024-25'!G2:G50, "Original response partially upheld", 'Internal Review 2024-25'!B2:B50, "May")+COUNTIFS('Internal Review 2024-25'!G2:G50, "Original response partially upheld", 'Internal Review 2024-25'!B2:B50, "Jun")</f>
        <v>0</v>
      </c>
      <c r="D24" s="105">
        <f>COUNTIFS('Internal Review 2024-25'!G2:G50, "Original response partially upheld", 'Internal Review 2024-25'!B2:B50, "Jul")+COUNTIFS('Internal Review 2024-25'!G2:G50, "Original response partially upheld", 'Internal Review 2024-25'!B2:B50, "Aug")+COUNTIFS('Internal Review 2024-25'!G2:G50, "Original response partially upheld", 'Internal Review 2024-25'!B2:B50, "Sep")</f>
        <v>0</v>
      </c>
      <c r="E24" s="54">
        <f>COUNTIFS('Internal Review 2024-25'!G2:G50, "Original response partially upheld", 'Internal Review 2024-25'!B2:B50, "Oct")+COUNTIFS('Internal Review 2024-25'!G2:G50, "Original response partially upheld", 'Internal Review 2024-25'!B2:B50, "Nov")+COUNTIFS('Internal Review 2024-25'!G2:G50, "Original response partially upheld", 'Internal Review 2024-25'!B2:B50, "Dec")</f>
        <v>0</v>
      </c>
      <c r="F24" s="106">
        <f>COUNTIFS('Internal Review 2024-25'!G2:G50, "Original response partially upheld", 'Internal Review 2024-25'!B2:B50, "Jan")+COUNTIFS('Internal Review 2024-25'!G2:G50, "Original response partially upheld", 'Internal Review 2024-25'!B2:B50, "Feb")+COUNTIFS('Internal Review 2024-25'!G2:G50, "Original response partially upheld", 'Internal Review 2024-25'!B2:B50, "Mar")</f>
        <v>0</v>
      </c>
      <c r="H24" s="56"/>
      <c r="I24" s="57"/>
    </row>
    <row r="25" spans="2:9" ht="30" x14ac:dyDescent="0.25">
      <c r="B25" s="36" t="s">
        <v>1992</v>
      </c>
      <c r="C25" s="103">
        <f>COUNTIFS('Internal Review 2024-25'!G2:G50, "Original response not upheld", 'Internal Review 2024-25'!B2:B50, "Apr")+COUNTIFS('Internal Review 2024-25'!G2:G50, "Original response not upheld", 'Internal Review 2024-25'!B2:B50, "May")+COUNTIFS('Internal Review 2024-25'!G2:G50, "Original response not upheld", 'Internal Review 2024-25'!B2:B50, "Jun")</f>
        <v>2</v>
      </c>
      <c r="D25" s="103">
        <f>COUNTIFS('Internal Review 2024-25'!G2:G50, "Original response not upheld", 'Internal Review 2024-25'!B2:B50, "Jul")+COUNTIFS('Internal Review 2024-25'!G2:G50, "Original response not upheld", 'Internal Review 2024-25'!B2:B50, "Aug")+COUNTIFS('Internal Review 2024-25'!G2:G50, "Original response not upheld", 'Internal Review 2024-25'!B2:B50, "Sep")</f>
        <v>0</v>
      </c>
      <c r="E25" s="53">
        <f>COUNTIFS('Internal Review 2024-25'!G2:G50, "Original response not upheld", 'Internal Review 2024-25'!B2:B50, "Oct")+COUNTIFS('Internal Review 2024-25'!G2:G50, "Original response not upheld", 'Internal Review 2024-25'!B2:B50, "Nov")+COUNTIFS('Internal Review 2024-25'!G2:G50, "Original response not upheld", 'Internal Review 2024-25'!B2:B50, "Dec")</f>
        <v>1</v>
      </c>
      <c r="F25" s="104">
        <f>COUNTIFS('Internal Review 2024-25'!G2:G50, "Original response not upheld", 'Internal Review 2024-25'!B2:B50, "Jan")+COUNTIFS('Internal Review 2024-25'!G2:G50, "Original response not upheld", 'Internal Review 2024-25'!B2:B50, "Feb")+COUNTIFS('Internal Review 2024-25'!G2:G50, "Original response not upheld", 'Internal Review 2024-25'!B2:B50, "Mar")</f>
        <v>0</v>
      </c>
      <c r="H25" s="56"/>
      <c r="I25" s="57"/>
    </row>
    <row r="26" spans="2:9" ht="15.5" thickBot="1" x14ac:dyDescent="0.3">
      <c r="B26" s="58" t="s">
        <v>1993</v>
      </c>
      <c r="C26" s="107">
        <f>COUNTIFS('Internal Review 2024-25'!E2:E50, "", 'Internal Review 2024-25'!B2:B50, "Apr")+COUNTIFS('Internal Review 2024-25'!E2:E50, "", 'Internal Review 2024-25'!B2:B50, "May")+COUNTIFS('Internal Review 2024-25'!E2:E50, "", 'Internal Review 2024-25'!B2:B50, "Jun")</f>
        <v>0</v>
      </c>
      <c r="D26" s="107">
        <f>COUNTIFS('Internal Review 2024-25'!E2:E50, "", 'Internal Review 2024-25'!B2:B50, "Jul")+COUNTIFS('Internal Review 2024-25'!E2:E50, "", 'Internal Review 2024-25'!B2:B50, "Aug")+COUNTIFS('Internal Review 2024-25'!E2:E50, "", 'Internal Review 2024-25'!B2:B50, "Sep")</f>
        <v>0</v>
      </c>
      <c r="E26" s="107">
        <f>COUNTIFS('Internal Review 2024-25'!E2:E50, "", 'Internal Review 2024-25'!B2:B50, "Oct")+COUNTIFS('Internal Review 2024-25'!E2:E50, "", 'Internal Review 2024-25'!B2:B50, "Nov")+COUNTIFS('Internal Review 2024-25'!E2:E50, "", 'Internal Review 2024-25'!B2:B50, "Dec")</f>
        <v>0</v>
      </c>
      <c r="F26" s="108">
        <f>COUNTIFS('Internal Review 2024-25'!E2:E50, "", 'Internal Review 2024-25'!B2:B50, "Jan")+COUNTIFS('Internal Review 2024-25'!E2:E50, "", 'Internal Review 2024-25'!B2:B50, "Feb")+COUNTIFS('Internal Review 2024-25'!E2:E50, "", 'Internal Review 2024-25'!B2:B50, "Mar")</f>
        <v>0</v>
      </c>
      <c r="H26" s="56"/>
      <c r="I26" s="57"/>
    </row>
    <row r="27" spans="2:9" ht="15" x14ac:dyDescent="0.25">
      <c r="E27" s="47"/>
      <c r="H27" s="56"/>
      <c r="I27" s="57"/>
    </row>
    <row r="28" spans="2:9" ht="15" x14ac:dyDescent="0.25">
      <c r="E28" s="47"/>
      <c r="H28" s="56"/>
      <c r="I28" s="57"/>
    </row>
    <row r="29" spans="2:9" ht="15" x14ac:dyDescent="0.25">
      <c r="E29" s="47"/>
      <c r="H29" s="56"/>
      <c r="I29" s="57"/>
    </row>
    <row r="30" spans="2:9" ht="15" x14ac:dyDescent="0.25">
      <c r="E30" s="56"/>
      <c r="F30" s="59"/>
      <c r="H30" s="56"/>
      <c r="I30" s="57"/>
    </row>
    <row r="31" spans="2:9" ht="15" x14ac:dyDescent="0.25">
      <c r="E31" s="56"/>
      <c r="F31" s="59"/>
      <c r="H31" s="56"/>
      <c r="I31" s="57"/>
    </row>
    <row r="32" spans="2:9" ht="15" x14ac:dyDescent="0.25">
      <c r="E32" s="56"/>
      <c r="F32" s="59"/>
      <c r="H32" s="56"/>
      <c r="I32" s="57"/>
    </row>
    <row r="33" spans="5:9" ht="15" x14ac:dyDescent="0.25">
      <c r="E33" s="56"/>
      <c r="F33" s="59"/>
      <c r="H33" s="56"/>
      <c r="I33" s="57"/>
    </row>
    <row r="34" spans="5:9" ht="15" x14ac:dyDescent="0.25">
      <c r="E34" s="56"/>
      <c r="F34" s="59"/>
      <c r="H34" s="56"/>
      <c r="I34" s="57"/>
    </row>
    <row r="35" spans="5:9" x14ac:dyDescent="0.25">
      <c r="E35" s="47"/>
    </row>
  </sheetData>
  <protectedRanges>
    <protectedRange sqref="C4:C5 D18:F26 C22:C26 C9:F16 C18:C20" name="Range1"/>
  </protectedRanges>
  <mergeCells count="4">
    <mergeCell ref="B1:F2"/>
    <mergeCell ref="C4:F4"/>
    <mergeCell ref="C5:F5"/>
    <mergeCell ref="C17:F17"/>
  </mergeCells>
  <dataValidations count="20">
    <dataValidation allowBlank="1" showInputMessage="1" showErrorMessage="1" promptTitle="Definition" prompt="All internal reviews you closed where the original decision on information disclosure was overturned. Include reviews closed during the period" sqref="B25" xr:uid="{11353261-2F1C-450A-9177-88268BD0BB3E}"/>
    <dataValidation allowBlank="1" showInputMessage="1" showErrorMessage="1" promptTitle="Definition" prompt="All internal reviews you closed because where the original decision on information disclosure was partially upheld. Include reviews closed during the period" sqref="B24" xr:uid="{15AC1A15-E8CB-4F8C-85F3-7095A72EBBDE}"/>
    <dataValidation allowBlank="1" showInputMessage="1" showErrorMessage="1" promptTitle="Definition" prompt="All internal reviews you closed where the original decision on information disclosure was fully upheld. Include reviews closed during the period" sqref="B23" xr:uid="{D777DFC4-7BAB-46A3-8024-D219C21FDC34}"/>
    <dataValidation allowBlank="1" showInputMessage="1" showErrorMessage="1" promptTitle="Definition" prompt="Valid EIR requests you received, including all processed and unprocessed requests. Do not include information requests you have not responded to under FOIA (eg business as usual or subject access). Include requests received during the period" sqref="B10" xr:uid="{2D9E030A-8BAA-4A2B-BAD8-9476AEB0DF58}"/>
    <dataValidation allowBlank="1" showInputMessage="1" showErrorMessage="1" promptTitle="Definition" prompt="Valid FOI requests you received, including all processed and unprocessed requests. Do not include information requests that you have not responded to under FOIA (eg business as usual or subject access). Include requests received during the period" sqref="B9" xr:uid="{2C51E4F7-9A9E-4AAA-A810-899A812CC6BA}"/>
    <dataValidation allowBlank="1" showInputMessage="1" showErrorMessage="1" promptTitle="Definition" prompt="The percentage of requests you closed within the statutory deadline or those you completed under permitted extensions. Include requests received during or before the period. The template will automatically populate this value from the Key data tab" sqref="B8" xr:uid="{5E5C3DF5-9BA0-49C3-B554-D8ADAD1F217E}"/>
    <dataValidation allowBlank="1" showInputMessage="1" showErrorMessage="1" promptTitle="Definition" prompt="All requests you closed as not complied with under the provisions of section 14. Include requests closed during the period" sqref="B19" xr:uid="{AA879530-EE78-4232-BE3D-14521C114C56}"/>
    <dataValidation allowBlank="1" showInputMessage="1" showErrorMessage="1" promptTitle="Definition" prompt="All requests you closed as not complied with under the provisions of section 12. Include requests closed during the period" sqref="B18" xr:uid="{D7F1F173-0AA8-4C8B-A31C-CE6CEE68693D}"/>
    <dataValidation allowBlank="1" showInputMessage="1" showErrorMessage="1" promptTitle="Definition" prompt="All internal reviews that remain open. Include reviews opened during or before the period" sqref="B26" xr:uid="{20B01690-B16C-40B3-B581-3EE29D427B28}"/>
    <dataValidation allowBlank="1" showInputMessage="1" showErrorMessage="1" promptTitle="Definition" prompt="All internal reviews you closed exceeding the code of practice (FOI) or statutory (EIR) deadline received during and before the period. Include reviews closed during the period" sqref="B22" xr:uid="{769393B5-AA0A-4680-AD4B-0AE8A0AD1EB6}"/>
    <dataValidation allowBlank="1" showInputMessage="1" showErrorMessage="1" promptTitle="Definition" prompt="All internal reviews you closed within the code of practice (FOI) or statutory (EIR) deadline. Include reviews closed during the period" sqref="B21" xr:uid="{B1A33194-A32F-4E3D-9EC1-F73E41110153}"/>
    <dataValidation allowBlank="1" showInputMessage="1" showErrorMessage="1" promptTitle="Definition" prompt="All internal reviews you closed. Include reviews closed during the period" sqref="B20" xr:uid="{A4CC76B1-5BBB-4BC9-BF13-3C34F7DF8C82}"/>
    <dataValidation allowBlank="1" showInputMessage="1" showErrorMessage="1" promptTitle="Definition" prompt="Record the number of times you applied each exemption or exception. You should apply each exemption or exception only once per request. Include requests closed during the period. Use the tables provided in the 'Exemptions and exceptions' tab" sqref="B17" xr:uid="{1AE6FDBD-39AA-42BB-80ED-5EE7EFF27F4A}"/>
    <dataValidation type="whole" operator="greaterThanOrEqual" allowBlank="1" showInputMessage="1" showErrorMessage="1" sqref="D20:F21 C20 C22:F26 C9:F16" xr:uid="{D6328C58-22A0-45FB-AABB-A7FAB87622D7}">
      <formula1>0</formula1>
    </dataValidation>
    <dataValidation allowBlank="1" showInputMessage="1" showErrorMessage="1" promptTitle="Definition" prompt="All requests which remain open, which have exceeded the statutory 20 working days or are beyond the reasonable limits of a permitted extension, which are more than one year old." sqref="B16" xr:uid="{2E3C0EE0-67B3-4E14-961E-DAD69792F52D}"/>
    <dataValidation allowBlank="1" showInputMessage="1" showErrorMessage="1" promptTitle="Definition" prompt="All requests that remain open which have exceeded the statutory 20 working days or are more than nine months old and beyond the reasonable limits of a permitted extension. Include requests opened during and before the period" sqref="B15" xr:uid="{887F2B5E-6135-44AA-8B1D-184071332FF5}"/>
    <dataValidation allowBlank="1" showInputMessage="1" showErrorMessage="1" promptTitle="Definition" prompt="All requests that remain open which have exceeded the statutory 20 working days or are more than six months old and beyond the reasonable limits of a permitted extension. Include requests opened during and before the period" sqref="B14" xr:uid="{DA8939FE-81ED-40D7-B042-8CEE53374895}"/>
    <dataValidation allowBlank="1" showInputMessage="1" showErrorMessage="1" promptTitle="Definition" prompt="All requests that remain open which have exceeded the statutory 20 working days or are more than three months old and beyond the reasonable limits of a permitted extension. Include requests opened during and before the period" sqref="B13" xr:uid="{7A30FC2C-649C-400D-BA21-32734AF3CEBB}"/>
    <dataValidation allowBlank="1" showInputMessage="1" showErrorMessage="1" promptTitle="Definition" prompt="All requests that remain open which have exceeded the statutory 20 working days or are more than a month old and beyond the reasonable limits of a permitted extension. Include requests opened during and before the period" sqref="B12" xr:uid="{B36DD19B-5E60-48E1-A87B-9FAECFA27C4A}"/>
    <dataValidation allowBlank="1" showInputMessage="1" showErrorMessage="1" promptTitle="Definition" prompt="All requests that remain open which have exceeded the statutory 20 working days or are beyond the reasonable limits of a permitted extension. Include requests opened during and before the period" sqref="B11" xr:uid="{88C5C037-69D8-4993-88B5-17730D761FA5}"/>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2EFE-92E0-490A-BC6C-BB0546B6D346}">
  <dimension ref="B1:L33"/>
  <sheetViews>
    <sheetView workbookViewId="0">
      <selection activeCell="B7" sqref="B7:F7"/>
    </sheetView>
  </sheetViews>
  <sheetFormatPr defaultColWidth="9.1796875" defaultRowHeight="12.5" x14ac:dyDescent="0.25"/>
  <cols>
    <col min="1" max="1" width="9.1796875" style="27"/>
    <col min="2" max="2" width="41.453125" style="62" customWidth="1"/>
    <col min="3" max="3" width="14.1796875" style="62" customWidth="1"/>
    <col min="4" max="6" width="14.1796875" style="27" customWidth="1"/>
    <col min="7" max="7" width="9.1796875" style="27"/>
    <col min="8" max="8" width="41.453125" style="65" customWidth="1"/>
    <col min="9" max="12" width="14.1796875" style="27" customWidth="1"/>
    <col min="13" max="16384" width="9.1796875" style="27"/>
  </cols>
  <sheetData>
    <row r="1" spans="2:12" x14ac:dyDescent="0.25">
      <c r="B1" s="233" t="s">
        <v>1994</v>
      </c>
      <c r="C1" s="233"/>
      <c r="D1" s="233"/>
      <c r="E1" s="233"/>
      <c r="F1" s="233"/>
      <c r="G1" s="233"/>
      <c r="H1" s="233"/>
      <c r="I1" s="233"/>
      <c r="J1" s="233"/>
      <c r="K1" s="233"/>
      <c r="L1" s="233"/>
    </row>
    <row r="2" spans="2:12" x14ac:dyDescent="0.25">
      <c r="B2" s="233"/>
      <c r="C2" s="233"/>
      <c r="D2" s="233"/>
      <c r="E2" s="233"/>
      <c r="F2" s="233"/>
      <c r="G2" s="233"/>
      <c r="H2" s="233"/>
      <c r="I2" s="233"/>
      <c r="J2" s="233"/>
      <c r="K2" s="233"/>
      <c r="L2" s="233"/>
    </row>
    <row r="3" spans="2:12" ht="20" x14ac:dyDescent="0.25">
      <c r="B3" s="61"/>
      <c r="C3" s="48"/>
      <c r="D3" s="48"/>
      <c r="E3" s="48"/>
      <c r="F3" s="48"/>
      <c r="G3" s="48"/>
      <c r="H3" s="48"/>
      <c r="I3" s="48"/>
      <c r="J3" s="48"/>
      <c r="K3" s="48"/>
      <c r="L3" s="48"/>
    </row>
    <row r="4" spans="2:12" ht="20" x14ac:dyDescent="0.25">
      <c r="B4" s="29" t="s">
        <v>1954</v>
      </c>
      <c r="C4" s="228" t="s">
        <v>1955</v>
      </c>
      <c r="D4" s="229"/>
      <c r="E4" s="229"/>
      <c r="F4" s="230"/>
      <c r="G4" s="48"/>
      <c r="H4" s="48"/>
      <c r="I4" s="48"/>
      <c r="J4" s="48"/>
      <c r="K4" s="48"/>
      <c r="L4" s="48"/>
    </row>
    <row r="5" spans="2:12" ht="30" x14ac:dyDescent="0.25">
      <c r="B5" s="29" t="s">
        <v>1956</v>
      </c>
      <c r="C5" s="231">
        <v>45783</v>
      </c>
      <c r="D5" s="232"/>
      <c r="E5" s="232"/>
      <c r="F5" s="232"/>
      <c r="G5" s="48"/>
      <c r="H5" s="48"/>
      <c r="I5" s="48"/>
      <c r="J5" s="48"/>
      <c r="K5" s="48"/>
      <c r="L5" s="48"/>
    </row>
    <row r="6" spans="2:12" x14ac:dyDescent="0.25">
      <c r="D6" s="47"/>
      <c r="E6" s="47"/>
      <c r="F6" s="47"/>
      <c r="G6" s="47"/>
      <c r="H6" s="60"/>
      <c r="I6" s="47"/>
      <c r="J6" s="47"/>
      <c r="K6" s="47"/>
      <c r="L6" s="47"/>
    </row>
    <row r="7" spans="2:12" ht="18" thickBot="1" x14ac:dyDescent="0.3">
      <c r="B7" s="236" t="s">
        <v>1995</v>
      </c>
      <c r="C7" s="236"/>
      <c r="D7" s="236"/>
      <c r="E7" s="236"/>
      <c r="F7" s="236"/>
      <c r="G7" s="47"/>
      <c r="H7" s="236" t="s">
        <v>1996</v>
      </c>
      <c r="I7" s="236"/>
      <c r="J7" s="236"/>
      <c r="K7" s="236"/>
      <c r="L7" s="236"/>
    </row>
    <row r="8" spans="2:12" ht="17.5" x14ac:dyDescent="0.25">
      <c r="B8" s="49" t="s">
        <v>1997</v>
      </c>
      <c r="C8" s="50" t="s">
        <v>1957</v>
      </c>
      <c r="D8" s="31" t="s">
        <v>1958</v>
      </c>
      <c r="E8" s="31" t="s">
        <v>1959</v>
      </c>
      <c r="F8" s="32" t="s">
        <v>1960</v>
      </c>
      <c r="G8" s="47"/>
      <c r="H8" s="49" t="s">
        <v>1998</v>
      </c>
      <c r="I8" s="31" t="s">
        <v>1957</v>
      </c>
      <c r="J8" s="31" t="s">
        <v>1958</v>
      </c>
      <c r="K8" s="31" t="s">
        <v>1959</v>
      </c>
      <c r="L8" s="32" t="s">
        <v>1960</v>
      </c>
    </row>
    <row r="9" spans="2:12" ht="30" x14ac:dyDescent="0.25">
      <c r="B9" s="63" t="s">
        <v>1999</v>
      </c>
      <c r="C9" s="109">
        <f>COUNTIFS('FOI 2024-25'!S2:S2000, "*Accessible by other means*", 'FOI 2024-25'!I2:I2000, "Apr")+COUNTIFS('FOI 2024-25'!S2:S2000, "*Accessible by other means*", 'FOI 2024-25'!I2:I2000, "May")+COUNTIFS('FOI 2024-25'!S2:S2000, "*Accessible by other means*", 'FOI 2024-25'!I2:I2000, "Jun")+COUNTIFS('FOI 2024-25'!T2:T2000, "*S21*", 'FOI 2024-25'!I2:I2000, "Apr")+COUNTIFS('FOI 2024-25'!T2:T2000, "*S21*", 'FOI 2024-25'!I2:I2000, "May")+COUNTIFS('FOI 2024-25'!T2:T2000, "*S21*", 'FOI 2024-25'!I2:I2000, "Jun")</f>
        <v>29</v>
      </c>
      <c r="D9" s="109">
        <f>COUNTIFS('FOI 2024-25'!S2:S2000, "*Accessible by other means*", 'FOI 2024-25'!I2:I2000, "Jul")+COUNTIFS('FOI 2024-25'!S2:S2000, "*Accessible by other means*", 'FOI 2024-25'!I2:I2000, "Aug")+COUNTIFS('FOI 2024-25'!S2:S2000, "*Accessible by other means*", 'FOI 2024-25'!I2:I2000, "Sep")+COUNTIFS('FOI 2024-25'!T2:T2000, "*S21*", 'FOI 2024-25'!I2:I2000, "Jul")+COUNTIFS('FOI 2024-25'!T2:T2000, "*S21*", 'FOI 2024-25'!I2:I2000, "Aug")+COUNTIFS('FOI 2024-25'!T2:T2000, "*S21*", 'FOI 2024-25'!I2:I2000, "Sep")</f>
        <v>34</v>
      </c>
      <c r="E9" s="109">
        <f>COUNTIFS('FOI 2024-25'!S2:S2000, "*Accessible by other means*", 'FOI 2024-25'!I2:I2000, "Oct")+COUNTIFS('FOI 2024-25'!S2:S2000, "*Accessible by other means*", 'FOI 2024-25'!I2:I2000, "Nov")+COUNTIFS('FOI 2024-25'!S2:S2000, "*Accessible by other means*", 'FOI 2024-25'!I2:I2000, "Dec")+COUNTIFS('FOI 2024-25'!T2:T2000, "*S21*", 'FOI 2024-25'!I2:I2000, "Oct")+COUNTIFS('FOI 2024-25'!T2:T2000, "*S21*", 'FOI 2024-25'!I2:I2000, "Nov")+COUNTIFS('FOI 2024-25'!T2:T2000, "*S21*", 'FOI 2024-25'!I2:I2000, "Dec")</f>
        <v>18</v>
      </c>
      <c r="F9" s="110">
        <f>COUNTIFS('FOI 2024-25'!S2:S2000, "*Accessible by other means*", 'FOI 2024-25'!I2:I2000, "Jan")+COUNTIFS('FOI 2024-25'!S2:S2000, "*Accessible by other means*", 'FOI 2024-25'!I2:I2000, "Feb")+COUNTIFS('FOI 2024-25'!S2:S2000, "*Accessible by other means*", 'FOI 2024-25'!I2:I2000, "Mar")+COUNTIFS('FOI 2024-25'!T2:T2000, "*S21*", 'FOI 2024-25'!I2:I2000, "Jan")+COUNTIFS('FOI 2024-25'!T2:T2000, "*S21*", 'FOI 2024-25'!I2:I2000, "Feb")+COUNTIFS('FOI 2024-25'!T2:T2000, "*S21*", 'FOI 2024-25'!I2:I2000, "Mar")</f>
        <v>44</v>
      </c>
      <c r="G9" s="47"/>
      <c r="H9" s="33" t="s">
        <v>2000</v>
      </c>
      <c r="I9" s="105">
        <f>COUNTIFS('EIR 2024-25'!S2:S1000, "*Information not held*", 'EIR 2024-25'!J2:J1000, "Apr")+COUNTIFS('EIR 2024-25'!S2:S1000, "*Information not held*", 'EIR 2024-25'!J2:J1000, "May")+COUNTIFS('EIR 2024-25'!S2:S1000, "*Information not held*", 'EIR 2024-25'!J2:J1000, "Jun")+COUNTIFS('EIR 2024-25'!T2:T1000, "*S12(4)(A)*", 'EIR 2024-25'!J2:J1000, "Apr")+COUNTIFS('EIR 2024-25'!T2:T1000, "*S12(4)(A)*", 'EIR 2024-25'!J2:J1000, "May")+COUNTIFS('EIR 2024-25'!T2:T1000, "*S12(4)(A)*", 'EIR 2024-25'!J2:J1000, "Jun")</f>
        <v>0</v>
      </c>
      <c r="J9" s="105">
        <f>COUNTIFS('EIR 2024-25'!S2:S1000, "*Information not held*", 'EIR 2024-25'!J2:J1000, "Jul")+COUNTIFS('EIR 2024-25'!S2:S1000, "*Information not held*", 'EIR 2024-25'!J2:J1000, "Aug")+COUNTIFS('EIR 2024-25'!S2:S1000, "*Information not held*", 'EIR 2024-25'!J2:J1000, "Sep")+COUNTIFS('EIR 2024-25'!T2:T1000, "*S12(4)(A)*", 'EIR 2024-25'!J2:J1000, "Jul")+COUNTIFS('EIR 2024-25'!T2:T1000, "*S12(4)(A)*", 'EIR 2024-25'!J2:J1000, "Aug")+COUNTIFS('EIR 2024-25'!T2:T1000, "*S12(4)(A)*", 'EIR 2024-25'!J2:J1000, "Sep")</f>
        <v>0</v>
      </c>
      <c r="K9" s="105">
        <f>COUNTIFS('EIR 2024-25'!S2:S1000, "*Information not held*", 'EIR 2024-25'!J2:J1000, "Oct")+COUNTIFS('EIR 2024-25'!S2:S1000, "*Information not held*", 'EIR 2024-25'!J2:J1000, "Nov")+COUNTIFS('EIR 2024-25'!S2:S1000, "*Information not held*", 'EIR 2024-25'!J2:J1000, "Dec")+COUNTIFS('EIR 2024-25'!T2:T1000, "*S12(4)(A)*", 'EIR 2024-25'!J2:J1000, "Oct")+COUNTIFS('EIR 2024-25'!T2:T1000, "*S12(4)(A)*", 'EIR 2024-25'!J2:J1000, "Nov")+COUNTIFS('EIR 2024-25'!T2:T1000, "*S12(4)(A)*", 'EIR 2024-25'!J2:J1000, "Dec")</f>
        <v>0</v>
      </c>
      <c r="L9" s="111">
        <f>COUNTIFS('EIR 2024-25'!S2:S1000, "*Information not held*", 'EIR 2024-25'!J2:J1000, "Jan")+COUNTIFS('EIR 2024-25'!S2:S1000, "*Information not held*", 'EIR 2024-25'!J2:J1000, "Feb")+COUNTIFS('EIR 2024-25'!S2:S1000, "*Information not held*", 'EIR 2024-25'!J2:J1000, "Mar")+COUNTIFS('EIR 2024-25'!T2:T1000, "*S12(4)(A)*", 'EIR 2024-25'!J2:J1000, "Jan")+COUNTIFS('EIR 2024-25'!T2:T1000, "*S12(4)(A)*", 'EIR 2024-25'!J2:J1000, "Feb")+COUNTIFS('EIR 2024-25'!T2:T1000, "*S12(4)(A)*", 'EIR 2024-25'!J2:J1000, "Mar")</f>
        <v>0</v>
      </c>
    </row>
    <row r="10" spans="2:12" ht="30" x14ac:dyDescent="0.25">
      <c r="B10" s="64" t="s">
        <v>2001</v>
      </c>
      <c r="C10" s="113">
        <f>COUNTIFS('FOI 2024-25'!S2:S2000, "*Intended for Future Publication*", 'FOI 2024-25'!I2:I2000, "Apr")+COUNTIFS('FOI 2024-25'!S2:S2000, "*Intended for Future Publication*", 'FOI 2024-25'!I2:I2000, "May")+COUNTIFS('FOI 2024-25'!S2:S2000, "*Intended for Future Publication*", 'FOI 2024-25'!I2:I2000, "Jun")+COUNTIFS('FOI 2024-25'!T2:T2000, "*S22*", 'FOI 2024-25'!I2:I2000, "Apr")+COUNTIFS('FOI 2024-25'!T2:T2000, "*S22*", 'FOI 2024-25'!I2:I2000, "May")+COUNTIFS('FOI 2024-25'!T2:T2000, "*S22*", 'FOI 2024-25'!I2:I2000, "Jun")</f>
        <v>2</v>
      </c>
      <c r="D10" s="113">
        <f>COUNTIFS('FOI 2024-25'!S2:S2000, "*Intended for Future Publication*", 'FOI 2024-25'!I2:I2000, "Jul")+COUNTIFS('FOI 2024-25'!S2:S2000, "*Intended for Future Publication*", 'FOI 2024-25'!I2:I2000, "Aug")+COUNTIFS('FOI 2024-25'!S2:S2000, "*Intended for Future Publication*", 'FOI 2024-25'!I2:I2000, "Sep")+COUNTIFS('FOI 2024-25'!T2:T2000, "*S22*", 'FOI 2024-25'!I2:I2000, "Jul")+COUNTIFS('FOI 2024-25'!T2:T2000, "*S22*", 'FOI 2024-25'!I2:I2000, "Aug")+COUNTIFS('FOI 2024-25'!T2:T2000, "*S22*", 'FOI 2024-25'!I2:I2000, "Sep")</f>
        <v>0</v>
      </c>
      <c r="E10" s="113">
        <f>COUNTIFS('FOI 2024-25'!S2:S2000, "*Intended for Future Publication*", 'FOI 2024-25'!I2:I2000, "Oct")+COUNTIFS('FOI 2024-25'!S2:S2000, "*Intended for Future Publication*", 'FOI 2024-25'!I2:I2000, "Nov")+COUNTIFS('FOI 2024-25'!S2:S2000, "*Intended for Future Publication*", 'FOI 2024-25'!I2:I2000, "Dec")+COUNTIFS('FOI 2024-25'!T2:T2000, "*S22*", 'FOI 2024-25'!I2:I2000, "Oct")+COUNTIFS('FOI 2024-25'!T2:T2000, "*S22*", 'FOI 2024-25'!I2:I2000, "Nov")+COUNTIFS('FOI 2024-25'!T2:T2000, "*S22*", 'FOI 2024-25'!I2:I2000, "Dec")</f>
        <v>0</v>
      </c>
      <c r="F10" s="114">
        <f>COUNTIFS('FOI 2024-25'!S2:S2000, "*Intended for Future Publication*", 'FOI 2024-25'!I2:I2000, "Jan")+COUNTIFS('FOI 2024-25'!S2:S2000, "*Intended for Future Publication*", 'FOI 2024-25'!I2:I2000, "Feb")+COUNTIFS('FOI 2024-25'!S2:S2000, "*Intended for Future Publication*", 'FOI 2024-25'!I2:I2000, "Mar")+COUNTIFS('FOI 2024-25'!T2:T2000, "*S22*", 'FOI 2024-25'!I2:I2000, "Jan")+COUNTIFS('FOI 2024-25'!T2:T2000, "*S22*", 'FOI 2024-25'!I2:I2000, "Feb")+COUNTIFS('FOI 2024-25'!T2:T2000, "*S22*", 'FOI 2024-25'!I2:I2000, "Mar")</f>
        <v>0</v>
      </c>
      <c r="G10" s="47"/>
      <c r="H10" s="36" t="s">
        <v>1668</v>
      </c>
      <c r="I10" s="103">
        <f>COUNTIFS('EIR 2024-25'!S2:S1000, "*Unreasonable Request*", 'EIR 2024-25'!J2:J1000, "Apr")+COUNTIFS('EIR 2024-25'!S2:S1000, "*Unreasonable Request*", 'EIR 2024-25'!J2:J1000, "May")+COUNTIFS('EIR 2024-25'!S2:S1000, "*Unreasonable Request*", 'EIR 2024-25'!J2:J1000, "Jun")+COUNTIFS('EIR 2024-25'!T2:T1000, "*S12(4)(b)*", 'EIR 2024-25'!J2:J1000, "Apr")+COUNTIFS('EIR 2024-25'!T2:T1000, "*S12(4)(b)*", 'EIR 2024-25'!J2:J1000, "May")+COUNTIFS('EIR 2024-25'!T2:T1000, "*S12(4)(b)*", 'EIR 2024-25'!J2:J1000, "Jun")</f>
        <v>0</v>
      </c>
      <c r="J10" s="103">
        <f>COUNTIFS('EIR 2024-25'!S2:S1000, "*Unreasonable Request*", 'EIR 2024-25'!J2:J1000, "Jul")+COUNTIFS('EIR 2024-25'!S2:S1000, "*Unreasonable Request*", 'EIR 2024-25'!J2:J1000, "Aug")+COUNTIFS('EIR 2024-25'!S2:S1000, "*Unreasonable Request*", 'EIR 2024-25'!J2:J1000, "Sep")+COUNTIFS('EIR 2024-25'!T2:T1000, "*S12(4)(b)*", 'EIR 2024-25'!J2:J1000, "Jul")+COUNTIFS('EIR 2024-25'!T2:T1000, "*S12(4)(b)*", 'EIR 2024-25'!J2:J1000, "Aug")+COUNTIFS('EIR 2024-25'!T2:T1000, "*S12(4)(b)*", 'EIR 2024-25'!J2:J1000, "Sep")</f>
        <v>0</v>
      </c>
      <c r="K10" s="103">
        <f>COUNTIFS('EIR 2024-25'!S2:S1000, "*Unreasonable Request*", 'EIR 2024-25'!J2:J1000, "Oct")+COUNTIFS('EIR 2024-25'!S2:S1000, "*Unreasonable Request*", 'EIR 2024-25'!J2:J1000, "Nov")+COUNTIFS('EIR 2024-25'!S2:S1000, "*Unreasonable Request*", 'EIR 2024-25'!J2:J1000, "Dec")+COUNTIFS('EIR 2024-25'!T2:T1000, "*S12(4)(b)*", 'EIR 2024-25'!J2:J1000, "Oct")+COUNTIFS('EIR 2024-25'!T2:T1000, "*S12(4)(b)*", 'EIR 2024-25'!J2:J1000, "Nov")+COUNTIFS('EIR 2024-25'!T2:T1000, "*S12(4)(b)*", 'EIR 2024-25'!J2:J1000, "Dec")</f>
        <v>1</v>
      </c>
      <c r="L10" s="112">
        <f>COUNTIFS('EIR 2024-25'!S2:S1000, "*Unreasonable Request*", 'EIR 2024-25'!J2:J1000, "Jan")+COUNTIFS('EIR 2024-25'!S2:S1000, "*Unreasonable Request*", 'EIR 2024-25'!J2:J1000, "Feb")+COUNTIFS('EIR 2024-25'!S2:S1000, "*Unreasonable Request*", 'EIR 2024-25'!J2:J1000, "Mar")+COUNTIFS('EIR 2024-25'!T2:T1000, "*S12(4)(b)*", 'EIR 2024-25'!J2:J1000, "Jan")+COUNTIFS('EIR 2024-25'!T2:T1000, "*S12(4)(b)*", 'EIR 2024-25'!J2:J1000, "Feb")+COUNTIFS('EIR 2024-25'!T2:T1000, "*S12(4)(b)*", 'EIR 2024-25'!J2:J1000, "Mar")</f>
        <v>2</v>
      </c>
    </row>
    <row r="11" spans="2:12" ht="30" x14ac:dyDescent="0.25">
      <c r="B11" s="63" t="s">
        <v>2002</v>
      </c>
      <c r="C11" s="109">
        <f>COUNTIFS('FOI 2024-25'!S2:S2000, "*Research Information*", 'FOI 2024-25'!I2:I2000, "Apr")+COUNTIFS('FOI 2024-25'!S2:S2000, "*Research Information*", 'FOI 2024-25'!I2:I2000, "May")+COUNTIFS('FOI 2024-25'!S2:S2000, "*Research Information*", 'FOI 2024-25'!I2:I2000, "Jun")+COUNTIFS('FOI 2024-25'!T2:T2000, "*S22a*", 'FOI 2024-25'!I2:I2000, "Apr")+COUNTIFS('FOI 2024-25'!T2:T2000, "*S22a*", 'FOI 2024-25'!I2:I2000, "May")+COUNTIFS('FOI 2024-25'!T2:T2000, "*S22a*", 'FOI 2024-25'!I2:I2000, "Jun")</f>
        <v>0</v>
      </c>
      <c r="D11" s="109">
        <f>COUNTIFS('FOI 2024-25'!S2:S2000, "*Research Information*", 'FOI 2024-25'!I2:I2000, "Jul")+COUNTIFS('FOI 2024-25'!S2:S2000, "*Research Information*", 'FOI 2024-25'!I2:I2000, "Aug")+COUNTIFS('FOI 2024-25'!S2:S2000, "*Research Information*", 'FOI 2024-25'!I2:I2000, "Sep")+COUNTIFS('FOI 2024-25'!T2:T2000, "*S22a*", 'FOI 2024-25'!I2:I2000, "Jul")+COUNTIFS('FOI 2024-25'!T2:T2000, "*S22a*", 'FOI 2024-25'!I2:I2000, "Aug")+COUNTIFS('FOI 2024-25'!T2:T2000, "*S22a*", 'FOI 2024-25'!I2:I2000, "Sep")</f>
        <v>0</v>
      </c>
      <c r="E11" s="109">
        <f>COUNTIFS('FOI 2024-25'!S2:S2000, "*Research Information*", 'FOI 2024-25'!I2:I2000, "Oct")+COUNTIFS('FOI 2024-25'!S2:S2000, "*Research Information*", 'FOI 2024-25'!I2:I2000, "Nov")+COUNTIFS('FOI 2024-25'!S2:S2000, "*Research Information*", 'FOI 2024-25'!I2:I2000, "Dec")+COUNTIFS('FOI 2024-25'!T2:T2000, "*S22a*", 'FOI 2024-25'!I2:I2000, "Oct")+COUNTIFS('FOI 2024-25'!T2:T2000, "*S22a*", 'FOI 2024-25'!I2:I2000, "Nov")+COUNTIFS('FOI 2024-25'!T2:T2000, "*S22a*", 'FOI 2024-25'!I2:I2000, "Dec")</f>
        <v>0</v>
      </c>
      <c r="F11" s="110">
        <f>COUNTIFS('FOI 2024-25'!S2:S2000, "*Research Information*", 'FOI 2024-25'!I2:I2000, "Jan")+COUNTIFS('FOI 2024-25'!S2:S2000, "*Research Information*", 'FOI 2024-25'!I2:I2000, "Feb")+COUNTIFS('FOI 2024-25'!S2:S2000, "*Research Information*", 'FOI 2024-25'!I2:I2000, "Mar")+COUNTIFS('FOI 2024-25'!T2:T2000, "*S22a*", 'FOI 2024-25'!I2:I2000, "Jan")+COUNTIFS('FOI 2024-25'!T2:T2000, "*S22a*", 'FOI 2024-25'!I2:I2000, "Feb")+COUNTIFS('FOI 2024-25'!T2:T2000, "*S22a*", 'FOI 2024-25'!I2:I2000, "Mar")</f>
        <v>0</v>
      </c>
      <c r="G11" s="47"/>
      <c r="H11" s="33" t="s">
        <v>2003</v>
      </c>
      <c r="I11" s="105">
        <f>COUNTIFS('EIR 2024-25'!S2:S1000, "*Too General*", 'EIR 2024-25'!J2:J1000, "Apr")+COUNTIFS('EIR 2024-25'!S2:S1000, "*Too General*", 'EIR 2024-25'!J2:J1000, "May")+COUNTIFS('EIR 2024-25'!S2:S1000, "*Too General*", 'EIR 2024-25'!J2:J1000, "Jun")+COUNTIFS('EIR 2024-25'!T2:T1000, "*S12(4)(c)*", 'EIR 2024-25'!J2:J1000, "Apr")+COUNTIFS('EIR 2024-25'!T2:T1000, "*S12(4)(c)*", 'EIR 2024-25'!J2:J1000, "May")+COUNTIFS('EIR 2024-25'!T2:T1000, "*S12(4)(c)*", 'EIR 2024-25'!J2:J1000, "Jun")</f>
        <v>0</v>
      </c>
      <c r="J11" s="105">
        <f>COUNTIFS('EIR 2024-25'!S2:S1000, "*Too General*", 'EIR 2024-25'!J2:J1000, "Jul")+COUNTIFS('EIR 2024-25'!S2:S1000, "*Too General*", 'EIR 2024-25'!J2:J1000, "Aug")+COUNTIFS('EIR 2024-25'!S2:S1000, "*Too General*", 'EIR 2024-25'!J2:J1000, "Sep")+COUNTIFS('EIR 2024-25'!T2:T1000, "*S12(4)(c)*", 'EIR 2024-25'!J2:J1000, "Jul")+COUNTIFS('EIR 2024-25'!T2:T1000, "*S12(4)(c)*", 'EIR 2024-25'!J2:J1000, "Aug")+COUNTIFS('EIR 2024-25'!T2:T1000, "*S12(4)(c)*", 'EIR 2024-25'!J2:J1000, "Sep")</f>
        <v>0</v>
      </c>
      <c r="K11" s="105">
        <f>COUNTIFS('EIR 2024-25'!S2:S1000, "*Too General*", 'EIR 2024-25'!J2:J1000, "Oct")+COUNTIFS('EIR 2024-25'!S2:S1000, "*Too General*", 'EIR 2024-25'!J2:J1000, "Nov")+COUNTIFS('EIR 2024-25'!S2:S1000, "*Too General*", 'EIR 2024-25'!J2:J1000, "Dec")+COUNTIFS('EIR 2024-25'!T2:T1000, "*S12(4)(c)*", 'EIR 2024-25'!J2:J1000, "Oct")+COUNTIFS('EIR 2024-25'!T2:T1000, "*S12(4)(c)*", 'EIR 2024-25'!J2:J1000, "Nov")+COUNTIFS('EIR 2024-25'!T2:T1000, "*S12(4)(c)*", 'EIR 2024-25'!J2:J1000, "Dec")</f>
        <v>0</v>
      </c>
      <c r="L11" s="111">
        <f>COUNTIFS('EIR 2024-25'!S2:S1000, "*Too General*", 'EIR 2024-25'!J2:J1000, "Jan")+COUNTIFS('EIR 2024-25'!S2:S1000, "*Too General*", 'EIR 2024-25'!J2:J1000, "Feb")+COUNTIFS('EIR 2024-25'!S2:S1000, "*Too General*", 'EIR 2024-25'!J2:J1000, "Mar")+COUNTIFS('EIR 2024-25'!T2:T1000, "*S12(4)(c)*", 'EIR 2024-25'!J2:J1000, "Jan")+COUNTIFS('EIR 2024-25'!T2:T1000, "*S12(4)(c)*", 'EIR 2024-25'!J2:J1000, "Feb")+COUNTIFS('EIR 2024-25'!T2:T1000, "*S12(4)(c)*", 'EIR 2024-25'!J2:J1000, "Mar")</f>
        <v>1</v>
      </c>
    </row>
    <row r="12" spans="2:12" ht="45" x14ac:dyDescent="0.25">
      <c r="B12" s="64" t="s">
        <v>2004</v>
      </c>
      <c r="C12" s="113">
        <f>COUNTIFS('FOI 2024-25'!S2:S2000, "*Security Matters*", 'FOI 2024-25'!I2:I2000, "Apr")+COUNTIFS('FOI 2024-25'!S2:S2000, "*Security Matters*", 'FOI 2024-25'!I2:I2000, "May")+COUNTIFS('FOI 2024-25'!S2:S2000, "*Security Matters*", 'FOI 2024-25'!I2:I2000, "Jun")+COUNTIFS('FOI 2024-25'!T2:T2000, "*S23*", 'FOI 2024-25'!I2:I2000, "Apr")+COUNTIFS('FOI 2024-25'!T2:T2000, "*S23*", 'FOI 2024-25'!I2:I2000, "May")+COUNTIFS('FOI 2024-25'!T2:T2000, "*S23*", 'FOI 2024-25'!I2:I2000, "Jun")</f>
        <v>0</v>
      </c>
      <c r="D12" s="113">
        <f>COUNTIFS('FOI 2024-25'!S2:S2000, "*Security Matters*", 'FOI 2024-25'!I2:I2000, "Jul")+COUNTIFS('FOI 2024-25'!S2:S2000, "*Security Matters*", 'FOI 2024-25'!I2:I2000, "Aug")+COUNTIFS('FOI 2024-25'!S2:S2000, "*Security Matters*", 'FOI 2024-25'!I2:I2000, "Sep")+COUNTIFS('FOI 2024-25'!T2:T2000, "*S23*", 'FOI 2024-25'!I2:I2000, "Jul")+COUNTIFS('FOI 2024-25'!T2:T2000, "*S23*", 'FOI 2024-25'!I2:I2000, "Aug")+COUNTIFS('FOI 2024-25'!T2:T2000, "*S23*", 'FOI 2024-25'!I2:I2000, "Sep")</f>
        <v>0</v>
      </c>
      <c r="E12" s="113">
        <f>COUNTIFS('FOI 2024-25'!S2:S2000, "*Security Matters*", 'FOI 2024-25'!I2:I2000, "Oct")+COUNTIFS('FOI 2024-25'!S2:S2000, "*Security Matters*", 'FOI 2024-25'!I2:I2000, "Nov")+COUNTIFS('FOI 2024-25'!S2:S2000, "*Security Matters*", 'FOI 2024-25'!I2:I2000, "Dec")+COUNTIFS('FOI 2024-25'!T2:T2000, "*S23*", 'FOI 2024-25'!I2:I2000, "Oct")+COUNTIFS('FOI 2024-25'!T2:T2000, "*S23*", 'FOI 2024-25'!I2:I2000, "Nov")+COUNTIFS('FOI 2024-25'!T2:T2000, "*S23*", 'FOI 2024-25'!I2:I2000, "Dec")</f>
        <v>0</v>
      </c>
      <c r="F12" s="114">
        <f>COUNTIFS('FOI 2024-25'!S2:S2000, "*Security Matters*", 'FOI 2024-25'!I2:I2000, "Jan")+COUNTIFS('FOI 2024-25'!S2:S2000, "*Security Matters*", 'FOI 2024-25'!I2:I2000, "Feb")+COUNTIFS('FOI 2024-25'!S2:S2000, "*Security Matters*", 'FOI 2024-25'!I2:I2000, "Mar")+COUNTIFS('FOI 2024-25'!T2:T2000, "*S23*", 'FOI 2024-25'!I2:I2000, "Jan")+COUNTIFS('FOI 2024-25'!T2:T2000, "*S23*", 'FOI 2024-25'!I2:I2000, "Feb")+COUNTIFS('FOI 2024-25'!T2:T2000, "*S23*", 'FOI 2024-25'!I2:I2000, "Mar")</f>
        <v>0</v>
      </c>
      <c r="G12" s="47"/>
      <c r="H12" s="36" t="s">
        <v>2005</v>
      </c>
      <c r="I12" s="103">
        <f>COUNTIFS('EIR 2024-25'!S2:S1000, "*Unfinished Documents*", 'EIR 2024-25'!J2:J1000, "Apr")+COUNTIFS('EIR 2024-25'!S2:S1000, "*Unfinished Documents*", 'EIR 2024-25'!J2:J1000, "May")+COUNTIFS('EIR 2024-25'!S2:S1000, "*Unfinished Documents*", 'EIR 2024-25'!J2:J1000, "Jun")+COUNTIFS('EIR 2024-25'!T2:T1000, "*S12(4)(d)*", 'EIR 2024-25'!J2:J1000, "Apr")+COUNTIFS('EIR 2024-25'!T2:T1000, "*S12(4)(d)*", 'EIR 2024-25'!J2:J1000, "May")+COUNTIFS('EIR 2024-25'!T2:T1000, "*S12(4)(d)*", 'EIR 2024-25'!J2:J1000, "Jun")</f>
        <v>0</v>
      </c>
      <c r="J12" s="103">
        <f>COUNTIFS('EIR 2024-25'!S2:S1000, "*Unfinished Documents*", 'EIR 2024-25'!J2:J1000, "Jul")+COUNTIFS('EIR 2024-25'!S2:S1000, "*Unfinished Documents*", 'EIR 2024-25'!J2:J1000, "Aug")+COUNTIFS('EIR 2024-25'!S2:S1000, "*Unfinished Documents*", 'EIR 2024-25'!J2:J1000, "Sep")+COUNTIFS('EIR 2024-25'!T2:T1000, "*S12(4)(d)*", 'EIR 2024-25'!J2:J1000, "Jul")+COUNTIFS('EIR 2024-25'!T2:T1000, "*S12(4)(d)*", 'EIR 2024-25'!J2:J1000, "Aug")+COUNTIFS('EIR 2024-25'!T2:T1000, "*S12(4)(d)*", 'EIR 2024-25'!J2:J1000, "Sep")</f>
        <v>0</v>
      </c>
      <c r="K12" s="103">
        <f>COUNTIFS('EIR 2024-25'!S2:S1000, "*Unfinished Documents*", 'EIR 2024-25'!J2:J1000, "Oct")+COUNTIFS('EIR 2024-25'!S2:S1000, "*Unfinished Documents*", 'EIR 2024-25'!J2:J1000, "Nov")+COUNTIFS('EIR 2024-25'!S2:S1000, "*Unfinished Documents*", 'EIR 2024-25'!J2:J1000, "Dec")+COUNTIFS('EIR 2024-25'!T2:T1000, "*S12(4)(d)*", 'EIR 2024-25'!J2:J1000, "Oct")+COUNTIFS('EIR 2024-25'!T2:T1000, "*S12(4)(d)*", 'EIR 2024-25'!J2:J1000, "Nov")+COUNTIFS('EIR 2024-25'!T2:T1000, "*S12(4)(d)*", 'EIR 2024-25'!J2:J1000, "Dec")</f>
        <v>0</v>
      </c>
      <c r="L12" s="112">
        <f>COUNTIFS('EIR 2024-25'!S2:S1000, "*Unfinished Documents*", 'EIR 2024-25'!J2:J1000, "Jan")+COUNTIFS('EIR 2024-25'!S2:S1000, "*Unfinished Documents*", 'EIR 2024-25'!J2:J1000, "Feb")+COUNTIFS('EIR 2024-25'!S2:S1000, "*Unfinished Documents*", 'EIR 2024-25'!J2:J1000, "Mar")+COUNTIFS('EIR 2024-25'!T2:T1000, "*S12(4)(d)*", 'EIR 2024-25'!J2:J1000, "Jan")+COUNTIFS('EIR 2024-25'!T2:T1000, "*S12(4)(d)*", 'EIR 2024-25'!J2:J1000, "Feb")+COUNTIFS('EIR 2024-25'!T2:T1000, "*S12(4)(d)*", 'EIR 2024-25'!J2:J1000, "Mar")</f>
        <v>0</v>
      </c>
    </row>
    <row r="13" spans="2:12" ht="30" x14ac:dyDescent="0.25">
      <c r="B13" s="63" t="s">
        <v>2006</v>
      </c>
      <c r="C13" s="109">
        <f>COUNTIFS('FOI 2024-25'!S2:S2000, "*National Security*", 'FOI 2024-25'!I2:I2000, "Apr")+COUNTIFS('FOI 2024-25'!S2:S2000, "*National Security*", 'FOI 2024-25'!I2:I2000, "May")+COUNTIFS('FOI 2024-25'!S2:S2000, "*National Security*", 'FOI 2024-25'!I2:I2000, "Jun")+COUNTIFS('FOI 2024-25'!T2:T2000, "*S24*", 'FOI 2024-25'!I2:I2000, "Apr")+COUNTIFS('FOI 2024-25'!T2:T2000, "*S24*", 'FOI 2024-25'!I2:I2000, "May")+COUNTIFS('FOI 2024-25'!T2:T2000, "*S24*", 'FOI 2024-25'!I2:I2000, "Jun")</f>
        <v>0</v>
      </c>
      <c r="D13" s="109">
        <f>COUNTIFS('FOI 2024-25'!S2:S2000, "*National Security*", 'FOI 2024-25'!I2:I2000, "Jul")+COUNTIFS('FOI 2024-25'!S2:S2000, "*National Security*", 'FOI 2024-25'!I2:I2000, "Aug")+COUNTIFS('FOI 2024-25'!S2:S2000, "*National Security*", 'FOI 2024-25'!I2:I2000, "Sep")+COUNTIFS('FOI 2024-25'!T2:T2000, "*S24*", 'FOI 2024-25'!I2:I2000, "Jul")+COUNTIFS('FOI 2024-25'!T2:T2000, "*S24*", 'FOI 2024-25'!I2:I2000, "Aug")+COUNTIFS('FOI 2024-25'!T2:T2000, "*S24*", 'FOI 2024-25'!I2:I2000, "Sep")</f>
        <v>0</v>
      </c>
      <c r="E13" s="109">
        <f>COUNTIFS('FOI 2024-25'!S2:S2000, "*National Security*", 'FOI 2024-25'!I2:I2000, "Oct")+COUNTIFS('FOI 2024-25'!S2:S2000, "*National Security*", 'FOI 2024-25'!I2:I2000, "Nov")+COUNTIFS('FOI 2024-25'!S2:S2000, "*National Security*", 'FOI 2024-25'!I2:I2000, "Dec")+COUNTIFS('FOI 2024-25'!T2:T2000, "*S24*", 'FOI 2024-25'!I2:I2000, "Oct")+COUNTIFS('FOI 2024-25'!T2:T2000, "*S24*", 'FOI 2024-25'!I2:I2000, "Nov")+COUNTIFS('FOI 2024-25'!T2:T2000, "*S24*", 'FOI 2024-25'!I2:I2000, "Dec")</f>
        <v>0</v>
      </c>
      <c r="F13" s="110">
        <f>COUNTIFS('FOI 2024-25'!S2:S2000, "*National Security*", 'FOI 2024-25'!I2:I2000, "Jan")+COUNTIFS('FOI 2024-25'!S2:S2000, "*National Security*", 'FOI 2024-25'!I2:I2000, "Feb")+COUNTIFS('FOI 2024-25'!S2:S2000, "*National Security*", 'FOI 2024-25'!I2:I2000, "Mar")+COUNTIFS('FOI 2024-25'!T2:T2000, "*S24*", 'FOI 2024-25'!I2:I2000, "Jan")+COUNTIFS('FOI 2024-25'!T2:T2000, "*S24*", 'FOI 2024-25'!I2:I2000, "Feb")+COUNTIFS('FOI 2024-25'!T2:T2000, "*S24*", 'FOI 2024-25'!I2:I2000, "Mar")</f>
        <v>0</v>
      </c>
      <c r="G13" s="47"/>
      <c r="H13" s="33" t="s">
        <v>2007</v>
      </c>
      <c r="I13" s="105">
        <f>COUNTIFS('EIR 2024-25'!S2:S1000, "*Internal Documents*", 'EIR 2024-25'!J2:J1000, "Apr")+COUNTIFS('EIR 2024-25'!S2:S1000, "*Internal Documents*", 'EIR 2024-25'!J2:J1000, "May")+COUNTIFS('EIR 2024-25'!S2:S1000, "*Internal Documents*", 'EIR 2024-25'!J2:J1000, "Jun")+COUNTIFS('EIR 2024-25'!T2:T1000, "*S12(4)(e)*", 'EIR 2024-25'!J2:J1000, "Apr")+COUNTIFS('EIR 2024-25'!T2:T1000, "*S12(4)(e)*", 'EIR 2024-25'!J2:J1000, "May")+COUNTIFS('EIR 2024-25'!T2:T1000, "*S12(4)(e)*", 'EIR 2024-25'!J2:J1000, "Jun")</f>
        <v>0</v>
      </c>
      <c r="J13" s="105">
        <f>COUNTIFS('EIR 2024-25'!S2:S1000, "*Internal Documents*", 'EIR 2024-25'!J2:J1000, "Jul")+COUNTIFS('EIR 2024-25'!S2:S1000, "*Internal Documents*", 'EIR 2024-25'!J2:J1000, "Aug")+COUNTIFS('EIR 2024-25'!S2:S1000, "*Internal Documents*", 'EIR 2024-25'!J2:J1000, "Sep")+COUNTIFS('EIR 2024-25'!T2:T1000, "*S12(4)(e)*", 'EIR 2024-25'!J2:J1000, "Jul")+COUNTIFS('EIR 2024-25'!T2:T1000, "*S12(4)(e)*", 'EIR 2024-25'!J2:J1000, "Aug")+COUNTIFS('EIR 2024-25'!T2:T1000, "*S12(4)(e)*", 'EIR 2024-25'!J2:J1000, "Sep")</f>
        <v>0</v>
      </c>
      <c r="K13" s="105">
        <f>COUNTIFS('EIR 2024-25'!S2:S1000, "*Internal Documents*", 'EIR 2024-25'!J2:J1000, "Oct")+COUNTIFS('EIR 2024-25'!S2:S1000, "*Internal Documents*", 'EIR 2024-25'!J2:J1000, "Nov")+COUNTIFS('EIR 2024-25'!S2:S1000, "*Internal Documents*", 'EIR 2024-25'!J2:J1000, "Dec")+COUNTIFS('EIR 2024-25'!T2:T1000, "*S12(4)(e)*", 'EIR 2024-25'!J2:J1000, "Oct")+COUNTIFS('EIR 2024-25'!T2:T1000, "*S12(4)(e)*", 'EIR 2024-25'!J2:J1000, "Nov")+COUNTIFS('EIR 2024-25'!T2:T1000, "*S12(4)(e)*", 'EIR 2024-25'!J2:J1000, "Dec")</f>
        <v>0</v>
      </c>
      <c r="L13" s="111">
        <f>COUNTIFS('EIR 2024-25'!S2:S1000, "*Internal Documents*", 'EIR 2024-25'!J2:J1000, "Jan")+COUNTIFS('EIR 2024-25'!S2:S1000, "*Internal Documents*", 'EIR 2024-25'!J2:J1000, "Feb")+COUNTIFS('EIR 2024-25'!S2:S1000, "*Internal Documents*", 'EIR 2024-25'!J2:J1000, "Mar")+COUNTIFS('EIR 2024-25'!T2:T1000, "*S12(4)(e)*", 'EIR 2024-25'!J2:J1000, "Jan")+COUNTIFS('EIR 2024-25'!T2:T1000, "*S12(4)(e)*", 'EIR 2024-25'!J2:J1000, "Feb")+COUNTIFS('EIR 2024-25'!T2:T1000, "*S12(4)(e)*", 'EIR 2024-25'!J2:J1000, "Mar")</f>
        <v>0</v>
      </c>
    </row>
    <row r="14" spans="2:12" ht="45" x14ac:dyDescent="0.25">
      <c r="B14" s="64" t="s">
        <v>2008</v>
      </c>
      <c r="C14" s="113">
        <f>COUNTIFS('FOI 2024-25'!S2:S2000, "*Defence*", 'FOI 2024-25'!I2:I2000, "Apr")+COUNTIFS('FOI 2024-25'!S2:S2000, "*Defence*", 'FOI 2024-25'!I2:I2000, "May")+COUNTIFS('FOI 2024-25'!S2:S2000, "*Defence*", 'FOI 2024-25'!I2:I2000, "Jun")+COUNTIFS('FOI 2024-25'!T2:T2000, "*S26*", 'FOI 2024-25'!I2:I2000, "Apr")+COUNTIFS('FOI 2024-25'!T2:T2000, "*S26*", 'FOI 2024-25'!I2:I2000, "May")+COUNTIFS('FOI 2024-25'!T2:T2000, "*S26*", 'FOI 2024-25'!I2:I2000, "Jun")</f>
        <v>0</v>
      </c>
      <c r="D14" s="113">
        <f>COUNTIFS('FOI 2024-25'!S2:S2000, "*Defence*", 'FOI 2024-25'!I2:I2000, "Jul")+COUNTIFS('FOI 2024-25'!S2:S2000, "*Defence*", 'FOI 2024-25'!I2:I2000, "Aug")+COUNTIFS('FOI 2024-25'!S2:S2000, "*Defence*", 'FOI 2024-25'!I2:I2000, "Sep")+COUNTIFS('FOI 2024-25'!T2:T2000, "*S26*", 'FOI 2024-25'!I2:I2000, "Jul")+COUNTIFS('FOI 2024-25'!T2:T2000, "*S26*", 'FOI 2024-25'!I2:I2000, "Aug")+COUNTIFS('FOI 2024-25'!T2:T2000, "*S26*", 'FOI 2024-25'!I2:I2000, "Sep")</f>
        <v>0</v>
      </c>
      <c r="E14" s="113">
        <f>COUNTIFS('FOI 2024-25'!S2:S2000, "*Defence*", 'FOI 2024-25'!I2:I2000, "Oct")+COUNTIFS('FOI 2024-25'!S2:S2000, "*Defence*", 'FOI 2024-25'!I2:I2000, "Nov")+COUNTIFS('FOI 2024-25'!S2:S2000, "*Defence*", 'FOI 2024-25'!I2:I2000, "Dec")+COUNTIFS('FOI 2024-25'!T2:T2000, "*S26*", 'FOI 2024-25'!I2:I2000, "Oct")+COUNTIFS('FOI 2024-25'!T2:T2000, "*S26*", 'FOI 2024-25'!I2:I2000, "Nov")+COUNTIFS('FOI 2024-25'!T2:T2000, "*S26*", 'FOI 2024-25'!I2:I2000, "Dec")</f>
        <v>0</v>
      </c>
      <c r="F14" s="114">
        <f>COUNTIFS('FOI 2024-25'!S2:S2000, "*Defence*", 'FOI 2024-25'!I2:I2000, "Jan")+COUNTIFS('FOI 2024-25'!S2:S2000, "*Defence*", 'FOI 2024-25'!I2:I2000, "Feb")+COUNTIFS('FOI 2024-25'!S2:S2000, "*Defence*", 'FOI 2024-25'!I2:I2000, "Mar")+COUNTIFS('FOI 2024-25'!T2:T2000, "*S26*", 'FOI 2024-25'!I2:I2000, "Jan")+COUNTIFS('FOI 2024-25'!T2:T2000, "*S26*", 'FOI 2024-25'!I2:I2000, "Feb")+COUNTIFS('FOI 2024-25'!T2:T2000, "*S26*", 'FOI 2024-25'!I2:I2000, "Mar")</f>
        <v>0</v>
      </c>
      <c r="G14" s="47"/>
      <c r="H14" s="36" t="s">
        <v>2009</v>
      </c>
      <c r="I14" s="103">
        <f>COUNTIFS('EIR 2024-25'!S2:S1000, "*Public Safety*", 'EIR 2024-25'!J2:J1000, "Apr")+COUNTIFS('EIR 2024-25'!S2:S1000, "*Public Safety*", 'EIR 2024-25'!J2:J1000, "May")+COUNTIFS('EIR 2024-25'!S2:S1000, "*Public Safety*", 'EIR 2024-25'!J2:J1000, "Jun")+COUNTIFS('EIR 2024-25'!T2:T1000, "*S12(5)(a)*", 'EIR 2024-25'!J2:J1000, "Apr")+COUNTIFS('EIR 2024-25'!T2:T1000, "*S12(5)(a)*", 'EIR 2024-25'!J2:J1000, "May")+COUNTIFS('EIR 2024-25'!T2:T1000, "*S12(5)(a)*", 'EIR 2024-25'!J2:J1000, "Jun")</f>
        <v>0</v>
      </c>
      <c r="J14" s="103">
        <f>COUNTIFS('EIR 2024-25'!S2:S1000, "*Public Safety*", 'EIR 2024-25'!J2:J1000, "Jul")+COUNTIFS('EIR 2024-25'!S2:S1000, "*Public Safety*", 'EIR 2024-25'!J2:J1000, "Aug")+COUNTIFS('EIR 2024-25'!S2:S1000, "*Public Safety*", 'EIR 2024-25'!J2:J1000, "Sep")+COUNTIFS('EIR 2024-25'!T2:T1000, "*S12(5)(a)*", 'EIR 2024-25'!J2:J1000, "Jul")+COUNTIFS('EIR 2024-25'!T2:T1000, "*S12(5)(a)*", 'EIR 2024-25'!J2:J1000, "Aug")+COUNTIFS('EIR 2024-25'!T2:T1000, "*S12(5)(a)*", 'EIR 2024-25'!J2:J1000, "Sep")</f>
        <v>0</v>
      </c>
      <c r="K14" s="103">
        <f>COUNTIFS('EIR 2024-25'!S2:S1000, "*Public Safety*", 'EIR 2024-25'!J2:J1000, "Oct")+COUNTIFS('EIR 2024-25'!S2:S1000, "*Public Safety*", 'EIR 2024-25'!J2:J1000, "Nov")+COUNTIFS('EIR 2024-25'!S2:S1000, "*Public Safety*", 'EIR 2024-25'!J2:J1000, "Dec")+COUNTIFS('EIR 2024-25'!T2:T1000, "*S12(5)(a)*", 'EIR 2024-25'!J2:J1000, "Oct")+COUNTIFS('EIR 2024-25'!T2:T1000, "*S12(5)(a)*", 'EIR 2024-25'!J2:J1000, "Nov")+COUNTIFS('EIR 2024-25'!T2:T1000, "*S12(5)(a)*", 'EIR 2024-25'!J2:J1000, "Dec")</f>
        <v>0</v>
      </c>
      <c r="L14" s="112">
        <f>COUNTIFS('EIR 2024-25'!S2:S1000, "*Public Safety*", 'EIR 2024-25'!J2:J1000, "Jan")+COUNTIFS('EIR 2024-25'!S2:S1000, "*Public Safety*", 'EIR 2024-25'!J2:J1000, "Feb")+COUNTIFS('EIR 2024-25'!S2:S1000, "*Public Safety*", 'EIR 2024-25'!J2:J1000, "Mar")+COUNTIFS('EIR 2024-25'!T2:T1000, "*S12(5)(a)*", 'EIR 2024-25'!J2:J1000, "Jan")+COUNTIFS('EIR 2024-25'!T2:T1000, "*S12(5)(a)*", 'EIR 2024-25'!J2:J1000, "Feb")+COUNTIFS('EIR 2024-25'!T2:T1000, "*S12(5)(a)*", 'EIR 2024-25'!J2:J1000, "Mar")</f>
        <v>0</v>
      </c>
    </row>
    <row r="15" spans="2:12" ht="30" x14ac:dyDescent="0.25">
      <c r="B15" s="63" t="s">
        <v>2010</v>
      </c>
      <c r="C15" s="109">
        <f>COUNTIFS('FOI 2024-25'!S2:S2000, "*International Relations*", 'FOI 2024-25'!I2:I2000, "Apr")+COUNTIFS('FOI 2024-25'!S2:S2000, "*International Relations*", 'FOI 2024-25'!I2:I2000, "May")+COUNTIFS('FOI 2024-25'!S2:S2000, "*International Relations*", 'FOI 2024-25'!I2:I2000, "Jun")+COUNTIFS('FOI 2024-25'!T2:T2000, "*S27*", 'FOI 2024-25'!I2:I2000, "Apr")+COUNTIFS('FOI 2024-25'!T2:T2000, "*S27*", 'FOI 2024-25'!I2:I2000, "May")+COUNTIFS('FOI 2024-25'!T2:T2000, "*S27*", 'FOI 2024-25'!I2:I2000, "Jun")</f>
        <v>0</v>
      </c>
      <c r="D15" s="109">
        <f>COUNTIFS('FOI 2024-25'!S2:S2000, "*International Relations*", 'FOI 2024-25'!I2:I2000, "Jul")+COUNTIFS('FOI 2024-25'!S2:S2000, "*International Relations*", 'FOI 2024-25'!I2:I2000, "Aug")+COUNTIFS('FOI 2024-25'!S2:S2000, "*International Relations*", 'FOI 2024-25'!I2:I2000, "Sep")+COUNTIFS('FOI 2024-25'!T2:T2000, "*S27*", 'FOI 2024-25'!I2:I2000, "Jul")+COUNTIFS('FOI 2024-25'!T2:T2000, "*S27*", 'FOI 2024-25'!I2:I2000, "Aug")+COUNTIFS('FOI 2024-25'!T2:T2000, "*S27*", 'FOI 2024-25'!I2:I2000, "Sep")</f>
        <v>0</v>
      </c>
      <c r="E15" s="109">
        <f>COUNTIFS('FOI 2024-25'!S2:S2000, "*International Relations*", 'FOI 2024-25'!I2:I2000, "Oct")+COUNTIFS('FOI 2024-25'!S2:S2000, "*International Relations*", 'FOI 2024-25'!I2:I2000, "Nov")+COUNTIFS('FOI 2024-25'!S2:S2000, "*International Relations*", 'FOI 2024-25'!I2:I2000, "Dec")+COUNTIFS('FOI 2024-25'!T2:T2000, "*S27*", 'FOI 2024-25'!I2:I2000, "Oct")+COUNTIFS('FOI 2024-25'!T2:T2000, "*S27*", 'FOI 2024-25'!I2:I2000, "Nov")+COUNTIFS('FOI 2024-25'!T2:T2000, "*S27*", 'FOI 2024-25'!I2:I2000, "Dec")</f>
        <v>0</v>
      </c>
      <c r="F15" s="110">
        <f>COUNTIFS('FOI 2024-25'!S2:S2000, "*International Relations*", 'FOI 2024-25'!I2:I2000, "Jan")+COUNTIFS('FOI 2024-25'!S2:S2000, "*International Relations*", 'FOI 2024-25'!I2:I2000, "Feb")+COUNTIFS('FOI 2024-25'!S2:S2000, "*International Relations*", 'FOI 2024-25'!I2:I2000, "Mar")+COUNTIFS('FOI 2024-25'!T2:T2000, "*S27*", 'FOI 2024-25'!I2:I2000, "Jan")+COUNTIFS('FOI 2024-25'!T2:T2000, "*S27*", 'FOI 2024-25'!I2:I2000, "Feb")+COUNTIFS('FOI 2024-25'!T2:T2000, "*S27*", 'FOI 2024-25'!I2:I2000, "Mar")</f>
        <v>0</v>
      </c>
      <c r="G15" s="47"/>
      <c r="H15" s="33" t="s">
        <v>2011</v>
      </c>
      <c r="I15" s="105">
        <f>COUNTIFS('EIR 2024-25'!S2:S1000, "*Justice and Inquiries*", 'EIR 2024-25'!J2:J1000, "Apr")+COUNTIFS('EIR 2024-25'!S2:S1000, "*Justice and Inquiries*", 'EIR 2024-25'!J2:J1000, "May")+COUNTIFS('EIR 2024-25'!S2:S1000, "*Justice and Inquiries*", 'EIR 2024-25'!J2:J1000, "Jun")+COUNTIFS('EIR 2024-25'!T2:T1000, "*S12(5)(b)*", 'EIR 2024-25'!J2:J1000, "Apr")+COUNTIFS('EIR 2024-25'!T2:T1000, "*S12(5)(b)*", 'EIR 2024-25'!J2:J1000, "May")+COUNTIFS('EIR 2024-25'!T2:T1000, "*S12(5)(b)*", 'EIR 2024-25'!J2:J1000, "Jun")</f>
        <v>0</v>
      </c>
      <c r="J15" s="105">
        <f>COUNTIFS('EIR 2024-25'!S2:S1000, "*Justice and Inquiries*", 'EIR 2024-25'!J2:J1000, "Jul")+COUNTIFS('EIR 2024-25'!S2:S1000, "*Justice and Inquiries*", 'EIR 2024-25'!J2:J1000, "Aug")+COUNTIFS('EIR 2024-25'!S2:S1000, "*Justice and Inquiries*", 'EIR 2024-25'!J2:J1000, "Sep")+COUNTIFS('EIR 2024-25'!T2:T1000, "*S12(5)(b)*", 'EIR 2024-25'!J2:J1000, "Jul")+COUNTIFS('EIR 2024-25'!T2:T1000, "*S12(5)(b)*", 'EIR 2024-25'!J2:J1000, "Aug")+COUNTIFS('EIR 2024-25'!T2:T1000, "*S12(5)(b)*", 'EIR 2024-25'!J2:J1000, "Sep")</f>
        <v>0</v>
      </c>
      <c r="K15" s="105">
        <f>COUNTIFS('EIR 2024-25'!S2:S1000, "*Justice and Inquiries*", 'EIR 2024-25'!J2:J1000, "Oct")+COUNTIFS('EIR 2024-25'!S2:S1000, "*Justice and Inquiries*", 'EIR 2024-25'!J2:J1000, "Nov")+COUNTIFS('EIR 2024-25'!S2:S1000, "*Justice and Inquiries*", 'EIR 2024-25'!J2:J1000, "Dec")+COUNTIFS('EIR 2024-25'!T2:T1000, "*S12(5)(b)*", 'EIR 2024-25'!J2:J1000, "Oct")+COUNTIFS('EIR 2024-25'!T2:T1000, "*S12(5)(b)*", 'EIR 2024-25'!J2:J1000, "Nov")+COUNTIFS('EIR 2024-25'!T2:T1000, "*S12(5)(b)*", 'EIR 2024-25'!J2:J1000, "Dec")</f>
        <v>0</v>
      </c>
      <c r="L15" s="111">
        <f>COUNTIFS('EIR 2024-25'!S2:S1000, "*Justice and Inquiries*", 'EIR 2024-25'!J2:J1000, "Jan")+COUNTIFS('EIR 2024-25'!S2:S1000, "*Justice and Inquiries*", 'EIR 2024-25'!J2:J1000, "Feb")+COUNTIFS('EIR 2024-25'!S2:S1000, "*Justice and Inquiries*", 'EIR 2024-25'!J2:J1000, "Mar")+COUNTIFS('EIR 2024-25'!T2:T1000, "*S12(5)(b)*", 'EIR 2024-25'!J2:J1000, "Jan")+COUNTIFS('EIR 2024-25'!T2:T1000, "*S12(5)(b)*", 'EIR 2024-25'!J2:J1000, "Feb")+COUNTIFS('EIR 2024-25'!T2:T1000, "*S12(5)(b)*", 'EIR 2024-25'!J2:J1000, "Mar")</f>
        <v>0</v>
      </c>
    </row>
    <row r="16" spans="2:12" ht="30" x14ac:dyDescent="0.25">
      <c r="B16" s="64" t="s">
        <v>2012</v>
      </c>
      <c r="C16" s="113">
        <f>COUNTIFS('FOI 2024-25'!S2:S2000, "*Relations within the UK*", 'FOI 2024-25'!I2:I2000, "Apr")+COUNTIFS('FOI 2024-25'!S2:S2000, "*Relations within the UK*", 'FOI 2024-25'!I2:I2000, "May")+COUNTIFS('FOI 2024-25'!S2:S2000, "*Relations within the UK*", 'FOI 2024-25'!I2:I2000, "Jun")+COUNTIFS('FOI 2024-25'!T2:T2000, "*S28*", 'FOI 2024-25'!I2:I2000, "Apr")+COUNTIFS('FOI 2024-25'!T2:T2000, "*S28*", 'FOI 2024-25'!I2:I2000, "May")+COUNTIFS('FOI 2024-25'!T2:T2000, "*S28*", 'FOI 2024-25'!I2:I2000, "Jun")</f>
        <v>0</v>
      </c>
      <c r="D16" s="113">
        <f>COUNTIFS('FOI 2024-25'!S2:S2000, "*Relations within the UK*", 'FOI 2024-25'!I2:I2000, "Jul")+COUNTIFS('FOI 2024-25'!S2:S2000, "*Relations within the UK*", 'FOI 2024-25'!I2:I2000, "Aug")+COUNTIFS('FOI 2024-25'!S2:S2000, "*Relations within the UK*", 'FOI 2024-25'!I2:I2000, "Sep")+COUNTIFS('FOI 2024-25'!T2:T2000, "*S28*", 'FOI 2024-25'!I2:I2000, "Jul")+COUNTIFS('FOI 2024-25'!T2:T2000, "*S28*", 'FOI 2024-25'!I2:I2000, "Aug")+COUNTIFS('FOI 2024-25'!T2:T2000, "*S28*", 'FOI 2024-25'!I2:I2000, "Sep")</f>
        <v>0</v>
      </c>
      <c r="E16" s="113">
        <f>COUNTIFS('FOI 2024-25'!S2:S2000, "*Relations within the UK*", 'FOI 2024-25'!I2:I2000, "Oct")+COUNTIFS('FOI 2024-25'!S2:S2000, "*Relations within the UK*", 'FOI 2024-25'!I2:I2000, "Nov")+COUNTIFS('FOI 2024-25'!S2:S2000, "*Relations within the UK*", 'FOI 2024-25'!I2:I2000, "Dec")+COUNTIFS('FOI 2024-25'!T2:T2000, "*S28*", 'FOI 2024-25'!I2:I2000, "Oct")+COUNTIFS('FOI 2024-25'!T2:T2000, "*S28*", 'FOI 2024-25'!I2:I2000, "Nov")+COUNTIFS('FOI 2024-25'!T2:T2000, "*S28*", 'FOI 2024-25'!I2:I2000, "Dec")</f>
        <v>0</v>
      </c>
      <c r="F16" s="114">
        <f>COUNTIFS('FOI 2024-25'!S2:S2000, "*Relations within the UK*", 'FOI 2024-25'!I2:I2000, "Jan")+COUNTIFS('FOI 2024-25'!S2:S2000, "*Relations within the UK*", 'FOI 2024-25'!I2:I2000, "Feb")+COUNTIFS('FOI 2024-25'!S2:S2000, "*Relations within the UK*", 'FOI 2024-25'!I2:I2000, "Mar")+COUNTIFS('FOI 2024-25'!T2:T2000, "*S28*", 'FOI 2024-25'!I2:I2000, "Jan")+COUNTIFS('FOI 2024-25'!T2:T2000, "*S28*", 'FOI 2024-25'!I2:I2000, "Feb")+COUNTIFS('FOI 2024-25'!T2:T2000, "*S28*", 'FOI 2024-25'!I2:I2000, "Mar")</f>
        <v>0</v>
      </c>
      <c r="G16" s="47"/>
      <c r="H16" s="36" t="s">
        <v>2013</v>
      </c>
      <c r="I16" s="103">
        <f>COUNTIFS('EIR 2024-25'!S2:S1000, "*Property Rights*", 'EIR 2024-25'!J2:J1000, "Apr")+COUNTIFS('EIR 2024-25'!S2:S1000, "*Property Rights*", 'EIR 2024-25'!J2:J1000, "May")+COUNTIFS('EIR 2024-25'!S2:S1000, "*Property Rights*", 'EIR 2024-25'!J2:J1000, "Jun")+COUNTIFS('EIR 2024-25'!T2:T1000, "*S12(5)(c)*", 'EIR 2024-25'!J2:J1000, "Apr")+COUNTIFS('EIR 2024-25'!T2:T1000, "*S12(5)(c)*", 'EIR 2024-25'!J2:J1000, "May")+COUNTIFS('EIR 2024-25'!T2:T1000, "*S12(5)(c)*", 'EIR 2024-25'!J2:J1000, "Jun")</f>
        <v>0</v>
      </c>
      <c r="J16" s="103">
        <f>COUNTIFS('EIR 2024-25'!S2:S1000, "*Property Rights*", 'EIR 2024-25'!J2:J1000, "Jul")+COUNTIFS('EIR 2024-25'!S2:S1000, "*Property Rights*", 'EIR 2024-25'!J2:J1000, "Aug")+COUNTIFS('EIR 2024-25'!S2:S1000, "*Property Rights*", 'EIR 2024-25'!J2:J1000, "Sep")+COUNTIFS('EIR 2024-25'!T2:T1000, "*S12(5)(c)*", 'EIR 2024-25'!J2:J1000, "Jul")+COUNTIFS('EIR 2024-25'!T2:T1000, "*S12(5)(c)*", 'EIR 2024-25'!J2:J1000, "Aug")+COUNTIFS('EIR 2024-25'!T2:T1000, "*S12(5)(c)*", 'EIR 2024-25'!J2:J1000, "Sep")</f>
        <v>0</v>
      </c>
      <c r="K16" s="103">
        <f>COUNTIFS('EIR 2024-25'!S2:S1000, "*Property Rights*", 'EIR 2024-25'!J2:J1000, "Oct")+COUNTIFS('EIR 2024-25'!S2:S1000, "*Property Rights*", 'EIR 2024-25'!J2:J1000, "Nov")+COUNTIFS('EIR 2024-25'!S2:S1000, "*Property Rights*", 'EIR 2024-25'!J2:J1000, "Dec")+COUNTIFS('EIR 2024-25'!T2:T1000, "*S12(5)(c)*", 'EIR 2024-25'!J2:J1000, "Oct")+COUNTIFS('EIR 2024-25'!T2:T1000, "*S12(5)(c)*", 'EIR 2024-25'!J2:J1000, "Nov")+COUNTIFS('EIR 2024-25'!T2:T1000, "*S12(5)(c)*", 'EIR 2024-25'!J2:J1000, "Dec")</f>
        <v>0</v>
      </c>
      <c r="L16" s="112">
        <f>COUNTIFS('EIR 2024-25'!S2:S1000, "*Property Rights*", 'EIR 2024-25'!J2:J1000, "Jan")+COUNTIFS('EIR 2024-25'!S2:S1000, "*Property Rights*", 'EIR 2024-25'!J2:J1000, "Feb")+COUNTIFS('EIR 2024-25'!S2:S1000, "*Property Rights*", 'EIR 2024-25'!J2:J1000, "Mar")+COUNTIFS('EIR 2024-25'!T2:T1000, "*S12(5)(c)*", 'EIR 2024-25'!J2:J1000, "Jan")+COUNTIFS('EIR 2024-25'!T2:T1000, "*S12(5)(c)*", 'EIR 2024-25'!J2:J1000, "Feb")+COUNTIFS('EIR 2024-25'!T2:T1000, "*S12(5)(c)*", 'EIR 2024-25'!J2:J1000, "Mar")</f>
        <v>0</v>
      </c>
    </row>
    <row r="17" spans="2:12" ht="30" x14ac:dyDescent="0.25">
      <c r="B17" s="63" t="s">
        <v>2014</v>
      </c>
      <c r="C17" s="109">
        <f>COUNTIFS('FOI 2024-25'!S2:S2000, "*Economy*", 'FOI 2024-25'!I2:I2000, "Apr")+COUNTIFS('FOI 2024-25'!S2:S2000, "*Economy*", 'FOI 2024-25'!I2:I2000, "May")+COUNTIFS('FOI 2024-25'!S2:S2000, "*Economy*", 'FOI 2024-25'!I2:I2000, "Jun")+COUNTIFS('FOI 2024-25'!T2:T2000, "*S29*", 'FOI 2024-25'!I2:I2000, "Apr")+COUNTIFS('FOI 2024-25'!T2:T2000, "*S29*", 'FOI 2024-25'!I2:I2000, "May")+COUNTIFS('FOI 2024-25'!T2:T2000, "*S29*", 'FOI 2024-25'!I2:I2000, "Jun")</f>
        <v>0</v>
      </c>
      <c r="D17" s="109">
        <f>COUNTIFS('FOI 2024-25'!S2:S2000, "*Economy*", 'FOI 2024-25'!I2:I2000, "Jul")+COUNTIFS('FOI 2024-25'!S2:S2000, "*Economy*", 'FOI 2024-25'!I2:I2000, "Aug")+COUNTIFS('FOI 2024-25'!S2:S2000, "*Economy*", 'FOI 2024-25'!I2:I2000, "Sep")+COUNTIFS('FOI 2024-25'!T2:T2000, "*S29*", 'FOI 2024-25'!I2:I2000, "Jul")+COUNTIFS('FOI 2024-25'!T2:T2000, "*S29*", 'FOI 2024-25'!I2:I2000, "Aug")+COUNTIFS('FOI 2024-25'!T2:T2000, "*S29*", 'FOI 2024-25'!I2:I2000, "Sep")</f>
        <v>0</v>
      </c>
      <c r="E17" s="109">
        <f>COUNTIFS('FOI 2024-25'!S2:S2000, "*Economy*", 'FOI 2024-25'!I2:I2000, "Oct")+COUNTIFS('FOI 2024-25'!S2:S2000, "*Economy*", 'FOI 2024-25'!I2:I2000, "Nov")+COUNTIFS('FOI 2024-25'!S2:S2000, "*Economy*", 'FOI 2024-25'!I2:I2000, "Dec")+COUNTIFS('FOI 2024-25'!T2:T2000, "*S29*", 'FOI 2024-25'!I2:I2000, "Oct")+COUNTIFS('FOI 2024-25'!T2:T2000, "*S29*", 'FOI 2024-25'!I2:I2000, "Nov")+COUNTIFS('FOI 2024-25'!T2:T2000, "*S29*", 'FOI 2024-25'!I2:I2000, "Dec")</f>
        <v>0</v>
      </c>
      <c r="F17" s="110">
        <f>COUNTIFS('FOI 2024-25'!S2:S2000, "*Economy*", 'FOI 2024-25'!I2:I2000, "Jan")+COUNTIFS('FOI 2024-25'!S2:S2000, "*Economy*", 'FOI 2024-25'!I2:I2000, "Feb")+COUNTIFS('FOI 2024-25'!S2:S2000, "*Economy*", 'FOI 2024-25'!I2:I2000, "Mar")+COUNTIFS('FOI 2024-25'!T2:T2000, "*S29*", 'FOI 2024-25'!I2:I2000, "Jan")+COUNTIFS('FOI 2024-25'!T2:T2000, "*S29*", 'FOI 2024-25'!I2:I2000, "Feb")+COUNTIFS('FOI 2024-25'!T2:T2000, "*S29*", 'FOI 2024-25'!I2:I2000, "Mar")</f>
        <v>0</v>
      </c>
      <c r="G17" s="47"/>
      <c r="H17" s="33" t="s">
        <v>2015</v>
      </c>
      <c r="I17" s="105">
        <f>COUNTIFS('EIR 2024-25'!S2:S1000, "*Confidentiality of Procedings*", 'EIR 2024-25'!J2:J1000, "Apr")+COUNTIFS('EIR 2024-25'!S2:S1000, "*Confidentiality of Procedings*", 'EIR 2024-25'!J2:J1000, "May")+COUNTIFS('EIR 2024-25'!S2:S1000, "*Confidentiality of Procedings*", 'EIR 2024-25'!J2:J1000, "Jun")+COUNTIFS('EIR 2024-25'!T2:T1000, "*S12(5)(d)*", 'EIR 2024-25'!J2:J1000, "Apr")+COUNTIFS('EIR 2024-25'!T2:T1000, "*S12(5)(d)*", 'EIR 2024-25'!J2:J1000, "May")+COUNTIFS('EIR 2024-25'!T2:T1000, "*S12(5)(d)*", 'EIR 2024-25'!J2:J1000, "Jun")</f>
        <v>0</v>
      </c>
      <c r="J17" s="105">
        <f>COUNTIFS('EIR 2024-25'!S2:S1000, "*Confidentiality of Procedings*", 'EIR 2024-25'!J2:J1000, "Jul")+COUNTIFS('EIR 2024-25'!S2:S1000, "*Confidentiality of Procedings*", 'EIR 2024-25'!J2:J1000, "Aug")+COUNTIFS('EIR 2024-25'!S2:S1000, "*Confidentiality of Procedings*", 'EIR 2024-25'!J2:J1000, "Sep")+COUNTIFS('EIR 2024-25'!T2:T1000, "*S12(5)(d)*", 'EIR 2024-25'!J2:J1000, "Jul")+COUNTIFS('EIR 2024-25'!T2:T1000, "*S12(5)(d)*", 'EIR 2024-25'!J2:J1000, "Aug")+COUNTIFS('EIR 2024-25'!T2:T1000, "*S12(5)(d)*", 'EIR 2024-25'!J2:J1000, "Sep")</f>
        <v>0</v>
      </c>
      <c r="K17" s="105">
        <f>COUNTIFS('EIR 2024-25'!S2:S1000, "*Confidentiality of Procedings*", 'EIR 2024-25'!J2:J1000, "Oct")+COUNTIFS('EIR 2024-25'!S2:S1000, "*Confidentiality of Procedings*", 'EIR 2024-25'!J2:J1000, "Nov")+COUNTIFS('EIR 2024-25'!S2:S1000, "*Confidentiality of Procedings*", 'EIR 2024-25'!J2:J1000, "Dec")+COUNTIFS('EIR 2024-25'!T2:T1000, "*S12(5)(d)*", 'EIR 2024-25'!J2:J1000, "Oct")+COUNTIFS('EIR 2024-25'!T2:T1000, "*S12(5)(d)*", 'EIR 2024-25'!J2:J1000, "Nov")+COUNTIFS('EIR 2024-25'!T2:T1000, "*S12(5)(d)*", 'EIR 2024-25'!J2:J1000, "Dec")</f>
        <v>0</v>
      </c>
      <c r="L17" s="111">
        <f>COUNTIFS('EIR 2024-25'!S2:S1000, "*Confidentiality of Procedings*", 'EIR 2024-25'!J2:J1000, "Jan")+COUNTIFS('EIR 2024-25'!S2:S1000, "*Confidentiality of Procedings*", 'EIR 2024-25'!J2:J1000, "Feb")+COUNTIFS('EIR 2024-25'!S2:S1000, "*Confidentiality of Procedings*", 'EIR 2024-25'!J2:J1000, "Mar")+COUNTIFS('EIR 2024-25'!T2:T1000, "*S12(5)(d)*", 'EIR 2024-25'!J2:J1000, "Jan")+COUNTIFS('EIR 2024-25'!T2:T1000, "*S12(5)(d)*", 'EIR 2024-25'!J2:J1000, "Feb")+COUNTIFS('EIR 2024-25'!T2:T1000, "*S12(5)(d)*", 'EIR 2024-25'!J2:J1000, "Mar")</f>
        <v>0</v>
      </c>
    </row>
    <row r="18" spans="2:12" ht="45" x14ac:dyDescent="0.25">
      <c r="B18" s="64" t="s">
        <v>2016</v>
      </c>
      <c r="C18" s="113">
        <f>COUNTIFS('FOI 2024-25'!S2:S2000, "*Investigations and Proceedings*", 'FOI 2024-25'!I2:I2000, "Apr")+COUNTIFS('FOI 2024-25'!S2:S2000, "*Investigations and Proceedings*", 'FOI 2024-25'!I2:I2000, "May")+COUNTIFS('FOI 2024-25'!S2:S2000, "*Investigations and Proceedings*", 'FOI 2024-25'!I2:I2000, "Jun")+COUNTIFS('FOI 2024-25'!T2:T2000, "*S30*", 'FOI 2024-25'!I2:I2000, "Apr")+COUNTIFS('FOI 2024-25'!T2:T2000, "*S30*", 'FOI 2024-25'!I2:I2000, "May")+COUNTIFS('FOI 2024-25'!T2:T2000, "*S30*", 'FOI 2024-25'!I2:I2000, "Jun")</f>
        <v>0</v>
      </c>
      <c r="D18" s="113">
        <f>COUNTIFS('FOI 2024-25'!S2:S2000, "*Investigations and Proceedings*", 'FOI 2024-25'!I2:I2000, "Jul")+COUNTIFS('FOI 2024-25'!S2:S2000, "*Investigations and Proceedings*", 'FOI 2024-25'!I2:I2000, "Aug")+COUNTIFS('FOI 2024-25'!S2:S2000, "*Investigations and Proceedings*", 'FOI 2024-25'!I2:I2000, "Sep")+COUNTIFS('FOI 2024-25'!T2:T2000, "*S30*", 'FOI 2024-25'!I2:I2000, "Jul")+COUNTIFS('FOI 2024-25'!T2:T2000, "*S30*", 'FOI 2024-25'!I2:I2000, "Aug")+COUNTIFS('FOI 2024-25'!T2:T2000, "*S30*", 'FOI 2024-25'!I2:I2000, "Sep")</f>
        <v>0</v>
      </c>
      <c r="E18" s="113">
        <f>COUNTIFS('FOI 2024-25'!S2:S2000, "*Investigations and Proceedings*", 'FOI 2024-25'!I2:I2000, "Oct")+COUNTIFS('FOI 2024-25'!S2:S2000, "*Investigations and Proceedings*", 'FOI 2024-25'!I2:I2000, "Nov")+COUNTIFS('FOI 2024-25'!S2:S2000, "*Investigations and Proceedings*", 'FOI 2024-25'!I2:I2000, "Dec")+COUNTIFS('FOI 2024-25'!T2:T2000, "*S30*", 'FOI 2024-25'!I2:I2000, "Oct")+COUNTIFS('FOI 2024-25'!T2:T2000, "*S30*", 'FOI 2024-25'!I2:I2000, "Nov")+COUNTIFS('FOI 2024-25'!T2:T2000, "*S30*", 'FOI 2024-25'!I2:I2000, "Dec")</f>
        <v>0</v>
      </c>
      <c r="F18" s="114">
        <f>COUNTIFS('FOI 2024-25'!S2:S2000, "*Investigations and Proceedings*", 'FOI 2024-25'!I2:I2000, "Jan")+COUNTIFS('FOI 2024-25'!S2:S2000, "*Investigations and Proceedings*", 'FOI 2024-25'!I2:I2000, "Feb")+COUNTIFS('FOI 2024-25'!S2:S2000, "*Investigations and Proceedings*", 'FOI 2024-25'!I2:I2000, "Mar")+COUNTIFS('FOI 2024-25'!T2:T2000, "*S30*", 'FOI 2024-25'!I2:I2000, "Jan")+COUNTIFS('FOI 2024-25'!T2:T2000, "*S30*", 'FOI 2024-25'!I2:I2000, "Feb")+COUNTIFS('FOI 2024-25'!T2:T2000, "*S30*", 'FOI 2024-25'!I2:I2000, "Mar")</f>
        <v>0</v>
      </c>
      <c r="G18" s="47"/>
      <c r="H18" s="36" t="s">
        <v>2017</v>
      </c>
      <c r="I18" s="103">
        <f>COUNTIFS('EIR 2024-25'!S2:S1000, "*Confidentiality of Commercial*", 'EIR 2024-25'!J2:J1000, "Apr")+COUNTIFS('EIR 2024-25'!S2:S1000, "*Confidentiality of Commercial*", 'EIR 2024-25'!J2:J1000, "May")+COUNTIFS('EIR 2024-25'!S2:S1000, "*Confidentiality of Commercial*", 'EIR 2024-25'!J2:J1000, "Jun")+COUNTIFS('EIR 2024-25'!T2:T1000, "*S12(5)(e)*", 'EIR 2024-25'!J2:J1000, "Apr")+COUNTIFS('EIR 2024-25'!T2:T1000, "*S12(5)(e)*", 'EIR 2024-25'!J2:J1000, "May")+COUNTIFS('EIR 2024-25'!T2:T1000, "*S12(5)(e)*", 'EIR 2024-25'!J2:J1000, "Jun")</f>
        <v>1</v>
      </c>
      <c r="J18" s="103">
        <f>COUNTIFS('EIR 2024-25'!S2:S1000, "*Confidentiality of Commercial*", 'EIR 2024-25'!J2:J1000, "Jul")+COUNTIFS('EIR 2024-25'!S2:S1000, "*Confidentiality of Commercial*", 'EIR 2024-25'!J2:J1000, "Aug")+COUNTIFS('EIR 2024-25'!S2:S1000, "*Confidentiality of Commercial*", 'EIR 2024-25'!J2:J1000, "Sep")+COUNTIFS('EIR 2024-25'!T2:T1000, "*S12(5)(e)*", 'EIR 2024-25'!J2:J1000, "Jul")+COUNTIFS('EIR 2024-25'!T2:T1000, "*S12(5)(e)*", 'EIR 2024-25'!J2:J1000, "Aug")+COUNTIFS('EIR 2024-25'!T2:T1000, "*S12(5)(e)*", 'EIR 2024-25'!J2:J1000, "Sep")</f>
        <v>0</v>
      </c>
      <c r="K18" s="103">
        <f>COUNTIFS('EIR 2024-25'!S2:S1000, "*Confidentiality of Commercial*", 'EIR 2024-25'!J2:J1000, "Oct")+COUNTIFS('EIR 2024-25'!S2:S1000, "*Confidentiality of Commercial*", 'EIR 2024-25'!J2:J1000, "Nov")+COUNTIFS('EIR 2024-25'!S2:S1000, "*Confidentiality of Commercial*", 'EIR 2024-25'!J2:J1000, "Dec")+COUNTIFS('EIR 2024-25'!T2:T1000, "*S12(5)(e)*", 'EIR 2024-25'!J2:J1000, "Oct")+COUNTIFS('EIR 2024-25'!T2:T1000, "*S12(5)(e)*", 'EIR 2024-25'!J2:J1000, "Nov")+COUNTIFS('EIR 2024-25'!T2:T1000, "*S12(5)(e)*", 'EIR 2024-25'!J2:J1000, "Dec")</f>
        <v>0</v>
      </c>
      <c r="L18" s="112">
        <f>COUNTIFS('EIR 2024-25'!S2:S1000, "*Confidentiality of Commercial*", 'EIR 2024-25'!J2:J1000, "Jan")+COUNTIFS('EIR 2024-25'!S2:S1000, "*Confidentiality of Commercial*", 'EIR 2024-25'!J2:J1000, "Feb")+COUNTIFS('EIR 2024-25'!S2:S1000, "*Confidentiality of Commercial*", 'EIR 2024-25'!J2:J1000, "Mar")+COUNTIFS('EIR 2024-25'!T2:T1000, "*S12(5)(e)*", 'EIR 2024-25'!J2:J1000, "Jan")+COUNTIFS('EIR 2024-25'!T2:T1000, "*S12(5)(e)*", 'EIR 2024-25'!J2:J1000, "Feb")+COUNTIFS('EIR 2024-25'!T2:T1000, "*S12(5)(e)*", 'EIR 2024-25'!J2:J1000, "Mar")</f>
        <v>0</v>
      </c>
    </row>
    <row r="19" spans="2:12" ht="45" x14ac:dyDescent="0.25">
      <c r="B19" s="63" t="s">
        <v>2018</v>
      </c>
      <c r="C19" s="109">
        <f>COUNTIFS('FOI 2024-25'!S2:S2000, "*Law Enforcement*", 'FOI 2024-25'!I2:I2000, "Apr")+COUNTIFS('FOI 2024-25'!S2:S2000, "*Law Enforcement*", 'FOI 2024-25'!I2:I2000, "May")+COUNTIFS('FOI 2024-25'!S2:S2000, "*Law Enforcement*", 'FOI 2024-25'!I2:I2000, "Jun")+COUNTIFS('FOI 2024-25'!T2:T2000, "*S31*", 'FOI 2024-25'!I2:I2000, "Apr")+COUNTIFS('FOI 2024-25'!T2:T2000, "*S31*", 'FOI 2024-25'!I2:I2000, "May")+COUNTIFS('FOI 2024-25'!T2:T2000, "*S31*", 'FOI 2024-25'!I2:I2000, "Jun")</f>
        <v>7</v>
      </c>
      <c r="D19" s="109">
        <f>COUNTIFS('FOI 2024-25'!S2:S2000, "*Law Enforcement*", 'FOI 2024-25'!I2:I2000, "Jul")+COUNTIFS('FOI 2024-25'!S2:S2000, "*Law Enforcement*", 'FOI 2024-25'!I2:I2000, "Aug")+COUNTIFS('FOI 2024-25'!S2:S2000, "*Law Enforcement*", 'FOI 2024-25'!I2:I2000, "Sep")+COUNTIFS('FOI 2024-25'!T2:T2000, "*S31*", 'FOI 2024-25'!I2:I2000, "Jul")+COUNTIFS('FOI 2024-25'!T2:T2000, "*S31*", 'FOI 2024-25'!I2:I2000, "Aug")+COUNTIFS('FOI 2024-25'!T2:T2000, "*S31*", 'FOI 2024-25'!I2:I2000, "Sep")</f>
        <v>10</v>
      </c>
      <c r="E19" s="109">
        <f>COUNTIFS('FOI 2024-25'!S2:S2000, "*Law Enforcement*", 'FOI 2024-25'!I2:I2000, "Oct")+COUNTIFS('FOI 2024-25'!S2:S2000, "*Law Enforcement*", 'FOI 2024-25'!I2:I2000, "Nov")+COUNTIFS('FOI 2024-25'!S2:S2000, "*Law Enforcement*", 'FOI 2024-25'!I2:I2000, "Dec")+COUNTIFS('FOI 2024-25'!T2:T2000, "*S31*", 'FOI 2024-25'!I2:I2000, "Oct")+COUNTIFS('FOI 2024-25'!T2:T2000, "*S31*", 'FOI 2024-25'!I2:I2000, "Nov")+COUNTIFS('FOI 2024-25'!T2:T2000, "*S31*", 'FOI 2024-25'!I2:I2000, "Dec")</f>
        <v>8</v>
      </c>
      <c r="F19" s="110">
        <f>COUNTIFS('FOI 2024-25'!S2:S2000, "*Law Enforcement*", 'FOI 2024-25'!I2:I2000, "Jan")+COUNTIFS('FOI 2024-25'!S2:S2000, "*Law Enforcement*", 'FOI 2024-25'!I2:I2000, "Feb")+COUNTIFS('FOI 2024-25'!S2:S2000, "*Law Enforcement*", 'FOI 2024-25'!I2:I2000, "Mar")+COUNTIFS('FOI 2024-25'!T2:T2000, "*S31*", 'FOI 2024-25'!I2:I2000, "Jan")+COUNTIFS('FOI 2024-25'!T2:T2000, "*S31*", 'FOI 2024-25'!I2:I2000, "Feb")+COUNTIFS('FOI 2024-25'!T2:T2000, "*S31*", 'FOI 2024-25'!I2:I2000, "Mar")</f>
        <v>7</v>
      </c>
      <c r="G19" s="47"/>
      <c r="H19" s="33" t="s">
        <v>2019</v>
      </c>
      <c r="I19" s="105">
        <f>COUNTIFS('EIR 2024-25'!S2:S1000, "*Interests of the person*", 'EIR 2024-25'!J2:J1000, "Apr")+COUNTIFS('EIR 2024-25'!S2:S1000, "*Interests of the person*", 'EIR 2024-25'!J2:J1000, "May")+COUNTIFS('EIR 2024-25'!S2:S1000, "*Interests of the person*", 'EIR 2024-25'!J2:J1000, "Jun")+COUNTIFS('EIR 2024-25'!T2:T1000, "*S12(5)(f)*", 'EIR 2024-25'!J2:J1000, "Apr")+COUNTIFS('EIR 2024-25'!T2:T1000, "*S12(5)(f)*", 'EIR 2024-25'!J2:J1000, "May")+COUNTIFS('EIR 2024-25'!T2:T1000, "*S12(5)(f)*", 'EIR 2024-25'!J2:J1000, "Jun")</f>
        <v>0</v>
      </c>
      <c r="J19" s="105">
        <f>COUNTIFS('EIR 2024-25'!S2:S1000, "*Interests of the person*", 'EIR 2024-25'!J2:J1000, "Jul")+COUNTIFS('EIR 2024-25'!S2:S1000, "*Interests of the person*", 'EIR 2024-25'!J2:J1000, "Aug")+COUNTIFS('EIR 2024-25'!S2:S1000, "*Interests of the person*", 'EIR 2024-25'!J2:J1000, "Sep")+COUNTIFS('EIR 2024-25'!T2:T1000, "*S12(5)(f)*", 'EIR 2024-25'!J2:J1000, "Jul")+COUNTIFS('EIR 2024-25'!T2:T1000, "*S12(5)(f)*", 'EIR 2024-25'!J2:J1000, "Aug")+COUNTIFS('EIR 2024-25'!T2:T1000, "*S12(5)(f)*", 'EIR 2024-25'!J2:J1000, "Sep")</f>
        <v>0</v>
      </c>
      <c r="K19" s="105">
        <f>COUNTIFS('EIR 2024-25'!S2:S1000, "*Interests of the person*", 'EIR 2024-25'!J2:J1000, "Oct")+COUNTIFS('EIR 2024-25'!S2:S1000, "*Interests of the person*", 'EIR 2024-25'!J2:J1000, "Nov")+COUNTIFS('EIR 2024-25'!S2:S1000, "*Interests of the person*", 'EIR 2024-25'!J2:J1000, "Dec")+COUNTIFS('EIR 2024-25'!T2:T1000, "*S12(5)(f)*", 'EIR 2024-25'!J2:J1000, "Oct")+COUNTIFS('EIR 2024-25'!T2:T1000, "*S12(5)(f)*", 'EIR 2024-25'!J2:J1000, "Nov")+COUNTIFS('EIR 2024-25'!T2:T1000, "*S12(5)(f)*", 'EIR 2024-25'!J2:J1000, "Dec")</f>
        <v>0</v>
      </c>
      <c r="L19" s="111">
        <f>COUNTIFS('EIR 2024-25'!S2:S1000, "*Interests of the person*", 'EIR 2024-25'!J2:J1000, "Jan")+COUNTIFS('EIR 2024-25'!S2:S1000, "*Interests of the person*", 'EIR 2024-25'!J2:J1000, "Feb")+COUNTIFS('EIR 2024-25'!S2:S1000, "*Interests of the person*", 'EIR 2024-25'!J2:J1000, "Mar")+COUNTIFS('EIR 2024-25'!T2:T1000, "*S12(5)(f)*", 'EIR 2024-25'!J2:J1000, "Jan")+COUNTIFS('EIR 2024-25'!T2:T1000, "*S12(5)(f)*", 'EIR 2024-25'!J2:J1000, "Feb")+COUNTIFS('EIR 2024-25'!T2:T1000, "*S12(5)(f)*", 'EIR 2024-25'!J2:J1000, "Mar")</f>
        <v>0</v>
      </c>
    </row>
    <row r="20" spans="2:12" ht="30" x14ac:dyDescent="0.25">
      <c r="B20" s="64" t="s">
        <v>2020</v>
      </c>
      <c r="C20" s="113">
        <f>COUNTIFS('FOI 2024-25'!S2:S2000, "*Court Records*", 'FOI 2024-25'!I2:I2000, "Apr")+COUNTIFS('FOI 2024-25'!S2:S2000, "*Court Records*", 'FOI 2024-25'!I2:I2000, "May")+COUNTIFS('FOI 2024-25'!S2:S2000, "*Court Records*", 'FOI 2024-25'!I2:I2000, "Jun")+COUNTIFS('FOI 2024-25'!T2:T2000, "*S32*", 'FOI 2024-25'!I2:I2000, "Apr")+COUNTIFS('FOI 2024-25'!T2:T2000, "*S32*", 'FOI 2024-25'!I2:I2000, "May")+COUNTIFS('FOI 2024-25'!T2:T2000, "*S32*", 'FOI 2024-25'!I2:I2000, "Jun")</f>
        <v>0</v>
      </c>
      <c r="D20" s="113">
        <f>COUNTIFS('FOI 2024-25'!S2:S2000, "*Court Records*", 'FOI 2024-25'!I2:I2000, "Jul")+COUNTIFS('FOI 2024-25'!S2:S2000, "*Court Records*", 'FOI 2024-25'!I2:I2000, "Aug")+COUNTIFS('FOI 2024-25'!S2:S2000, "*Court Records*", 'FOI 2024-25'!I2:I2000, "Sep")+COUNTIFS('FOI 2024-25'!T2:T2000, "*S32*", 'FOI 2024-25'!I2:I2000, "Jul")+COUNTIFS('FOI 2024-25'!T2:T2000, "*S32*", 'FOI 2024-25'!I2:I2000, "Aug")+COUNTIFS('FOI 2024-25'!T2:T2000, "*S32*", 'FOI 2024-25'!I2:I2000, "Sep")</f>
        <v>0</v>
      </c>
      <c r="E20" s="113">
        <f>COUNTIFS('FOI 2024-25'!S2:S2000, "*Court Records*", 'FOI 2024-25'!I2:I2000, "Oct")+COUNTIFS('FOI 2024-25'!S2:S2000, "*Court Records*", 'FOI 2024-25'!I2:I2000, "Nov")+COUNTIFS('FOI 2024-25'!S2:S2000, "*Court Records*", 'FOI 2024-25'!I2:I2000, "Dec")+COUNTIFS('FOI 2024-25'!T2:T2000, "*S32*", 'FOI 2024-25'!I2:I2000, "Oct")+COUNTIFS('FOI 2024-25'!T2:T2000, "*S32*", 'FOI 2024-25'!I2:I2000, "Nov")+COUNTIFS('FOI 2024-25'!T2:T2000, "*S32*", 'FOI 2024-25'!I2:I2000, "Dec")</f>
        <v>0</v>
      </c>
      <c r="F20" s="114">
        <f>COUNTIFS('FOI 2024-25'!S2:S2000, "*Court Records*", 'FOI 2024-25'!I2:I2000, "Jan")+COUNTIFS('FOI 2024-25'!S2:S2000, "*Court Records*", 'FOI 2024-25'!I2:I2000, "Feb")+COUNTIFS('FOI 2024-25'!S2:S2000, "*Court Records*", 'FOI 2024-25'!I2:I2000, "Mar")+COUNTIFS('FOI 2024-25'!T2:T2000, "*S32*", 'FOI 2024-25'!I2:I2000, "Jan")+COUNTIFS('FOI 2024-25'!T2:T2000, "*S32*", 'FOI 2024-25'!I2:I2000, "Feb")+COUNTIFS('FOI 2024-25'!T2:T2000, "*S32*", 'FOI 2024-25'!I2:I2000, "Mar")</f>
        <v>0</v>
      </c>
      <c r="G20" s="47"/>
      <c r="H20" s="36" t="s">
        <v>2021</v>
      </c>
      <c r="I20" s="103">
        <f>COUNTIFS('EIR 2024-25'!S2:S1000, "*Protection of the Environment*", 'EIR 2024-25'!J2:J1000, "Apr")+COUNTIFS('EIR 2024-25'!S2:S1000, "*Protection of the Environment*", 'EIR 2024-25'!J2:J1000, "May")+COUNTIFS('EIR 2024-25'!S2:S1000, "*Protection of the Environment*", 'EIR 2024-25'!J2:J1000, "Jun")+COUNTIFS('EIR 2024-25'!T2:T1000, "*S12(5)(g)*", 'EIR 2024-25'!J2:J1000, "Apr")+COUNTIFS('EIR 2024-25'!T2:T1000, "*S12(5)(g)*", 'EIR 2024-25'!J2:J1000, "May")+COUNTIFS('EIR 2024-25'!T2:T1000, "*S12(5)(g)*", 'EIR 2024-25'!J2:J1000, "Jun")</f>
        <v>0</v>
      </c>
      <c r="J20" s="103">
        <f>COUNTIFS('EIR 2024-25'!S2:S1000, "*Protection of the Environment*", 'EIR 2024-25'!J2:J1000, "Jul")+COUNTIFS('EIR 2024-25'!S2:S1000, "*Protection of the Environment*", 'EIR 2024-25'!J2:J1000, "Aug")+COUNTIFS('EIR 2024-25'!S2:S1000, "*Protection of the Environment*", 'EIR 2024-25'!J2:J1000, "Sep")+COUNTIFS('EIR 2024-25'!T2:T1000, "*S12(5)(g)*", 'EIR 2024-25'!J2:J1000, "Jul")+COUNTIFS('EIR 2024-25'!T2:T1000, "*S12(5)(g)*", 'EIR 2024-25'!J2:J1000, "Aug")+COUNTIFS('EIR 2024-25'!T2:T1000, "*S12(5)(g)*", 'EIR 2024-25'!J2:J1000, "Sep")</f>
        <v>0</v>
      </c>
      <c r="K20" s="103">
        <f>COUNTIFS('EIR 2024-25'!S2:S1000, "*Protection of the Environment*", 'EIR 2024-25'!J2:J1000, "Oct")+COUNTIFS('EIR 2024-25'!S2:S1000, "*Protection of the Environment*", 'EIR 2024-25'!J2:J1000, "Nov")+COUNTIFS('EIR 2024-25'!S2:S1000, "*Protection of the Environment*", 'EIR 2024-25'!J2:J1000, "Dec")+COUNTIFS('EIR 2024-25'!T2:T1000, "*S12(5)(g)*", 'EIR 2024-25'!J2:J1000, "Oct")+COUNTIFS('EIR 2024-25'!T2:T1000, "*S12(5)(g)*", 'EIR 2024-25'!J2:J1000, "Nov")+COUNTIFS('EIR 2024-25'!T2:T1000, "*S12(5)(g)*", 'EIR 2024-25'!J2:J1000, "Dec")</f>
        <v>0</v>
      </c>
      <c r="L20" s="112">
        <f>COUNTIFS('EIR 2024-25'!S2:S1000, "*Protection of the Environment*", 'EIR 2024-25'!J2:J1000, "Jan")+COUNTIFS('EIR 2024-25'!S2:S1000, "*Protection of the Environment*", 'EIR 2024-25'!J2:J1000, "Feb")+COUNTIFS('EIR 2024-25'!S2:S1000, "*Protection of the Environment*", 'EIR 2024-25'!J2:J1000, "Mar")+COUNTIFS('EIR 2024-25'!T2:T1000, "*S12(5)(g)*", 'EIR 2024-25'!J2:J1000, "Jan")+COUNTIFS('EIR 2024-25'!T2:T1000, "*S12(5)(g)*", 'EIR 2024-25'!J2:J1000, "Feb")+COUNTIFS('EIR 2024-25'!T2:T1000, "*S12(5)(g)*", 'EIR 2024-25'!J2:J1000, "Mar")</f>
        <v>0</v>
      </c>
    </row>
    <row r="21" spans="2:12" ht="15" x14ac:dyDescent="0.25">
      <c r="B21" s="63" t="s">
        <v>2022</v>
      </c>
      <c r="C21" s="109">
        <f>COUNTIFS('FOI 2024-25'!S2:S2000, "*Audit Function*", 'FOI 2024-25'!I2:I2000, "Apr")+COUNTIFS('FOI 2024-25'!S2:S2000, "*Audit Function*", 'FOI 2024-25'!I2:I2000, "May")+COUNTIFS('FOI 2024-25'!S2:S2000, "*Audit Function*", 'FOI 2024-25'!I2:I2000, "Jun")+COUNTIFS('FOI 2024-25'!T2:T2000, "*S33*", 'FOI 2024-25'!I2:I2000, "Apr")+COUNTIFS('FOI 2024-25'!T2:T2000, "*S33*", 'FOI 2024-25'!I2:I2000, "May")+COUNTIFS('FOI 2024-25'!T2:T2000, "*S33*", 'FOI 2024-25'!I2:I2000, "Jun")</f>
        <v>0</v>
      </c>
      <c r="D21" s="109">
        <f>COUNTIFS('FOI 2024-25'!S2:S2000, "*Audit Function*", 'FOI 2024-25'!I2:I2000, "Jul")+COUNTIFS('FOI 2024-25'!S2:S2000, "*Audit Function*", 'FOI 2024-25'!I2:I2000, "Aug")+COUNTIFS('FOI 2024-25'!S2:S2000, "*Audit Function*", 'FOI 2024-25'!I2:I2000, "Sep")+COUNTIFS('FOI 2024-25'!T2:T2000, "*S33*", 'FOI 2024-25'!I2:I2000, "Jul")+COUNTIFS('FOI 2024-25'!T2:T2000, "*S33*", 'FOI 2024-25'!I2:I2000, "Aug")+COUNTIFS('FOI 2024-25'!T2:T2000, "*S33*", 'FOI 2024-25'!I2:I2000, "Sep")</f>
        <v>0</v>
      </c>
      <c r="E21" s="109">
        <f>COUNTIFS('FOI 2024-25'!S2:S2000, "*Audit Function*", 'FOI 2024-25'!I2:I2000, "Oct")+COUNTIFS('FOI 2024-25'!S2:S2000, "*Audit Function*", 'FOI 2024-25'!I2:I2000, "Nov")+COUNTIFS('FOI 2024-25'!S2:S2000, "*Audit Function*", 'FOI 2024-25'!I2:I2000, "Dec")+COUNTIFS('FOI 2024-25'!T2:T2000, "*S33*", 'FOI 2024-25'!I2:I2000, "Oct")+COUNTIFS('FOI 2024-25'!T2:T2000, "*S33*", 'FOI 2024-25'!I2:I2000, "Nov")+COUNTIFS('FOI 2024-25'!T2:T2000, "*S33*", 'FOI 2024-25'!I2:I2000, "Dec")</f>
        <v>0</v>
      </c>
      <c r="F21" s="110">
        <f>COUNTIFS('FOI 2024-25'!S2:S2000, "*Audit Function*", 'FOI 2024-25'!I2:I2000, "Jan")+COUNTIFS('FOI 2024-25'!S2:S2000, "*Audit Function*", 'FOI 2024-25'!I2:I2000, "Feb")+COUNTIFS('FOI 2024-25'!S2:S2000, "*Audit Function*", 'FOI 2024-25'!I2:I2000, "Mar")+COUNTIFS('FOI 2024-25'!T2:T2000, "*S33*", 'FOI 2024-25'!I2:I2000, "Jan")+COUNTIFS('FOI 2024-25'!T2:T2000, "*S33*", 'FOI 2024-25'!I2:I2000, "Feb")+COUNTIFS('FOI 2024-25'!T2:T2000, "*S33*", 'FOI 2024-25'!I2:I2000, "Mar")</f>
        <v>0</v>
      </c>
      <c r="G21" s="47"/>
      <c r="H21" s="33" t="s">
        <v>2023</v>
      </c>
      <c r="I21" s="105">
        <f>COUNTIFS('EIR 2024-25'!S2:S1000, "*Personal Data*", 'EIR 2024-25'!J2:J1000, "Apr")+COUNTIFS('EIR 2024-25'!S2:S1000, "*Personal Data*", 'EIR 2024-25'!J2:J1000, "May")+COUNTIFS('EIR 2024-25'!S2:S1000, "*Personal Data*", 'EIR 2024-25'!J2:J1000, "Jun")+COUNTIFS('EIR 2024-25'!T2:T1000, "*S13*", 'EIR 2024-25'!J2:J1000, "Apr")+COUNTIFS('EIR 2024-25'!T2:T1000, "*S12(3)*", 'EIR 2024-25'!J2:J1000, "May")+COUNTIFS('EIR 2024-25'!T2:T1000, "*S12(3)*", 'EIR 2024-25'!J2:J1000, "Jun")</f>
        <v>1</v>
      </c>
      <c r="J21" s="105">
        <f>COUNTIFS('EIR 2024-25'!S2:S1000, "*Personal Data*", 'EIR 2024-25'!J2:J1000, "Jul")+COUNTIFS('EIR 2024-25'!S2:S1000, "*Personal Data*", 'EIR 2024-25'!J2:J1000, "Aug")+COUNTIFS('EIR 2024-25'!S2:S1000, "*Personal Data*", 'EIR 2024-25'!J2:J1000, "Sep")+COUNTIFS('EIR 2024-25'!T2:T1000, "*S13*", 'EIR 2024-25'!J2:J1000, "Jul")+COUNTIFS('EIR 2024-25'!T2:T1000, "*S12(3)*", 'EIR 2024-25'!J2:J1000, "Aug")+COUNTIFS('EIR 2024-25'!T2:T1000, "*S12(3)*", 'EIR 2024-25'!J2:J1000, "Sep")</f>
        <v>1</v>
      </c>
      <c r="K21" s="105">
        <f>COUNTIFS('EIR 2024-25'!S2:S1000, "*Personal Data*", 'EIR 2024-25'!J2:J1000, "Oct")+COUNTIFS('EIR 2024-25'!S2:S1000, "*Personal Data*", 'EIR 2024-25'!J2:J1000, "Nov")+COUNTIFS('EIR 2024-25'!S2:S1000, "*Personal Data*", 'EIR 2024-25'!J2:J1000, "Dec")+COUNTIFS('EIR 2024-25'!T2:T1000, "*S13*", 'EIR 2024-25'!J2:J1000, "Oct")+COUNTIFS('EIR 2024-25'!T2:T1000, "*S12(3)*", 'EIR 2024-25'!J2:J1000, "Nov")+COUNTIFS('EIR 2024-25'!T2:T1000, "*S12(3)*", 'EIR 2024-25'!J2:J1000, "Dec")</f>
        <v>7</v>
      </c>
      <c r="L21" s="111">
        <f>COUNTIFS('EIR 2024-25'!S2:S1000, "*Personal Data*", 'EIR 2024-25'!J2:J1000, "Jan")+COUNTIFS('EIR 2024-25'!S2:S1000, "*Personal Data*", 'EIR 2024-25'!J2:J1000, "Feb")+COUNTIFS('EIR 2024-25'!S2:S1000, "*Personal Data*", 'EIR 2024-25'!J2:J1000, "Mar")+COUNTIFS('EIR 2024-25'!T2:T1000, "*S13*", 'EIR 2024-25'!J2:J1000, "Jan")+COUNTIFS('EIR 2024-25'!T2:T1000, "*S12(3)*", 'EIR 2024-25'!J2:J1000, "Feb")+COUNTIFS('EIR 2024-25'!T2:T1000, "*S12(3)*", 'EIR 2024-25'!J2:J1000, "Mar")</f>
        <v>5</v>
      </c>
    </row>
    <row r="22" spans="2:12" ht="38.15" customHeight="1" thickBot="1" x14ac:dyDescent="0.3">
      <c r="B22" s="64" t="s">
        <v>2024</v>
      </c>
      <c r="C22" s="113">
        <f>COUNTIFS('FOI 2024-25'!S2:S2000, "*Parliamentary Privilege*", 'FOI 2024-25'!I2:I2000, "Apr")+COUNTIFS('FOI 2024-25'!S2:S2000, "*Parliamentary Privilege*", 'FOI 2024-25'!I2:I2000, "May")+COUNTIFS('FOI 2024-25'!S2:S2000, "*Parliamentary Privilege*", 'FOI 2024-25'!I2:I2000, "Jun")+COUNTIFS('FOI 2024-25'!T2:T2000, "*S34*", 'FOI 2024-25'!I2:I2000, "Apr")+COUNTIFS('FOI 2024-25'!T2:T2000, "*S34*", 'FOI 2024-25'!I2:I2000, "May")+COUNTIFS('FOI 2024-25'!T2:T2000, "*S34*", 'FOI 2024-25'!I2:I2000, "Jun")</f>
        <v>0</v>
      </c>
      <c r="D22" s="113">
        <f>COUNTIFS('FOI 2024-25'!S2:S2000, "*Parliamentary Privilege*", 'FOI 2024-25'!I2:I2000, "Jul")+COUNTIFS('FOI 2024-25'!S2:S2000, "*Parliamentary Privilege*", 'FOI 2024-25'!I2:I2000, "Aug")+COUNTIFS('FOI 2024-25'!S2:S2000, "*Parliamentary Privilege*", 'FOI 2024-25'!I2:I2000, "Sep")+COUNTIFS('FOI 2024-25'!T2:T2000, "*S34*", 'FOI 2024-25'!I2:I2000, "Jul")+COUNTIFS('FOI 2024-25'!T2:T2000, "*S34*", 'FOI 2024-25'!I2:I2000, "Aug")+COUNTIFS('FOI 2024-25'!T2:T2000, "*S34*", 'FOI 2024-25'!I2:I2000, "Sep")</f>
        <v>0</v>
      </c>
      <c r="E22" s="113">
        <f>COUNTIFS('FOI 2024-25'!S2:S2000, "*Parliamentary Privilege*", 'FOI 2024-25'!I2:I2000, "Oct")+COUNTIFS('FOI 2024-25'!S2:S2000, "*Parliamentary Privilege*", 'FOI 2024-25'!I2:I2000, "Nov")+COUNTIFS('FOI 2024-25'!S2:S2000, "*Parliamentary Privilege*", 'FOI 2024-25'!I2:I2000, "Dec")+COUNTIFS('FOI 2024-25'!T2:T2000, "*S34*", 'FOI 2024-25'!I2:I2000, "Oct")+COUNTIFS('FOI 2024-25'!T2:T2000, "*S34*", 'FOI 2024-25'!I2:I2000, "Nov")+COUNTIFS('FOI 2024-25'!T2:T2000, "*S34*", 'FOI 2024-25'!I2:I2000, "Dec")</f>
        <v>0</v>
      </c>
      <c r="F22" s="114">
        <f>COUNTIFS('FOI 2024-25'!S2:S2000, "*Parliamentary Privilege*", 'FOI 2024-25'!I2:I2000, "Jan")+COUNTIFS('FOI 2024-25'!S2:S2000, "*Parliamentary Privilege*", 'FOI 2024-25'!I2:I2000, "Feb")+COUNTIFS('FOI 2024-25'!S2:S2000, "*Parliamentary Privilege*", 'FOI 2024-25'!I2:I2000, "Mar")+COUNTIFS('FOI 2024-25'!T2:T2000, "*S34*", 'FOI 2024-25'!I2:I2000, "Jan")+COUNTIFS('FOI 2024-25'!T2:T2000, "*S34*", 'FOI 2024-25'!I2:I2000, "Feb")+COUNTIFS('FOI 2024-25'!T2:T2000, "*S34*", 'FOI 2024-25'!I2:I2000, "Mar")</f>
        <v>0</v>
      </c>
      <c r="G22" s="47"/>
      <c r="H22" s="119" t="s">
        <v>2025</v>
      </c>
      <c r="I22" s="120">
        <f>COUNTIFS('EIR 2024-25'!W3:W1001, "*Already Publicly Available*", 'EIR 2024-25'!J3:J1001, "Apr")+COUNTIFS('EIR 2024-25'!W3:W1001, "*Already Publicly Available*", 'EIR 2024-25'!J3:J1001, "May")+COUNTIFS('EIR 2024-25'!W3:W1001, "*Already Publicly Available*", 'EIR 2024-25'!J3:J1001, "Jun")+COUNTIFS('EIR 2024-25'!X3:X1001, "*S6*", 'EIR 2024-25'!J3:J1001, "Apr")+COUNTIFS('EIR 2024-25'!X3:X1001, "*S6*", 'EIR 2024-25'!J3:J1001, "May")+COUNTIFS('EIR 2024-25'!X3:X1001, "*S6)*", 'EIR 2024-25'!J3:J1001, "Jun")</f>
        <v>0</v>
      </c>
      <c r="J22" s="120">
        <f>COUNTIFS('EIR 2024-25'!W3:W1001, "*Already Publicly Available*", 'EIR 2024-25'!J3:J1001, "Jul")+COUNTIFS('EIR 2024-25'!W3:W1001, "*Already Publicly Available*", 'EIR 2024-25'!J3:J1001, "Aug")+COUNTIFS('EIR 2024-25'!W3:W1001, "*Already Publicly Available*", 'EIR 2024-25'!J3:J1001, "Sep")+COUNTIFS('EIR 2024-25'!X3:X1001, "*S6*", 'EIR 2024-25'!J3:J1001, "Jul")+COUNTIFS('EIR 2024-25'!X3:X1001, "*S6*", 'EIR 2024-25'!J3:J1001, "Aug")+COUNTIFS('EIR 2024-25'!X3:X1001, "*S6)*", 'EIR 2024-25'!J3:J1001, "Sep")</f>
        <v>0</v>
      </c>
      <c r="K22" s="120">
        <f>COUNTIFS('EIR 2024-25'!W3:W1001, "*Already Publicly Available*", 'EIR 2024-25'!J3:J1001, "Oct")+COUNTIFS('EIR 2024-25'!W3:W1001, "*Already Publicly Available*", 'EIR 2024-25'!J3:J1001, "Nov")+COUNTIFS('EIR 2024-25'!W3:W1001, "*Already Publicly Available*", 'EIR 2024-25'!J3:J1001, "Dec")+COUNTIFS('EIR 2024-25'!X3:X1001, "*S6*", 'EIR 2024-25'!J3:J1001, "Oct")+COUNTIFS('EIR 2024-25'!X3:X1001, "*S6*", 'EIR 2024-25'!J3:J1001, "Nov")+COUNTIFS('EIR 2024-25'!X3:X1001, "*S6)*", 'EIR 2024-25'!J3:J1001, "Dec")</f>
        <v>0</v>
      </c>
      <c r="L22" s="121">
        <f>COUNTIFS('EIR 2024-25'!W3:W1001, "*Already Publicly Available*", 'EIR 2024-25'!J3:J1001, "Jan")+COUNTIFS('EIR 2024-25'!W3:W1001, "*Already Publicly Available*", 'EIR 2024-25'!J3:J1001, "Feb")+COUNTIFS('EIR 2024-25'!W3:W1001, "*Already Publicly Available*", 'EIR 2024-25'!J3:J1001, "Mar")+COUNTIFS('EIR 2024-25'!X3:X1001, "*S6*", 'EIR 2024-25'!J3:J1001, "Jan")+COUNTIFS('EIR 2024-25'!X3:X1001, "*S6*", 'EIR 2024-25'!J3:J1001, "Feb")+COUNTIFS('EIR 2024-25'!X3:X1001, "*S6)*", 'EIR 2024-25'!J3:J1001, "Mar")</f>
        <v>0</v>
      </c>
    </row>
    <row r="23" spans="2:12" ht="45" x14ac:dyDescent="0.25">
      <c r="B23" s="63" t="s">
        <v>2026</v>
      </c>
      <c r="C23" s="109">
        <f>COUNTIFS('FOI 2024-25'!S2:S2000, "*Government Policy*", 'FOI 2024-25'!I2:I2000, "Apr")+COUNTIFS('FOI 2024-25'!S2:S2000, "*Government Policy*", 'FOI 2024-25'!I2:I2000, "May")+COUNTIFS('FOI 2024-25'!S2:S2000, "*Government Policy*", 'FOI 2024-25'!I2:I2000, "Jun")+COUNTIFS('FOI 2024-25'!T2:T2000, "*S35*", 'FOI 2024-25'!I2:I2000, "Apr")+COUNTIFS('FOI 2024-25'!T2:T2000, "*S35*", 'FOI 2024-25'!I2:I2000, "May")+COUNTIFS('FOI 2024-25'!T2:T2000, "*S35*", 'FOI 2024-25'!I2:I2000, "Jun")</f>
        <v>0</v>
      </c>
      <c r="D23" s="109">
        <f>COUNTIFS('FOI 2024-25'!S2:S2000, "*Government Policy*", 'FOI 2024-25'!I2:I2000, "Jul")+COUNTIFS('FOI 2024-25'!S2:S2000, "*Government Policy*", 'FOI 2024-25'!I2:I2000, "Aug")+COUNTIFS('FOI 2024-25'!S2:S2000, "*Government Policy*", 'FOI 2024-25'!I2:I2000, "Sep")+COUNTIFS('FOI 2024-25'!T2:T2000, "*S35*", 'FOI 2024-25'!I2:I2000, "Jul")+COUNTIFS('FOI 2024-25'!T2:T2000, "*S35*", 'FOI 2024-25'!I2:I2000, "Aug")+COUNTIFS('FOI 2024-25'!T2:T2000, "*S35*", 'FOI 2024-25'!I2:I2000, "Sep")</f>
        <v>0</v>
      </c>
      <c r="E23" s="109">
        <f>COUNTIFS('FOI 2024-25'!S2:S2000, "*Government Policy*", 'FOI 2024-25'!I2:I2000, "Oct")+COUNTIFS('FOI 2024-25'!S2:S2000, "*Government Policy*", 'FOI 2024-25'!I2:I2000, "Nov")+COUNTIFS('FOI 2024-25'!S2:S2000, "*Government Policy*", 'FOI 2024-25'!I2:I2000, "Dec")+COUNTIFS('FOI 2024-25'!T2:T2000, "*S35*", 'FOI 2024-25'!I2:I2000, "Oct")+COUNTIFS('FOI 2024-25'!T2:T2000, "*S35*", 'FOI 2024-25'!I2:I2000, "Nov")+COUNTIFS('FOI 2024-25'!T2:T2000, "*S35*", 'FOI 2024-25'!I2:I2000, "Dec")</f>
        <v>0</v>
      </c>
      <c r="F23" s="110">
        <f>COUNTIFS('FOI 2024-25'!S2:S2000, "*Government Policy*", 'FOI 2024-25'!I2:I2000, "Jan")+COUNTIFS('FOI 2024-25'!S2:S2000, "*Government Policy*", 'FOI 2024-25'!I2:I2000, "Feb")+COUNTIFS('FOI 2024-25'!S2:S2000, "*Government Policy*", 'FOI 2024-25'!I2:I2000, "Mar")+COUNTIFS('FOI 2024-25'!T2:T2000, "*S35*", 'FOI 2024-25'!I2:I2000, "Jan")+COUNTIFS('FOI 2024-25'!T2:T2000, "*S35*", 'FOI 2024-25'!I2:I2000, "Feb")+COUNTIFS('FOI 2024-25'!T2:T2000, "*S35*", 'FOI 2024-25'!I2:I2000, "Mar")</f>
        <v>0</v>
      </c>
      <c r="G23" s="47"/>
      <c r="H23" s="117"/>
      <c r="I23" s="118"/>
      <c r="J23" s="118"/>
      <c r="K23" s="118"/>
      <c r="L23" s="118"/>
    </row>
    <row r="24" spans="2:12" ht="30" x14ac:dyDescent="0.25">
      <c r="B24" s="64" t="s">
        <v>2027</v>
      </c>
      <c r="C24" s="113">
        <f>COUNTIFS('FOI 2024-25'!S2:S2000, "*Public Affairs*", 'FOI 2024-25'!I2:I2000, "Apr")+COUNTIFS('FOI 2024-25'!S2:S2000, "*Public Affairs*", 'FOI 2024-25'!I2:I2000, "May")+COUNTIFS('FOI 2024-25'!S2:S2000, "*Public Affairs*", 'FOI 2024-25'!I2:I2000, "Jun")+COUNTIFS('FOI 2024-25'!T2:T2000, "*S36*", 'FOI 2024-25'!I2:I2000, "Apr")+COUNTIFS('FOI 2024-25'!T2:T2000, "*S36*", 'FOI 2024-25'!I2:I2000, "May")+COUNTIFS('FOI 2024-25'!T2:T2000, "*S36*", 'FOI 2024-25'!I2:I2000, "Jun")</f>
        <v>0</v>
      </c>
      <c r="D24" s="113">
        <f>COUNTIFS('FOI 2024-25'!S2:S2000, "*Public Affairs*", 'FOI 2024-25'!I2:I2000, "Jul")+COUNTIFS('FOI 2024-25'!S2:S2000, "*Public Affairs*", 'FOI 2024-25'!I2:I2000, "Aug")+COUNTIFS('FOI 2024-25'!S2:S2000, "*Public Affairs*", 'FOI 2024-25'!I2:I2000, "Sep")+COUNTIFS('FOI 2024-25'!T2:T2000, "*S36*", 'FOI 2024-25'!I2:I2000, "Jul")+COUNTIFS('FOI 2024-25'!T2:T2000, "*S36*", 'FOI 2024-25'!I2:I2000, "Aug")+COUNTIFS('FOI 2024-25'!T2:T2000, "*S36*", 'FOI 2024-25'!I2:I2000, "Sep")</f>
        <v>0</v>
      </c>
      <c r="E24" s="113">
        <f>COUNTIFS('FOI 2024-25'!S2:S2000, "*Public Affairs*", 'FOI 2024-25'!I2:I2000, "Oct")+COUNTIFS('FOI 2024-25'!S2:S2000, "*Public Affairs*", 'FOI 2024-25'!I2:I2000, "Nov")+COUNTIFS('FOI 2024-25'!S2:S2000, "*Public Affairs*", 'FOI 2024-25'!I2:I2000, "Dec")+COUNTIFS('FOI 2024-25'!T2:T2000, "*S36*", 'FOI 2024-25'!I2:I2000, "Oct")+COUNTIFS('FOI 2024-25'!T2:T2000, "*S36*", 'FOI 2024-25'!I2:I2000, "Nov")+COUNTIFS('FOI 2024-25'!T2:T2000, "*S36*", 'FOI 2024-25'!I2:I2000, "Dec")</f>
        <v>0</v>
      </c>
      <c r="F24" s="114">
        <f>COUNTIFS('FOI 2024-25'!S2:S2000, "*Public Affairs*", 'FOI 2024-25'!I2:I2000, "Jan")+COUNTIFS('FOI 2024-25'!S2:S2000, "*Public Affairs*", 'FOI 2024-25'!I2:I2000, "Feb")+COUNTIFS('FOI 2024-25'!S2:S2000, "*Public Affairs*", 'FOI 2024-25'!I2:I2000, "Mar")+COUNTIFS('FOI 2024-25'!T2:T2000, "*S36*", 'FOI 2024-25'!I2:I2000, "Jan")+COUNTIFS('FOI 2024-25'!T2:T2000, "*S36*", 'FOI 2024-25'!I2:I2000, "Feb")+COUNTIFS('FOI 2024-25'!T2:T2000, "*S36*", 'FOI 2024-25'!I2:I2000, "Mar")</f>
        <v>0</v>
      </c>
      <c r="G24" s="47"/>
      <c r="H24" s="56"/>
      <c r="I24" s="59"/>
      <c r="J24" s="59"/>
      <c r="K24" s="59"/>
      <c r="L24" s="59"/>
    </row>
    <row r="25" spans="2:12" ht="45" x14ac:dyDescent="0.25">
      <c r="B25" s="63" t="s">
        <v>2028</v>
      </c>
      <c r="C25" s="109">
        <f>COUNTIFS('FOI 2024-25'!S2:S2000, "*Her Majesty*", 'FOI 2024-25'!I2:I2000, "Apr")+COUNTIFS('FOI 2024-25'!S2:S2000, "*Her Majesty*", 'FOI 2024-25'!I2:I2000, "May")+COUNTIFS('FOI 2024-25'!S2:S2000, "*Her Majesty*", 'FOI 2024-25'!I2:I2000, "Jun")+COUNTIFS('FOI 2024-25'!T2:T2000, "*S37*", 'FOI 2024-25'!I2:I2000, "Apr")+COUNTIFS('FOI 2024-25'!T2:T2000, "*S37*", 'FOI 2024-25'!I2:I2000, "May")+COUNTIFS('FOI 2024-25'!T2:T2000, "*S37*", 'FOI 2024-25'!I2:I2000, "Jun")</f>
        <v>0</v>
      </c>
      <c r="D25" s="109">
        <f>COUNTIFS('FOI 2024-25'!S2:S2000, "*Her Majesty*", 'FOI 2024-25'!I2:I2000, "Jul")+COUNTIFS('FOI 2024-25'!S2:S2000, "*Her Majesty*", 'FOI 2024-25'!I2:I2000, "Aug")+COUNTIFS('FOI 2024-25'!S2:S2000, "*Her Majesty*", 'FOI 2024-25'!I2:I2000, "Sep")+COUNTIFS('FOI 2024-25'!T2:T2000, "*S37*", 'FOI 2024-25'!I2:I2000, "Jul")+COUNTIFS('FOI 2024-25'!T2:T2000, "*S37*", 'FOI 2024-25'!I2:I2000, "Aug")+COUNTIFS('FOI 2024-25'!T2:T2000, "*S37*", 'FOI 2024-25'!I2:I2000, "Sep")</f>
        <v>0</v>
      </c>
      <c r="E25" s="109">
        <f>COUNTIFS('FOI 2024-25'!S2:S2000, "*Her Majesty*", 'FOI 2024-25'!I2:I2000, "Oct")+COUNTIFS('FOI 2024-25'!S2:S2000, "*Her Majesty*", 'FOI 2024-25'!I2:I2000, "Nov")+COUNTIFS('FOI 2024-25'!S2:S2000, "*Her Majesty*", 'FOI 2024-25'!I2:I2000, "Dec")+COUNTIFS('FOI 2024-25'!T2:T2000, "*S37*", 'FOI 2024-25'!I2:I2000, "Oct")+COUNTIFS('FOI 2024-25'!T2:T2000, "*S37*", 'FOI 2024-25'!I2:I2000, "Nov")+COUNTIFS('FOI 2024-25'!T2:T2000, "*S37*", 'FOI 2024-25'!I2:I2000, "Dec")</f>
        <v>0</v>
      </c>
      <c r="F25" s="110">
        <f>COUNTIFS('FOI 2024-25'!S2:S2000, "*Her Majesty*", 'FOI 2024-25'!I2:I2000, "Jan")+COUNTIFS('FOI 2024-25'!S2:S2000, "*Her Majesty*", 'FOI 2024-25'!I2:I2000, "Feb")+COUNTIFS('FOI 2024-25'!S2:S2000, "*Her Majesty*", 'FOI 2024-25'!I2:I2000, "Mar")+COUNTIFS('FOI 2024-25'!T2:T2000, "*S37*", 'FOI 2024-25'!I2:I2000, "Jan")+COUNTIFS('FOI 2024-25'!T2:T2000, "*S37*", 'FOI 2024-25'!I2:I2000, "Feb")+COUNTIFS('FOI 2024-25'!T2:T2000, "*S37*", 'FOI 2024-25'!I2:I2000, "Mar")</f>
        <v>0</v>
      </c>
      <c r="G25" s="47"/>
      <c r="H25" s="56"/>
      <c r="I25" s="59"/>
      <c r="J25" s="59"/>
      <c r="K25" s="59"/>
      <c r="L25" s="59"/>
    </row>
    <row r="26" spans="2:12" ht="15" x14ac:dyDescent="0.25">
      <c r="B26" s="64" t="s">
        <v>2029</v>
      </c>
      <c r="C26" s="113">
        <f>COUNTIFS('FOI 2024-25'!S2:S2000, "*Health and Safety*", 'FOI 2024-25'!I2:I2000, "Apr")+COUNTIFS('FOI 2024-25'!S2:S2000, "*Health and Safety*", 'FOI 2024-25'!I2:I2000, "May")+COUNTIFS('FOI 2024-25'!S2:S2000, "*Health and Safety*", 'FOI 2024-25'!I2:I2000, "Jun")+COUNTIFS('FOI 2024-25'!T2:T2000, "*S38*", 'FOI 2024-25'!I2:I2000, "Apr")+COUNTIFS('FOI 2024-25'!T2:T2000, "*S38*", 'FOI 2024-25'!I2:I2000, "May")+COUNTIFS('FOI 2024-25'!T2:T2000, "*S38*", 'FOI 2024-25'!I2:I2000, "Jun")</f>
        <v>0</v>
      </c>
      <c r="D26" s="113">
        <f>COUNTIFS('FOI 2024-25'!S2:S2000, "*Health and Safety*", 'FOI 2024-25'!I2:I2000, "Jul")+COUNTIFS('FOI 2024-25'!S2:S2000, "*Health and Safety*", 'FOI 2024-25'!I2:I2000, "Aug")+COUNTIFS('FOI 2024-25'!S2:S2000, "*Health and Safety*", 'FOI 2024-25'!I2:I2000, "Sep")+COUNTIFS('FOI 2024-25'!T2:T2000, "*S38*", 'FOI 2024-25'!I2:I2000, "Jul")+COUNTIFS('FOI 2024-25'!T2:T2000, "*S38*", 'FOI 2024-25'!I2:I2000, "Aug")+COUNTIFS('FOI 2024-25'!T2:T2000, "*S38*", 'FOI 2024-25'!I2:I2000, "Sep")</f>
        <v>0</v>
      </c>
      <c r="E26" s="113">
        <f>COUNTIFS('FOI 2024-25'!S2:S2000, "*Health and Safety*", 'FOI 2024-25'!I2:I2000, "Oct")+COUNTIFS('FOI 2024-25'!S2:S2000, "*Health and Safety*", 'FOI 2024-25'!I2:I2000, "Nov")+COUNTIFS('FOI 2024-25'!S2:S2000, "*Health and Safety*", 'FOI 2024-25'!I2:I2000, "Dec")+COUNTIFS('FOI 2024-25'!T2:T2000, "*S38*", 'FOI 2024-25'!I2:I2000, "Oct")+COUNTIFS('FOI 2024-25'!T2:T2000, "*S38*", 'FOI 2024-25'!I2:I2000, "Nov")+COUNTIFS('FOI 2024-25'!T2:T2000, "*S38*", 'FOI 2024-25'!I2:I2000, "Dec")</f>
        <v>1</v>
      </c>
      <c r="F26" s="114">
        <f>COUNTIFS('FOI 2024-25'!S2:S2000, "*Health and Safety*", 'FOI 2024-25'!I2:I2000, "Jan")+COUNTIFS('FOI 2024-25'!S2:S2000, "*Health and Safety*", 'FOI 2024-25'!I2:I2000, "Feb")+COUNTIFS('FOI 2024-25'!S2:S2000, "*Health and Safety*", 'FOI 2024-25'!I2:I2000, "Mar")+COUNTIFS('FOI 2024-25'!T2:T2000, "*S38*", 'FOI 2024-25'!I2:I2000, "Jan")+COUNTIFS('FOI 2024-25'!T2:T2000, "*S38*", 'FOI 2024-25'!I2:I2000, "Feb")+COUNTIFS('FOI 2024-25'!T2:T2000, "*S38*", 'FOI 2024-25'!I2:I2000, "Mar")</f>
        <v>0</v>
      </c>
      <c r="G26" s="47"/>
      <c r="H26" s="56"/>
      <c r="I26" s="59"/>
      <c r="J26" s="59"/>
      <c r="K26" s="59"/>
      <c r="L26" s="59"/>
    </row>
    <row r="27" spans="2:12" ht="30" x14ac:dyDescent="0.25">
      <c r="B27" s="63" t="s">
        <v>2030</v>
      </c>
      <c r="C27" s="109">
        <f>COUNTIFS('FOI 2024-25'!S2:S2000, "*Environmental Information*", 'FOI 2024-25'!I2:I2000, "Apr")+COUNTIFS('FOI 2024-25'!S2:S2000, "*Environmental Information*", 'FOI 2024-25'!I2:I2000, "May")+COUNTIFS('FOI 2024-25'!S2:S2000, "*Environmental Information*", 'FOI 2024-25'!I2:I2000, "Jun")+COUNTIFS('FOI 2024-25'!T2:T2000, "*S39*", 'FOI 2024-25'!I2:I2000, "Apr")+COUNTIFS('FOI 2024-25'!T2:T2000, "*S39*", 'FOI 2024-25'!I2:I2000, "May")+COUNTIFS('FOI 2024-25'!T2:T2000, "*S39*", 'FOI 2024-25'!I2:I2000, "Jun")</f>
        <v>0</v>
      </c>
      <c r="D27" s="109">
        <f>COUNTIFS('FOI 2024-25'!S2:S2000, "*Environmental Information*", 'FOI 2024-25'!I2:I2000, "Jul")+COUNTIFS('FOI 2024-25'!S2:S2000, "*Environmental Information*", 'FOI 2024-25'!I2:I2000, "Aug")+COUNTIFS('FOI 2024-25'!S2:S2000, "*Environmental Information*", 'FOI 2024-25'!I2:I2000, "Sep")+COUNTIFS('FOI 2024-25'!T2:T2000, "*S39*", 'FOI 2024-25'!I2:I2000, "Jul")+COUNTIFS('FOI 2024-25'!T2:T2000, "*S39*", 'FOI 2024-25'!I2:I2000, "Aug")+COUNTIFS('FOI 2024-25'!T2:T2000, "*S39*", 'FOI 2024-25'!I2:I2000, "Sep")</f>
        <v>0</v>
      </c>
      <c r="E27" s="109">
        <f>COUNTIFS('FOI 2024-25'!S2:S2000, "*Environmental Information*", 'FOI 2024-25'!I2:I2000, "Oct")+COUNTIFS('FOI 2024-25'!S2:S2000, "*Environmental Information*", 'FOI 2024-25'!I2:I2000, "Nov")+COUNTIFS('FOI 2024-25'!S2:S2000, "*Environmental Information*", 'FOI 2024-25'!I2:I2000, "Dec")+COUNTIFS('FOI 2024-25'!T2:T2000, "*S39*", 'FOI 2024-25'!I2:I2000, "Oct")+COUNTIFS('FOI 2024-25'!T2:T2000, "*S39*", 'FOI 2024-25'!I2:I2000, "Nov")+COUNTIFS('FOI 2024-25'!T2:T2000, "*S39*", 'FOI 2024-25'!I2:I2000, "Dec")</f>
        <v>0</v>
      </c>
      <c r="F27" s="110">
        <f>COUNTIFS('FOI 2024-25'!S2:S2000, "*Environmental Information*", 'FOI 2024-25'!I2:I2000, "Jan")+COUNTIFS('FOI 2024-25'!S2:S2000, "*Environmental Information*", 'FOI 2024-25'!I2:I2000, "Feb")+COUNTIFS('FOI 2024-25'!S2:S2000, "*Environmental Information*", 'FOI 2024-25'!I2:I2000, "Mar")+COUNTIFS('FOI 2024-25'!T2:T2000, "*S39*", 'FOI 2024-25'!I2:I2000, "Jan")+COUNTIFS('FOI 2024-25'!T2:T2000, "*S39*", 'FOI 2024-25'!I2:I2000, "Feb")+COUNTIFS('FOI 2024-25'!T2:T2000, "*S39*", 'FOI 2024-25'!I2:I2000, "Mar")</f>
        <v>0</v>
      </c>
      <c r="G27" s="47"/>
      <c r="H27" s="56"/>
      <c r="I27" s="59"/>
      <c r="J27" s="59"/>
      <c r="K27" s="59"/>
      <c r="L27" s="59"/>
    </row>
    <row r="28" spans="2:12" ht="30" x14ac:dyDescent="0.25">
      <c r="B28" s="64" t="s">
        <v>2031</v>
      </c>
      <c r="C28" s="113">
        <f>COUNTIFS('FOI 2024-25'!S2:S2000, "*this*", 'FOI 2024-25'!I2:I2000, "Apr")+COUNTIFS('FOI 2024-25'!S2:S2000, "*this*", 'FOI 2024-25'!I2:I2000, "May")+COUNTIFS('FOI 2024-25'!S2:S2000, "*this*", 'FOI 2024-25'!I2:I2000, "Jun")+COUNTIFS('FOI 2024-25'!T2:T2000, "*S40(1)*", 'FOI 2024-25'!I2:I2000, "Apr")+COUNTIFS('FOI 2024-25'!T2:T2000, "*S40(1)*", 'FOI 2024-25'!I2:I2000, "May")+COUNTIFS('FOI 2024-25'!T2:T2000, "*S40(1)*", 'FOI 2024-25'!I2:I2000, "Jun")</f>
        <v>0</v>
      </c>
      <c r="D28" s="113">
        <f>COUNTIFS('FOI 2024-25'!S2:S2000, "*this*", 'FOI 2024-25'!I2:I2000, "Jul")+COUNTIFS('FOI 2024-25'!S2:S2000, "*this*", 'FOI 2024-25'!I2:I2000, "Aug")+COUNTIFS('FOI 2024-25'!S2:S2000, "*this*", 'FOI 2024-25'!I2:I2000, "Sep")+COUNTIFS('FOI 2024-25'!T2:T2000, "*S40(1)*", 'FOI 2024-25'!I2:I2000, "Jul")+COUNTIFS('FOI 2024-25'!T2:T2000, "*S40(1)*", 'FOI 2024-25'!I2:I2000, "Aug")+COUNTIFS('FOI 2024-25'!T2:T2000, "*S40(1)*", 'FOI 2024-25'!I2:I2000, "Sep")</f>
        <v>0</v>
      </c>
      <c r="E28" s="113">
        <f>COUNTIFS('FOI 2024-25'!S2:S2000, "*this*", 'FOI 2024-25'!I2:I2000, "Oct")+COUNTIFS('FOI 2024-25'!S2:S2000, "*this*", 'FOI 2024-25'!I2:I2000, "Nov")+COUNTIFS('FOI 2024-25'!S2:S2000, "*this*", 'FOI 2024-25'!I2:I2000, "Dec")+COUNTIFS('FOI 2024-25'!T2:T2000, "*S40(1)*", 'FOI 2024-25'!I2:I2000, "Oct")+COUNTIFS('FOI 2024-25'!T2:T2000, "*S40(1)*", 'FOI 2024-25'!I2:I2000, "Nov")+COUNTIFS('FOI 2024-25'!T2:T2000, "*S40(1)*", 'FOI 2024-25'!I2:I2000, "Dec")</f>
        <v>0</v>
      </c>
      <c r="F28" s="114">
        <f>COUNTIFS('FOI 2024-25'!S2:S2000, "*this*", 'FOI 2024-25'!I2:I2000, "Jan")+COUNTIFS('FOI 2024-25'!S2:S2000, "*this*", 'FOI 2024-25'!I2:I2000, "Feb")+COUNTIFS('FOI 2024-25'!S2:S2000, "*this*", 'FOI 2024-25'!I2:I2000, "Mar")+COUNTIFS('FOI 2024-25'!T2:T2000, "*S40(1)*", 'FOI 2024-25'!I2:I2000, "Jan")+COUNTIFS('FOI 2024-25'!T2:T2000, "*S40(1)*", 'FOI 2024-25'!I2:I2000, "Feb")+COUNTIFS('FOI 2024-25'!T2:T2000, "*S40(1)*", 'FOI 2024-25'!I2:I2000, "Mar")</f>
        <v>0</v>
      </c>
      <c r="G28" s="47"/>
      <c r="H28" s="56"/>
      <c r="I28" s="59"/>
      <c r="J28" s="59"/>
      <c r="K28" s="59"/>
      <c r="L28" s="59"/>
    </row>
    <row r="29" spans="2:12" ht="30" x14ac:dyDescent="0.25">
      <c r="B29" s="63" t="s">
        <v>2032</v>
      </c>
      <c r="C29" s="109">
        <f>COUNTIFS('FOI 2024-25'!S2:S2000, "*Personal Information*", 'FOI 2024-25'!I2:I2000, "Apr")+COUNTIFS('FOI 2024-25'!S2:S2000, "*Personal Information*", 'FOI 2024-25'!I2:I2000, "May")+COUNTIFS('FOI 2024-25'!S2:S2000, "*Personal Information*", 'FOI 2024-25'!I2:I2000, "Jun")+COUNTIFS('FOI 2024-25'!T2:T2000, "*S40(2)*", 'FOI 2024-25'!I2:I2000, "Apr")+COUNTIFS('FOI 2024-25'!T2:T2000, "*S40(2)*", 'FOI 2024-25'!I2:I2000, "May")+COUNTIFS('FOI 2024-25'!T2:T2000, "*S40(2)*", 'FOI 2024-25'!I2:I2000, "Jun")</f>
        <v>17</v>
      </c>
      <c r="D29" s="109">
        <f>COUNTIFS('FOI 2024-25'!S2:S2000, "*Personal Information*", 'FOI 2024-25'!I2:I2000, "Jul")+COUNTIFS('FOI 2024-25'!S2:S2000, "*Personal Information*", 'FOI 2024-25'!I2:I2000, "Aug")+COUNTIFS('FOI 2024-25'!S2:S2000, "*Personal Information*", 'FOI 2024-25'!I2:I2000, "Sep")+COUNTIFS('FOI 2024-25'!T2:T2000, "*S40(2)*", 'FOI 2024-25'!I2:I2000, "Jul")+COUNTIFS('FOI 2024-25'!T2:T2000, "*S40(2)*", 'FOI 2024-25'!I2:I2000, "Aug")+COUNTIFS('FOI 2024-25'!T2:T2000, "*S40(2)*", 'FOI 2024-25'!I2:I2000, "Sep")</f>
        <v>29</v>
      </c>
      <c r="E29" s="109">
        <f>COUNTIFS('FOI 2024-25'!S2:S2000, "*Personal Information*", 'FOI 2024-25'!I2:I2000, "Oct")+COUNTIFS('FOI 2024-25'!S2:S2000, "*Personal Information*", 'FOI 2024-25'!I2:I2000, "Nov")+COUNTIFS('FOI 2024-25'!S2:S2000, "*Personal Information*", 'FOI 2024-25'!I2:I2000, "Dec")+COUNTIFS('FOI 2024-25'!T2:T2000, "*S40(2)*", 'FOI 2024-25'!I2:I2000, "Oct")+COUNTIFS('FOI 2024-25'!T2:T2000, "*S40(2)*", 'FOI 2024-25'!I2:I2000, "Nov")+COUNTIFS('FOI 2024-25'!T2:T2000, "*S40(2)*", 'FOI 2024-25'!I2:I2000, "Dec")</f>
        <v>16</v>
      </c>
      <c r="F29" s="110">
        <f>COUNTIFS('FOI 2024-25'!S2:S2000, "*Personal Information*", 'FOI 2024-25'!I2:I2000, "Jan")+COUNTIFS('FOI 2024-25'!S2:S2000, "*Personal Information*", 'FOI 2024-25'!I2:I2000, "Feb")+COUNTIFS('FOI 2024-25'!S2:S2000, "*Personal Information*", 'FOI 2024-25'!I2:I2000, "Mar")+COUNTIFS('FOI 2024-25'!T2:T2000, "*S40(2)*", 'FOI 2024-25'!I2:I2000, "Jan")+COUNTIFS('FOI 2024-25'!T2:T2000, "*S40(2)*", 'FOI 2024-25'!I2:I2000, "Feb")+COUNTIFS('FOI 2024-25'!T2:T2000, "*S40(2)*", 'FOI 2024-25'!I2:I2000, "Mar")</f>
        <v>34</v>
      </c>
      <c r="G29" s="47"/>
      <c r="H29" s="56"/>
      <c r="I29" s="59"/>
      <c r="J29" s="59"/>
      <c r="K29" s="59"/>
      <c r="L29" s="59"/>
    </row>
    <row r="30" spans="2:12" ht="30" x14ac:dyDescent="0.25">
      <c r="B30" s="64" t="s">
        <v>2033</v>
      </c>
      <c r="C30" s="113">
        <f>COUNTIFS('FOI 2024-25'!S2:S2000, "*Provided in Confidence*", 'FOI 2024-25'!I2:I2000, "Apr")+COUNTIFS('FOI 2024-25'!S2:S2000, "*Provided in Confidence*", 'FOI 2024-25'!I2:I2000, "May")+COUNTIFS('FOI 2024-25'!S2:S2000, "*Provided in Confidence*", 'FOI 2024-25'!I2:I2000, "Jun")+COUNTIFS('FOI 2024-25'!T2:T2000, "*S41*", 'FOI 2024-25'!I2:I2000, "Apr")+COUNTIFS('FOI 2024-25'!T2:T2000, "*S41*", 'FOI 2024-25'!I2:I2000, "May")+COUNTIFS('FOI 2024-25'!T2:T2000, "*S41*", 'FOI 2024-25'!I2:I2000, "Jun")</f>
        <v>0</v>
      </c>
      <c r="D30" s="113">
        <f>COUNTIFS('FOI 2024-25'!S2:S2000, "*Provided in Confidence*", 'FOI 2024-25'!I2:I2000, "Jul")+COUNTIFS('FOI 2024-25'!S2:S2000, "*Provided in Confidence*", 'FOI 2024-25'!I2:I2000, "Aug")+COUNTIFS('FOI 2024-25'!S2:S2000, "*Provided in Confidence*", 'FOI 2024-25'!I2:I2000, "Sep")+COUNTIFS('FOI 2024-25'!T2:T2000, "*S41*", 'FOI 2024-25'!I2:I2000, "Jul")+COUNTIFS('FOI 2024-25'!T2:T2000, "*S41*", 'FOI 2024-25'!I2:I2000, "Aug")+COUNTIFS('FOI 2024-25'!T2:T2000, "*S41*", 'FOI 2024-25'!I2:I2000, "Sep")</f>
        <v>2</v>
      </c>
      <c r="E30" s="113">
        <f>COUNTIFS('FOI 2024-25'!S2:S2000, "*Provided in Confidence*", 'FOI 2024-25'!I2:I2000, "Oct")+COUNTIFS('FOI 2024-25'!S2:S2000, "*Provided in Confidence*", 'FOI 2024-25'!I2:I2000, "Nov")+COUNTIFS('FOI 2024-25'!S2:S2000, "*Provided in Confidence*", 'FOI 2024-25'!I2:I2000, "Dec")+COUNTIFS('FOI 2024-25'!T2:T2000, "*S41*", 'FOI 2024-25'!I2:I2000, "Oct")+COUNTIFS('FOI 2024-25'!T2:T2000, "*S41*", 'FOI 2024-25'!I2:I2000, "Nov")+COUNTIFS('FOI 2024-25'!T2:T2000, "*S41*", 'FOI 2024-25'!I2:I2000, "Dec")</f>
        <v>0</v>
      </c>
      <c r="F30" s="114">
        <f>COUNTIFS('FOI 2024-25'!S2:S2000, "*Provided in Confidence*", 'FOI 2024-25'!I2:I2000, "Jan")+COUNTIFS('FOI 2024-25'!S2:S2000, "*Provided in Confidence*", 'FOI 2024-25'!I2:I2000, "Feb")+COUNTIFS('FOI 2024-25'!S2:S2000, "*Provided in Confidence*", 'FOI 2024-25'!I2:I2000, "Mar")+COUNTIFS('FOI 2024-25'!T2:T2000, "*S41*", 'FOI 2024-25'!I2:I2000, "Jan")+COUNTIFS('FOI 2024-25'!T2:T2000, "*S41*", 'FOI 2024-25'!I2:I2000, "Feb")+COUNTIFS('FOI 2024-25'!T2:T2000, "*S41*", 'FOI 2024-25'!I2:I2000, "Mar")</f>
        <v>1</v>
      </c>
      <c r="G30" s="47"/>
      <c r="H30" s="56"/>
      <c r="I30" s="59"/>
      <c r="J30" s="59"/>
      <c r="K30" s="59"/>
      <c r="L30" s="59"/>
    </row>
    <row r="31" spans="2:12" ht="30" x14ac:dyDescent="0.25">
      <c r="B31" s="63" t="s">
        <v>2034</v>
      </c>
      <c r="C31" s="109">
        <f>COUNTIFS('FOI 2024-25'!S2:S2000, "*Legal Professional Privilege*", 'FOI 2024-25'!I2:I2000, "Apr")+COUNTIFS('FOI 2024-25'!S2:S2000, "*Legal Professional Privilege*", 'FOI 2024-25'!I2:I2000, "May")+COUNTIFS('FOI 2024-25'!S2:S2000, "*Legal Professional Privilege*", 'FOI 2024-25'!I2:I2000, "Jun")+COUNTIFS('FOI 2024-25'!T2:T2000, "*S42*", 'FOI 2024-25'!I2:I2000, "Apr")+COUNTIFS('FOI 2024-25'!T2:T2000, "*S42*", 'FOI 2024-25'!I2:I2000, "May")+COUNTIFS('FOI 2024-25'!T2:T2000, "*S42*", 'FOI 2024-25'!I2:I2000, "Jun")</f>
        <v>0</v>
      </c>
      <c r="D31" s="109">
        <f>COUNTIFS('FOI 2024-25'!S2:S2000, "*Legal Professional Privilege*", 'FOI 2024-25'!I2:I2000, "Jul")+COUNTIFS('FOI 2024-25'!S2:S2000, "*Legal Professional Privilege*", 'FOI 2024-25'!I2:I2000, "Aug")+COUNTIFS('FOI 2024-25'!S2:S2000, "*Legal Professional Privilege*", 'FOI 2024-25'!I2:I2000, "Sep")+COUNTIFS('FOI 2024-25'!T2:T2000, "*S42*", 'FOI 2024-25'!I2:I2000, "Jul")+COUNTIFS('FOI 2024-25'!T2:T2000, "*S42*", 'FOI 2024-25'!I2:I2000, "Aug")+COUNTIFS('FOI 2024-25'!T2:T2000, "*S42*", 'FOI 2024-25'!I2:I2000, "Sep")</f>
        <v>1</v>
      </c>
      <c r="E31" s="109">
        <f>COUNTIFS('FOI 2024-25'!S2:S2000, "*Legal Professional Privilege*", 'FOI 2024-25'!I2:I2000, "Oct")+COUNTIFS('FOI 2024-25'!S2:S2000, "*Legal Professional Privilege*", 'FOI 2024-25'!I2:I2000, "Nov")+COUNTIFS('FOI 2024-25'!S2:S2000, "*Legal Professional Privilege*", 'FOI 2024-25'!I2:I2000, "Dec")+COUNTIFS('FOI 2024-25'!T2:T2000, "*S42*", 'FOI 2024-25'!I2:I2000, "Oct")+COUNTIFS('FOI 2024-25'!T2:T2000, "*S42*", 'FOI 2024-25'!I2:I2000, "Nov")+COUNTIFS('FOI 2024-25'!T2:T2000, "*S42*", 'FOI 2024-25'!I2:I2000, "Dec")</f>
        <v>0</v>
      </c>
      <c r="F31" s="110">
        <f>COUNTIFS('FOI 2024-25'!S2:S2000, "*Legal Professional Privilege*", 'FOI 2024-25'!I2:I2000, "Jan")+COUNTIFS('FOI 2024-25'!S2:S2000, "*Legal Professional Privilege*", 'FOI 2024-25'!I2:I2000, "Feb")+COUNTIFS('FOI 2024-25'!S2:S2000, "*Legal Professional Privilege*", 'FOI 2024-25'!I2:I2000, "Mar")+COUNTIFS('FOI 2024-25'!T2:T2000, "*S42*", 'FOI 2024-25'!I2:I2000, "Jan")+COUNTIFS('FOI 2024-25'!T2:T2000, "*S42*", 'FOI 2024-25'!I2:I2000, "Feb")+COUNTIFS('FOI 2024-25'!T2:T2000, "*S42*", 'FOI 2024-25'!I2:I2000, "Mar")</f>
        <v>0</v>
      </c>
      <c r="G31" s="47"/>
      <c r="H31" s="56"/>
      <c r="I31" s="59"/>
      <c r="J31" s="59"/>
      <c r="K31" s="59"/>
      <c r="L31" s="59"/>
    </row>
    <row r="32" spans="2:12" ht="15" x14ac:dyDescent="0.25">
      <c r="B32" s="64" t="s">
        <v>2035</v>
      </c>
      <c r="C32" s="113">
        <f>COUNTIFS('FOI 2024-25'!S2:S2000, "*Commercial Interest*", 'FOI 2024-25'!I2:I2000, "Apr")+COUNTIFS('FOI 2024-25'!S2:S2000, "*Commercial Interest*", 'FOI 2024-25'!I2:I2000, "May")+COUNTIFS('FOI 2024-25'!S2:S2000, "*Commercial Interest*", 'FOI 2024-25'!I2:I2000, "Jun")+COUNTIFS('FOI 2024-25'!T2:T2000, "*S43*", 'FOI 2024-25'!I2:I2000, "Apr")+COUNTIFS('FOI 2024-25'!T2:T2000, "*S43*", 'FOI 2024-25'!I2:I2000, "May")+COUNTIFS('FOI 2024-25'!T2:T2000, "*S43*", 'FOI 2024-25'!I2:I2000, "Jun")</f>
        <v>5</v>
      </c>
      <c r="D32" s="113">
        <f>COUNTIFS('FOI 2024-25'!S2:S2000, "*Commercial Interest*", 'FOI 2024-25'!I2:I2000, "Jul")+COUNTIFS('FOI 2024-25'!S2:S2000, "*Commercial Interest*", 'FOI 2024-25'!I2:I2000, "Aug")+COUNTIFS('FOI 2024-25'!S2:S2000, "*Commercial Interest*", 'FOI 2024-25'!I2:I2000, "Sep")+COUNTIFS('FOI 2024-25'!T2:T2000, "*S43*", 'FOI 2024-25'!I2:I2000, "Jul")+COUNTIFS('FOI 2024-25'!T2:T2000, "*S43*", 'FOI 2024-25'!I2:I2000, "Aug")+COUNTIFS('FOI 2024-25'!T2:T2000, "*S43*", 'FOI 2024-25'!I2:I2000, "Sep")</f>
        <v>4</v>
      </c>
      <c r="E32" s="113">
        <f>COUNTIFS('FOI 2024-25'!S2:S2000, "*Commercial Interest*", 'FOI 2024-25'!I2:I2000, "Oct")+COUNTIFS('FOI 2024-25'!S2:S2000, "*Commercial Interest*", 'FOI 2024-25'!I2:I2000, "Nov")+COUNTIFS('FOI 2024-25'!S2:S2000, "*Commercial Interest*", 'FOI 2024-25'!I2:I2000, "Dec")+COUNTIFS('FOI 2024-25'!T2:T2000, "*S43*", 'FOI 2024-25'!I2:I2000, "Oct")+COUNTIFS('FOI 2024-25'!T2:T2000, "*S43*", 'FOI 2024-25'!I2:I2000, "Nov")+COUNTIFS('FOI 2024-25'!T2:T2000, "*S43*", 'FOI 2024-25'!I2:I2000, "Dec")</f>
        <v>3</v>
      </c>
      <c r="F32" s="114">
        <f>COUNTIFS('FOI 2024-25'!S2:S2000, "*Commercial Interest*", 'FOI 2024-25'!I2:I2000, "Jan")+COUNTIFS('FOI 2024-25'!S2:S2000, "*Commercial Interest*", 'FOI 2024-25'!I2:I2000, "Feb")+COUNTIFS('FOI 2024-25'!S2:S2000, "*Commercial Interest*", 'FOI 2024-25'!I2:I2000, "Mar")+COUNTIFS('FOI 2024-25'!T2:T2000, "*S43*", 'FOI 2024-25'!I2:I2000, "Jan")+COUNTIFS('FOI 2024-25'!T2:T2000, "*S43*", 'FOI 2024-25'!I2:I2000, "Feb")+COUNTIFS('FOI 2024-25'!T2:T2000, "*S43*", 'FOI 2024-25'!I2:I2000, "Mar")</f>
        <v>2</v>
      </c>
      <c r="G32" s="47"/>
      <c r="H32" s="56"/>
      <c r="I32" s="59"/>
      <c r="J32" s="59"/>
      <c r="K32" s="59"/>
      <c r="L32" s="59"/>
    </row>
    <row r="33" spans="2:12" ht="30.5" thickBot="1" x14ac:dyDescent="0.3">
      <c r="B33" s="66" t="s">
        <v>2036</v>
      </c>
      <c r="C33" s="115">
        <f>COUNTIFS('FOI 2024-25'!S2:S2000, "*Prohibition on Disclosure*", 'FOI 2024-25'!I2:I2000, "Apr")+COUNTIFS('FOI 2024-25'!S2:S2000, "*Prohibition on Disclosure*", 'FOI 2024-25'!I2:I2000, "May")+COUNTIFS('FOI 2024-25'!S2:S2000, "*Prohibition on Disclosure*", 'FOI 2024-25'!I2:I2000, "Jun")+COUNTIFS('FOI 2024-25'!T2:T2000, "*S44*", 'FOI 2024-25'!I2:I2000, "Apr")+COUNTIFS('FOI 2024-25'!T2:T2000, "*S44*", 'FOI 2024-25'!I2:I2000, "May")+COUNTIFS('FOI 2024-25'!T2:T2000, "*S44*", 'FOI 2024-25'!I2:I2000, "Jun")</f>
        <v>0</v>
      </c>
      <c r="D33" s="115">
        <f>COUNTIFS('FOI 2024-25'!S2:S2000, "*Prohibition on Disclosure*", 'FOI 2024-25'!I2:I2000, "Jul")+COUNTIFS('FOI 2024-25'!S2:S2000, "*Prohibition on Disclosure*", 'FOI 2024-25'!I2:I2000, "Aug")+COUNTIFS('FOI 2024-25'!S2:S2000, "*Prohibition on Disclosure*", 'FOI 2024-25'!I2:I2000, "Sep")+COUNTIFS('FOI 2024-25'!T2:T2000, "*S44*", 'FOI 2024-25'!I2:I2000, "Jul")+COUNTIFS('FOI 2024-25'!T2:T2000, "*S44*", 'FOI 2024-25'!I2:I2000, "Aug")+COUNTIFS('FOI 2024-25'!T2:T2000, "*S44*", 'FOI 2024-25'!I2:I2000, "Sep")</f>
        <v>0</v>
      </c>
      <c r="E33" s="115">
        <f>COUNTIFS('FOI 2024-25'!S2:S2000, "*Prohibition on Disclosure*", 'FOI 2024-25'!I2:I2000, "Oct")+COUNTIFS('FOI 2024-25'!S2:S2000, "*Prohibition on Disclosure*", 'FOI 2024-25'!I2:I2000, "Nov")+COUNTIFS('FOI 2024-25'!S2:S2000, "*Prohibition on Disclosure*", 'FOI 2024-25'!I2:I2000, "Dec")+COUNTIFS('FOI 2024-25'!T2:T2000, "*S44*", 'FOI 2024-25'!I2:I2000, "Oct")+COUNTIFS('FOI 2024-25'!T2:T2000, "*S44*", 'FOI 2024-25'!I2:I2000, "Nov")+COUNTIFS('FOI 2024-25'!T2:T2000, "*S44*", 'FOI 2024-25'!I2:I2000, "Dec")</f>
        <v>0</v>
      </c>
      <c r="F33" s="116">
        <f>COUNTIFS('FOI 2024-25'!S2:S2000, "*Prohibition on Disclosure*", 'FOI 2024-25'!I2:I2000, "Jan")+COUNTIFS('FOI 2024-25'!S2:S2000, "*Prohibition on Disclosure*", 'FOI 2024-25'!I2:I2000, "Feb")+COUNTIFS('FOI 2024-25'!S2:S2000, "*Prohibition on Disclosure*", 'FOI 2024-25'!I2:I2000, "Mar")+COUNTIFS('FOI 2024-25'!T2:T2000, "*S44*", 'FOI 2024-25'!I2:I2000, "Jan")+COUNTIFS('FOI 2024-25'!T2:T2000, "*S44*", 'FOI 2024-25'!I2:I2000, "Feb")+COUNTIFS('FOI 2024-25'!T2:T2000, "*S44*", 'FOI 2024-25'!I2:I2000, "Mar")</f>
        <v>0</v>
      </c>
      <c r="G33" s="47"/>
      <c r="H33" s="56"/>
      <c r="I33" s="59"/>
      <c r="J33" s="59"/>
      <c r="K33" s="59"/>
      <c r="L33" s="59"/>
    </row>
  </sheetData>
  <protectedRanges>
    <protectedRange sqref="C4:C5 C9:F33 I9:L23" name="Range1"/>
  </protectedRanges>
  <mergeCells count="5">
    <mergeCell ref="B1:L2"/>
    <mergeCell ref="C4:F4"/>
    <mergeCell ref="C5:F5"/>
    <mergeCell ref="B7:F7"/>
    <mergeCell ref="H7:L7"/>
  </mergeCells>
  <dataValidations count="1">
    <dataValidation type="whole" operator="greaterThanOrEqual" allowBlank="1" showInputMessage="1" showErrorMessage="1" sqref="C9:F33 I9:L23" xr:uid="{D4BFB4EF-2554-4829-ADB3-143B07157C15}">
      <formula1>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C8842-44ED-42FE-ABF8-DC21B5266785}">
  <dimension ref="A1:AE84"/>
  <sheetViews>
    <sheetView zoomScale="70" zoomScaleNormal="70" zoomScaleSheetLayoutView="50" workbookViewId="0">
      <selection activeCell="P54" sqref="P54"/>
    </sheetView>
  </sheetViews>
  <sheetFormatPr defaultColWidth="8.81640625" defaultRowHeight="13.5" x14ac:dyDescent="0.3"/>
  <cols>
    <col min="1" max="1" width="8.81640625" style="124"/>
    <col min="2" max="2" width="40.81640625" style="124" customWidth="1"/>
    <col min="3" max="7" width="16.453125" style="124" customWidth="1"/>
    <col min="8" max="8" width="8.81640625" style="124"/>
    <col min="9" max="9" width="40.81640625" style="124" customWidth="1"/>
    <col min="10" max="14" width="16.453125" style="124" customWidth="1"/>
    <col min="15" max="16384" width="8.81640625" style="124"/>
  </cols>
  <sheetData>
    <row r="1" spans="1:31" x14ac:dyDescent="0.3">
      <c r="A1" s="123"/>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row>
    <row r="2" spans="1:31" ht="18" thickBot="1" x14ac:dyDescent="0.35">
      <c r="A2" s="123"/>
      <c r="B2" s="237" t="s">
        <v>2037</v>
      </c>
      <c r="C2" s="237"/>
      <c r="D2" s="237"/>
      <c r="E2" s="237"/>
      <c r="F2" s="237"/>
      <c r="G2" s="237"/>
      <c r="H2" s="47"/>
      <c r="I2" s="237" t="s">
        <v>2038</v>
      </c>
      <c r="J2" s="237"/>
      <c r="K2" s="237"/>
      <c r="L2" s="237"/>
      <c r="M2" s="237"/>
      <c r="N2" s="237"/>
      <c r="O2" s="123"/>
      <c r="P2" s="123"/>
      <c r="Q2" s="123"/>
      <c r="R2" s="123"/>
      <c r="S2" s="123"/>
      <c r="T2" s="123"/>
      <c r="U2" s="123"/>
      <c r="V2" s="123"/>
      <c r="W2" s="123"/>
      <c r="X2" s="123"/>
      <c r="Y2" s="123"/>
      <c r="Z2" s="123"/>
      <c r="AA2" s="123"/>
      <c r="AB2" s="123"/>
      <c r="AC2" s="123"/>
      <c r="AD2" s="123"/>
      <c r="AE2" s="123"/>
    </row>
    <row r="3" spans="1:31" x14ac:dyDescent="0.3">
      <c r="A3" s="123"/>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row>
    <row r="4" spans="1:31" ht="18" thickBot="1" x14ac:dyDescent="0.35">
      <c r="A4" s="123"/>
      <c r="B4" s="237" t="s">
        <v>1957</v>
      </c>
      <c r="C4" s="237"/>
      <c r="D4" s="237"/>
      <c r="E4" s="237"/>
      <c r="F4" s="237"/>
      <c r="G4" s="169"/>
      <c r="H4" s="47"/>
      <c r="I4" s="237" t="s">
        <v>1957</v>
      </c>
      <c r="J4" s="237"/>
      <c r="K4" s="237"/>
      <c r="L4" s="237"/>
      <c r="M4" s="237"/>
      <c r="N4" s="123"/>
      <c r="O4" s="123"/>
      <c r="P4" s="123"/>
      <c r="Q4" s="123"/>
      <c r="R4" s="123"/>
      <c r="S4" s="123"/>
      <c r="T4" s="123"/>
      <c r="U4" s="123"/>
      <c r="V4" s="123"/>
      <c r="W4" s="123"/>
      <c r="X4" s="123"/>
      <c r="Y4" s="123"/>
      <c r="Z4" s="123"/>
      <c r="AA4" s="123"/>
      <c r="AB4" s="123"/>
      <c r="AC4" s="123"/>
      <c r="AD4" s="123"/>
      <c r="AE4" s="123"/>
    </row>
    <row r="5" spans="1:31" s="126" customFormat="1" ht="55.5" customHeight="1" thickBot="1" x14ac:dyDescent="0.35">
      <c r="A5" s="125"/>
      <c r="B5" s="191" t="s">
        <v>2039</v>
      </c>
      <c r="C5" s="192" t="s">
        <v>5</v>
      </c>
      <c r="D5" s="193" t="s">
        <v>124</v>
      </c>
      <c r="E5" s="193" t="s">
        <v>4</v>
      </c>
      <c r="F5" s="194" t="s">
        <v>10</v>
      </c>
      <c r="G5" s="191" t="s">
        <v>2040</v>
      </c>
      <c r="H5" s="127"/>
      <c r="I5" s="191" t="s">
        <v>2041</v>
      </c>
      <c r="J5" s="196" t="s">
        <v>5</v>
      </c>
      <c r="K5" s="193" t="s">
        <v>124</v>
      </c>
      <c r="L5" s="193" t="s">
        <v>4</v>
      </c>
      <c r="M5" s="197" t="s">
        <v>10</v>
      </c>
      <c r="N5" s="197" t="s">
        <v>2040</v>
      </c>
      <c r="O5" s="125"/>
      <c r="P5" s="125"/>
      <c r="Q5" s="125"/>
      <c r="R5" s="125"/>
      <c r="S5" s="125"/>
      <c r="T5" s="125"/>
      <c r="U5" s="125"/>
      <c r="V5" s="125"/>
      <c r="W5" s="125"/>
      <c r="X5" s="125"/>
      <c r="Y5" s="125"/>
      <c r="Z5" s="125"/>
      <c r="AA5" s="125"/>
      <c r="AB5" s="125"/>
      <c r="AC5" s="125"/>
      <c r="AD5" s="125"/>
      <c r="AE5" s="125"/>
    </row>
    <row r="6" spans="1:31" ht="30" customHeight="1" x14ac:dyDescent="0.3">
      <c r="A6" s="123"/>
      <c r="B6" s="187" t="s">
        <v>2042</v>
      </c>
      <c r="C6" s="188">
        <f>COUNTIFS('FOI 2024-25'!$K$2:$K$2000, "Resources", 'FOI 2024-25'!$AX$2:$AX$2000, "Quarter 1", 'FOI 2024-25'!$O$2:$O$2000, "&lt;=5", 'FOI 2024-25'!$Q$2:$Q$2000, "Complete", 'FOI 2024-25'!$Q$2:$Q$2000, "Complete")</f>
        <v>49</v>
      </c>
      <c r="D6" s="189">
        <f>COUNTIFS('FOI 2024-25'!$K$2:$K$2000, "Growth Enterprise &amp; Environment", 'FOI 2024-25'!$AX$2:$AX$2000, "Quarter 1", 'FOI 2024-25'!$O$2:$O$2000, "&lt;=5", 'FOI 2024-25'!$Q$2:$Q$2000, "Complete")</f>
        <v>58</v>
      </c>
      <c r="E6" s="189">
        <f>COUNTIFS('FOI 2024-25'!$K$2:$K$2000, "Adults &amp; Communities", 'FOI 2024-25'!$AX$2:$AX$2000, "Quarter 1", 'FOI 2024-25'!$O$2:$O$2000, "&lt;=5", 'FOI 2024-25'!$Q$2:$Q$2000, "Complete")</f>
        <v>7</v>
      </c>
      <c r="F6" s="190">
        <f>COUNTIFS('FOI 2024-25'!$K$2:$K$2000, "Children &amp; Families", 'FOI 2024-25'!$AX$2:$AX$2000, "Quarter 1", 'FOI 2024-25'!$O$2:$O$2000, "&lt;=5", 'FOI 2024-25'!$Q$2:$Q$2000, "Complete")</f>
        <v>22</v>
      </c>
      <c r="G6" s="174">
        <f t="shared" ref="G6:G13" si="0">SUM(C6:F6)</f>
        <v>136</v>
      </c>
      <c r="H6" s="128"/>
      <c r="I6" s="187" t="s">
        <v>2043</v>
      </c>
      <c r="J6" s="188">
        <f>COUNTIFS('EIR 2024-25'!$L$2:$L$1000, "Resources",'EIR 2024-25'!$AS$2:$AS$1000, "Quarter 1", 'EIR 2024-25'!$O$2:$O$1000, "&lt;=5", 'EIR 2024-25'!$Q$2:$Q$1000, "Complete", 'EIR 2024-25'!$Q$2:$Q$1000, "Complete")</f>
        <v>1</v>
      </c>
      <c r="K6" s="189">
        <f>COUNTIFS('EIR 2024-25'!$L$2:$L$1000, "Growth, Enterprise &amp; Environment",'EIR 2024-25'!$AS$2:$AS$1000, "Quarter 1", 'EIR 2024-25'!$O$2:$O$1000, "&lt;=5", 'EIR 2024-25'!$Q$2:$Q$1000, "Complete")</f>
        <v>19</v>
      </c>
      <c r="L6" s="189">
        <f>COUNTIFS('EIR 2024-25'!$L$2:$L$1000, "Adults &amp; Communities",'EIR 2024-25'!$AS$2:$AS$1000, "Quarter 1", 'EIR 2024-25'!$O$2:$O$1000, "&lt;=5", 'EIR 2024-25'!$Q$2:$Q$1000, "Complete")</f>
        <v>0</v>
      </c>
      <c r="M6" s="195">
        <f>COUNTIFS('EIR 2024-25'!$L$2:$L$1000, "Children &amp; Families",'EIR 2024-25'!$AS$2:$AS$1000, "Quarter 1", 'EIR 2024-25'!$O$2:$O$1000, "&lt;=5", 'EIR 2024-25'!$Q$2:$Q$1000, "Complete")</f>
        <v>0</v>
      </c>
      <c r="N6" s="195">
        <f t="shared" ref="N6:N13" si="1">SUM(J6:M6)</f>
        <v>20</v>
      </c>
      <c r="O6" s="123"/>
      <c r="P6" s="123"/>
      <c r="Q6" s="123"/>
      <c r="R6" s="123"/>
      <c r="S6" s="123"/>
      <c r="T6" s="123"/>
      <c r="U6" s="123"/>
      <c r="V6" s="123"/>
      <c r="W6" s="123"/>
      <c r="X6" s="123"/>
      <c r="Y6" s="123"/>
      <c r="Z6" s="123"/>
      <c r="AA6" s="123"/>
      <c r="AB6" s="123"/>
      <c r="AC6" s="123"/>
      <c r="AD6" s="123"/>
      <c r="AE6" s="123"/>
    </row>
    <row r="7" spans="1:31" ht="30" customHeight="1" x14ac:dyDescent="0.3">
      <c r="A7" s="123"/>
      <c r="B7" s="185" t="s">
        <v>2044</v>
      </c>
      <c r="C7" s="181">
        <f>COUNTIFS('FOI 2024-25'!$K$2:$K$2000, "Resources", 'FOI 2024-25'!$AX$2:$AX$2000, "Quarter 1", 'FOI 2024-25'!$O$2:$O$2000, "&gt;5", 'FOI 2024-25'!$O$2:$O$2000, "&lt;=10", 'FOI 2024-25'!$Q$2:$Q$2000, "Complete")</f>
        <v>13</v>
      </c>
      <c r="D7" s="131">
        <f>COUNTIFS('FOI 2024-25'!$K$2:$K$2000, "Growth Enterprise &amp; Environment", 'FOI 2024-25'!$AX$2:$AX$2000, "Quarter 1", 'FOI 2024-25'!$O$2:$O$2000, "&gt;5", 'FOI 2024-25'!$O$2:$O$2000, "&lt;=10", 'FOI 2024-25'!$Q$2:$Q$2000, "Complete")</f>
        <v>11</v>
      </c>
      <c r="E7" s="131">
        <f>COUNTIFS('FOI 2024-25'!$K$2:$K$2000, "Adults &amp; Communities", 'FOI 2024-25'!$AX$2:$AX$2000, "Quarter 1", 'FOI 2024-25'!$O$2:$O$2000, "&gt;5", 'FOI 2024-25'!$O$2:$O$2000, "&lt;=10", 'FOI 2024-25'!$Q$2:$Q$2000, "Complete")</f>
        <v>9</v>
      </c>
      <c r="F7" s="171">
        <f>COUNTIFS('FOI 2024-25'!$K$2:$K$2000, "Children &amp; Families", 'FOI 2024-25'!$AX$2:$AX$2000, "Quarter 1", 'FOI 2024-25'!$O$2:$O$2000, "&gt;5", 'FOI 2024-25'!$O$2:$O$2000, "&lt;=10", 'FOI 2024-25'!$Q$2:$Q$2000, "Complete")</f>
        <v>15</v>
      </c>
      <c r="G7" s="178">
        <f t="shared" si="0"/>
        <v>48</v>
      </c>
      <c r="H7" s="128"/>
      <c r="I7" s="185" t="s">
        <v>2045</v>
      </c>
      <c r="J7" s="181">
        <f>COUNTIFS('EIR 2024-25'!$L$2:$L$1000, "Resources",'EIR 2024-25'!$AS$2:$AS$1000, "Quarter 1", 'EIR 2024-25'!$O$2:$O$1000, "&gt;5", 'EIR 2024-25'!$O$2:$O$1000, "&lt;=10", 'EIR 2024-25'!$Q$2:$Q$1000, "Complete")</f>
        <v>0</v>
      </c>
      <c r="K7" s="131">
        <f>COUNTIFS('EIR 2024-25'!$L$2:$L$1000, "Growth, Enterprise &amp; Environment",'EIR 2024-25'!$AS$2:$AS$1000, "Quarter 1", 'EIR 2024-25'!$O$2:$O$1000, "&gt;5", 'EIR 2024-25'!$O$2:$O$1000, "&lt;=10", 'EIR 2024-25'!$Q$2:$Q$1000, "Complete")</f>
        <v>6</v>
      </c>
      <c r="L7" s="131">
        <f>COUNTIFS('EIR 2024-25'!$L$2:$L$1000, "Adults &amp; Communities",'EIR 2024-25'!$AS$2:$AS$1000, "Quarter 1", 'EIR 2024-25'!$O$2:$O$1000, "&gt;5", 'EIR 2024-25'!$O$2:$O$1000, "&lt;=10", 'EIR 2024-25'!$Q$2:$Q$1000, "Complete")</f>
        <v>0</v>
      </c>
      <c r="M7" s="132">
        <f>COUNTIFS('EIR 2024-25'!$L$2:$L$1000, "Children &amp; Families",'EIR 2024-25'!$AS$2:$AS$1000, "Quarter 1", 'EIR 2024-25'!$O$2:$O$1000, "&gt;5", 'EIR 2024-25'!$O$2:$O$1000, "&lt;=10", 'EIR 2024-25'!$Q$2:$Q$1000, "Complete")</f>
        <v>0</v>
      </c>
      <c r="N7" s="132">
        <f t="shared" si="1"/>
        <v>6</v>
      </c>
      <c r="O7" s="123"/>
      <c r="P7" s="123"/>
      <c r="Q7" s="123"/>
      <c r="R7" s="123"/>
      <c r="S7" s="123"/>
      <c r="T7" s="123"/>
      <c r="U7" s="123"/>
      <c r="V7" s="123"/>
      <c r="W7" s="123"/>
      <c r="X7" s="123"/>
      <c r="Y7" s="123"/>
      <c r="Z7" s="123"/>
      <c r="AA7" s="123"/>
      <c r="AB7" s="123"/>
      <c r="AC7" s="123"/>
      <c r="AD7" s="123"/>
      <c r="AE7" s="123"/>
    </row>
    <row r="8" spans="1:31" ht="30" customHeight="1" x14ac:dyDescent="0.3">
      <c r="A8" s="123"/>
      <c r="B8" s="184" t="s">
        <v>2046</v>
      </c>
      <c r="C8" s="180">
        <f>COUNTIFS('FOI 2024-25'!$K$2:$K$2000, "Resources", 'FOI 2024-25'!$AX$2:$AX$2000, "Quarter 1", 'FOI 2024-25'!$O$2:$O$2000, "&gt;10", 'FOI 2024-25'!$O$2:$O$2000, "&lt;=20", 'FOI 2024-25'!$Q$2:$Q$2000, "Complete")</f>
        <v>22</v>
      </c>
      <c r="D8" s="129">
        <f>COUNTIFS('FOI 2024-25'!$K$2:$K$2000, "Growth Enterprise &amp; Environment", 'FOI 2024-25'!$AX$2:$AX$2000, "Quarter 1", 'FOI 2024-25'!$O$2:$O$2000, "&gt;10", 'FOI 2024-25'!$O$2:$O$2000, "&lt;=20", 'FOI 2024-25'!$Q$2:$Q$2000, "Complete")</f>
        <v>23</v>
      </c>
      <c r="E8" s="129">
        <f>COUNTIFS('FOI 2024-25'!$K$2:$K$2000, "Adults &amp; Communities", 'FOI 2024-25'!$AX$2:$AX$2000, "Quarter 1", 'FOI 2024-25'!$O$2:$O$2000, "&gt;10", 'FOI 2024-25'!$O$2:$O$2000, "&lt;=20", 'FOI 2024-25'!$Q$2:$Q$2000, "Complete")</f>
        <v>7</v>
      </c>
      <c r="F8" s="170">
        <f>COUNTIFS('FOI 2024-25'!$K$2:$K$2000, "Children &amp; Families", 'FOI 2024-25'!$AX$2:$AX$2000, "Quarter 1", 'FOI 2024-25'!$O$2:$O$2000, "&gt;10", 'FOI 2024-25'!$O$2:$O$2000, "&lt;=20", 'FOI 2024-25'!$Q$2:$Q$2000, "Complete")</f>
        <v>18</v>
      </c>
      <c r="G8" s="177">
        <f t="shared" si="0"/>
        <v>70</v>
      </c>
      <c r="H8" s="123"/>
      <c r="I8" s="184" t="s">
        <v>2047</v>
      </c>
      <c r="J8" s="180">
        <f>COUNTIFS('EIR 2024-25'!$L$2:$L$1000, "Resources",'EIR 2024-25'!$AS$2:$AS$1000, "Quarter 1", 'EIR 2024-25'!$O$2:$O$1000, "&gt;10", 'EIR 2024-25'!$O$2:$O$1000, "&lt;=20", 'EIR 2024-25'!$Q$2:$Q$1000, "Complete")</f>
        <v>0</v>
      </c>
      <c r="K8" s="129">
        <f>COUNTIFS('EIR 2024-25'!$L$2:$L$1000, "Growth, Enterprise &amp; Environment",'EIR 2024-25'!$AS$2:$AS$1000, "Quarter 1", 'EIR 2024-25'!$O$2:$O$1000, "&gt;10", 'EIR 2024-25'!$O$2:$O$1000, "&lt;=20", 'EIR 2024-25'!$Q$2:$Q$1000, "Complete")</f>
        <v>10</v>
      </c>
      <c r="L8" s="129">
        <f>COUNTIFS('EIR 2024-25'!$L$2:$L$1000, "Adults &amp; Communities",'EIR 2024-25'!$AS$2:$AS$1000, "Quarter 1", 'EIR 2024-25'!$O$2:$O$1000, "&gt;10", 'EIR 2024-25'!$O$2:$O$1000, "&lt;=20", 'EIR 2024-25'!$Q$2:$Q$1000, "Complete")</f>
        <v>0</v>
      </c>
      <c r="M8" s="130">
        <f>COUNTIFS('EIR 2024-25'!$L$2:$L$1000, "Children &amp; Families",'EIR 2024-25'!$AS$2:$AS$1000, "Quarter 1", 'EIR 2024-25'!$O$2:$O$1000, "&gt;10", 'EIR 2024-25'!$O$2:$O$1000, "&lt;=20", 'EIR 2024-25'!$Q$2:$Q$1000, "Complete")</f>
        <v>0</v>
      </c>
      <c r="N8" s="130">
        <f t="shared" si="1"/>
        <v>10</v>
      </c>
      <c r="O8" s="123"/>
      <c r="P8" s="123"/>
      <c r="Q8" s="123"/>
      <c r="R8" s="123"/>
      <c r="S8" s="123"/>
      <c r="T8" s="123"/>
      <c r="U8" s="123"/>
      <c r="V8" s="123"/>
      <c r="W8" s="123"/>
      <c r="X8" s="123"/>
      <c r="Y8" s="123"/>
      <c r="Z8" s="123"/>
      <c r="AA8" s="123"/>
      <c r="AB8" s="123"/>
      <c r="AC8" s="123"/>
      <c r="AD8" s="123"/>
      <c r="AE8" s="123"/>
    </row>
    <row r="9" spans="1:31" ht="30" customHeight="1" x14ac:dyDescent="0.3">
      <c r="A9" s="123"/>
      <c r="B9" s="185" t="s">
        <v>2048</v>
      </c>
      <c r="C9" s="181">
        <f>COUNTIFS('FOI 2024-25'!$K$2:$K$2000, "Resources", 'FOI 2024-25'!$AX$2:$AX$2000, "Quarter 1", 'FOI 2024-25'!$O$2:$O$2000, "&gt;20", 'FOI 2024-25'!$Q$2:$Q$2000, "Complete")</f>
        <v>2</v>
      </c>
      <c r="D9" s="131">
        <f>COUNTIFS('FOI 2024-25'!$K$2:$K$2000, "Growth Enterprise &amp; Environment", 'FOI 2024-25'!$AX$2:$AX$2000, "Quarter 1", 'FOI 2024-25'!$O$2:$O$2000, "&gt;20", 'FOI 2024-25'!$Q$2:$Q$2000, "Complete")</f>
        <v>2</v>
      </c>
      <c r="E9" s="131">
        <f>COUNTIFS('FOI 2024-25'!$K$2:$K$2000, "Adults &amp; Communities", 'FOI 2024-25'!$AX$2:$AX$2000, "Quarter 1", 'FOI 2024-25'!$O$2:$O$2000, "&gt;20", 'FOI 2024-25'!$Q$2:$Q$2000, "Complete")</f>
        <v>1</v>
      </c>
      <c r="F9" s="171">
        <f>COUNTIFS('FOI 2024-25'!$K$2:$K$2000, "Children &amp; Families", 'FOI 2024-25'!$AX$2:$AX$2000, "Quarter 1", 'FOI 2024-25'!$O$2:$O$2000, "&gt;20", 'FOI 2024-25'!$Q$2:$Q$2000, "Complete")</f>
        <v>2</v>
      </c>
      <c r="G9" s="178">
        <f t="shared" si="0"/>
        <v>7</v>
      </c>
      <c r="H9" s="123"/>
      <c r="I9" s="185" t="s">
        <v>2049</v>
      </c>
      <c r="J9" s="181">
        <f>COUNTIFS('EIR 2024-25'!$L$2:$L$1000, "Resources",'EIR 2024-25'!$AS$2:$AS$1000, "Quarter 1", 'EIR 2024-25'!$O$2:$O$1000, "&gt;20", 'EIR 2024-25'!$Q$2:$Q$1000, "Complete")</f>
        <v>0</v>
      </c>
      <c r="K9" s="131">
        <f>COUNTIFS('EIR 2024-25'!$L$2:$L$1000, "Growth, Enterprise &amp; Environment",'EIR 2024-25'!$AS$2:$AS$1000, "Quarter 1", 'EIR 2024-25'!$O$2:$O$1000, "&gt;20", 'EIR 2024-25'!$Q$2:$Q$1000, "Complete")</f>
        <v>2</v>
      </c>
      <c r="L9" s="131">
        <f>COUNTIFS('EIR 2024-25'!$L$2:$L$1000, "Adults &amp; Communities",'EIR 2024-25'!$AS$2:$AS$1000, "Quarter 1", 'EIR 2024-25'!$O$2:$O$1000, "&gt;20", 'EIR 2024-25'!$Q$2:$Q$1000, "Complete")</f>
        <v>0</v>
      </c>
      <c r="M9" s="132">
        <f>COUNTIFS('EIR 2024-25'!$L$2:$L$1000, "Children &amp; Families",'EIR 2024-25'!$AS$2:$AS$1000, "Quarter 1", 'EIR 2024-25'!$O$2:$O$1000, "&gt;20", 'EIR 2024-25'!$Q$2:$Q$1000, "Complete")</f>
        <v>0</v>
      </c>
      <c r="N9" s="132">
        <f t="shared" si="1"/>
        <v>2</v>
      </c>
      <c r="O9" s="123"/>
      <c r="P9" s="123"/>
      <c r="Q9" s="123"/>
      <c r="R9" s="123"/>
      <c r="S9" s="123"/>
      <c r="T9" s="123"/>
      <c r="U9" s="123"/>
      <c r="V9" s="123"/>
      <c r="W9" s="123"/>
      <c r="X9" s="123"/>
      <c r="Y9" s="123"/>
      <c r="Z9" s="123"/>
      <c r="AA9" s="123"/>
      <c r="AB9" s="123"/>
      <c r="AC9" s="123"/>
      <c r="AD9" s="123"/>
      <c r="AE9" s="123"/>
    </row>
    <row r="10" spans="1:31" ht="30" customHeight="1" x14ac:dyDescent="0.3">
      <c r="A10" s="123"/>
      <c r="B10" s="184" t="s">
        <v>2050</v>
      </c>
      <c r="C10" s="180">
        <f>SUM(C6:C9)</f>
        <v>86</v>
      </c>
      <c r="D10" s="129">
        <f>SUM(D6:D9)</f>
        <v>94</v>
      </c>
      <c r="E10" s="129">
        <f>SUM(E6:E9)</f>
        <v>24</v>
      </c>
      <c r="F10" s="170">
        <f>SUM(F6:F9)</f>
        <v>57</v>
      </c>
      <c r="G10" s="177">
        <f t="shared" si="0"/>
        <v>261</v>
      </c>
      <c r="H10" s="123"/>
      <c r="I10" s="184" t="s">
        <v>2050</v>
      </c>
      <c r="J10" s="180">
        <f>SUM(J6:J9)</f>
        <v>1</v>
      </c>
      <c r="K10" s="129">
        <f>SUM(K6:K9)</f>
        <v>37</v>
      </c>
      <c r="L10" s="129">
        <f>SUM(L6:L9)</f>
        <v>0</v>
      </c>
      <c r="M10" s="130">
        <f>SUM(M6:M9)</f>
        <v>0</v>
      </c>
      <c r="N10" s="130">
        <f t="shared" si="1"/>
        <v>38</v>
      </c>
      <c r="O10" s="123"/>
      <c r="P10" s="123"/>
      <c r="Q10" s="123"/>
      <c r="R10" s="123"/>
      <c r="S10" s="123"/>
      <c r="T10" s="123"/>
      <c r="U10" s="123"/>
      <c r="V10" s="123"/>
      <c r="W10" s="123"/>
      <c r="X10" s="123"/>
      <c r="Y10" s="123"/>
      <c r="Z10" s="123"/>
      <c r="AA10" s="123"/>
      <c r="AB10" s="123"/>
      <c r="AC10" s="123"/>
      <c r="AD10" s="123"/>
      <c r="AE10" s="123"/>
    </row>
    <row r="11" spans="1:31" ht="30" customHeight="1" x14ac:dyDescent="0.3">
      <c r="A11" s="123"/>
      <c r="B11" s="185" t="s">
        <v>2051</v>
      </c>
      <c r="C11" s="181">
        <f>COUNTIFS('FOI 2024-25'!$Q$2:$Q$2000, "Elapsed", 'FOI 2024-25'!$AX$2:$AX$2000, "Quarter 1", 'FOI 2024-25'!$K$2:$K$2000, "Resources")</f>
        <v>1</v>
      </c>
      <c r="D11" s="131">
        <f>COUNTIFS('FOI 2024-25'!$Q$2:$Q$2000, "Elapsed", 'FOI 2024-25'!$AX$2:$AX$2000, "Quarter 1", 'FOI 2024-25'!$K$2:$K$2000, "Growth Enterprise &amp; Environment")</f>
        <v>0</v>
      </c>
      <c r="E11" s="131">
        <f>COUNTIFS('FOI 2024-25'!$Q$2:$Q$2000, "Elapsed", 'FOI 2024-25'!$AX$2:$AX$2000, "Quarter 1", 'FOI 2024-25'!$K$2:$K$2000, "Adults &amp; Communities")</f>
        <v>0</v>
      </c>
      <c r="F11" s="171">
        <f>COUNTIFS('FOI 2024-25'!$Q$2:$Q$2000, "Elapsed", 'FOI 2024-25'!$AX$2:$AX$2000, "Quarter 1", 'FOI 2024-25'!$K$2:$K$2000, "Children &amp; Families")</f>
        <v>0</v>
      </c>
      <c r="G11" s="178">
        <f t="shared" si="0"/>
        <v>1</v>
      </c>
      <c r="H11" s="123"/>
      <c r="I11" s="185" t="s">
        <v>2052</v>
      </c>
      <c r="J11" s="181">
        <f>COUNTIFS('EIR 2024-25'!$T$2:$T$2000, "Elapsed", 'EIR 2024-25'!$AX$2:$AX$2000, "Quarter 1", 'EIR 2024-25'!$L$2:$L$2000, "Resources")</f>
        <v>0</v>
      </c>
      <c r="K11" s="131">
        <f>COUNTIFS('EIR 2024-25'!$T$2:$T$2000, "Elapsed", 'EIR 2024-25'!$AX$2:$AX$2000, "Quarter 1", 'EIR 2024-25'!$L$2:$L$2000, "Growth, Enterprise &amp; Environment")</f>
        <v>0</v>
      </c>
      <c r="L11" s="131">
        <f>COUNTIFS('EIR 2024-25'!$T$2:$T$2000, "Elapsed", 'EIR 2024-25'!$AX$2:$AX$2000, "Quarter 1", 'EIR 2024-25'!$L$2:$L$2000, "Adults &amp; Communities")</f>
        <v>0</v>
      </c>
      <c r="M11" s="132">
        <f>COUNTIFS('EIR 2024-25'!$T$2:$T$2000, "Elapsed", 'EIR 2024-25'!$AX$2:$AX$2000, "Quarter 1", 'EIR 2024-25'!$L$2:$L$2000, "Children &amp; Families")</f>
        <v>0</v>
      </c>
      <c r="N11" s="132">
        <f t="shared" si="1"/>
        <v>0</v>
      </c>
      <c r="O11" s="123"/>
      <c r="P11" s="123"/>
      <c r="Q11" s="123"/>
      <c r="R11" s="123"/>
      <c r="S11" s="123"/>
      <c r="T11" s="123"/>
      <c r="U11" s="123"/>
      <c r="V11" s="123"/>
      <c r="W11" s="123"/>
      <c r="X11" s="123"/>
      <c r="Y11" s="123"/>
      <c r="Z11" s="123"/>
      <c r="AA11" s="123"/>
      <c r="AB11" s="123"/>
      <c r="AC11" s="123"/>
      <c r="AD11" s="123"/>
      <c r="AE11" s="123"/>
    </row>
    <row r="12" spans="1:31" ht="30" customHeight="1" x14ac:dyDescent="0.3">
      <c r="A12" s="123"/>
      <c r="B12" s="184" t="s">
        <v>2053</v>
      </c>
      <c r="C12" s="180">
        <f>COUNTIFS('FOI 2024-25'!$Q$2:$Q$2000, "In Progress", 'FOI 2024-25'!$AX$2:$AX$2000, "Quarter 1", 'FOI 2024-25'!$K$2:$K$2000, "Resources")</f>
        <v>0</v>
      </c>
      <c r="D12" s="129">
        <f>COUNTIFS('FOI 2024-25'!$Q$2:$Q$2000, "In Progress", 'FOI 2024-25'!$AX$2:$AX$2000, "Quarter 1", 'FOI 2024-25'!$K$2:$K$2000, "Growth Enterprise &amp; Environment")</f>
        <v>0</v>
      </c>
      <c r="E12" s="129">
        <f>COUNTIFS('FOI 2024-25'!$Q$2:$Q$2000, "In Progress", 'FOI 2024-25'!$AX$2:$AX$2000, "Quarter 1", 'FOI 2024-25'!$K$2:$K$2000, "Adults &amp; Communities")</f>
        <v>0</v>
      </c>
      <c r="F12" s="170">
        <f>COUNTIFS('FOI 2024-25'!$Q$2:$Q$2000, "In Progress", 'FOI 2024-25'!$AX$2:$AX$2000, "Quarter 1", 'FOI 2024-25'!$K$2:$K$2000, "Children &amp; Families")</f>
        <v>0</v>
      </c>
      <c r="G12" s="177">
        <f t="shared" si="0"/>
        <v>0</v>
      </c>
      <c r="H12" s="123"/>
      <c r="I12" s="184" t="s">
        <v>2054</v>
      </c>
      <c r="J12" s="180">
        <f>COUNTIFS('EIR 2024-25'!$T$2:$T$2000, "In Progress", 'EIR 2024-25'!$AX$2:$AX$2000, "Quarter 1", 'EIR 2024-25'!$L$2:$L$2000, "Resources")</f>
        <v>0</v>
      </c>
      <c r="K12" s="129">
        <f>COUNTIFS('EIR 2024-25'!$T$2:$T$2000, "In Progress", 'EIR 2024-25'!$AX$2:$AX$2000, "Quarter 1", 'EIR 2024-25'!$L$2:$L$2000, "Growth, Enterprise &amp; Environment")</f>
        <v>0</v>
      </c>
      <c r="L12" s="129">
        <f>COUNTIFS('EIR 2024-25'!$T$2:$T$2000, "In Progress", 'EIR 2024-25'!$AX$2:$AX$2000, "Quarter 1", 'EIR 2024-25'!$L$2:$L$2000, "Adults &amp; Communities")</f>
        <v>0</v>
      </c>
      <c r="M12" s="130">
        <f>COUNTIFS('EIR 2024-25'!$T$2:$T$2000, "In Progress", 'EIR 2024-25'!$AX$2:$AX$2000, "Quarter 1", 'EIR 2024-25'!$L$2:$L$2000, "Children &amp; Families")</f>
        <v>0</v>
      </c>
      <c r="N12" s="130">
        <f t="shared" si="1"/>
        <v>0</v>
      </c>
      <c r="O12" s="123"/>
      <c r="P12" s="123"/>
      <c r="Q12" s="123"/>
      <c r="R12" s="123"/>
      <c r="S12" s="123"/>
      <c r="T12" s="123"/>
      <c r="U12" s="123"/>
      <c r="V12" s="123"/>
      <c r="W12" s="123"/>
      <c r="X12" s="123"/>
      <c r="Y12" s="123"/>
      <c r="Z12" s="123"/>
      <c r="AA12" s="123"/>
      <c r="AB12" s="123"/>
      <c r="AC12" s="123"/>
      <c r="AD12" s="123"/>
      <c r="AE12" s="123"/>
    </row>
    <row r="13" spans="1:31" ht="30" customHeight="1" x14ac:dyDescent="0.3">
      <c r="A13" s="123"/>
      <c r="B13" s="185" t="s">
        <v>1928</v>
      </c>
      <c r="C13" s="181">
        <f>SUM(C10:C12)</f>
        <v>87</v>
      </c>
      <c r="D13" s="131">
        <f>SUM(D10:D12)</f>
        <v>94</v>
      </c>
      <c r="E13" s="131">
        <f>SUM(E10:E12)</f>
        <v>24</v>
      </c>
      <c r="F13" s="171">
        <f>SUM(F10:F12)</f>
        <v>57</v>
      </c>
      <c r="G13" s="179">
        <f t="shared" si="0"/>
        <v>262</v>
      </c>
      <c r="H13" s="123"/>
      <c r="I13" s="185" t="s">
        <v>2055</v>
      </c>
      <c r="J13" s="181">
        <f>SUM(J10:J12)</f>
        <v>1</v>
      </c>
      <c r="K13" s="131">
        <f>SUM(K10:K12)</f>
        <v>37</v>
      </c>
      <c r="L13" s="131">
        <f>SUM(L10:L12)</f>
        <v>0</v>
      </c>
      <c r="M13" s="132">
        <f>SUM(M10:M12)</f>
        <v>0</v>
      </c>
      <c r="N13" s="132">
        <f t="shared" si="1"/>
        <v>38</v>
      </c>
      <c r="O13" s="123"/>
      <c r="P13" s="123"/>
      <c r="Q13" s="123"/>
      <c r="R13" s="123"/>
      <c r="S13" s="123"/>
      <c r="T13" s="123"/>
      <c r="U13" s="123"/>
      <c r="V13" s="123"/>
      <c r="W13" s="123"/>
      <c r="X13" s="123"/>
      <c r="Y13" s="123"/>
      <c r="Z13" s="123"/>
      <c r="AA13" s="123"/>
      <c r="AB13" s="123"/>
      <c r="AC13" s="123"/>
      <c r="AD13" s="123"/>
      <c r="AE13" s="123"/>
    </row>
    <row r="14" spans="1:31" ht="30" customHeight="1" x14ac:dyDescent="0.3">
      <c r="A14" s="123"/>
      <c r="B14" s="184" t="s">
        <v>2056</v>
      </c>
      <c r="C14" s="182">
        <f>AVERAGEIFS('FOI 2024-25'!$O$2:$O$2000, 'FOI 2024-25'!$K$2:$K$2000, "Resources", 'FOI 2024-25'!$AX$2:$AX$2000, "Quarter 1")</f>
        <v>6.4186046511627906</v>
      </c>
      <c r="D14" s="138">
        <f>AVERAGEIFS('FOI 2024-25'!$O$2:$O$2000, 'FOI 2024-25'!$K$2:$K$2000, "Growth Enterprise &amp; Environment", 'FOI 2024-25'!$AX$2:$AX$2000, "Quarter 1")</f>
        <v>5.7978723404255321</v>
      </c>
      <c r="E14" s="138">
        <f>AVERAGEIFS('FOI 2024-25'!$O$2:$O$2000, 'FOI 2024-25'!$K$2:$K$2000, "Adults &amp; Communities", 'FOI 2024-25'!$AX$2:$AX$2000, "Quarter 1")</f>
        <v>8.7916666666666661</v>
      </c>
      <c r="F14" s="172">
        <f>AVERAGEIFS('FOI 2024-25'!$O$2:$O$2000, 'FOI 2024-25'!$K$2:$K$2000, "Children &amp; Families", 'FOI 2024-25'!$AX$2:$AX$2000, "Quarter 1")</f>
        <v>8.2280701754385959</v>
      </c>
      <c r="G14" s="175">
        <f>AVERAGEIFS('FOI 2024-25'!$O$2:$O$2000, 'FOI 2024-25'!$AX$2:$AX$2000, "Quarter 1")</f>
        <v>6.8084291187739465</v>
      </c>
      <c r="H14" s="123"/>
      <c r="I14" s="184" t="s">
        <v>2057</v>
      </c>
      <c r="J14" s="182">
        <f>AVERAGEIFS('EIR 2024-25'!$O$2:$O$1000, 'EIR 2024-25'!$L$2:$L$1000, "Resources", 'EIR 2024-25'!$AS$2:$AS$1000, "Quarter 1")</f>
        <v>5</v>
      </c>
      <c r="K14" s="138">
        <f>AVERAGEIFS('EIR 2024-25'!$O$2:$O$1000, 'EIR 2024-25'!$L$2:$L$1000, "Growth, Enterprise &amp; Environment", 'EIR 2024-25'!$AS$2:$AS$1000, "Quarter 1")</f>
        <v>9.4324324324324316</v>
      </c>
      <c r="L14" s="129">
        <v>0</v>
      </c>
      <c r="M14" s="130">
        <v>0</v>
      </c>
      <c r="N14" s="201">
        <f>AVERAGEIFS('EIR 2024-25'!$O$2:$O$1000, 'EIR 2024-25'!$AS$2:$AS$1000, "Quarter 1")</f>
        <v>9.3157894736842106</v>
      </c>
      <c r="O14" s="123"/>
      <c r="P14" s="123"/>
      <c r="Q14" s="123"/>
      <c r="R14" s="123"/>
      <c r="S14" s="123"/>
      <c r="T14" s="123"/>
      <c r="U14" s="123"/>
      <c r="V14" s="123"/>
      <c r="W14" s="123"/>
      <c r="X14" s="123"/>
      <c r="Y14" s="123"/>
      <c r="Z14" s="123"/>
      <c r="AA14" s="123"/>
      <c r="AB14" s="123"/>
      <c r="AC14" s="123"/>
      <c r="AD14" s="123"/>
      <c r="AE14" s="123"/>
    </row>
    <row r="15" spans="1:31" ht="30" customHeight="1" thickBot="1" x14ac:dyDescent="0.35">
      <c r="A15" s="123"/>
      <c r="B15" s="186" t="s">
        <v>2058</v>
      </c>
      <c r="C15" s="183">
        <f>SUM(C6+C7+C8)/C10</f>
        <v>0.97674418604651159</v>
      </c>
      <c r="D15" s="137">
        <f>SUM(D6+D7+D8)/D10</f>
        <v>0.97872340425531912</v>
      </c>
      <c r="E15" s="137">
        <f>SUM(E6+E7+E8)/E10</f>
        <v>0.95833333333333337</v>
      </c>
      <c r="F15" s="173">
        <f>SUM(F6+F7+F8)/F10</f>
        <v>0.96491228070175439</v>
      </c>
      <c r="G15" s="176">
        <f>SUM(G6+G7+G8)/G10</f>
        <v>0.97318007662835249</v>
      </c>
      <c r="H15" s="123"/>
      <c r="I15" s="186" t="s">
        <v>2059</v>
      </c>
      <c r="J15" s="183">
        <f>SUM(J6+J7+J8)/J10</f>
        <v>1</v>
      </c>
      <c r="K15" s="137">
        <f>SUM(K6+K7+K8)/K10</f>
        <v>0.94594594594594594</v>
      </c>
      <c r="L15" s="137">
        <v>0</v>
      </c>
      <c r="M15" s="173">
        <v>0</v>
      </c>
      <c r="N15" s="176">
        <f>SUM(N6+N7+N8)/N10</f>
        <v>0.94736842105263153</v>
      </c>
      <c r="O15" s="123"/>
      <c r="P15" s="123"/>
      <c r="Q15" s="123"/>
      <c r="R15" s="123"/>
      <c r="S15" s="123"/>
      <c r="T15" s="123"/>
      <c r="U15" s="123"/>
      <c r="V15" s="123"/>
      <c r="W15" s="123"/>
      <c r="X15" s="123"/>
      <c r="Y15" s="123"/>
      <c r="Z15" s="123"/>
      <c r="AA15" s="123"/>
      <c r="AB15" s="123"/>
      <c r="AC15" s="123"/>
      <c r="AD15" s="123"/>
      <c r="AE15" s="123"/>
    </row>
    <row r="16" spans="1:31" x14ac:dyDescent="0.3">
      <c r="A16" s="123"/>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row>
    <row r="17" spans="1:31" ht="18" customHeight="1" thickBot="1" x14ac:dyDescent="0.35">
      <c r="A17" s="123"/>
      <c r="B17" s="237" t="s">
        <v>1958</v>
      </c>
      <c r="C17" s="237"/>
      <c r="D17" s="237"/>
      <c r="E17" s="237"/>
      <c r="F17" s="237"/>
      <c r="G17" s="169"/>
      <c r="H17" s="47"/>
      <c r="I17" s="237" t="s">
        <v>1958</v>
      </c>
      <c r="J17" s="237"/>
      <c r="K17" s="237"/>
      <c r="L17" s="237"/>
      <c r="M17" s="237"/>
      <c r="N17" s="123"/>
      <c r="O17" s="123"/>
      <c r="P17" s="123"/>
      <c r="Q17" s="123"/>
      <c r="R17" s="123"/>
      <c r="S17" s="123"/>
      <c r="T17" s="123"/>
      <c r="U17" s="123"/>
      <c r="V17" s="123"/>
      <c r="W17" s="123"/>
      <c r="X17" s="123"/>
      <c r="Y17" s="123"/>
      <c r="Z17" s="123"/>
      <c r="AA17" s="123"/>
      <c r="AB17" s="123"/>
      <c r="AC17" s="123"/>
      <c r="AD17" s="123"/>
      <c r="AE17" s="123"/>
    </row>
    <row r="18" spans="1:31" s="126" customFormat="1" ht="55.5" customHeight="1" thickBot="1" x14ac:dyDescent="0.35">
      <c r="A18" s="125"/>
      <c r="B18" s="191" t="s">
        <v>2039</v>
      </c>
      <c r="C18" s="192" t="s">
        <v>5</v>
      </c>
      <c r="D18" s="193" t="s">
        <v>124</v>
      </c>
      <c r="E18" s="193" t="s">
        <v>4</v>
      </c>
      <c r="F18" s="197" t="s">
        <v>10</v>
      </c>
      <c r="G18" s="191" t="s">
        <v>2040</v>
      </c>
      <c r="H18" s="127"/>
      <c r="I18" s="191" t="s">
        <v>2041</v>
      </c>
      <c r="J18" s="196" t="s">
        <v>5</v>
      </c>
      <c r="K18" s="193" t="s">
        <v>124</v>
      </c>
      <c r="L18" s="193" t="s">
        <v>4</v>
      </c>
      <c r="M18" s="197" t="s">
        <v>10</v>
      </c>
      <c r="N18" s="197" t="s">
        <v>2040</v>
      </c>
      <c r="O18" s="125"/>
      <c r="P18" s="125"/>
      <c r="Q18" s="125"/>
      <c r="R18" s="125"/>
      <c r="S18" s="125"/>
      <c r="T18" s="125"/>
      <c r="U18" s="125"/>
      <c r="V18" s="125"/>
      <c r="W18" s="125"/>
      <c r="X18" s="125"/>
      <c r="Y18" s="125"/>
      <c r="Z18" s="125"/>
      <c r="AA18" s="125"/>
      <c r="AB18" s="125"/>
      <c r="AC18" s="125"/>
      <c r="AD18" s="125"/>
      <c r="AE18" s="125"/>
    </row>
    <row r="19" spans="1:31" ht="30" customHeight="1" x14ac:dyDescent="0.3">
      <c r="A19" s="123"/>
      <c r="B19" s="187" t="s">
        <v>2042</v>
      </c>
      <c r="C19" s="188">
        <f>COUNTIFS('FOI 2024-25'!$K$2:$K$2000, "Resources", 'FOI 2024-25'!$AX$2:$AX$2000, "Quarter 2", 'FOI 2024-25'!$O$2:$O$2000, "&lt;=5", 'FOI 2024-25'!$Q$2:$Q$2000, "Complete")</f>
        <v>58</v>
      </c>
      <c r="D19" s="189">
        <f>COUNTIFS('FOI 2024-25'!$K$2:$K$2000, "Growth Enterprise &amp; Environment", 'FOI 2024-25'!$AX$2:$AX$2000, "Quarter 2", 'FOI 2024-25'!$O$2:$O$2000, "&lt;=5", 'FOI 2024-25'!$Q$2:$Q$2000, "Complete")</f>
        <v>38</v>
      </c>
      <c r="E19" s="189">
        <f>COUNTIFS('FOI 2024-25'!$K$2:$K$2000, "Adults &amp; Communities", 'FOI 2024-25'!$AX$2:$AX$2000, "Quarter 2", 'FOI 2024-25'!$O$2:$O$2000, "&lt;=5", 'FOI 2024-25'!$Q$2:$Q$2000, "Complete")</f>
        <v>7</v>
      </c>
      <c r="F19" s="195">
        <f>COUNTIFS('FOI 2024-25'!$K$2:$K$2000, "Children &amp; Families", 'FOI 2024-25'!$AX$2:$AX$2000, "Quarter 2", 'FOI 2024-25'!$O$2:$O$2000, "&lt;=5", 'FOI 2024-25'!$Q$2:$Q$2000, "Complete")</f>
        <v>21</v>
      </c>
      <c r="G19" s="174">
        <f t="shared" ref="G19:G26" si="2">SUM(C19:F19)</f>
        <v>124</v>
      </c>
      <c r="H19" s="128"/>
      <c r="I19" s="187" t="s">
        <v>2043</v>
      </c>
      <c r="J19" s="188">
        <f>COUNTIFS('EIR 2024-25'!$L$2:$L$1000, "Resources",'EIR 2024-25'!$AS$2:$AS$1000, "Quarter 2", 'EIR 2024-25'!$O$2:$O$1000, "&lt;=5", 'EIR 2024-25'!$Q$2:$Q$1000, "Complete")</f>
        <v>3</v>
      </c>
      <c r="K19" s="189">
        <f>COUNTIFS('EIR 2024-25'!$L$2:$L$1000, "Growth, Enterprise &amp; Environment",'EIR 2024-25'!$AS$2:$AS$1000, "Quarter 2", 'EIR 2024-25'!$O$2:$O$1000, "&lt;=5", 'EIR 2024-25'!$Q$2:$Q$1000, "Complete")</f>
        <v>19</v>
      </c>
      <c r="L19" s="189">
        <f>COUNTIFS('EIR 2024-25'!$L$2:$L$1000, "Adults &amp; Communities",'EIR 2024-25'!$AS$2:$AS$1000, "Quarter 2", 'EIR 2024-25'!$O$2:$O$1000, "&lt;=5", 'EIR 2024-25'!$Q$2:$Q$1000, "Complete")</f>
        <v>0</v>
      </c>
      <c r="M19" s="195">
        <f>COUNTIFS('EIR 2024-25'!$L$2:$L$1000, "Children &amp; Families",'EIR 2024-25'!$AS$2:$AS$1000, "Quarter 2", 'EIR 2024-25'!$O$2:$O$1000, "&lt;=5", 'EIR 2024-25'!$Q$2:$Q$1000, "Complete")</f>
        <v>0</v>
      </c>
      <c r="N19" s="195">
        <f t="shared" ref="N19:N26" si="3">SUM(J19:M19)</f>
        <v>22</v>
      </c>
      <c r="O19" s="123"/>
      <c r="P19" s="123"/>
      <c r="Q19" s="123"/>
      <c r="R19" s="123"/>
      <c r="S19" s="123"/>
      <c r="T19" s="123"/>
      <c r="U19" s="123"/>
      <c r="V19" s="123"/>
      <c r="W19" s="123"/>
      <c r="X19" s="123"/>
      <c r="Y19" s="123"/>
      <c r="Z19" s="123"/>
      <c r="AA19" s="123"/>
      <c r="AB19" s="123"/>
      <c r="AC19" s="123"/>
      <c r="AD19" s="123"/>
      <c r="AE19" s="123"/>
    </row>
    <row r="20" spans="1:31" ht="30" customHeight="1" x14ac:dyDescent="0.3">
      <c r="A20" s="123"/>
      <c r="B20" s="185" t="s">
        <v>2044</v>
      </c>
      <c r="C20" s="181">
        <f>COUNTIFS('FOI 2024-25'!$K$2:$K$2000, "Resources", 'FOI 2024-25'!$AX$2:$AX$2000, "Quarter 2", 'FOI 2024-25'!$O$2:$O$2000, "&gt;5", 'FOI 2024-25'!$O$2:$O$2000, "&lt;=10", 'FOI 2024-25'!$Q$2:$Q$2000, "Complete")</f>
        <v>15</v>
      </c>
      <c r="D20" s="131">
        <f>COUNTIFS('FOI 2024-25'!$K$2:$K$2000, "Growth Enterprise &amp; Environment", 'FOI 2024-25'!$AX$2:$AX$2000, "Quarter 2", 'FOI 2024-25'!$O$2:$O$2000, "&gt;5", 'FOI 2024-25'!$O$2:$O$2000, "&lt;=10", 'FOI 2024-25'!$Q$2:$Q$2000, "Complete")</f>
        <v>15</v>
      </c>
      <c r="E20" s="131">
        <f>COUNTIFS('FOI 2024-25'!$K$2:$K$2000, "Adults &amp; Communities", 'FOI 2024-25'!$AX$2:$AX$2000, "Quarter 2", 'FOI 2024-25'!$O$2:$O$2000, "&gt;5", 'FOI 2024-25'!$O$2:$O$2000, "&lt;=10", 'FOI 2024-25'!$Q$2:$Q$2000, "Complete")</f>
        <v>5</v>
      </c>
      <c r="F20" s="132">
        <f>COUNTIFS('FOI 2024-25'!$K$2:$K$2000, "Children &amp; Families", 'FOI 2024-25'!$AX$2:$AX$2000, "Quarter 2", 'FOI 2024-25'!$O$2:$O$2000, "&gt;5", 'FOI 2024-25'!$O$2:$O$2000, "&lt;=10", 'FOI 2024-25'!$Q$2:$Q$2000, "Complete")</f>
        <v>14</v>
      </c>
      <c r="G20" s="178">
        <f t="shared" si="2"/>
        <v>49</v>
      </c>
      <c r="H20" s="128"/>
      <c r="I20" s="185" t="s">
        <v>2045</v>
      </c>
      <c r="J20" s="181">
        <f>COUNTIFS('EIR 2024-25'!$L$2:$L$1000, "Resources",'EIR 2024-25'!$AS$2:$AS$1000, "Quarter 2", 'EIR 2024-25'!$O$2:$O$1000, "&gt;5", 'EIR 2024-25'!$O$2:$O$1000, "&lt;=10", 'EIR 2024-25'!$Q$2:$Q$1000, "Complete")</f>
        <v>1</v>
      </c>
      <c r="K20" s="131">
        <f>COUNTIFS('EIR 2024-25'!$L$2:$L$1000, "Growth, Enterprise &amp; Environment",'EIR 2024-25'!$AS$2:$AS$1000, "Quarter 2", 'EIR 2024-25'!$O$2:$O$1000, "&gt;5", 'EIR 2024-25'!$O$2:$O$1000, "&lt;=10", 'EIR 2024-25'!$Q$2:$Q$1000, "Complete")</f>
        <v>11</v>
      </c>
      <c r="L20" s="131">
        <f>COUNTIFS('EIR 2024-25'!$L$2:$L$1000, "Adults &amp; Communities",'EIR 2024-25'!$AS$2:$AS$1000, "Quarter 2", 'EIR 2024-25'!$O$2:$O$1000, "&gt;5", 'EIR 2024-25'!$O$2:$O$1000, "&lt;=10", 'EIR 2024-25'!$Q$2:$Q$1000, "Complete")</f>
        <v>0</v>
      </c>
      <c r="M20" s="132">
        <f>COUNTIFS('EIR 2024-25'!$L$2:$L$1000, "Children &amp; Families",'EIR 2024-25'!$AS$2:$AS$1000, "Quarter 2", 'EIR 2024-25'!$O$2:$O$1000, "&gt;5", 'EIR 2024-25'!$O$2:$O$1000, "&lt;=10", 'EIR 2024-25'!$Q$2:$Q$1000, "Complete")</f>
        <v>0</v>
      </c>
      <c r="N20" s="132">
        <f t="shared" si="3"/>
        <v>12</v>
      </c>
      <c r="O20" s="123"/>
      <c r="P20" s="123"/>
      <c r="Q20" s="123"/>
      <c r="R20" s="123"/>
      <c r="S20" s="123"/>
      <c r="T20" s="123"/>
      <c r="U20" s="123"/>
      <c r="V20" s="123"/>
      <c r="W20" s="123"/>
      <c r="X20" s="123"/>
      <c r="Y20" s="123"/>
      <c r="Z20" s="123"/>
      <c r="AA20" s="123"/>
      <c r="AB20" s="123"/>
      <c r="AC20" s="123"/>
      <c r="AD20" s="123"/>
      <c r="AE20" s="123"/>
    </row>
    <row r="21" spans="1:31" ht="30" customHeight="1" x14ac:dyDescent="0.3">
      <c r="A21" s="123"/>
      <c r="B21" s="184" t="s">
        <v>2046</v>
      </c>
      <c r="C21" s="180">
        <f>COUNTIFS('FOI 2024-25'!$K$2:$K$2000, "Resources", 'FOI 2024-25'!$AX$2:$AX$2000, "Quarter 2", 'FOI 2024-25'!$O$2:$O$2000, "&gt;10", 'FOI 2024-25'!$O$2:$O$2000, "&lt;=20", 'FOI 2024-25'!$Q$2:$Q$2000, "Complete")</f>
        <v>29</v>
      </c>
      <c r="D21" s="129">
        <f>COUNTIFS('FOI 2024-25'!$K$2:$K$2000, "Growth Enterprise &amp; Environment", 'FOI 2024-25'!$AX$2:$AX$2000, "Quarter 2", 'FOI 2024-25'!$O$2:$O$2000, "&gt;10", 'FOI 2024-25'!$O$2:$O$2000, "&lt;=20", 'FOI 2024-25'!$Q$2:$Q$2000, "Complete")</f>
        <v>22</v>
      </c>
      <c r="E21" s="129">
        <f>COUNTIFS('FOI 2024-25'!$K$2:$K$2000, "Adults &amp; Communities", 'FOI 2024-25'!$AX$2:$AX$2000, "Quarter 2", 'FOI 2024-25'!$O$2:$O$2000, "&gt;10", 'FOI 2024-25'!$O$2:$O$2000, "&lt;=20", 'FOI 2024-25'!$Q$2:$Q$2000, "Complete")</f>
        <v>4</v>
      </c>
      <c r="F21" s="130">
        <f>COUNTIFS('FOI 2024-25'!$K$2:$K$2000, "Children &amp; Families", 'FOI 2024-25'!$AX$2:$AX$2000, "Quarter 2", 'FOI 2024-25'!$O$2:$O$2000, "&gt;10", 'FOI 2024-25'!$O$2:$O$2000, "&lt;=20", 'FOI 2024-25'!$Q$2:$Q$2000, "Complete")</f>
        <v>20</v>
      </c>
      <c r="G21" s="177">
        <f t="shared" si="2"/>
        <v>75</v>
      </c>
      <c r="H21" s="123"/>
      <c r="I21" s="184" t="s">
        <v>2047</v>
      </c>
      <c r="J21" s="180">
        <f>COUNTIFS('EIR 2024-25'!$L$2:$L$1000, "Resources",'EIR 2024-25'!$AS$2:$AS$1000, "Quarter 2", 'EIR 2024-25'!$O$2:$O$1000, "&gt;10", 'EIR 2024-25'!$O$2:$O$1000, "&lt;=20", 'EIR 2024-25'!$Q$2:$Q$1000, "Complete")</f>
        <v>0</v>
      </c>
      <c r="K21" s="129">
        <f>COUNTIFS('EIR 2024-25'!$L$2:$L$1000, "Growth, Enterprise &amp; Environment",'EIR 2024-25'!$AS$2:$AS$1000, "Quarter 2", 'EIR 2024-25'!$O$2:$O$1000, "&gt;10", 'EIR 2024-25'!$O$2:$O$1000, "&lt;=20", 'EIR 2024-25'!$Q$2:$Q$1000, "Complete")</f>
        <v>13</v>
      </c>
      <c r="L21" s="129">
        <f>COUNTIFS('EIR 2024-25'!$L$2:$L$1000, "Adults &amp; Communities",'EIR 2024-25'!$AS$2:$AS$1000, "Quarter 2", 'EIR 2024-25'!$O$2:$O$1000, "&gt;10", 'EIR 2024-25'!$O$2:$O$1000, "&lt;=20", 'EIR 2024-25'!$Q$2:$Q$1000, "Complete")</f>
        <v>0</v>
      </c>
      <c r="M21" s="130">
        <f>COUNTIFS('EIR 2024-25'!$L$2:$L$1000, "Children &amp; Families",'EIR 2024-25'!$AS$2:$AS$1000, "Quarter 2", 'EIR 2024-25'!$O$2:$O$1000, "&gt;10", 'EIR 2024-25'!$O$2:$O$1000, "&lt;=20", 'EIR 2024-25'!$Q$2:$Q$1000, "Complete")</f>
        <v>0</v>
      </c>
      <c r="N21" s="130">
        <f t="shared" si="3"/>
        <v>13</v>
      </c>
      <c r="O21" s="123"/>
      <c r="P21" s="123"/>
      <c r="Q21" s="123"/>
      <c r="R21" s="123"/>
      <c r="S21" s="123"/>
      <c r="T21" s="123"/>
      <c r="U21" s="123"/>
      <c r="V21" s="123"/>
      <c r="W21" s="123"/>
      <c r="X21" s="123"/>
      <c r="Y21" s="123"/>
      <c r="Z21" s="123"/>
      <c r="AA21" s="123"/>
      <c r="AB21" s="123"/>
      <c r="AC21" s="123"/>
      <c r="AD21" s="123"/>
      <c r="AE21" s="123"/>
    </row>
    <row r="22" spans="1:31" ht="30" customHeight="1" x14ac:dyDescent="0.3">
      <c r="A22" s="123"/>
      <c r="B22" s="185" t="s">
        <v>2048</v>
      </c>
      <c r="C22" s="181">
        <f>COUNTIFS('FOI 2024-25'!$K$2:$K$2000, "Resources", 'FOI 2024-25'!$AX$2:$AX$2000, "Quarter 2", 'FOI 2024-25'!$O$2:$O$2000, "&gt;20", 'FOI 2024-25'!$Q$2:$Q$2000, "Complete")</f>
        <v>6</v>
      </c>
      <c r="D22" s="131">
        <f>COUNTIFS('FOI 2024-25'!$K$2:$K$2000, "Growth Enterprise &amp; Environment", 'FOI 2024-25'!$AX$2:$AX$2000, "Quarter 2", 'FOI 2024-25'!$O$2:$O$2000, "&gt;20", 'FOI 2024-25'!$Q$2:$Q$2000, "Complete")</f>
        <v>6</v>
      </c>
      <c r="E22" s="131">
        <f>COUNTIFS('FOI 2024-25'!$K$2:$K$2000, "Adults &amp; Communities", 'FOI 2024-25'!$AX$2:$AX$2000, "Quarter 2", 'FOI 2024-25'!$O$2:$O$2000, "&gt;20", 'FOI 2024-25'!$Q$2:$Q$2000, "Complete")</f>
        <v>0</v>
      </c>
      <c r="F22" s="132">
        <f>COUNTIFS('FOI 2024-25'!$K$2:$K$2000, "Children &amp; Families", 'FOI 2024-25'!$AX$2:$AX$2000, "Quarter 2", 'FOI 2024-25'!$O$2:$O$2000, "&gt;20", 'FOI 2024-25'!$Q$2:$Q$2000, "Complete")</f>
        <v>2</v>
      </c>
      <c r="G22" s="178">
        <f t="shared" si="2"/>
        <v>14</v>
      </c>
      <c r="H22" s="123"/>
      <c r="I22" s="185" t="s">
        <v>2049</v>
      </c>
      <c r="J22" s="181">
        <f>COUNTIFS('EIR 2024-25'!$L$2:$L$1000, "Resources",'EIR 2024-25'!$AS$2:$AS$1000, "Quarter 2", 'EIR 2024-25'!$O$2:$O$1000, "&gt;20", 'EIR 2024-25'!$Q$2:$Q$1000, "Complete")</f>
        <v>1</v>
      </c>
      <c r="K22" s="131">
        <f>COUNTIFS('EIR 2024-25'!$L$2:$L$1000, "Growth, Enterprise &amp; Environment",'EIR 2024-25'!$AS$2:$AS$1000, "Quarter 2", 'EIR 2024-25'!$O$2:$O$1000, "&gt;20", 'EIR 2024-25'!$Q$2:$Q$1000, "Complete")</f>
        <v>3</v>
      </c>
      <c r="L22" s="131">
        <f>COUNTIFS('EIR 2024-25'!$L$2:$L$1000, "Adults &amp; Communities",'EIR 2024-25'!$AS$2:$AS$1000, "Quarter 2", 'EIR 2024-25'!$O$2:$O$1000, "&gt;20", 'EIR 2024-25'!$Q$2:$Q$1000, "Complete")</f>
        <v>0</v>
      </c>
      <c r="M22" s="132">
        <f>COUNTIFS('EIR 2024-25'!$L$2:$L$1000, "Children &amp; Families",'EIR 2024-25'!$AS$2:$AS$1000, "Quarter 2", 'EIR 2024-25'!$O$2:$O$1000, "&gt;20", 'EIR 2024-25'!$Q$2:$Q$1000, "Complete")</f>
        <v>0</v>
      </c>
      <c r="N22" s="132">
        <f t="shared" si="3"/>
        <v>4</v>
      </c>
      <c r="O22" s="123"/>
      <c r="P22" s="123"/>
      <c r="Q22" s="123"/>
      <c r="R22" s="123"/>
      <c r="S22" s="123"/>
      <c r="T22" s="123"/>
      <c r="U22" s="123"/>
      <c r="V22" s="123"/>
      <c r="W22" s="123"/>
      <c r="X22" s="123"/>
      <c r="Y22" s="123"/>
      <c r="Z22" s="123"/>
      <c r="AA22" s="123"/>
      <c r="AB22" s="123"/>
      <c r="AC22" s="123"/>
      <c r="AD22" s="123"/>
      <c r="AE22" s="123"/>
    </row>
    <row r="23" spans="1:31" ht="30" customHeight="1" x14ac:dyDescent="0.3">
      <c r="A23" s="123"/>
      <c r="B23" s="184" t="s">
        <v>2050</v>
      </c>
      <c r="C23" s="180">
        <f>SUM(C19:C22)</f>
        <v>108</v>
      </c>
      <c r="D23" s="129">
        <f>SUM(D19:D22)</f>
        <v>81</v>
      </c>
      <c r="E23" s="129">
        <f>SUM(E19:E22)</f>
        <v>16</v>
      </c>
      <c r="F23" s="130">
        <f>SUM(F19:F22)</f>
        <v>57</v>
      </c>
      <c r="G23" s="177">
        <f t="shared" si="2"/>
        <v>262</v>
      </c>
      <c r="H23" s="123"/>
      <c r="I23" s="184" t="s">
        <v>2050</v>
      </c>
      <c r="J23" s="180">
        <f>SUM(J19:J22)</f>
        <v>5</v>
      </c>
      <c r="K23" s="129">
        <f>SUM(K19:K22)</f>
        <v>46</v>
      </c>
      <c r="L23" s="129">
        <f>SUM(L19:L22)</f>
        <v>0</v>
      </c>
      <c r="M23" s="130">
        <f>SUM(M19:M22)</f>
        <v>0</v>
      </c>
      <c r="N23" s="130">
        <f t="shared" si="3"/>
        <v>51</v>
      </c>
      <c r="O23" s="123"/>
      <c r="P23" s="123"/>
      <c r="Q23" s="123"/>
      <c r="R23" s="123"/>
      <c r="S23" s="123"/>
      <c r="T23" s="123"/>
      <c r="U23" s="123"/>
      <c r="V23" s="123"/>
      <c r="W23" s="123"/>
      <c r="X23" s="123"/>
      <c r="Y23" s="123"/>
      <c r="Z23" s="123"/>
      <c r="AA23" s="123"/>
      <c r="AB23" s="123"/>
      <c r="AC23" s="123"/>
      <c r="AD23" s="123"/>
      <c r="AE23" s="123"/>
    </row>
    <row r="24" spans="1:31" ht="30" customHeight="1" x14ac:dyDescent="0.3">
      <c r="A24" s="123"/>
      <c r="B24" s="185" t="s">
        <v>2051</v>
      </c>
      <c r="C24" s="181">
        <f>COUNTIFS('FOI 2024-25'!$Q$2:$Q$2000, "Elapsed", 'FOI 2024-25'!$AX$2:$AX$2000, "Quarter 2", 'FOI 2024-25'!$K$2:$K$2000, "Resources")</f>
        <v>2</v>
      </c>
      <c r="D24" s="131">
        <f>COUNTIFS('FOI 2024-25'!$Q$2:$Q$2000, "Elapsed", 'FOI 2024-25'!$AX$2:$AX$2000, "Quarter 2", 'FOI 2024-25'!$K$2:$K$2000, "Growth Enterprise &amp; Environment")</f>
        <v>1</v>
      </c>
      <c r="E24" s="131">
        <f>COUNTIFS('FOI 2024-25'!$Q$2:$Q$2000, "Elapsed", 'FOI 2024-25'!$AX$2:$AX$2000, "Quarter 2", 'FOI 2024-25'!$K$2:$K$2000, "Adults &amp; Communities")</f>
        <v>2</v>
      </c>
      <c r="F24" s="132">
        <f>COUNTIFS('FOI 2024-25'!$Q$2:$Q$2000, "Elapsed", 'FOI 2024-25'!$AX$2:$AX$2000, "Quarter 2", 'FOI 2024-25'!$K$2:$K$2000, "Children &amp; Families")</f>
        <v>0</v>
      </c>
      <c r="G24" s="178">
        <f t="shared" si="2"/>
        <v>5</v>
      </c>
      <c r="H24" s="123"/>
      <c r="I24" s="185" t="s">
        <v>2052</v>
      </c>
      <c r="J24" s="181">
        <f>COUNTIFS('EIR 2024-25'!$T$2:$T$2000, "Elapsed", 'EIR 2024-25'!$AX$2:$AX$2000, "Quarter 2", 'EIR 2024-25'!$L$2:$L$2000, "Resources")</f>
        <v>0</v>
      </c>
      <c r="K24" s="131">
        <f>COUNTIFS('EIR 2024-25'!$T$2:$T$2000, "Elapsed", 'EIR 2024-25'!$AX$2:$AX$2000, "Quarter 2", 'EIR 2024-25'!$L$2:$L$2000, "Growth, Enterprise &amp; Environment")</f>
        <v>0</v>
      </c>
      <c r="L24" s="131">
        <f>COUNTIFS('EIR 2024-25'!$T$2:$T$2000, "Elapsed", 'EIR 2024-25'!$AX$2:$AX$2000, "Quarter 2", 'EIR 2024-25'!$L$2:$L$2000, "Adults &amp; Communities")</f>
        <v>0</v>
      </c>
      <c r="M24" s="132">
        <f>COUNTIFS('EIR 2024-25'!$T$2:$T$2000, "Elapsed", 'EIR 2024-25'!$AX$2:$AX$2000, "Quarter 2", 'EIR 2024-25'!$L$2:$L$2000, "Children &amp; Families")</f>
        <v>0</v>
      </c>
      <c r="N24" s="132">
        <f t="shared" si="3"/>
        <v>0</v>
      </c>
      <c r="O24" s="123"/>
      <c r="P24" s="123"/>
      <c r="Q24" s="123"/>
      <c r="R24" s="123"/>
      <c r="S24" s="123"/>
      <c r="T24" s="123"/>
      <c r="U24" s="123"/>
      <c r="V24" s="123"/>
      <c r="W24" s="123"/>
      <c r="X24" s="123"/>
      <c r="Y24" s="123"/>
      <c r="Z24" s="123"/>
      <c r="AA24" s="123"/>
      <c r="AB24" s="123"/>
      <c r="AC24" s="123"/>
      <c r="AD24" s="123"/>
      <c r="AE24" s="123"/>
    </row>
    <row r="25" spans="1:31" ht="30" customHeight="1" x14ac:dyDescent="0.3">
      <c r="A25" s="123"/>
      <c r="B25" s="184" t="s">
        <v>2053</v>
      </c>
      <c r="C25" s="180">
        <f>COUNTIFS('FOI 2024-25'!$Q$2:$Q$2000, "In Progress", 'FOI 2024-25'!$AX$2:$AX$2000, "Quarter 2", 'FOI 2024-25'!$K$2:$K$2000, "Resources")</f>
        <v>0</v>
      </c>
      <c r="D25" s="129">
        <f>COUNTIFS('FOI 2024-25'!$Q$2:$Q$2000, "In Progress", 'FOI 2024-25'!$AX$2:$AX$2000, "Quarter 2", 'FOI 2024-25'!$K$2:$K$2000, "Growth Enterprise &amp; Environment")</f>
        <v>0</v>
      </c>
      <c r="E25" s="129">
        <f>COUNTIFS('FOI 2024-25'!$Q$2:$Q$2000, "In Progress", 'FOI 2024-25'!$AX$2:$AX$2000, "Quarter 2", 'FOI 2024-25'!$K$2:$K$2000, "Adults &amp; Communities")</f>
        <v>0</v>
      </c>
      <c r="F25" s="130">
        <f>COUNTIFS('FOI 2024-25'!$Q$2:$Q$2000, "In Progress", 'FOI 2024-25'!$AX$2:$AX$2000, "Quarter 2", 'FOI 2024-25'!$K$2:$K$2000, "Children &amp; Families")</f>
        <v>0</v>
      </c>
      <c r="G25" s="177">
        <f t="shared" si="2"/>
        <v>0</v>
      </c>
      <c r="H25" s="123"/>
      <c r="I25" s="184" t="s">
        <v>2054</v>
      </c>
      <c r="J25" s="180">
        <f>COUNTIFS('EIR 2024-25'!$T$2:$T$2000, "In Progress", 'EIR 2024-25'!$AX$2:$AX$2000, "Quarter 2", 'EIR 2024-25'!$L$2:$L$2000, "Resources")</f>
        <v>0</v>
      </c>
      <c r="K25" s="129">
        <f>COUNTIFS('EIR 2024-25'!$T$2:$T$2000, "In Progress", 'EIR 2024-25'!$AX$2:$AX$2000, "Quarter 2", 'EIR 2024-25'!$L$2:$L$2000, "Growth, Enterprise &amp; Environment")</f>
        <v>0</v>
      </c>
      <c r="L25" s="129">
        <f>COUNTIFS('EIR 2024-25'!$T$2:$T$2000, "In Progress", 'EIR 2024-25'!$AX$2:$AX$2000, "Quarter 2", 'EIR 2024-25'!$L$2:$L$2000, "Adults &amp; Communities")</f>
        <v>0</v>
      </c>
      <c r="M25" s="130">
        <f>COUNTIFS('EIR 2024-25'!$T$2:$T$2000, "In Progress", 'EIR 2024-25'!$AX$2:$AX$2000, "Quarter 2", 'EIR 2024-25'!$L$2:$L$2000, "Children &amp; Families")</f>
        <v>0</v>
      </c>
      <c r="N25" s="130">
        <f t="shared" si="3"/>
        <v>0</v>
      </c>
      <c r="O25" s="123"/>
      <c r="P25" s="123"/>
      <c r="Q25" s="123"/>
      <c r="R25" s="123"/>
      <c r="S25" s="123"/>
      <c r="T25" s="123"/>
      <c r="U25" s="123"/>
      <c r="V25" s="123"/>
      <c r="W25" s="123"/>
      <c r="X25" s="123"/>
      <c r="Y25" s="123"/>
      <c r="Z25" s="123"/>
      <c r="AA25" s="123"/>
      <c r="AB25" s="123"/>
      <c r="AC25" s="123"/>
      <c r="AD25" s="123"/>
      <c r="AE25" s="123"/>
    </row>
    <row r="26" spans="1:31" ht="30" customHeight="1" x14ac:dyDescent="0.3">
      <c r="A26" s="123"/>
      <c r="B26" s="198" t="s">
        <v>1928</v>
      </c>
      <c r="C26" s="181">
        <f>SUM(C23:C25)</f>
        <v>110</v>
      </c>
      <c r="D26" s="131">
        <f>SUM(D23:D25)</f>
        <v>82</v>
      </c>
      <c r="E26" s="131">
        <f>SUM(E23:E25)</f>
        <v>18</v>
      </c>
      <c r="F26" s="132">
        <f>SUM(F23:F25)</f>
        <v>57</v>
      </c>
      <c r="G26" s="179">
        <f t="shared" si="2"/>
        <v>267</v>
      </c>
      <c r="H26" s="123"/>
      <c r="I26" s="198" t="s">
        <v>2055</v>
      </c>
      <c r="J26" s="181">
        <f>SUM(J23:J25)</f>
        <v>5</v>
      </c>
      <c r="K26" s="131">
        <f>SUM(K23:K25)</f>
        <v>46</v>
      </c>
      <c r="L26" s="131">
        <f>SUM(L23:L25)</f>
        <v>0</v>
      </c>
      <c r="M26" s="132">
        <f>SUM(M23:M25)</f>
        <v>0</v>
      </c>
      <c r="N26" s="132">
        <f t="shared" si="3"/>
        <v>51</v>
      </c>
      <c r="O26" s="123"/>
      <c r="P26" s="123"/>
      <c r="Q26" s="123"/>
      <c r="R26" s="123"/>
      <c r="S26" s="123"/>
      <c r="T26" s="123"/>
      <c r="U26" s="123"/>
      <c r="V26" s="123"/>
      <c r="W26" s="123"/>
      <c r="X26" s="123"/>
      <c r="Y26" s="123"/>
      <c r="Z26" s="123"/>
      <c r="AA26" s="123"/>
      <c r="AB26" s="123"/>
      <c r="AC26" s="123"/>
      <c r="AD26" s="123"/>
      <c r="AE26" s="123"/>
    </row>
    <row r="27" spans="1:31" ht="30" customHeight="1" x14ac:dyDescent="0.3">
      <c r="A27" s="123"/>
      <c r="B27" s="184" t="s">
        <v>2056</v>
      </c>
      <c r="C27" s="182">
        <f>AVERAGEIFS('FOI 2024-25'!$O$2:$O$2000, 'FOI 2024-25'!$K$2:$K$2000, "Resources", 'FOI 2024-25'!$AX$2:$AX$2000, "Quarter 2")</f>
        <v>7.8425925925925926</v>
      </c>
      <c r="D27" s="138">
        <f>AVERAGEIFS('FOI 2024-25'!$O$2:$O$2000, 'FOI 2024-25'!$K$2:$K$2000, "Growth Enterprise &amp; Environment", 'FOI 2024-25'!$AX$2:$AX$2000, "Quarter 2")</f>
        <v>10.567901234567902</v>
      </c>
      <c r="E27" s="138">
        <f>AVERAGEIFS('FOI 2024-25'!$O$2:$O$2000, 'FOI 2024-25'!$K$2:$K$2000, "Adults &amp; Communities", 'FOI 2024-25'!$AX$2:$AX$2000, "Quarter 2")</f>
        <v>6.875</v>
      </c>
      <c r="F27" s="139">
        <f>AVERAGEIFS('FOI 2024-25'!$O$2:$O$2000, 'FOI 2024-25'!$K$2:$K$2000, "Children &amp; Families", 'FOI 2024-25'!$AX$2:$AX$2000, "Quarter 2")</f>
        <v>9</v>
      </c>
      <c r="G27" s="175">
        <f>AVERAGEIFS('FOI 2024-25'!$O$2:$O$2000, 'FOI 2024-25'!$AX$2:$AX$2000, "Quarter 2")</f>
        <v>8.8778625954198471</v>
      </c>
      <c r="H27" s="123"/>
      <c r="I27" s="184" t="s">
        <v>2057</v>
      </c>
      <c r="J27" s="182">
        <f>AVERAGEIFS('EIR 2024-25'!$O$2:$O$1000, 'EIR 2024-25'!$L$2:$L$1000, "Resources", 'EIR 2024-25'!$AS$2:$AS$1000, "Quarter 2")</f>
        <v>12.4</v>
      </c>
      <c r="K27" s="138">
        <f>AVERAGEIFS('EIR 2024-25'!$O$2:$O$1000, 'EIR 2024-25'!$L$2:$L$1000, "Growth, Enterprise &amp; Environment", 'EIR 2024-25'!$AS$2:$AS$1000, "Quarter 2")</f>
        <v>7.8913043478260869</v>
      </c>
      <c r="L27" s="129">
        <v>0</v>
      </c>
      <c r="M27" s="130">
        <v>0</v>
      </c>
      <c r="N27" s="201">
        <f>AVERAGEIFS('EIR 2024-25'!$O$2:$O$1000, 'EIR 2024-25'!$AS$2:$AS$1000, "Quarter 2")</f>
        <v>8.3333333333333339</v>
      </c>
      <c r="O27" s="123"/>
      <c r="P27" s="123"/>
      <c r="Q27" s="123"/>
      <c r="R27" s="123"/>
      <c r="S27" s="123"/>
      <c r="T27" s="123"/>
      <c r="U27" s="123"/>
      <c r="V27" s="123"/>
      <c r="W27" s="123"/>
      <c r="X27" s="123"/>
      <c r="Y27" s="123"/>
      <c r="Z27" s="123"/>
      <c r="AA27" s="123"/>
      <c r="AB27" s="123"/>
      <c r="AC27" s="123"/>
      <c r="AD27" s="123"/>
      <c r="AE27" s="123"/>
    </row>
    <row r="28" spans="1:31" s="126" customFormat="1" ht="30" customHeight="1" thickBot="1" x14ac:dyDescent="0.35">
      <c r="A28" s="125"/>
      <c r="B28" s="199" t="s">
        <v>2058</v>
      </c>
      <c r="C28" s="183">
        <f>SUM(C19+C20+C21)/C23</f>
        <v>0.94444444444444442</v>
      </c>
      <c r="D28" s="137">
        <f>SUM(D19+D20+D21)/D23</f>
        <v>0.92592592592592593</v>
      </c>
      <c r="E28" s="137">
        <f>SUM(E19+E20+E21)/E23</f>
        <v>1</v>
      </c>
      <c r="F28" s="137">
        <f>SUM(F19+F20+F21)/F23</f>
        <v>0.96491228070175439</v>
      </c>
      <c r="G28" s="176">
        <f>SUM(G19+G20+G21)/G23</f>
        <v>0.94656488549618323</v>
      </c>
      <c r="H28" s="123"/>
      <c r="I28" s="199" t="s">
        <v>2059</v>
      </c>
      <c r="J28" s="183">
        <f>SUM(J19+J20+J21)/J23</f>
        <v>0.8</v>
      </c>
      <c r="K28" s="137">
        <f>SUM(K19+K20+K21)/K23</f>
        <v>0.93478260869565222</v>
      </c>
      <c r="L28" s="137">
        <v>0</v>
      </c>
      <c r="M28" s="173">
        <v>0</v>
      </c>
      <c r="N28" s="176">
        <f>SUM(N19+N20+N21)/N23</f>
        <v>0.92156862745098034</v>
      </c>
      <c r="O28" s="125"/>
      <c r="P28" s="125"/>
      <c r="Q28" s="125"/>
      <c r="R28" s="125"/>
      <c r="S28" s="125"/>
      <c r="T28" s="125"/>
      <c r="U28" s="125"/>
      <c r="V28" s="125"/>
      <c r="W28" s="125"/>
      <c r="X28" s="125"/>
      <c r="Y28" s="125"/>
      <c r="Z28" s="125"/>
      <c r="AA28" s="125"/>
      <c r="AB28" s="125"/>
      <c r="AC28" s="125"/>
      <c r="AD28" s="125"/>
      <c r="AE28" s="125"/>
    </row>
    <row r="29" spans="1:31" ht="13.5" customHeight="1" x14ac:dyDescent="0.3">
      <c r="A29" s="123"/>
      <c r="B29" s="140"/>
      <c r="C29" s="133"/>
      <c r="D29" s="133"/>
      <c r="E29" s="133"/>
      <c r="F29" s="133"/>
      <c r="G29" s="133"/>
      <c r="H29" s="128"/>
      <c r="I29" s="140"/>
      <c r="J29" s="133"/>
      <c r="K29" s="133"/>
      <c r="L29" s="133"/>
      <c r="M29" s="133"/>
      <c r="N29" s="123"/>
      <c r="O29" s="123"/>
      <c r="P29" s="123"/>
      <c r="Q29" s="123"/>
      <c r="R29" s="123"/>
      <c r="S29" s="123"/>
      <c r="T29" s="123"/>
      <c r="U29" s="123"/>
      <c r="V29" s="123"/>
      <c r="W29" s="123"/>
      <c r="X29" s="123"/>
      <c r="Y29" s="123"/>
      <c r="Z29" s="123"/>
      <c r="AA29" s="123"/>
      <c r="AB29" s="123"/>
      <c r="AC29" s="123"/>
      <c r="AD29" s="123"/>
      <c r="AE29" s="123"/>
    </row>
    <row r="30" spans="1:31" ht="18" customHeight="1" thickBot="1" x14ac:dyDescent="0.35">
      <c r="A30" s="123"/>
      <c r="B30" s="237" t="s">
        <v>1959</v>
      </c>
      <c r="C30" s="237"/>
      <c r="D30" s="237"/>
      <c r="E30" s="237"/>
      <c r="F30" s="237"/>
      <c r="G30" s="169"/>
      <c r="H30" s="47"/>
      <c r="I30" s="237" t="s">
        <v>1959</v>
      </c>
      <c r="J30" s="237"/>
      <c r="K30" s="237"/>
      <c r="L30" s="237"/>
      <c r="M30" s="237"/>
      <c r="N30" s="123"/>
      <c r="O30" s="123"/>
      <c r="P30" s="123"/>
      <c r="Q30" s="123"/>
      <c r="R30" s="123"/>
      <c r="S30" s="123"/>
      <c r="T30" s="123"/>
      <c r="U30" s="123"/>
      <c r="V30" s="123"/>
      <c r="W30" s="123"/>
      <c r="X30" s="123"/>
      <c r="Y30" s="123"/>
      <c r="Z30" s="123"/>
      <c r="AA30" s="123"/>
      <c r="AB30" s="123"/>
      <c r="AC30" s="123"/>
      <c r="AD30" s="123"/>
      <c r="AE30" s="123"/>
    </row>
    <row r="31" spans="1:31" ht="45.65" customHeight="1" thickBot="1" x14ac:dyDescent="0.35">
      <c r="A31" s="123"/>
      <c r="B31" s="191" t="s">
        <v>2039</v>
      </c>
      <c r="C31" s="192" t="s">
        <v>5</v>
      </c>
      <c r="D31" s="193" t="s">
        <v>124</v>
      </c>
      <c r="E31" s="193" t="s">
        <v>4</v>
      </c>
      <c r="F31" s="197" t="s">
        <v>10</v>
      </c>
      <c r="G31" s="191" t="s">
        <v>2040</v>
      </c>
      <c r="H31" s="127"/>
      <c r="I31" s="191" t="s">
        <v>2041</v>
      </c>
      <c r="J31" s="196" t="s">
        <v>5</v>
      </c>
      <c r="K31" s="193" t="s">
        <v>124</v>
      </c>
      <c r="L31" s="193" t="s">
        <v>4</v>
      </c>
      <c r="M31" s="197" t="s">
        <v>10</v>
      </c>
      <c r="N31" s="197" t="s">
        <v>2040</v>
      </c>
      <c r="O31" s="123"/>
      <c r="P31" s="123"/>
      <c r="Q31" s="123"/>
      <c r="R31" s="123"/>
      <c r="S31" s="123"/>
      <c r="T31" s="123"/>
      <c r="U31" s="123"/>
      <c r="V31" s="123"/>
      <c r="W31" s="123"/>
      <c r="X31" s="123"/>
      <c r="Y31" s="123"/>
      <c r="Z31" s="123"/>
      <c r="AA31" s="123"/>
      <c r="AB31" s="123"/>
      <c r="AC31" s="123"/>
      <c r="AD31" s="123"/>
      <c r="AE31" s="123"/>
    </row>
    <row r="32" spans="1:31" ht="30" customHeight="1" x14ac:dyDescent="0.3">
      <c r="A32" s="123"/>
      <c r="B32" s="187" t="s">
        <v>2042</v>
      </c>
      <c r="C32" s="188">
        <f>COUNTIFS('FOI 2024-25'!$K$2:$K$2000, "Resources", 'FOI 2024-25'!$AX$2:$AX$2000, "Quarter 3", 'FOI 2024-25'!$O$2:$O$2000, "&lt;=5", 'FOI 2024-25'!$Q$2:$Q$2000, "Complete")</f>
        <v>34</v>
      </c>
      <c r="D32" s="189">
        <f>COUNTIFS('FOI 2024-25'!$K$2:$K$2000, "Growth Enterprise &amp; Environment", 'FOI 2024-25'!$AX$2:$AX$2000, "Quarter 3", 'FOI 2024-25'!$O$2:$O$2000, "&lt;=5", 'FOI 2024-25'!$Q$2:$Q$2000, "Complete")</f>
        <v>33</v>
      </c>
      <c r="E32" s="189">
        <f>COUNTIFS('FOI 2024-25'!$K$2:$K$2000, "Adults &amp; Communities", 'FOI 2024-25'!$AX$2:$AX$2000, "Quarter 3", 'FOI 2024-25'!$O$2:$O$2000, "&lt;=5", 'FOI 2024-25'!$Q$2:$Q$2000, "Complete")</f>
        <v>6</v>
      </c>
      <c r="F32" s="195">
        <f>COUNTIFS('FOI 2024-25'!$K$2:$K$2000, "Children &amp; Families", 'FOI 2024-25'!$AX$2:$AX$2000, "Quarter 3", 'FOI 2024-25'!$O$2:$O$2000, "&lt;=5", 'FOI 2024-25'!$Q$2:$Q$2000, "Complete")</f>
        <v>16</v>
      </c>
      <c r="G32" s="174">
        <f t="shared" ref="G32:G39" si="4">SUM(C32:F32)</f>
        <v>89</v>
      </c>
      <c r="H32" s="128"/>
      <c r="I32" s="187" t="s">
        <v>2043</v>
      </c>
      <c r="J32" s="188">
        <f>COUNTIFS('EIR 2024-25'!$L$2:$L$1000, "Resources",'EIR 2024-25'!$AS$2:$AS$1000, "Quarter 3", 'EIR 2024-25'!$O$2:$O$1000, "&lt;=5", 'EIR 2024-25'!$Q$2:$Q$1000, "Complete")</f>
        <v>1</v>
      </c>
      <c r="K32" s="189">
        <f>COUNTIFS('EIR 2024-25'!$L$2:$L$1000, "Growth, Enterprise &amp; Environment",'EIR 2024-25'!$AS$2:$AS$1000, "Quarter 3", 'EIR 2024-25'!$O$2:$O$1000, "&lt;=5", 'EIR 2024-25'!$Q$2:$Q$1000, "Complete")</f>
        <v>22</v>
      </c>
      <c r="L32" s="189">
        <f>COUNTIFS('EIR 2024-25'!$L$2:$L$1000, "Adults &amp; Communities",'EIR 2024-25'!$AS$2:$AS$1000, "Quarter 3", 'EIR 2024-25'!$O$2:$O$1000, "&lt;=5", 'EIR 2024-25'!$Q$2:$Q$1000, "Complete")</f>
        <v>0</v>
      </c>
      <c r="M32" s="195">
        <f>COUNTIFS('EIR 2024-25'!$L$2:$L$1000, "Children &amp; Families",'EIR 2024-25'!$AS$2:$AS$1000, "Quarter 3", 'EIR 2024-25'!$O$2:$O$1000, "&lt;=5", 'EIR 2024-25'!$Q$2:$Q$1000, "Complete")</f>
        <v>0</v>
      </c>
      <c r="N32" s="195">
        <f t="shared" ref="N32:N39" si="5">SUM(J32:M32)</f>
        <v>23</v>
      </c>
      <c r="O32" s="123"/>
      <c r="P32" s="123"/>
      <c r="Q32" s="123"/>
      <c r="R32" s="123"/>
      <c r="S32" s="123"/>
      <c r="T32" s="123"/>
      <c r="U32" s="123"/>
      <c r="V32" s="123"/>
      <c r="W32" s="123"/>
      <c r="X32" s="123"/>
      <c r="Y32" s="123"/>
      <c r="Z32" s="123"/>
      <c r="AA32" s="123"/>
      <c r="AB32" s="123"/>
      <c r="AC32" s="123"/>
      <c r="AD32" s="123"/>
      <c r="AE32" s="123"/>
    </row>
    <row r="33" spans="1:31" ht="27" x14ac:dyDescent="0.3">
      <c r="A33" s="123"/>
      <c r="B33" s="185" t="s">
        <v>2044</v>
      </c>
      <c r="C33" s="181">
        <f>COUNTIFS('FOI 2024-25'!$K$2:$K$2000, "Resources", 'FOI 2024-25'!$AX$2:$AX$2000, "Quarter 3", 'FOI 2024-25'!$O$2:$O$2000, "&gt;5", 'FOI 2024-25'!$O$2:$O$2000, "&lt;=10", 'FOI 2024-25'!$Q$2:$Q$2000, "Complete")</f>
        <v>15</v>
      </c>
      <c r="D33" s="131">
        <f>COUNTIFS('FOI 2024-25'!$K$2:$K$2000, "Growth Enterprise &amp; Environment", 'FOI 2024-25'!$AX$2:$AX$2000, "Quarter 3", 'FOI 2024-25'!$O$2:$O$2000, "&gt;5", 'FOI 2024-25'!$O$2:$O$2000, "&lt;=10", 'FOI 2024-25'!$Q$2:$Q$2000, "Complete")</f>
        <v>16</v>
      </c>
      <c r="E33" s="131">
        <f>COUNTIFS('FOI 2024-25'!$K$2:$K$2000, "Adults &amp; Communities", 'FOI 2024-25'!$AX$2:$AX$2000, "Quarter 3", 'FOI 2024-25'!$O$2:$O$2000, "&gt;5", 'FOI 2024-25'!$O$2:$O$2000, "&lt;=10", 'FOI 2024-25'!$Q$2:$Q$2000, "Complete")</f>
        <v>5</v>
      </c>
      <c r="F33" s="132">
        <f>COUNTIFS('FOI 2024-25'!$K$2:$K$2000, "Children &amp; Families", 'FOI 2024-25'!$AX$2:$AX$2000, "Quarter 3", 'FOI 2024-25'!$O$2:$O$2000, "&gt;5", 'FOI 2024-25'!$O$2:$O$2000, "&lt;=10", 'FOI 2024-25'!$Q$2:$Q$2000, "Complete")</f>
        <v>12</v>
      </c>
      <c r="G33" s="178">
        <f t="shared" si="4"/>
        <v>48</v>
      </c>
      <c r="H33" s="128"/>
      <c r="I33" s="185" t="s">
        <v>2045</v>
      </c>
      <c r="J33" s="181">
        <f>COUNTIFS('EIR 2024-25'!$L$2:$L$1000, "Resources",'EIR 2024-25'!$AS$2:$AS$1000, "Quarter 3", 'EIR 2024-25'!$O$2:$O$1000, "&gt;5", 'EIR 2024-25'!$O$2:$O$1000, "&lt;=10", 'EIR 2024-25'!$Q$2:$Q$1000, "Complete")</f>
        <v>0</v>
      </c>
      <c r="K33" s="131">
        <f>COUNTIFS('EIR 2024-25'!$L$2:$L$1000, "Growth, Enterprise &amp; Environment",'EIR 2024-25'!$AS$2:$AS$1000, "Quarter 3", 'EIR 2024-25'!$O$2:$O$1000, "&gt;5", 'EIR 2024-25'!$O$2:$O$1000, "&lt;=10", 'EIR 2024-25'!$Q$2:$Q$1000, "Complete")</f>
        <v>11</v>
      </c>
      <c r="L33" s="131">
        <f>COUNTIFS('EIR 2024-25'!$L$2:$L$1000, "Adults &amp; Communities",'EIR 2024-25'!$AS$2:$AS$1000, "Quarter 3", 'EIR 2024-25'!$O$2:$O$1000, "&gt;5", 'EIR 2024-25'!$O$2:$O$1000, "&lt;=10", 'EIR 2024-25'!$Q$2:$Q$1000, "Complete")</f>
        <v>0</v>
      </c>
      <c r="M33" s="132">
        <f>COUNTIFS('EIR 2024-25'!$L$2:$L$1000, "Children &amp; Families",'EIR 2024-25'!$AS$2:$AS$1000, "Quarter 3", 'EIR 2024-25'!$O$2:$O$1000, "&gt;5", 'EIR 2024-25'!$O$2:$O$1000, "&lt;=10", 'EIR 2024-25'!$Q$2:$Q$1000, "Complete")</f>
        <v>0</v>
      </c>
      <c r="N33" s="132">
        <f t="shared" si="5"/>
        <v>11</v>
      </c>
      <c r="O33" s="123"/>
      <c r="P33" s="123"/>
      <c r="Q33" s="123"/>
      <c r="R33" s="123"/>
      <c r="S33" s="123"/>
      <c r="T33" s="123"/>
      <c r="U33" s="123"/>
      <c r="V33" s="123"/>
      <c r="W33" s="123"/>
      <c r="X33" s="123"/>
      <c r="Y33" s="123"/>
      <c r="Z33" s="123"/>
      <c r="AA33" s="123"/>
      <c r="AB33" s="123"/>
      <c r="AC33" s="123"/>
      <c r="AD33" s="123"/>
      <c r="AE33" s="123"/>
    </row>
    <row r="34" spans="1:31" ht="27" x14ac:dyDescent="0.3">
      <c r="A34" s="123"/>
      <c r="B34" s="184" t="s">
        <v>2046</v>
      </c>
      <c r="C34" s="180">
        <f>COUNTIFS('FOI 2024-25'!$K$2:$K$2000, "Resources", 'FOI 2024-25'!$AX$2:$AX$2000, "Quarter 3", 'FOI 2024-25'!$O$2:$O$2000, "&gt;10", 'FOI 2024-25'!$O$2:$O$2000, "&lt;=20", 'FOI 2024-25'!$Q$2:$Q$2000, "Complete")</f>
        <v>22</v>
      </c>
      <c r="D34" s="129">
        <f>COUNTIFS('FOI 2024-25'!$K$2:$K$2000, "Growth Enterprise &amp; Environment", 'FOI 2024-25'!$AX$2:$AX$2000, "Quarter 3", 'FOI 2024-25'!$O$2:$O$2000, "&gt;10", 'FOI 2024-25'!$O$2:$O$2000, "&lt;=20", 'FOI 2024-25'!$Q$2:$Q$2000, "Complete")</f>
        <v>24</v>
      </c>
      <c r="E34" s="129">
        <f>COUNTIFS('FOI 2024-25'!$K$2:$K$2000, "Adults &amp; Communities", 'FOI 2024-25'!$AX$2:$AX$2000, "Quarter 3", 'FOI 2024-25'!$O$2:$O$2000, "&gt;10", 'FOI 2024-25'!$O$2:$O$2000, "&lt;=20", 'FOI 2024-25'!$Q$2:$Q$2000, "Complete")</f>
        <v>10</v>
      </c>
      <c r="F34" s="130">
        <f>COUNTIFS('FOI 2024-25'!$K$2:$K$2000, "Children &amp; Families", 'FOI 2024-25'!$AX$2:$AX$2000, "Quarter 3", 'FOI 2024-25'!$O$2:$O$2000, "&gt;10", 'FOI 2024-25'!$O$2:$O$2000, "&lt;=20", 'FOI 2024-25'!$Q$2:$Q$2000, "Complete")</f>
        <v>17</v>
      </c>
      <c r="G34" s="177">
        <f t="shared" si="4"/>
        <v>73</v>
      </c>
      <c r="H34" s="123"/>
      <c r="I34" s="184" t="s">
        <v>2047</v>
      </c>
      <c r="J34" s="180">
        <f>COUNTIFS('EIR 2024-25'!$L$2:$L$1000, "Resources",'EIR 2024-25'!$AS$2:$AS$1000, "Quarter 3", 'EIR 2024-25'!$O$2:$O$1000, "&gt;10", 'EIR 2024-25'!$O$2:$O$1000, "&lt;=20", 'EIR 2024-25'!$Q$2:$Q$1000, "Complete")</f>
        <v>1</v>
      </c>
      <c r="K34" s="129">
        <f>COUNTIFS('EIR 2024-25'!$L$2:$L$1000, "Growth, Enterprise &amp; Environment",'EIR 2024-25'!$AS$2:$AS$1000, "Quarter 3", 'EIR 2024-25'!$O$2:$O$1000, "&gt;10", 'EIR 2024-25'!$O$2:$O$1000, "&lt;=20", 'EIR 2024-25'!$Q$2:$Q$1000, "Complete")</f>
        <v>17</v>
      </c>
      <c r="L34" s="129">
        <f>COUNTIFS('EIR 2024-25'!$L$2:$L$1000, "Adults &amp; Communities",'EIR 2024-25'!$AS$2:$AS$1000, "Quarter 3", 'EIR 2024-25'!$O$2:$O$1000, "&gt;10", 'EIR 2024-25'!$O$2:$O$1000, "&lt;=20", 'EIR 2024-25'!$Q$2:$Q$1000, "Complete")</f>
        <v>0</v>
      </c>
      <c r="M34" s="130">
        <f>COUNTIFS('EIR 2024-25'!$L$2:$L$1000, "Children &amp; Families",'EIR 2024-25'!$AS$2:$AS$1000, "Quarter 3", 'EIR 2024-25'!$O$2:$O$1000, "&gt;10", 'EIR 2024-25'!$O$2:$O$1000, "&lt;=20", 'EIR 2024-25'!$Q$2:$Q$1000, "Complete")</f>
        <v>0</v>
      </c>
      <c r="N34" s="130">
        <f t="shared" si="5"/>
        <v>18</v>
      </c>
      <c r="O34" s="123"/>
      <c r="P34" s="123"/>
      <c r="Q34" s="123"/>
      <c r="R34" s="123"/>
      <c r="S34" s="123"/>
      <c r="T34" s="123"/>
      <c r="U34" s="123"/>
      <c r="V34" s="123"/>
      <c r="W34" s="123"/>
      <c r="X34" s="123"/>
      <c r="Y34" s="123"/>
      <c r="Z34" s="123"/>
      <c r="AA34" s="123"/>
      <c r="AB34" s="123"/>
      <c r="AC34" s="123"/>
      <c r="AD34" s="123"/>
      <c r="AE34" s="123"/>
    </row>
    <row r="35" spans="1:31" s="126" customFormat="1" ht="30" customHeight="1" x14ac:dyDescent="0.3">
      <c r="A35" s="125"/>
      <c r="B35" s="185" t="s">
        <v>2048</v>
      </c>
      <c r="C35" s="181">
        <f>COUNTIFS('FOI 2024-25'!$K$2:$K$2000, "Resources", 'FOI 2024-25'!$AX$2:$AX$2000, "Quarter 3", 'FOI 2024-25'!$O$2:$O$2000, "&gt;20", 'FOI 2024-25'!$Q$2:$Q$2000, "Complete")</f>
        <v>4</v>
      </c>
      <c r="D35" s="131">
        <f>COUNTIFS('FOI 2024-25'!$K$2:$K$2000, "Growth Enterprise &amp; Environment", 'FOI 2024-25'!$AX$2:$AX$2000, "Quarter 3", 'FOI 2024-25'!$O$2:$O$2000, "&gt;20", 'FOI 2024-25'!$Q$2:$Q$2000, "Complete")</f>
        <v>7</v>
      </c>
      <c r="E35" s="131">
        <f>COUNTIFS('FOI 2024-25'!$K$2:$K$2000, "Adults &amp; Communities", 'FOI 2024-25'!$AX$2:$AX$2000, "Quarter 3", 'FOI 2024-25'!$O$2:$O$2000, "&gt;20", 'FOI 2024-25'!$Q$2:$Q$2000, "Complete")</f>
        <v>0</v>
      </c>
      <c r="F35" s="132">
        <f>COUNTIFS('FOI 2024-25'!$K$2:$K$2000, "Children &amp; Families", 'FOI 2024-25'!$AX$2:$AX$2000, "Quarter 3", 'FOI 2024-25'!$O$2:$O$2000, "&gt;20", 'FOI 2024-25'!$Q$2:$Q$2000, "Complete")</f>
        <v>3</v>
      </c>
      <c r="G35" s="178">
        <f t="shared" si="4"/>
        <v>14</v>
      </c>
      <c r="H35" s="123"/>
      <c r="I35" s="185" t="s">
        <v>2049</v>
      </c>
      <c r="J35" s="181">
        <f>COUNTIFS('EIR 2024-25'!$L$2:$L$1000, "Resources",'EIR 2024-25'!$AS$2:$AS$1000, "Quarter 3", 'EIR 2024-25'!$O$2:$O$1000, "&gt;20", 'EIR 2024-25'!$Q$2:$Q$1000, "Complete")</f>
        <v>0</v>
      </c>
      <c r="K35" s="131">
        <f>COUNTIFS('EIR 2024-25'!$L$2:$L$1000, "Growth, Enterprise &amp; Environment",'EIR 2024-25'!$AS$2:$AS$1000, "Quarter 3", 'EIR 2024-25'!$O$2:$O$1000, "&gt;20", 'EIR 2024-25'!$Q$2:$Q$1000, "Complete")</f>
        <v>5</v>
      </c>
      <c r="L35" s="131">
        <f>COUNTIFS('EIR 2024-25'!$L$2:$L$1000, "Adults &amp; Communities",'EIR 2024-25'!$AS$2:$AS$1000, "Quarter 3", 'EIR 2024-25'!$O$2:$O$1000, "&gt;20", 'EIR 2024-25'!$Q$2:$Q$1000, "Complete")</f>
        <v>0</v>
      </c>
      <c r="M35" s="132">
        <f>COUNTIFS('EIR 2024-25'!$L$2:$L$1000, "Children &amp; Families",'EIR 2024-25'!$AS$2:$AS$1000, "Quarter 3", 'EIR 2024-25'!$O$2:$O$1000, "&gt;20", 'EIR 2024-25'!$Q$2:$Q$1000, "Complete")</f>
        <v>0</v>
      </c>
      <c r="N35" s="132">
        <f t="shared" si="5"/>
        <v>5</v>
      </c>
      <c r="O35" s="125"/>
      <c r="P35" s="125"/>
      <c r="Q35" s="125"/>
      <c r="R35" s="125"/>
      <c r="S35" s="125"/>
      <c r="T35" s="125"/>
      <c r="U35" s="125"/>
      <c r="V35" s="125"/>
      <c r="W35" s="125"/>
      <c r="X35" s="125"/>
      <c r="Y35" s="125"/>
      <c r="Z35" s="125"/>
      <c r="AA35" s="125"/>
      <c r="AB35" s="125"/>
      <c r="AC35" s="125"/>
      <c r="AD35" s="125"/>
      <c r="AE35" s="125"/>
    </row>
    <row r="36" spans="1:31" s="126" customFormat="1" ht="30" customHeight="1" x14ac:dyDescent="0.3">
      <c r="A36" s="125"/>
      <c r="B36" s="184" t="s">
        <v>2050</v>
      </c>
      <c r="C36" s="180">
        <f>SUM(C32:C35)</f>
        <v>75</v>
      </c>
      <c r="D36" s="129">
        <f>SUM(D32:D35)</f>
        <v>80</v>
      </c>
      <c r="E36" s="129">
        <f>SUM(E32:E35)</f>
        <v>21</v>
      </c>
      <c r="F36" s="130">
        <f>SUM(F32:F35)</f>
        <v>48</v>
      </c>
      <c r="G36" s="177">
        <f t="shared" si="4"/>
        <v>224</v>
      </c>
      <c r="H36" s="123"/>
      <c r="I36" s="184" t="s">
        <v>2050</v>
      </c>
      <c r="J36" s="180">
        <f>SUM(J32:J35)</f>
        <v>2</v>
      </c>
      <c r="K36" s="129">
        <f>SUM(K32:K35)</f>
        <v>55</v>
      </c>
      <c r="L36" s="129">
        <f>SUM(L32:L35)</f>
        <v>0</v>
      </c>
      <c r="M36" s="130">
        <f>SUM(M32:M35)</f>
        <v>0</v>
      </c>
      <c r="N36" s="130">
        <f t="shared" si="5"/>
        <v>57</v>
      </c>
      <c r="O36" s="125"/>
      <c r="P36" s="125"/>
      <c r="Q36" s="125"/>
      <c r="R36" s="125"/>
      <c r="S36" s="125"/>
      <c r="T36" s="125"/>
      <c r="U36" s="125"/>
      <c r="V36" s="125"/>
      <c r="W36" s="125"/>
      <c r="X36" s="125"/>
      <c r="Y36" s="125"/>
      <c r="Z36" s="125"/>
      <c r="AA36" s="125"/>
      <c r="AB36" s="125"/>
      <c r="AC36" s="125"/>
      <c r="AD36" s="125"/>
      <c r="AE36" s="125"/>
    </row>
    <row r="37" spans="1:31" s="126" customFormat="1" ht="30" customHeight="1" x14ac:dyDescent="0.3">
      <c r="A37" s="125"/>
      <c r="B37" s="185" t="s">
        <v>2051</v>
      </c>
      <c r="C37" s="181">
        <f>COUNTIFS('FOI 2024-25'!$Q$2:$Q$2000, "Elapsed", 'FOI 2024-25'!$AX$2:$AX$2000, "Quarter 3", 'FOI 2024-25'!$K$2:$K$2000, "Resources")</f>
        <v>0</v>
      </c>
      <c r="D37" s="131">
        <f>COUNTIFS('FOI 2024-25'!$Q$2:$Q$2000, "Elapsed", 'FOI 2024-25'!$AX$2:$AX$2000, "Quarter 3", 'FOI 2024-25'!$K$2:$K$2000, "Growth Enterprise &amp; Environment")</f>
        <v>3</v>
      </c>
      <c r="E37" s="131">
        <f>COUNTIFS('FOI 2024-25'!$Q$2:$Q$2000, "Elapsed", 'FOI 2024-25'!$AX$2:$AX$2000, "Quarter 3", 'FOI 2024-25'!$K$2:$K$2000, "Adults &amp; Communities")</f>
        <v>1</v>
      </c>
      <c r="F37" s="132">
        <f>COUNTIFS('FOI 2024-25'!$Q$2:$Q$2000, "Elapsed", 'FOI 2024-25'!$AX$2:$AX$2000, "Quarter 3", 'FOI 2024-25'!$K$2:$K$2000, "Children &amp; Families")</f>
        <v>2</v>
      </c>
      <c r="G37" s="178">
        <f t="shared" si="4"/>
        <v>6</v>
      </c>
      <c r="H37" s="123"/>
      <c r="I37" s="185" t="s">
        <v>2052</v>
      </c>
      <c r="J37" s="181">
        <f>COUNTIFS('EIR 2024-25'!$T$2:$T$2000, "Elapsed", 'EIR 2024-25'!$AX$2:$AX$2000, "Quarter 3", 'EIR 2024-25'!$L$2:$L$2000, "Resources")</f>
        <v>0</v>
      </c>
      <c r="K37" s="131">
        <f>COUNTIFS('EIR 2024-25'!$T$2:$T$2000, "Elapsed", 'EIR 2024-25'!$AX$2:$AX$2000, "Quarter 3", 'EIR 2024-25'!$L$2:$L$2000, "Growth, Enterprise &amp; Environment")</f>
        <v>0</v>
      </c>
      <c r="L37" s="131">
        <f>COUNTIFS('EIR 2024-25'!$T$2:$T$2000, "Elapsed", 'EIR 2024-25'!$AX$2:$AX$2000, "Quarter 3", 'EIR 2024-25'!$L$2:$L$2000, "Adults &amp; Communities")</f>
        <v>0</v>
      </c>
      <c r="M37" s="132">
        <f>COUNTIFS('EIR 2024-25'!$T$2:$T$2000, "Elapsed", 'EIR 2024-25'!$AX$2:$AX$2000, "Quarter 3", 'EIR 2024-25'!$L$2:$L$2000, "Children &amp; Families")</f>
        <v>0</v>
      </c>
      <c r="N37" s="132">
        <f t="shared" si="5"/>
        <v>0</v>
      </c>
      <c r="O37" s="125"/>
      <c r="P37" s="125"/>
      <c r="Q37" s="125"/>
      <c r="R37" s="125"/>
      <c r="S37" s="125"/>
      <c r="T37" s="125"/>
      <c r="U37" s="125"/>
      <c r="V37" s="125"/>
      <c r="W37" s="125"/>
      <c r="X37" s="125"/>
      <c r="Y37" s="125"/>
      <c r="Z37" s="125"/>
      <c r="AA37" s="125"/>
      <c r="AB37" s="125"/>
      <c r="AC37" s="125"/>
      <c r="AD37" s="125"/>
      <c r="AE37" s="125"/>
    </row>
    <row r="38" spans="1:31" s="126" customFormat="1" ht="30" customHeight="1" x14ac:dyDescent="0.3">
      <c r="A38" s="125"/>
      <c r="B38" s="184" t="s">
        <v>2053</v>
      </c>
      <c r="C38" s="180">
        <f>COUNTIFS('FOI 2024-25'!$Q$2:$Q$2000, "In Progress", 'FOI 2024-25'!$AX$2:$AX$2000, "Quarter 3", 'FOI 2024-25'!$K$2:$K$2000, "Resources")</f>
        <v>0</v>
      </c>
      <c r="D38" s="129">
        <f>COUNTIFS('FOI 2024-25'!$Q$2:$Q$2000, "In Progress", 'FOI 2024-25'!$AX$2:$AX$2000, "Quarter 3", 'FOI 2024-25'!$K$2:$K$2000, "Growth Enterprise &amp; Environment")</f>
        <v>0</v>
      </c>
      <c r="E38" s="129">
        <f>COUNTIFS('FOI 2024-25'!$Q$2:$Q$2000, "In Progress", 'FOI 2024-25'!$AX$2:$AX$2000, "Quarter 3", 'FOI 2024-25'!$K$2:$K$2000, "Adults &amp; Communities")</f>
        <v>0</v>
      </c>
      <c r="F38" s="130">
        <f>COUNTIFS('FOI 2024-25'!$Q$2:$Q$2000, "In Progress", 'FOI 2024-25'!$AX$2:$AX$2000, "Quarter 3", 'FOI 2024-25'!$K$2:$K$2000, "Children &amp; Families")</f>
        <v>0</v>
      </c>
      <c r="G38" s="177">
        <f t="shared" si="4"/>
        <v>0</v>
      </c>
      <c r="H38" s="123"/>
      <c r="I38" s="184" t="s">
        <v>2054</v>
      </c>
      <c r="J38" s="180">
        <f>COUNTIFS('EIR 2024-25'!$T$2:$T$2000, "In Progress", 'EIR 2024-25'!$AX$2:$AX$2000, "Quarter 3", 'EIR 2024-25'!$L$2:$L$2000, "Resources")</f>
        <v>0</v>
      </c>
      <c r="K38" s="129">
        <f>COUNTIFS('EIR 2024-25'!$T$2:$T$2000, "In Progress", 'EIR 2024-25'!$AX$2:$AX$2000, "Quarter 3", 'EIR 2024-25'!$L$2:$L$2000, "Growth, Enterprise &amp; Environment")</f>
        <v>0</v>
      </c>
      <c r="L38" s="129">
        <f>COUNTIFS('EIR 2024-25'!$T$2:$T$2000, "In Progress", 'EIR 2024-25'!$AX$2:$AX$2000, "Quarter 3", 'EIR 2024-25'!$L$2:$L$2000, "Adults &amp; Communities")</f>
        <v>0</v>
      </c>
      <c r="M38" s="130">
        <f>COUNTIFS('EIR 2024-25'!$T$2:$T$2000, "In Progress", 'EIR 2024-25'!$AX$2:$AX$2000, "Quarter 3", 'EIR 2024-25'!$L$2:$L$2000, "Children &amp; Families")</f>
        <v>0</v>
      </c>
      <c r="N38" s="130">
        <f t="shared" si="5"/>
        <v>0</v>
      </c>
      <c r="O38" s="125"/>
      <c r="P38" s="125"/>
      <c r="Q38" s="125"/>
      <c r="R38" s="125"/>
      <c r="S38" s="125"/>
      <c r="T38" s="125"/>
      <c r="U38" s="125"/>
      <c r="V38" s="125"/>
      <c r="W38" s="125"/>
      <c r="X38" s="125"/>
      <c r="Y38" s="125"/>
      <c r="Z38" s="125"/>
      <c r="AA38" s="125"/>
      <c r="AB38" s="125"/>
      <c r="AC38" s="125"/>
      <c r="AD38" s="125"/>
      <c r="AE38" s="125"/>
    </row>
    <row r="39" spans="1:31" ht="30" customHeight="1" x14ac:dyDescent="0.3">
      <c r="A39" s="123"/>
      <c r="B39" s="185" t="s">
        <v>1928</v>
      </c>
      <c r="C39" s="181">
        <f>SUM(C36:C38)</f>
        <v>75</v>
      </c>
      <c r="D39" s="131">
        <f>SUM(D36:D38)</f>
        <v>83</v>
      </c>
      <c r="E39" s="131">
        <f>SUM(E36:E38)</f>
        <v>22</v>
      </c>
      <c r="F39" s="132">
        <f>SUM(F36:F38)</f>
        <v>50</v>
      </c>
      <c r="G39" s="179">
        <f t="shared" si="4"/>
        <v>230</v>
      </c>
      <c r="H39" s="123"/>
      <c r="I39" s="185" t="s">
        <v>2055</v>
      </c>
      <c r="J39" s="181">
        <f>SUM(J36:J38)</f>
        <v>2</v>
      </c>
      <c r="K39" s="131">
        <f>SUM(K36:K38)</f>
        <v>55</v>
      </c>
      <c r="L39" s="131">
        <f>SUM(L36:L38)</f>
        <v>0</v>
      </c>
      <c r="M39" s="132">
        <f>SUM(M36:M38)</f>
        <v>0</v>
      </c>
      <c r="N39" s="132">
        <f t="shared" si="5"/>
        <v>57</v>
      </c>
      <c r="O39" s="123"/>
      <c r="P39" s="123"/>
      <c r="Q39" s="123"/>
      <c r="R39" s="123"/>
      <c r="S39" s="123"/>
      <c r="T39" s="123"/>
      <c r="U39" s="123"/>
      <c r="V39" s="123"/>
      <c r="W39" s="123"/>
      <c r="X39" s="123"/>
      <c r="Y39" s="123"/>
      <c r="Z39" s="123"/>
      <c r="AA39" s="123"/>
      <c r="AB39" s="123"/>
      <c r="AC39" s="123"/>
      <c r="AD39" s="123"/>
      <c r="AE39" s="123"/>
    </row>
    <row r="40" spans="1:31" ht="30" customHeight="1" x14ac:dyDescent="0.3">
      <c r="A40" s="123"/>
      <c r="B40" s="184" t="s">
        <v>2056</v>
      </c>
      <c r="C40" s="182">
        <f>AVERAGEIFS('FOI 2024-25'!$O$2:$O$2000, 'FOI 2024-25'!$K$2:$K$2000, "Resources", 'FOI 2024-25'!$AX$2:$AX$2000, "Quarter 3")</f>
        <v>8.08</v>
      </c>
      <c r="D40" s="138">
        <f>AVERAGEIFS('FOI 2024-25'!$O$2:$O$2000, 'FOI 2024-25'!$K$2:$K$2000, "Growth Enterprise &amp; Environment", 'FOI 2024-25'!$AX$2:$AX$2000, "Quarter 3")</f>
        <v>10.199999999999999</v>
      </c>
      <c r="E40" s="138">
        <f>AVERAGEIFS('FOI 2024-25'!$O$2:$O$2000, 'FOI 2024-25'!$K$2:$K$2000, "Adults &amp; Communities", 'FOI 2024-25'!$AX$2:$AX$2000, "Quarter 3")</f>
        <v>10</v>
      </c>
      <c r="F40" s="139">
        <f>AVERAGEIFS('FOI 2024-25'!$O$2:$O$2000, 'FOI 2024-25'!$K$2:$K$2000, "Children &amp; Families", 'FOI 2024-25'!$AX$2:$AX$2000, "Quarter 3")</f>
        <v>9.7291666666666661</v>
      </c>
      <c r="G40" s="175">
        <f>AVERAGEIFS('FOI 2024-25'!$O$2:$O$2000, 'FOI 2024-25'!$AX$2:$AX$2000, "Quarter 3")</f>
        <v>9.3705357142857135</v>
      </c>
      <c r="H40" s="123"/>
      <c r="I40" s="184" t="s">
        <v>2057</v>
      </c>
      <c r="J40" s="182">
        <f>AVERAGEIFS('EIR 2024-25'!$O$2:$O$1000, 'EIR 2024-25'!$L$2:$L$1000, "Resources", 'EIR 2024-25'!$AS$2:$AS$1000, "Quarter 3")</f>
        <v>9</v>
      </c>
      <c r="K40" s="138">
        <f>AVERAGEIFS('EIR 2024-25'!$O$2:$O$1000, 'EIR 2024-25'!$L$2:$L$1000, "Growth, Enterprise &amp; Environment", 'EIR 2024-25'!$AS$2:$AS$1000, "Quarter 3")</f>
        <v>12</v>
      </c>
      <c r="L40" s="129">
        <v>0</v>
      </c>
      <c r="M40" s="130">
        <v>0</v>
      </c>
      <c r="N40" s="201">
        <f>AVERAGEIFS('EIR 2024-25'!$O$2:$O$1000, 'EIR 2024-25'!$AS$2:$AS$1000, "Quarter 3")</f>
        <v>11.894736842105264</v>
      </c>
      <c r="O40" s="123"/>
      <c r="P40" s="123"/>
      <c r="Q40" s="123"/>
      <c r="R40" s="123"/>
      <c r="S40" s="123"/>
      <c r="T40" s="123"/>
      <c r="U40" s="123"/>
      <c r="V40" s="123"/>
      <c r="W40" s="123"/>
      <c r="X40" s="123"/>
      <c r="Y40" s="123"/>
      <c r="Z40" s="123"/>
      <c r="AA40" s="123"/>
      <c r="AB40" s="123"/>
      <c r="AC40" s="123"/>
      <c r="AD40" s="123"/>
      <c r="AE40" s="123"/>
    </row>
    <row r="41" spans="1:31" ht="30" customHeight="1" thickBot="1" x14ac:dyDescent="0.35">
      <c r="A41" s="123"/>
      <c r="B41" s="186" t="s">
        <v>2058</v>
      </c>
      <c r="C41" s="183">
        <f>SUM(C32+C33+C34)/C36</f>
        <v>0.94666666666666666</v>
      </c>
      <c r="D41" s="137">
        <f>SUM(D32+D33+D34)/D36</f>
        <v>0.91249999999999998</v>
      </c>
      <c r="E41" s="137">
        <f>SUM(E32+E33+E34)/E36</f>
        <v>1</v>
      </c>
      <c r="F41" s="137">
        <f>SUM(F32+F33+F34)/F36</f>
        <v>0.9375</v>
      </c>
      <c r="G41" s="176">
        <f>SUM(G32+G33+G34)/G36</f>
        <v>0.9375</v>
      </c>
      <c r="H41" s="123"/>
      <c r="I41" s="186" t="s">
        <v>2059</v>
      </c>
      <c r="J41" s="183">
        <f>SUM(J32+J33+J34)/J36</f>
        <v>1</v>
      </c>
      <c r="K41" s="137">
        <f>SUM(K32+K33+K34)/K36</f>
        <v>0.90909090909090906</v>
      </c>
      <c r="L41" s="137">
        <v>0</v>
      </c>
      <c r="M41" s="173">
        <v>0</v>
      </c>
      <c r="N41" s="176">
        <f>SUM(N32+N33+N34)/N36</f>
        <v>0.91228070175438591</v>
      </c>
      <c r="O41" s="123"/>
      <c r="P41" s="123"/>
      <c r="Q41" s="123"/>
      <c r="R41" s="123"/>
      <c r="S41" s="123"/>
      <c r="T41" s="123"/>
      <c r="U41" s="123"/>
      <c r="V41" s="123"/>
      <c r="W41" s="123"/>
      <c r="X41" s="123"/>
      <c r="Y41" s="123"/>
      <c r="Z41" s="123"/>
      <c r="AA41" s="123"/>
      <c r="AB41" s="123"/>
      <c r="AC41" s="123"/>
      <c r="AD41" s="123"/>
      <c r="AE41" s="123"/>
    </row>
    <row r="42" spans="1:31" x14ac:dyDescent="0.3">
      <c r="A42" s="123"/>
      <c r="B42" s="123"/>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row>
    <row r="43" spans="1:31" ht="18" customHeight="1" thickBot="1" x14ac:dyDescent="0.35">
      <c r="A43" s="123"/>
      <c r="B43" s="237" t="s">
        <v>1960</v>
      </c>
      <c r="C43" s="237"/>
      <c r="D43" s="237"/>
      <c r="E43" s="237"/>
      <c r="F43" s="237"/>
      <c r="G43" s="169"/>
      <c r="H43" s="47"/>
      <c r="I43" s="237" t="s">
        <v>1960</v>
      </c>
      <c r="J43" s="237"/>
      <c r="K43" s="237"/>
      <c r="L43" s="237"/>
      <c r="M43" s="237"/>
      <c r="N43" s="123"/>
      <c r="O43" s="123"/>
      <c r="P43" s="123"/>
      <c r="Q43" s="123"/>
      <c r="R43" s="123"/>
      <c r="S43" s="123"/>
      <c r="T43" s="123"/>
      <c r="U43" s="123"/>
      <c r="V43" s="123"/>
      <c r="W43" s="123"/>
      <c r="X43" s="123"/>
      <c r="Y43" s="123"/>
      <c r="Z43" s="123"/>
      <c r="AA43" s="123"/>
      <c r="AB43" s="123"/>
      <c r="AC43" s="123"/>
      <c r="AD43" s="123"/>
      <c r="AE43" s="123"/>
    </row>
    <row r="44" spans="1:31" ht="45.65" customHeight="1" thickBot="1" x14ac:dyDescent="0.35">
      <c r="A44" s="123"/>
      <c r="B44" s="191" t="s">
        <v>2039</v>
      </c>
      <c r="C44" s="192" t="s">
        <v>5</v>
      </c>
      <c r="D44" s="193" t="s">
        <v>124</v>
      </c>
      <c r="E44" s="193" t="s">
        <v>4</v>
      </c>
      <c r="F44" s="197" t="s">
        <v>10</v>
      </c>
      <c r="G44" s="191" t="s">
        <v>2040</v>
      </c>
      <c r="H44" s="127"/>
      <c r="I44" s="191" t="s">
        <v>2041</v>
      </c>
      <c r="J44" s="196" t="s">
        <v>5</v>
      </c>
      <c r="K44" s="193" t="s">
        <v>124</v>
      </c>
      <c r="L44" s="193" t="s">
        <v>4</v>
      </c>
      <c r="M44" s="197" t="s">
        <v>10</v>
      </c>
      <c r="N44" s="197" t="s">
        <v>2040</v>
      </c>
      <c r="O44" s="123"/>
      <c r="P44" s="123"/>
      <c r="Q44" s="123"/>
      <c r="R44" s="123"/>
      <c r="S44" s="123"/>
      <c r="T44" s="123"/>
      <c r="U44" s="123"/>
      <c r="V44" s="123"/>
      <c r="W44" s="123"/>
      <c r="X44" s="123"/>
      <c r="Y44" s="123"/>
      <c r="Z44" s="123"/>
      <c r="AA44" s="123"/>
      <c r="AB44" s="123"/>
      <c r="AC44" s="123"/>
      <c r="AD44" s="123"/>
      <c r="AE44" s="123"/>
    </row>
    <row r="45" spans="1:31" ht="30" customHeight="1" x14ac:dyDescent="0.3">
      <c r="A45" s="123"/>
      <c r="B45" s="187" t="s">
        <v>2042</v>
      </c>
      <c r="C45" s="188">
        <f>COUNTIFS('FOI 2024-25'!$K$2:$K$2000, "Resources", 'FOI 2024-25'!$AX$2:$AX$2000, "Quarter 4", 'FOI 2024-25'!$O$2:$O$2000, "&lt;=5", 'FOI 2024-25'!$Q$2:$Q$2000, "Complete")</f>
        <v>62</v>
      </c>
      <c r="D45" s="189">
        <f>COUNTIFS('FOI 2024-25'!$K$2:$K$2000, "Growth Enterprise &amp; Environment", 'FOI 2024-25'!$AX$2:$AX$2000, "Quarter 4", 'FOI 2024-25'!$O$2:$O$2000, "&lt;=5", 'FOI 2024-25'!$Q$2:$Q$2000, "Complete")</f>
        <v>34</v>
      </c>
      <c r="E45" s="189">
        <f>COUNTIFS('FOI 2024-25'!$K$2:$K$2000, "Adults &amp; Communities", 'FOI 2024-25'!$AX$2:$AX$2000, "Quarter 4", 'FOI 2024-25'!$O$2:$O$2000, "&lt;=5", 'FOI 2024-25'!$Q$2:$Q$2000, "Complete")</f>
        <v>10</v>
      </c>
      <c r="F45" s="195">
        <f>COUNTIFS('FOI 2024-25'!$K$2:$K$2000, "Children &amp; Families", 'FOI 2024-25'!$AX$2:$AX$2000, "Quarter 4", 'FOI 2024-25'!$O$2:$O$2000, "&lt;=5", 'FOI 2024-25'!$Q$2:$Q$2000, "Complete")</f>
        <v>27</v>
      </c>
      <c r="G45" s="174">
        <f t="shared" ref="G45:G52" si="6">SUM(C45:F45)</f>
        <v>133</v>
      </c>
      <c r="H45" s="128"/>
      <c r="I45" s="187" t="s">
        <v>2043</v>
      </c>
      <c r="J45" s="188">
        <f>COUNTIFS('EIR 2024-25'!$L$2:$L$1000, "Resources",'EIR 2024-25'!$AS$2:$AS$1000, "Quarter 4", 'EIR 2024-25'!$O$2:$O$1000, "&lt;=5", 'EIR 2024-25'!$Q$2:$Q$1000, "Complete")</f>
        <v>6</v>
      </c>
      <c r="K45" s="189">
        <f>COUNTIFS('EIR 2024-25'!$L$2:$L$1000, "Growth, Enterprise &amp; Environment",'EIR 2024-25'!$AS$2:$AS$1000, "Quarter 4", 'EIR 2024-25'!$O$2:$O$1000, "&lt;=5", 'EIR 2024-25'!$Q$2:$Q$1000, "Complete")</f>
        <v>46</v>
      </c>
      <c r="L45" s="189">
        <f>COUNTIFS('EIR 2024-25'!$L$2:$L$1000, "Adults &amp; Communities",'EIR 2024-25'!$AS$2:$AS$1000, "Quarter 4", 'EIR 2024-25'!$O$2:$O$1000, "&lt;=5", 'EIR 2024-25'!$Q$2:$Q$1000, "Complete")</f>
        <v>0</v>
      </c>
      <c r="M45" s="195">
        <f>COUNTIFS('EIR 2024-25'!$L$2:$L$1000, "Children &amp; Families",'EIR 2024-25'!$AS$2:$AS$1000, "Quarter 4", 'EIR 2024-25'!$O$2:$O$1000, "&lt;=5", 'EIR 2024-25'!$Q$2:$Q$1000, "Complete")</f>
        <v>0</v>
      </c>
      <c r="N45" s="195">
        <f t="shared" ref="N45:N52" si="7">SUM(J45:M45)</f>
        <v>52</v>
      </c>
      <c r="O45" s="123"/>
      <c r="P45" s="123"/>
      <c r="Q45" s="123"/>
      <c r="R45" s="123"/>
      <c r="S45" s="123"/>
      <c r="T45" s="123"/>
      <c r="U45" s="123"/>
      <c r="V45" s="123"/>
      <c r="W45" s="123"/>
      <c r="X45" s="123"/>
      <c r="Y45" s="123"/>
      <c r="Z45" s="123"/>
      <c r="AA45" s="123"/>
      <c r="AB45" s="123"/>
      <c r="AC45" s="123"/>
      <c r="AD45" s="123"/>
      <c r="AE45" s="123"/>
    </row>
    <row r="46" spans="1:31" ht="30" customHeight="1" x14ac:dyDescent="0.3">
      <c r="A46" s="123"/>
      <c r="B46" s="185" t="s">
        <v>2044</v>
      </c>
      <c r="C46" s="181">
        <f>COUNTIFS('FOI 2024-25'!$K$2:$K$2000, "Resources", 'FOI 2024-25'!$AX$2:$AX$2000, "Quarter 4", 'FOI 2024-25'!$O$2:$O$2000, "&gt;5", 'FOI 2024-25'!$O$2:$O$2000, "&lt;=10", 'FOI 2024-25'!$Q$2:$Q$2000, "Complete")</f>
        <v>22</v>
      </c>
      <c r="D46" s="131">
        <f>COUNTIFS('FOI 2024-25'!$K$2:$K$2000, "Growth Enterprise &amp; Environment", 'FOI 2024-25'!$AX$2:$AX$2000, "Quarter 4", 'FOI 2024-25'!$O$2:$O$2000, "&gt;5", 'FOI 2024-25'!$O$2:$O$2000, "&lt;=10", 'FOI 2024-25'!$Q$2:$Q$2000, "Complete")</f>
        <v>14</v>
      </c>
      <c r="E46" s="131">
        <f>COUNTIFS('FOI 2024-25'!$K$2:$K$2000, "Adults &amp; Communities", 'FOI 2024-25'!$AX$2:$AX$2000, "Quarter 4", 'FOI 2024-25'!$O$2:$O$2000, "&gt;5", 'FOI 2024-25'!$O$2:$O$2000, "&lt;=10", 'FOI 2024-25'!$Q$2:$Q$2000, "Complete")</f>
        <v>8</v>
      </c>
      <c r="F46" s="132">
        <f>COUNTIFS('FOI 2024-25'!$K$2:$K$2000, "Children &amp; Families", 'FOI 2024-25'!$AX$2:$AX$2000, "Quarter 4", 'FOI 2024-25'!$O$2:$O$2000, "&gt;5", 'FOI 2024-25'!$O$2:$O$2000, "&lt;=10", 'FOI 2024-25'!$Q$2:$Q$2000, "Complete")</f>
        <v>16</v>
      </c>
      <c r="G46" s="178">
        <f t="shared" si="6"/>
        <v>60</v>
      </c>
      <c r="H46" s="128"/>
      <c r="I46" s="185" t="s">
        <v>2045</v>
      </c>
      <c r="J46" s="181">
        <f>COUNTIFS('EIR 2024-25'!$L$2:$L$1000, "Resources",'EIR 2024-25'!$AS$2:$AS$1000, "Quarter 4", 'EIR 2024-25'!$O$2:$O$1000, "&gt;5", 'EIR 2024-25'!$O$2:$O$1000, "&lt;=10", 'EIR 2024-25'!$Q$2:$Q$1000, "Complete")</f>
        <v>1</v>
      </c>
      <c r="K46" s="131">
        <f>COUNTIFS('EIR 2024-25'!$L$2:$L$1000, "Growth, Enterprise &amp; Environment",'EIR 2024-25'!$AS$2:$AS$1000, "Quarter 4", 'EIR 2024-25'!$O$2:$O$1000, "&gt;5", 'EIR 2024-25'!$O$2:$O$1000, "&lt;=10", 'EIR 2024-25'!$Q$2:$Q$1000, "Complete")</f>
        <v>16</v>
      </c>
      <c r="L46" s="131">
        <f>COUNTIFS('EIR 2024-25'!$L$2:$L$1000, "Adults &amp; Communities",'EIR 2024-25'!$AS$2:$AS$1000, "Quarter 4", 'EIR 2024-25'!$O$2:$O$1000, "&gt;5", 'EIR 2024-25'!$O$2:$O$1000, "&lt;=10", 'EIR 2024-25'!$Q$2:$Q$1000, "Complete")</f>
        <v>0</v>
      </c>
      <c r="M46" s="132">
        <f>COUNTIFS('EIR 2024-25'!$L$2:$L$1000, "Children &amp; Families",'EIR 2024-25'!$AS$2:$AS$1000, "Quarter 4", 'EIR 2024-25'!$O$2:$O$1000, "&gt;5", 'EIR 2024-25'!$O$2:$O$1000, "&lt;=10", 'EIR 2024-25'!$Q$2:$Q$1000, "Complete")</f>
        <v>2</v>
      </c>
      <c r="N46" s="132">
        <f t="shared" si="7"/>
        <v>19</v>
      </c>
      <c r="O46" s="123"/>
      <c r="P46" s="123"/>
      <c r="Q46" s="123"/>
      <c r="R46" s="123"/>
      <c r="S46" s="123"/>
      <c r="T46" s="123"/>
      <c r="U46" s="123"/>
      <c r="V46" s="123"/>
      <c r="W46" s="123"/>
      <c r="X46" s="123"/>
      <c r="Y46" s="123"/>
      <c r="Z46" s="123"/>
      <c r="AA46" s="123"/>
      <c r="AB46" s="123"/>
      <c r="AC46" s="123"/>
      <c r="AD46" s="123"/>
      <c r="AE46" s="123"/>
    </row>
    <row r="47" spans="1:31" ht="30" customHeight="1" x14ac:dyDescent="0.3">
      <c r="A47" s="123"/>
      <c r="B47" s="184" t="s">
        <v>2046</v>
      </c>
      <c r="C47" s="180">
        <f>COUNTIFS('FOI 2024-25'!$K$2:$K$2000, "Resources", 'FOI 2024-25'!$AX$2:$AX$2000, "Quarter 4", 'FOI 2024-25'!$O$2:$O$2000, "&gt;10", 'FOI 2024-25'!$O$2:$O$2000, "&lt;=20", 'FOI 2024-25'!$Q$2:$Q$2000, "Complete")</f>
        <v>23</v>
      </c>
      <c r="D47" s="129">
        <f>COUNTIFS('FOI 2024-25'!$K$2:$K$2000, "Growth Enterprise &amp; Environment", 'FOI 2024-25'!$AX$2:$AX$2000, "Quarter 4", 'FOI 2024-25'!$O$2:$O$2000, "&gt;10", 'FOI 2024-25'!$O$2:$O$2000, "&lt;=20", 'FOI 2024-25'!$Q$2:$Q$2000, "Complete")</f>
        <v>17</v>
      </c>
      <c r="E47" s="129">
        <f>COUNTIFS('FOI 2024-25'!$K$2:$K$2000, "Adults &amp; Communities", 'FOI 2024-25'!$AX$2:$AX$2000, "Quarter 4", 'FOI 2024-25'!$O$2:$O$2000, "&gt;10", 'FOI 2024-25'!$O$2:$O$2000, "&lt;=20", 'FOI 2024-25'!$Q$2:$Q$2000, "Complete")</f>
        <v>6</v>
      </c>
      <c r="F47" s="130">
        <f>COUNTIFS('FOI 2024-25'!$K$2:$K$2000, "Children &amp; Families", 'FOI 2024-25'!$AX$2:$AX$2000, "Quarter 4", 'FOI 2024-25'!$O$2:$O$2000, "&gt;10", 'FOI 2024-25'!$O$2:$O$2000, "&lt;=20", 'FOI 2024-25'!$Q$2:$Q$2000, "Complete")</f>
        <v>21</v>
      </c>
      <c r="G47" s="177">
        <f t="shared" si="6"/>
        <v>67</v>
      </c>
      <c r="H47" s="123"/>
      <c r="I47" s="184" t="s">
        <v>2047</v>
      </c>
      <c r="J47" s="180">
        <f>COUNTIFS('EIR 2024-25'!$L$2:$L$1000, "Resources",'EIR 2024-25'!$AS$2:$AS$1000, "Quarter 4", 'EIR 2024-25'!$O$2:$O$1000, "&gt;10", 'EIR 2024-25'!$O$2:$O$1000, "&lt;=20", 'EIR 2024-25'!$Q$2:$Q$1000, "Complete")</f>
        <v>2</v>
      </c>
      <c r="K47" s="129">
        <f>COUNTIFS('EIR 2024-25'!$L$2:$L$1000, "Growth, Enterprise &amp; Environment",'EIR 2024-25'!$AS$2:$AS$1000, "Quarter 4", 'EIR 2024-25'!$O$2:$O$1000, "&gt;10", 'EIR 2024-25'!$O$2:$O$1000, "&lt;=20", 'EIR 2024-25'!$Q$2:$Q$1000, "Complete")</f>
        <v>17</v>
      </c>
      <c r="L47" s="129">
        <f>COUNTIFS('EIR 2024-25'!$L$2:$L$1000, "Adults &amp; Communities",'EIR 2024-25'!$AS$2:$AS$1000, "Quarter 4", 'EIR 2024-25'!$O$2:$O$1000, "&gt;10", 'EIR 2024-25'!$O$2:$O$1000, "&lt;=20", 'EIR 2024-25'!$Q$2:$Q$1000, "Complete")</f>
        <v>0</v>
      </c>
      <c r="M47" s="130">
        <f>COUNTIFS('EIR 2024-25'!$L$2:$L$1000, "Children &amp; Families",'EIR 2024-25'!$AS$2:$AS$1000, "Quarter 4", 'EIR 2024-25'!$O$2:$O$1000, "&gt;10", 'EIR 2024-25'!$O$2:$O$1000, "&lt;=20", 'EIR 2024-25'!$Q$2:$Q$1000, "Complete")</f>
        <v>1</v>
      </c>
      <c r="N47" s="130">
        <f t="shared" si="7"/>
        <v>20</v>
      </c>
      <c r="O47" s="123"/>
      <c r="P47" s="123"/>
      <c r="Q47" s="123"/>
      <c r="R47" s="123"/>
      <c r="S47" s="123"/>
      <c r="T47" s="123"/>
      <c r="U47" s="123"/>
      <c r="V47" s="123"/>
      <c r="W47" s="123"/>
      <c r="X47" s="123"/>
      <c r="Y47" s="123"/>
      <c r="Z47" s="123"/>
      <c r="AA47" s="123"/>
      <c r="AB47" s="123"/>
      <c r="AC47" s="123"/>
      <c r="AD47" s="123"/>
      <c r="AE47" s="123"/>
    </row>
    <row r="48" spans="1:31" ht="30" customHeight="1" x14ac:dyDescent="0.3">
      <c r="A48" s="123"/>
      <c r="B48" s="185" t="s">
        <v>2048</v>
      </c>
      <c r="C48" s="181">
        <f>COUNTIFS('FOI 2024-25'!$K$2:$K$2000, "Resources", 'FOI 2024-25'!$AX$2:$AX$2000, "Quarter 4", 'FOI 2024-25'!$O$2:$O$2000, "&gt;20", 'FOI 2024-25'!$Q$2:$Q$2000, "Complete")</f>
        <v>1</v>
      </c>
      <c r="D48" s="131">
        <f>COUNTIFS('FOI 2024-25'!$K$2:$K$2000, "Growth Enterprise &amp; Environment", 'FOI 2024-25'!$AX$2:$AX$2000, "Quarter 4", 'FOI 2024-25'!$O$2:$O$2000, "&gt;20", 'FOI 2024-25'!$Q$2:$Q$2000, "Complete")</f>
        <v>7</v>
      </c>
      <c r="E48" s="131">
        <f>COUNTIFS('FOI 2024-25'!$K$2:$K$2000, "Adults &amp; Communities", 'FOI 2024-25'!$AX$2:$AX$2000, "Quarter 4", 'FOI 2024-25'!$O$2:$O$2000, "&gt;20", 'FOI 2024-25'!$Q$2:$Q$2000, "Complete")</f>
        <v>0</v>
      </c>
      <c r="F48" s="132">
        <f>COUNTIFS('FOI 2024-25'!$K$2:$K$2000, "Children &amp; Families", 'FOI 2024-25'!$AX$2:$AX$2000, "Quarter 4", 'FOI 2024-25'!$O$2:$O$2000, "&gt;20", 'FOI 2024-25'!$Q$2:$Q$2000, "Complete")</f>
        <v>0</v>
      </c>
      <c r="G48" s="178">
        <f t="shared" si="6"/>
        <v>8</v>
      </c>
      <c r="H48" s="123"/>
      <c r="I48" s="185" t="s">
        <v>2049</v>
      </c>
      <c r="J48" s="181">
        <f>COUNTIFS('EIR 2024-25'!$L$2:$L$1000, "Resources",'EIR 2024-25'!$AS$2:$AS$1000, "Quarter 4", 'EIR 2024-25'!$O$2:$O$1000, "&gt;20", 'EIR 2024-25'!$Q$2:$Q$1000, "Complete")</f>
        <v>0</v>
      </c>
      <c r="K48" s="131">
        <f>COUNTIFS('EIR 2024-25'!$L$2:$L$1000, "Growth, Enterprise &amp; Environment",'EIR 2024-25'!$AS$2:$AS$1000, "Quarter 4", 'EIR 2024-25'!$O$2:$O$1000, "&gt;20", 'EIR 2024-25'!$Q$2:$Q$1000, "Complete")</f>
        <v>5</v>
      </c>
      <c r="L48" s="131">
        <f>COUNTIFS('EIR 2024-25'!$L$2:$L$1000, "Adults &amp; Communities",'EIR 2024-25'!$AS$2:$AS$1000, "Quarter 4", 'EIR 2024-25'!$O$2:$O$1000, "&gt;20", 'EIR 2024-25'!$Q$2:$Q$1000, "Complete")</f>
        <v>0</v>
      </c>
      <c r="M48" s="132">
        <f>COUNTIFS('EIR 2024-25'!$L$2:$L$1000, "Children &amp; Families",'EIR 2024-25'!$AS$2:$AS$1000, "Quarter 4", 'EIR 2024-25'!$O$2:$O$1000, "&gt;20", 'EIR 2024-25'!$Q$2:$Q$1000, "Complete")</f>
        <v>0</v>
      </c>
      <c r="N48" s="132">
        <f t="shared" si="7"/>
        <v>5</v>
      </c>
      <c r="O48" s="123"/>
      <c r="P48" s="123"/>
      <c r="Q48" s="123"/>
      <c r="R48" s="123"/>
      <c r="S48" s="123"/>
      <c r="T48" s="123"/>
      <c r="U48" s="123"/>
      <c r="V48" s="123"/>
      <c r="W48" s="123"/>
      <c r="X48" s="123"/>
      <c r="Y48" s="123"/>
      <c r="Z48" s="123"/>
      <c r="AA48" s="123"/>
      <c r="AB48" s="123"/>
      <c r="AC48" s="123"/>
      <c r="AD48" s="123"/>
      <c r="AE48" s="123"/>
    </row>
    <row r="49" spans="1:31" ht="30" customHeight="1" x14ac:dyDescent="0.3">
      <c r="A49" s="123"/>
      <c r="B49" s="184" t="s">
        <v>2050</v>
      </c>
      <c r="C49" s="180">
        <f>SUM(C45:C48)</f>
        <v>108</v>
      </c>
      <c r="D49" s="129">
        <f>SUM(D45:D48)</f>
        <v>72</v>
      </c>
      <c r="E49" s="129">
        <f>SUM(E45:E48)</f>
        <v>24</v>
      </c>
      <c r="F49" s="130">
        <f>SUM(F45:F48)</f>
        <v>64</v>
      </c>
      <c r="G49" s="177">
        <f t="shared" si="6"/>
        <v>268</v>
      </c>
      <c r="H49" s="123"/>
      <c r="I49" s="184" t="s">
        <v>2050</v>
      </c>
      <c r="J49" s="180">
        <f>SUM(J45:J48)</f>
        <v>9</v>
      </c>
      <c r="K49" s="129">
        <f>SUM(K45:K48)</f>
        <v>84</v>
      </c>
      <c r="L49" s="129">
        <f>SUM(L45:L48)</f>
        <v>0</v>
      </c>
      <c r="M49" s="130">
        <f>SUM(M45:M48)</f>
        <v>3</v>
      </c>
      <c r="N49" s="130">
        <f t="shared" si="7"/>
        <v>96</v>
      </c>
      <c r="O49" s="123"/>
      <c r="P49" s="123"/>
      <c r="Q49" s="123"/>
      <c r="R49" s="123"/>
      <c r="S49" s="123"/>
      <c r="T49" s="123"/>
      <c r="U49" s="123"/>
      <c r="V49" s="123"/>
      <c r="W49" s="123"/>
      <c r="X49" s="123"/>
      <c r="Y49" s="123"/>
      <c r="Z49" s="123"/>
      <c r="AA49" s="123"/>
      <c r="AB49" s="123"/>
      <c r="AC49" s="123"/>
      <c r="AD49" s="123"/>
      <c r="AE49" s="123"/>
    </row>
    <row r="50" spans="1:31" ht="30" customHeight="1" x14ac:dyDescent="0.3">
      <c r="A50" s="123"/>
      <c r="B50" s="185" t="s">
        <v>2051</v>
      </c>
      <c r="C50" s="181">
        <f>COUNTIFS('FOI 2024-25'!$Q$2:$Q$2000, "Elapsed", 'FOI 2024-25'!$AX$2:$AX$2000, "Quarter 4", 'FOI 2024-25'!$K$2:$K$2000, "Resources")</f>
        <v>0</v>
      </c>
      <c r="D50" s="131">
        <f>COUNTIFS('FOI 2024-25'!$Q$2:$Q$2000, "Elapsed", 'FOI 2024-25'!$AX$2:$AX$2000, "Quarter 4", 'FOI 2024-25'!$K$2:$K$2000, "Growth Enterprise &amp; Environment")</f>
        <v>1</v>
      </c>
      <c r="E50" s="131">
        <f>COUNTIFS('FOI 2024-25'!$Q$2:$Q$2000, "Elapsed", 'FOI 2024-25'!$AX$2:$AX$2000, "Quarter 4", 'FOI 2024-25'!$K$2:$K$2000, "Adults &amp; Communities")</f>
        <v>2</v>
      </c>
      <c r="F50" s="132">
        <f>COUNTIFS('FOI 2024-25'!$Q$2:$Q$2000, "Elapsed", 'FOI 2024-25'!$AX$2:$AX$2000, "Quarter 4", 'FOI 2024-25'!$K$2:$K$2000, "Children &amp; Families")</f>
        <v>1</v>
      </c>
      <c r="G50" s="178">
        <f t="shared" si="6"/>
        <v>4</v>
      </c>
      <c r="H50" s="123"/>
      <c r="I50" s="185" t="s">
        <v>2052</v>
      </c>
      <c r="J50" s="181">
        <f>COUNTIFS('EIR 2024-25'!$T$2:$T$2000, "Elapsed", 'EIR 2024-25'!$AX$2:$AX$2000, "Quarter 4", 'EIR 2024-25'!$L$2:$L$2000, "Resources")</f>
        <v>0</v>
      </c>
      <c r="K50" s="131">
        <f>COUNTIFS('EIR 2024-25'!$T$2:$T$2000, "Elapsed", 'EIR 2024-25'!$AX$2:$AX$2000, "Quarter 4", 'EIR 2024-25'!$L$2:$L$2000, "Growth, Enterprise &amp; Environment")</f>
        <v>0</v>
      </c>
      <c r="L50" s="131">
        <f>COUNTIFS('EIR 2024-25'!$T$2:$T$2000, "Elapsed", 'EIR 2024-25'!$AX$2:$AX$2000, "Quarter 4", 'EIR 2024-25'!$L$2:$L$2000, "Adults &amp; Communities")</f>
        <v>0</v>
      </c>
      <c r="M50" s="132">
        <f>COUNTIFS('EIR 2024-25'!$T$2:$T$2000, "Elapsed", 'EIR 2024-25'!$AX$2:$AX$2000, "Quarter 4", 'EIR 2024-25'!$L$2:$L$2000, "Children &amp; Families")</f>
        <v>0</v>
      </c>
      <c r="N50" s="132">
        <f t="shared" si="7"/>
        <v>0</v>
      </c>
      <c r="O50" s="123"/>
      <c r="P50" s="123"/>
      <c r="Q50" s="123"/>
      <c r="R50" s="123"/>
      <c r="S50" s="123"/>
      <c r="T50" s="123"/>
      <c r="U50" s="123"/>
      <c r="V50" s="123"/>
      <c r="W50" s="123"/>
      <c r="X50" s="123"/>
      <c r="Y50" s="123"/>
      <c r="Z50" s="123"/>
      <c r="AA50" s="123"/>
      <c r="AB50" s="123"/>
      <c r="AC50" s="123"/>
      <c r="AD50" s="123"/>
      <c r="AE50" s="123"/>
    </row>
    <row r="51" spans="1:31" ht="30" customHeight="1" x14ac:dyDescent="0.3">
      <c r="A51" s="123"/>
      <c r="B51" s="184" t="s">
        <v>2053</v>
      </c>
      <c r="C51" s="180">
        <f>COUNTIFS('FOI 2024-25'!$Q$2:$Q$2000, "In Progress", 'FOI 2024-25'!$AX$2:$AX$2000, "Quarter 4", 'FOI 2024-25'!$K$2:$K$2000, "Resources")</f>
        <v>0</v>
      </c>
      <c r="D51" s="129">
        <f>COUNTIFS('FOI 2024-25'!$Q$2:$Q$2000, "In Progress", 'FOI 2024-25'!$AX$2:$AX$2000, "Quarter 4", 'FOI 2024-25'!$K$2:$K$2000, "Growth Enterprise &amp; Environment")</f>
        <v>3</v>
      </c>
      <c r="E51" s="129">
        <f>COUNTIFS('FOI 2024-25'!$Q$2:$Q$2000, "In Progress", 'FOI 2024-25'!$AX$2:$AX$2000, "Quarter 4", 'FOI 2024-25'!$K$2:$K$2000, "Adults &amp; Communities")</f>
        <v>0</v>
      </c>
      <c r="F51" s="130">
        <f>COUNTIFS('FOI 2024-25'!$Q$2:$Q$2000, "In Progress", 'FOI 2024-25'!$AX$2:$AX$2000, "Quarter 4", 'FOI 2024-25'!$K$2:$K$2000, "Children &amp; Families")</f>
        <v>0</v>
      </c>
      <c r="G51" s="177">
        <f t="shared" si="6"/>
        <v>3</v>
      </c>
      <c r="H51" s="123"/>
      <c r="I51" s="184" t="s">
        <v>2054</v>
      </c>
      <c r="J51" s="180">
        <f>COUNTIFS('EIR 2024-25'!$T$2:$T$2000, "In Progress", 'EIR 2024-25'!$AX$2:$AX$2000, "Quarter 4", 'EIR 2024-25'!$L$2:$L$2000, "Resources")</f>
        <v>0</v>
      </c>
      <c r="K51" s="129">
        <f>COUNTIFS('EIR 2024-25'!$T$2:$T$2000, "In Progress", 'EIR 2024-25'!$AX$2:$AX$2000, "Quarter 4", 'EIR 2024-25'!$L$2:$L$2000, "Growth, Enterprise &amp; Environment")</f>
        <v>0</v>
      </c>
      <c r="L51" s="129">
        <f>COUNTIFS('EIR 2024-25'!$T$2:$T$2000, "In Progress", 'EIR 2024-25'!$AX$2:$AX$2000, "Quarter 4", 'EIR 2024-25'!$L$2:$L$2000, "Adults &amp; Communities")</f>
        <v>0</v>
      </c>
      <c r="M51" s="130">
        <f>COUNTIFS('EIR 2024-25'!$T$2:$T$2000, "In Progress", 'EIR 2024-25'!$AX$2:$AX$2000, "Quarter 4", 'EIR 2024-25'!$L$2:$L$2000, "Children &amp; Families")</f>
        <v>0</v>
      </c>
      <c r="N51" s="130">
        <f t="shared" si="7"/>
        <v>0</v>
      </c>
      <c r="O51" s="123"/>
      <c r="P51" s="123"/>
      <c r="Q51" s="123"/>
      <c r="R51" s="123"/>
      <c r="S51" s="123"/>
      <c r="T51" s="123"/>
      <c r="U51" s="123"/>
      <c r="V51" s="123"/>
      <c r="W51" s="123"/>
      <c r="X51" s="123"/>
      <c r="Y51" s="123"/>
      <c r="Z51" s="123"/>
      <c r="AA51" s="123"/>
      <c r="AB51" s="123"/>
      <c r="AC51" s="123"/>
      <c r="AD51" s="123"/>
      <c r="AE51" s="123"/>
    </row>
    <row r="52" spans="1:31" ht="30" customHeight="1" x14ac:dyDescent="0.3">
      <c r="A52" s="123"/>
      <c r="B52" s="185" t="s">
        <v>1928</v>
      </c>
      <c r="C52" s="181">
        <f>SUM(C49:C51)</f>
        <v>108</v>
      </c>
      <c r="D52" s="131">
        <f>SUM(D49:D51)</f>
        <v>76</v>
      </c>
      <c r="E52" s="131">
        <f>SUM(E49:E51)</f>
        <v>26</v>
      </c>
      <c r="F52" s="132">
        <f>SUM(F49:F51)</f>
        <v>65</v>
      </c>
      <c r="G52" s="179">
        <f t="shared" si="6"/>
        <v>275</v>
      </c>
      <c r="H52" s="123"/>
      <c r="I52" s="185" t="s">
        <v>2055</v>
      </c>
      <c r="J52" s="181">
        <f>SUM(J49:J51)</f>
        <v>9</v>
      </c>
      <c r="K52" s="131">
        <f>SUM(K49:K51)</f>
        <v>84</v>
      </c>
      <c r="L52" s="131">
        <f>SUM(L49:L51)</f>
        <v>0</v>
      </c>
      <c r="M52" s="132">
        <f>SUM(M49:M51)</f>
        <v>3</v>
      </c>
      <c r="N52" s="132">
        <f t="shared" si="7"/>
        <v>96</v>
      </c>
      <c r="O52" s="123"/>
      <c r="P52" s="123"/>
      <c r="Q52" s="123"/>
      <c r="R52" s="123"/>
      <c r="S52" s="123"/>
      <c r="T52" s="123"/>
      <c r="U52" s="123"/>
      <c r="V52" s="123"/>
      <c r="W52" s="123"/>
      <c r="X52" s="123"/>
      <c r="Y52" s="123"/>
      <c r="Z52" s="123"/>
      <c r="AA52" s="123"/>
      <c r="AB52" s="123"/>
      <c r="AC52" s="123"/>
      <c r="AD52" s="123"/>
      <c r="AE52" s="123"/>
    </row>
    <row r="53" spans="1:31" ht="30" customHeight="1" x14ac:dyDescent="0.3">
      <c r="A53" s="123"/>
      <c r="B53" s="184" t="s">
        <v>2056</v>
      </c>
      <c r="C53" s="182">
        <f>AVERAGEIFS('FOI 2024-25'!$O$2:$O$2000, 'FOI 2024-25'!$K$2:$K$2000, "Resources", 'FOI 2024-25'!$AX$2:$AX$2000, "Quarter 4")</f>
        <v>5.7037037037037033</v>
      </c>
      <c r="D53" s="138">
        <f>AVERAGEIFS('FOI 2024-25'!$O$2:$O$2000, 'FOI 2024-25'!$K$2:$K$2000, "Growth Enterprise &amp; Environment", 'FOI 2024-25'!$AX$2:$AX$2000, "Quarter 4")</f>
        <v>9.0694444444444446</v>
      </c>
      <c r="E53" s="138">
        <f>AVERAGEIFS('FOI 2024-25'!$O$2:$O$2000, 'FOI 2024-25'!$K$2:$K$2000, "Adults &amp; Communities", 'FOI 2024-25'!$AX$2:$AX$2000, "Quarter 4")</f>
        <v>8.125</v>
      </c>
      <c r="F53" s="139">
        <f>AVERAGEIFS('FOI 2024-25'!$O$2:$O$2000, 'FOI 2024-25'!$K$2:$K$2000, "Children &amp; Families", 'FOI 2024-25'!$AX$2:$AX$2000, "Quarter 4")</f>
        <v>7.53125</v>
      </c>
      <c r="G53" s="175">
        <f>AVERAGEIFS('FOI 2024-25'!$O$2:$O$2000, 'FOI 2024-25'!$AX$2:$AX$2000, "Quarter 4")</f>
        <v>7.2611940298507465</v>
      </c>
      <c r="H53" s="123"/>
      <c r="I53" s="184" t="s">
        <v>2057</v>
      </c>
      <c r="J53" s="182">
        <f>AVERAGEIFS('EIR 2024-25'!$O$2:$O$1000, 'EIR 2024-25'!$L$2:$L$1000, "Resources", 'EIR 2024-25'!$AS$2:$AS$1000, "Quarter 4")</f>
        <v>5.5555555555555554</v>
      </c>
      <c r="K53" s="138">
        <f>AVERAGEIFS('EIR 2024-25'!$O$2:$O$1000, 'EIR 2024-25'!$L$2:$L$1000, "Growth, Enterprise &amp; Environment", 'EIR 2024-25'!$AS$2:$AS$1000, "Quarter 4")</f>
        <v>7.2142857142857144</v>
      </c>
      <c r="L53" s="129">
        <v>0</v>
      </c>
      <c r="M53" s="130">
        <v>10.67</v>
      </c>
      <c r="N53" s="201">
        <f>AVERAGEIFS('EIR 2024-25'!$O$2:$O$1000, 'EIR 2024-25'!$AS$2:$AS$1000, "Quarter 4")</f>
        <v>7.166666666666667</v>
      </c>
      <c r="O53" s="123"/>
      <c r="P53" s="123"/>
      <c r="Q53" s="123"/>
      <c r="R53" s="123"/>
      <c r="S53" s="123"/>
      <c r="T53" s="123"/>
      <c r="U53" s="123"/>
      <c r="V53" s="123"/>
      <c r="W53" s="123"/>
      <c r="X53" s="123"/>
      <c r="Y53" s="123"/>
      <c r="Z53" s="123"/>
      <c r="AA53" s="123"/>
      <c r="AB53" s="123"/>
      <c r="AC53" s="123"/>
      <c r="AD53" s="123"/>
      <c r="AE53" s="123"/>
    </row>
    <row r="54" spans="1:31" ht="30" customHeight="1" thickBot="1" x14ac:dyDescent="0.35">
      <c r="A54" s="123"/>
      <c r="B54" s="186" t="s">
        <v>2058</v>
      </c>
      <c r="C54" s="183">
        <f>SUM(C45+C46+C47)/C49</f>
        <v>0.9907407407407407</v>
      </c>
      <c r="D54" s="137">
        <f>SUM(D45+D46+D47)/D49</f>
        <v>0.90277777777777779</v>
      </c>
      <c r="E54" s="137">
        <f>SUM(E45+E46+E47)/E49</f>
        <v>1</v>
      </c>
      <c r="F54" s="137">
        <f>SUM(F45+F46+F47)/F49</f>
        <v>1</v>
      </c>
      <c r="G54" s="176">
        <f>SUM(G45+G46+G47)/G49</f>
        <v>0.97014925373134331</v>
      </c>
      <c r="H54" s="123"/>
      <c r="I54" s="186" t="s">
        <v>2059</v>
      </c>
      <c r="J54" s="183">
        <f>SUM(J45+J46+J47)/J49</f>
        <v>1</v>
      </c>
      <c r="K54" s="137">
        <f>SUM(K45+K46+K47)/K49</f>
        <v>0.94047619047619047</v>
      </c>
      <c r="L54" s="137">
        <v>0</v>
      </c>
      <c r="M54" s="173">
        <f>SUM(M45+M46+M47)/M49</f>
        <v>1</v>
      </c>
      <c r="N54" s="176">
        <f>SUM(N45+N46+N47)/N49</f>
        <v>0.94791666666666663</v>
      </c>
      <c r="O54" s="123"/>
      <c r="P54" s="123"/>
      <c r="Q54" s="123"/>
      <c r="R54" s="123"/>
      <c r="S54" s="123"/>
      <c r="T54" s="123"/>
      <c r="U54" s="123"/>
      <c r="V54" s="123"/>
      <c r="W54" s="123"/>
      <c r="X54" s="123"/>
      <c r="Y54" s="123"/>
      <c r="Z54" s="123"/>
      <c r="AA54" s="123"/>
      <c r="AB54" s="123"/>
      <c r="AC54" s="123"/>
      <c r="AD54" s="123"/>
      <c r="AE54" s="123"/>
    </row>
    <row r="55" spans="1:31" x14ac:dyDescent="0.3">
      <c r="A55" s="123"/>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row>
    <row r="56" spans="1:31" ht="18" thickBot="1" x14ac:dyDescent="0.35">
      <c r="A56" s="123"/>
      <c r="B56" s="237" t="s">
        <v>2060</v>
      </c>
      <c r="C56" s="237"/>
      <c r="D56" s="237"/>
      <c r="E56" s="237"/>
      <c r="F56" s="237"/>
      <c r="G56" s="169"/>
      <c r="H56" s="128"/>
      <c r="I56" s="237" t="s">
        <v>2060</v>
      </c>
      <c r="J56" s="237"/>
      <c r="K56" s="237"/>
      <c r="L56" s="237"/>
      <c r="M56" s="237"/>
      <c r="N56" s="123"/>
      <c r="O56" s="123"/>
      <c r="P56" s="123"/>
      <c r="Q56" s="123"/>
      <c r="R56" s="123"/>
      <c r="S56" s="123"/>
      <c r="T56" s="123"/>
      <c r="U56" s="123"/>
      <c r="V56" s="123"/>
      <c r="W56" s="123"/>
      <c r="X56" s="123"/>
      <c r="Y56" s="123"/>
      <c r="Z56" s="123"/>
      <c r="AA56" s="123"/>
      <c r="AB56" s="123"/>
      <c r="AC56" s="123"/>
      <c r="AD56" s="123"/>
      <c r="AE56" s="123"/>
    </row>
    <row r="57" spans="1:31" ht="45.5" thickBot="1" x14ac:dyDescent="0.35">
      <c r="A57" s="123"/>
      <c r="B57" s="191" t="s">
        <v>2039</v>
      </c>
      <c r="C57" s="192" t="s">
        <v>5</v>
      </c>
      <c r="D57" s="193" t="s">
        <v>124</v>
      </c>
      <c r="E57" s="193" t="s">
        <v>4</v>
      </c>
      <c r="F57" s="197" t="s">
        <v>10</v>
      </c>
      <c r="G57" s="191" t="s">
        <v>2040</v>
      </c>
      <c r="H57" s="127"/>
      <c r="I57" s="191" t="s">
        <v>2041</v>
      </c>
      <c r="J57" s="196" t="s">
        <v>5</v>
      </c>
      <c r="K57" s="193" t="s">
        <v>124</v>
      </c>
      <c r="L57" s="193" t="s">
        <v>4</v>
      </c>
      <c r="M57" s="197" t="s">
        <v>10</v>
      </c>
      <c r="N57" s="197" t="s">
        <v>2040</v>
      </c>
      <c r="O57" s="123"/>
      <c r="P57" s="123"/>
      <c r="Q57" s="123"/>
      <c r="R57" s="123"/>
      <c r="S57" s="123"/>
      <c r="T57" s="123"/>
      <c r="U57" s="123"/>
      <c r="V57" s="123"/>
      <c r="W57" s="123"/>
      <c r="X57" s="123"/>
      <c r="Y57" s="123"/>
      <c r="Z57" s="123"/>
      <c r="AA57" s="123"/>
      <c r="AB57" s="123"/>
      <c r="AC57" s="123"/>
      <c r="AD57" s="123"/>
      <c r="AE57" s="123"/>
    </row>
    <row r="58" spans="1:31" ht="30" customHeight="1" x14ac:dyDescent="0.3">
      <c r="A58" s="123"/>
      <c r="B58" s="187" t="s">
        <v>2042</v>
      </c>
      <c r="C58" s="188">
        <f>COUNTIFS('FOI 2024-25'!$K$2:$K$2000, "Resources", 'FOI 2024-25'!$O$2:$O$2000, "&lt;=5", 'FOI 2024-25'!$Q$2:$Q$2000, "Complete")</f>
        <v>203</v>
      </c>
      <c r="D58" s="189">
        <f>COUNTIFS('FOI 2024-25'!$K$2:$K$2000, "Growth Enterprise &amp; Environment", 'FOI 2024-25'!$O$2:$O$2000, "&lt;=5", 'FOI 2024-25'!$Q$2:$Q$2000, "Complete")</f>
        <v>163</v>
      </c>
      <c r="E58" s="189">
        <f>COUNTIFS('FOI 2024-25'!$K$2:$K$2000, "Adults &amp; Communities", 'FOI 2024-25'!$O$2:$O$2000, "&lt;=5", 'FOI 2024-25'!$Q$2:$Q$2000, "Complete")</f>
        <v>30</v>
      </c>
      <c r="F58" s="195">
        <f>COUNTIFS('FOI 2024-25'!$K$2:$K$2000, "Children &amp; Families", 'FOI 2024-25'!$O$2:$O$2000, "&lt;=5", 'FOI 2024-25'!$Q$2:$Q$2000, "Complete")</f>
        <v>86</v>
      </c>
      <c r="G58" s="174">
        <f t="shared" ref="G58:G65" si="8">SUM(C58:F58)</f>
        <v>482</v>
      </c>
      <c r="H58" s="128"/>
      <c r="I58" s="187" t="s">
        <v>2043</v>
      </c>
      <c r="J58" s="188">
        <f>COUNTIFS('EIR 2024-25'!$L$2:$L$1000, "Resources", 'EIR 2024-25'!$O$2:$O$1000, "&lt;=5", 'EIR 2024-25'!$Q$2:$Q$1000, "Complete")</f>
        <v>11</v>
      </c>
      <c r="K58" s="189">
        <f>COUNTIFS('EIR 2024-25'!$L$2:$L$1000, "Growth, Enterprise &amp; Environment", 'EIR 2024-25'!$O$2:$O$1000, "&lt;=5", 'EIR 2024-25'!$Q$2:$Q$1000, "Complete")</f>
        <v>106</v>
      </c>
      <c r="L58" s="189">
        <f>COUNTIFS('EIR 2024-25'!$L$2:$L$1000, "Adults &amp; Communities", 'EIR 2024-25'!$O$2:$O$1000, "&lt;=5", 'EIR 2024-25'!$Q$2:$Q$1000, "Complete")</f>
        <v>0</v>
      </c>
      <c r="M58" s="195">
        <f>COUNTIFS('EIR 2024-25'!$L$2:$L$1000, "Children &amp; Families", 'EIR 2024-25'!$O$2:$O$1000, "&lt;=5", 'EIR 2024-25'!$Q$2:$Q$1000, "Complete")</f>
        <v>0</v>
      </c>
      <c r="N58" s="195">
        <f t="shared" ref="N58:N65" si="9">SUM(J58:M58)</f>
        <v>117</v>
      </c>
      <c r="O58" s="123"/>
      <c r="P58" s="123"/>
      <c r="Q58" s="123"/>
      <c r="R58" s="123"/>
      <c r="S58" s="123"/>
      <c r="T58" s="123"/>
      <c r="U58" s="123"/>
      <c r="V58" s="123"/>
      <c r="W58" s="123"/>
      <c r="X58" s="123"/>
      <c r="Y58" s="123"/>
      <c r="Z58" s="123"/>
      <c r="AA58" s="123"/>
      <c r="AB58" s="123"/>
      <c r="AC58" s="123"/>
      <c r="AD58" s="123"/>
      <c r="AE58" s="123"/>
    </row>
    <row r="59" spans="1:31" ht="30" customHeight="1" x14ac:dyDescent="0.3">
      <c r="A59" s="123"/>
      <c r="B59" s="185" t="s">
        <v>2044</v>
      </c>
      <c r="C59" s="181">
        <f>COUNTIFS('FOI 2024-25'!$K$2:$K$2000, "Resources", 'FOI 2024-25'!$O$2:$O$2000, "&gt;5", 'FOI 2024-25'!$O$2:$O$2000, "&lt;=10", 'FOI 2024-25'!$Q$2:$Q$2000, "Complete")</f>
        <v>65</v>
      </c>
      <c r="D59" s="131">
        <f>COUNTIFS('FOI 2024-25'!$K$2:$K$2000, "Growth Enterprise &amp; Environment", 'FOI 2024-25'!$O$2:$O$2000, "&gt;5", 'FOI 2024-25'!$O$2:$O$2000, "&lt;=10", 'FOI 2024-25'!$Q$2:$Q$2000, "Complete")</f>
        <v>56</v>
      </c>
      <c r="E59" s="131">
        <f>COUNTIFS('FOI 2024-25'!$K$2:$K$2000, "Adults &amp; Communities", 'FOI 2024-25'!$O$2:$O$2000, "&gt;5", 'FOI 2024-25'!$O$2:$O$2000, "&lt;=10", 'FOI 2024-25'!$Q$2:$Q$2000, "Complete")</f>
        <v>27</v>
      </c>
      <c r="F59" s="132">
        <f>COUNTIFS('FOI 2024-25'!$K$2:$K$2000, "Children &amp; Families", 'FOI 2024-25'!$O$2:$O$2000, "&gt;5", 'FOI 2024-25'!$O$2:$O$2000, "&lt;=10", 'FOI 2024-25'!$Q$2:$Q$2000, "Complete")</f>
        <v>57</v>
      </c>
      <c r="G59" s="178">
        <f t="shared" si="8"/>
        <v>205</v>
      </c>
      <c r="H59" s="128"/>
      <c r="I59" s="185" t="s">
        <v>2045</v>
      </c>
      <c r="J59" s="181">
        <f>COUNTIFS('EIR 2024-25'!$L$2:$L$1000, "Resources", 'EIR 2024-25'!$O$2:$O$1000, "&gt;5", 'EIR 2024-25'!$O$2:$O$1000, "&lt;=10", 'EIR 2024-25'!$Q$2:$Q$1000, "Complete")</f>
        <v>2</v>
      </c>
      <c r="K59" s="131">
        <f>COUNTIFS('EIR 2024-25'!$L$2:$L$1000, "Growth, Enterprise &amp; Environment", 'EIR 2024-25'!$O$2:$O$1000, "&gt;5", 'EIR 2024-25'!$O$2:$O$1000, "&lt;=10", 'EIR 2024-25'!$Q$2:$Q$1000, "Complete")</f>
        <v>44</v>
      </c>
      <c r="L59" s="131">
        <f>COUNTIFS('EIR 2024-25'!$L$2:$L$1000, "Adults &amp; Communities", 'EIR 2024-25'!$O$2:$O$1000, "&gt;5", 'EIR 2024-25'!$O$2:$O$1000, "&lt;=10", 'EIR 2024-25'!$Q$2:$Q$1000, "Complete")</f>
        <v>0</v>
      </c>
      <c r="M59" s="132">
        <f>COUNTIFS('EIR 2024-25'!$L$2:$L$1000, "Children &amp; Families", 'EIR 2024-25'!$O$2:$O$1000, "&gt;5", 'EIR 2024-25'!$O$2:$O$1000, "&lt;=10", 'EIR 2024-25'!$Q$2:$Q$1000, "Complete")</f>
        <v>2</v>
      </c>
      <c r="N59" s="132">
        <f t="shared" si="9"/>
        <v>48</v>
      </c>
      <c r="O59" s="123"/>
      <c r="P59" s="123"/>
      <c r="Q59" s="123"/>
      <c r="R59" s="123"/>
      <c r="S59" s="123"/>
      <c r="T59" s="123"/>
      <c r="U59" s="123"/>
      <c r="V59" s="123"/>
      <c r="W59" s="123"/>
      <c r="X59" s="123"/>
      <c r="Y59" s="123"/>
      <c r="Z59" s="123"/>
      <c r="AA59" s="123"/>
      <c r="AB59" s="123"/>
      <c r="AC59" s="123"/>
      <c r="AD59" s="123"/>
      <c r="AE59" s="123"/>
    </row>
    <row r="60" spans="1:31" ht="30" customHeight="1" x14ac:dyDescent="0.3">
      <c r="A60" s="123"/>
      <c r="B60" s="184" t="s">
        <v>2046</v>
      </c>
      <c r="C60" s="180">
        <f>COUNTIFS('FOI 2024-25'!$K$2:$K$2000, "Resources", 'FOI 2024-25'!$O$2:$O$2000, "&gt;10", 'FOI 2024-25'!$O$2:$O$2000, "&lt;=20", 'FOI 2024-25'!$Q$2:$Q$2000, "Complete")</f>
        <v>96</v>
      </c>
      <c r="D60" s="129">
        <f>COUNTIFS('FOI 2024-25'!$K$2:$K$2000, "Growth Enterprise &amp; Environment", 'FOI 2024-25'!$O$2:$O$2000, "&gt;10", 'FOI 2024-25'!$O$2:$O$2000, "&lt;=20", 'FOI 2024-25'!$Q$2:$Q$2000, "Complete")</f>
        <v>86</v>
      </c>
      <c r="E60" s="129">
        <f>COUNTIFS('FOI 2024-25'!$K$2:$K$2000, "Adults &amp; Communities", 'FOI 2024-25'!$O$2:$O$2000, "&gt;10", 'FOI 2024-25'!$O$2:$O$2000, "&lt;=20", 'FOI 2024-25'!$Q$2:$Q$2000, "Complete")</f>
        <v>27</v>
      </c>
      <c r="F60" s="130">
        <f>COUNTIFS('FOI 2024-25'!$K$2:$K$2000, "Children &amp; Families", 'FOI 2024-25'!$O$2:$O$2000, "&gt;10", 'FOI 2024-25'!$O$2:$O$2000, "&lt;=20", 'FOI 2024-25'!$Q$2:$Q$2000, "Complete")</f>
        <v>76</v>
      </c>
      <c r="G60" s="177">
        <f t="shared" si="8"/>
        <v>285</v>
      </c>
      <c r="H60" s="123"/>
      <c r="I60" s="184" t="s">
        <v>2047</v>
      </c>
      <c r="J60" s="180">
        <f>COUNTIFS('EIR 2024-25'!$L$2:$L$1000, "Resources", 'EIR 2024-25'!$O$2:$O$1000, "&gt;10", 'EIR 2024-25'!$O$2:$O$1000, "&lt;=20", 'EIR 2024-25'!$Q$2:$Q$1000, "Complete")</f>
        <v>3</v>
      </c>
      <c r="K60" s="129">
        <f>COUNTIFS('EIR 2024-25'!$L$2:$L$1000, "Growth, Enterprise &amp; Environment", 'EIR 2024-25'!$O$2:$O$1000, "&gt;10", 'EIR 2024-25'!$O$2:$O$1000, "&lt;=20", 'EIR 2024-25'!$Q$2:$Q$1000, "Complete")</f>
        <v>57</v>
      </c>
      <c r="L60" s="129">
        <f>COUNTIFS('EIR 2024-25'!$L$2:$L$1000, "Adults &amp; Communities", 'EIR 2024-25'!$O$2:$O$1000, "&gt;10", 'EIR 2024-25'!$O$2:$O$1000, "&lt;=20", 'EIR 2024-25'!$Q$2:$Q$1000, "Complete")</f>
        <v>0</v>
      </c>
      <c r="M60" s="130">
        <f>COUNTIFS('EIR 2024-25'!$L$2:$L$1000, "Children &amp; Families", 'EIR 2024-25'!$O$2:$O$1000, "&gt;10", 'EIR 2024-25'!$O$2:$O$1000, "&lt;=20", 'EIR 2024-25'!$Q$2:$Q$1000, "Complete")</f>
        <v>1</v>
      </c>
      <c r="N60" s="130">
        <f t="shared" si="9"/>
        <v>61</v>
      </c>
      <c r="O60" s="123"/>
      <c r="P60" s="123"/>
      <c r="Q60" s="123"/>
      <c r="R60" s="123"/>
      <c r="S60" s="123"/>
      <c r="T60" s="123"/>
      <c r="U60" s="123"/>
      <c r="V60" s="123"/>
      <c r="W60" s="123"/>
      <c r="X60" s="123"/>
      <c r="Y60" s="123"/>
      <c r="Z60" s="123"/>
      <c r="AA60" s="123"/>
      <c r="AB60" s="123"/>
      <c r="AC60" s="123"/>
      <c r="AD60" s="123"/>
      <c r="AE60" s="123"/>
    </row>
    <row r="61" spans="1:31" ht="30" customHeight="1" x14ac:dyDescent="0.3">
      <c r="A61" s="123"/>
      <c r="B61" s="185" t="s">
        <v>2048</v>
      </c>
      <c r="C61" s="181">
        <f>COUNTIFS('FOI 2024-25'!$K$2:$K$2000, "Resources", 'FOI 2024-25'!$O$2:$O$2000, "&gt;20", 'FOI 2024-25'!$Q$2:$Q$2000, "Complete")</f>
        <v>13</v>
      </c>
      <c r="D61" s="131">
        <f>COUNTIFS('FOI 2024-25'!$K$2:$K$2000, "Growth Enterprise &amp; Environment", 'FOI 2024-25'!$O$2:$O$2000, "&gt;20", 'FOI 2024-25'!$Q$2:$Q$2000, "Complete")</f>
        <v>22</v>
      </c>
      <c r="E61" s="131">
        <f>COUNTIFS('FOI 2024-25'!$K$2:$K$2000, "Adults &amp; Communities", 'FOI 2024-25'!$O$2:$O$2000, "&gt;20", 'FOI 2024-25'!$Q$2:$Q$2000, "Complete")</f>
        <v>1</v>
      </c>
      <c r="F61" s="132">
        <f>COUNTIFS('FOI 2024-25'!$K$2:$K$2000, "Children &amp; Families", 'FOI 2024-25'!$O$2:$O$2000, "&gt;20", 'FOI 2024-25'!$Q$2:$Q$2000, "Complete")</f>
        <v>7</v>
      </c>
      <c r="G61" s="178">
        <f t="shared" si="8"/>
        <v>43</v>
      </c>
      <c r="H61" s="123"/>
      <c r="I61" s="185" t="s">
        <v>2049</v>
      </c>
      <c r="J61" s="181">
        <f>COUNTIFS('EIR 2024-25'!$L$2:$L$1000, "Resources", 'EIR 2024-25'!$O$2:$O$1000, "&gt;20", 'EIR 2024-25'!$Q$2:$Q$1000, "Complete")</f>
        <v>1</v>
      </c>
      <c r="K61" s="131">
        <f>COUNTIFS('EIR 2024-25'!$L$2:$L$1000, "Growth, Enterprise &amp; Environment", 'EIR 2024-25'!$O$2:$O$1000, "&gt;20", 'EIR 2024-25'!$Q$2:$Q$1000, "Complete")</f>
        <v>15</v>
      </c>
      <c r="L61" s="131">
        <f>COUNTIFS('EIR 2024-25'!$L$2:$L$1000, "Adults &amp; Communities", 'EIR 2024-25'!$O$2:$O$1000, "&gt;20", 'EIR 2024-25'!$Q$2:$Q$1000, "Complete")</f>
        <v>0</v>
      </c>
      <c r="M61" s="132">
        <f>COUNTIFS('EIR 2024-25'!$L$2:$L$1000, "Children &amp; Families", 'EIR 2024-25'!$O$2:$O$1000, "&gt;20", 'EIR 2024-25'!$Q$2:$Q$1000, "Complete")</f>
        <v>0</v>
      </c>
      <c r="N61" s="132">
        <f t="shared" si="9"/>
        <v>16</v>
      </c>
      <c r="O61" s="123"/>
      <c r="P61" s="123"/>
      <c r="Q61" s="123"/>
      <c r="R61" s="123"/>
      <c r="S61" s="123"/>
      <c r="T61" s="123"/>
      <c r="U61" s="123"/>
      <c r="V61" s="123"/>
      <c r="W61" s="123"/>
      <c r="X61" s="123"/>
      <c r="Y61" s="123"/>
      <c r="Z61" s="123"/>
      <c r="AA61" s="123"/>
      <c r="AB61" s="123"/>
      <c r="AC61" s="123"/>
      <c r="AD61" s="123"/>
      <c r="AE61" s="123"/>
    </row>
    <row r="62" spans="1:31" ht="30" customHeight="1" x14ac:dyDescent="0.3">
      <c r="A62" s="123"/>
      <c r="B62" s="184" t="s">
        <v>2050</v>
      </c>
      <c r="C62" s="180">
        <f>SUM(C58:C61)</f>
        <v>377</v>
      </c>
      <c r="D62" s="129">
        <f>SUM(D58:D61)</f>
        <v>327</v>
      </c>
      <c r="E62" s="129">
        <f>SUM(E58:E61)</f>
        <v>85</v>
      </c>
      <c r="F62" s="130">
        <f>SUM(F58:F61)</f>
        <v>226</v>
      </c>
      <c r="G62" s="177">
        <f t="shared" si="8"/>
        <v>1015</v>
      </c>
      <c r="H62" s="123"/>
      <c r="I62" s="184" t="s">
        <v>2061</v>
      </c>
      <c r="J62" s="180">
        <f>SUM(J58:J61)</f>
        <v>17</v>
      </c>
      <c r="K62" s="129">
        <f>SUM(K58:K61)</f>
        <v>222</v>
      </c>
      <c r="L62" s="129">
        <f>SUM(L58:L61)</f>
        <v>0</v>
      </c>
      <c r="M62" s="130">
        <f>SUM(M58:M61)</f>
        <v>3</v>
      </c>
      <c r="N62" s="130">
        <f t="shared" si="9"/>
        <v>242</v>
      </c>
      <c r="O62" s="123"/>
      <c r="P62" s="123"/>
      <c r="Q62" s="123"/>
      <c r="R62" s="123"/>
      <c r="S62" s="123"/>
      <c r="T62" s="123"/>
      <c r="U62" s="123"/>
      <c r="V62" s="123"/>
      <c r="W62" s="123"/>
      <c r="X62" s="123"/>
      <c r="Y62" s="123"/>
      <c r="Z62" s="123"/>
      <c r="AA62" s="123"/>
      <c r="AB62" s="123"/>
      <c r="AC62" s="123"/>
      <c r="AD62" s="123"/>
      <c r="AE62" s="123"/>
    </row>
    <row r="63" spans="1:31" ht="30" customHeight="1" x14ac:dyDescent="0.3">
      <c r="A63" s="123"/>
      <c r="B63" s="185" t="s">
        <v>2051</v>
      </c>
      <c r="C63" s="181">
        <f>COUNTIFS('FOI 2024-25'!$Q$2:$Q$2000, "Elapsed", 'FOI 2024-25'!$K$2:$K$2000, "Resources")</f>
        <v>3</v>
      </c>
      <c r="D63" s="131">
        <f>COUNTIFS('FOI 2024-25'!$Q$2:$Q$2000, "Elapsed", 'FOI 2024-25'!$K$2:$K$2000, "Growth Enterprise &amp; Environment")</f>
        <v>5</v>
      </c>
      <c r="E63" s="131">
        <f>COUNTIFS('FOI 2024-25'!$Q$2:$Q$2000, "Elapsed", 'FOI 2024-25'!$K$2:$K$2000, "Adults &amp; Communities")</f>
        <v>5</v>
      </c>
      <c r="F63" s="132">
        <f>COUNTIFS('FOI 2024-25'!$Q$2:$Q$2000, "Elapsed", 'FOI 2024-25'!$K$2:$K$2000, "Children &amp; Families")</f>
        <v>3</v>
      </c>
      <c r="G63" s="178">
        <f t="shared" si="8"/>
        <v>16</v>
      </c>
      <c r="H63" s="123"/>
      <c r="I63" s="185" t="s">
        <v>2052</v>
      </c>
      <c r="J63" s="181">
        <f>COUNTIFS('EIR 2024-25'!$T$2:$T$2000, "Elapsed", 'EIR 2024-25'!$L$2:$L$2000, "Resources")</f>
        <v>0</v>
      </c>
      <c r="K63" s="131">
        <f>COUNTIFS('EIR 2024-25'!$T$2:$T$2000, "Elapsed", 'EIR 2024-25'!$L$2:$L$2000, "Growth, Enterprise &amp; Environment")</f>
        <v>0</v>
      </c>
      <c r="L63" s="131">
        <f>COUNTIFS('EIR 2024-25'!$T$2:$T$2000, "Elapsed", 'EIR 2024-25'!$L$2:$L$2000, "Adults &amp; Communities")</f>
        <v>0</v>
      </c>
      <c r="M63" s="132">
        <f>COUNTIFS('EIR 2024-25'!$T$2:$T$2000, "Elapsed", 'EIR 2024-25'!$L$2:$L$2000, "Children &amp; Families")</f>
        <v>0</v>
      </c>
      <c r="N63" s="132">
        <f t="shared" si="9"/>
        <v>0</v>
      </c>
      <c r="O63" s="123"/>
      <c r="P63" s="123"/>
      <c r="Q63" s="123"/>
      <c r="R63" s="123"/>
      <c r="S63" s="123"/>
      <c r="T63" s="123"/>
      <c r="U63" s="123"/>
      <c r="V63" s="123"/>
      <c r="W63" s="123"/>
      <c r="X63" s="123"/>
      <c r="Y63" s="123"/>
      <c r="Z63" s="123"/>
      <c r="AA63" s="123"/>
      <c r="AB63" s="123"/>
      <c r="AC63" s="123"/>
      <c r="AD63" s="123"/>
      <c r="AE63" s="123"/>
    </row>
    <row r="64" spans="1:31" ht="30" customHeight="1" x14ac:dyDescent="0.3">
      <c r="A64" s="123"/>
      <c r="B64" s="184" t="s">
        <v>2053</v>
      </c>
      <c r="C64" s="180">
        <f>COUNTIFS('FOI 2024-25'!$Q$2:$Q$2000, "In Progress", 'FOI 2024-25'!$K$2:$K$2000, "Resources")</f>
        <v>0</v>
      </c>
      <c r="D64" s="129">
        <f>COUNTIFS('FOI 2024-25'!$Q$2:$Q$2000, "In Progress", 'FOI 2024-25'!$K$2:$K$2000, "Growth Enterprise &amp; Environment")</f>
        <v>3</v>
      </c>
      <c r="E64" s="129">
        <f>COUNTIFS('FOI 2024-25'!$Q$2:$Q$2000, "In Progress", 'FOI 2024-25'!$K$2:$K$2000, "Adults &amp; Communities")</f>
        <v>0</v>
      </c>
      <c r="F64" s="130">
        <f>COUNTIFS('FOI 2024-25'!$Q$2:$Q$2000, "In Progress", 'FOI 2024-25'!$K$2:$K$2000, "Children &amp; Families")</f>
        <v>0</v>
      </c>
      <c r="G64" s="177">
        <f t="shared" si="8"/>
        <v>3</v>
      </c>
      <c r="H64" s="123"/>
      <c r="I64" s="184" t="s">
        <v>2054</v>
      </c>
      <c r="J64" s="180">
        <f>COUNTIFS('EIR 2024-25'!$T$2:$T$2000, "In Progress", 'EIR 2024-25'!$L$2:$L$2000, "Resources")</f>
        <v>0</v>
      </c>
      <c r="K64" s="129">
        <f>COUNTIFS('EIR 2024-25'!$T$2:$T$2000, "In Progress", 'EIR 2024-25'!$L$2:$L$2000, "Growth, Enterprise &amp; Environment")</f>
        <v>0</v>
      </c>
      <c r="L64" s="129">
        <f>COUNTIFS('EIR 2024-25'!$T$2:$T$2000, "In Progress", 'EIR 2024-25'!$L$2:$L$2000, "Adults &amp; Communities")</f>
        <v>0</v>
      </c>
      <c r="M64" s="130">
        <f>COUNTIFS('EIR 2024-25'!$T$2:$T$2000, "In Progress", 'EIR 2024-25'!$L$2:$L$2000, "Children &amp; Families")</f>
        <v>0</v>
      </c>
      <c r="N64" s="130">
        <f t="shared" si="9"/>
        <v>0</v>
      </c>
      <c r="O64" s="123"/>
      <c r="P64" s="123"/>
      <c r="Q64" s="123"/>
      <c r="R64" s="123"/>
      <c r="S64" s="123"/>
      <c r="T64" s="123"/>
      <c r="U64" s="123"/>
      <c r="V64" s="123"/>
      <c r="W64" s="123"/>
      <c r="X64" s="123"/>
      <c r="Y64" s="123"/>
      <c r="Z64" s="123"/>
      <c r="AA64" s="123"/>
      <c r="AB64" s="123"/>
      <c r="AC64" s="123"/>
      <c r="AD64" s="123"/>
      <c r="AE64" s="123"/>
    </row>
    <row r="65" spans="1:31" ht="30" customHeight="1" x14ac:dyDescent="0.3">
      <c r="A65" s="123"/>
      <c r="B65" s="185" t="s">
        <v>1928</v>
      </c>
      <c r="C65" s="181">
        <f>SUM(C62:C64)</f>
        <v>380</v>
      </c>
      <c r="D65" s="131">
        <f>SUM(D62:D64)</f>
        <v>335</v>
      </c>
      <c r="E65" s="131">
        <f>SUM(E62:E64)</f>
        <v>90</v>
      </c>
      <c r="F65" s="132">
        <f>SUM(F62:F64)</f>
        <v>229</v>
      </c>
      <c r="G65" s="179">
        <f t="shared" si="8"/>
        <v>1034</v>
      </c>
      <c r="H65" s="134"/>
      <c r="I65" s="200" t="s">
        <v>2055</v>
      </c>
      <c r="J65" s="181">
        <f>SUM(J62:J64)</f>
        <v>17</v>
      </c>
      <c r="K65" s="131">
        <f>SUM(K62:K64)</f>
        <v>222</v>
      </c>
      <c r="L65" s="131">
        <f>SUM(L62:L64)</f>
        <v>0</v>
      </c>
      <c r="M65" s="132">
        <f>SUM(M62:M64)</f>
        <v>3</v>
      </c>
      <c r="N65" s="132">
        <f t="shared" si="9"/>
        <v>242</v>
      </c>
      <c r="O65" s="123"/>
      <c r="P65" s="123"/>
      <c r="Q65" s="123"/>
      <c r="R65" s="123"/>
      <c r="S65" s="123"/>
      <c r="T65" s="123"/>
      <c r="U65" s="123"/>
      <c r="V65" s="123"/>
      <c r="W65" s="123"/>
      <c r="X65" s="123"/>
      <c r="Y65" s="123"/>
      <c r="Z65" s="123"/>
      <c r="AA65" s="123"/>
      <c r="AB65" s="123"/>
      <c r="AC65" s="123"/>
      <c r="AD65" s="123"/>
      <c r="AE65" s="123"/>
    </row>
    <row r="66" spans="1:31" ht="30" customHeight="1" x14ac:dyDescent="0.3">
      <c r="A66" s="123"/>
      <c r="B66" s="184" t="s">
        <v>2056</v>
      </c>
      <c r="C66" s="182">
        <f>AVERAGEIFS('FOI 2024-25'!$O$2:$O$2000, 'FOI 2024-25'!$K$2:$K$2000, "Resources")</f>
        <v>6.9522546419098141</v>
      </c>
      <c r="D66" s="138">
        <f>AVERAGEIFS('FOI 2024-25'!$O$2:$O$2000, 'FOI 2024-25'!$K$2:$K$2000, "Growth Enterprise &amp; Environment")</f>
        <v>8.7767584097859324</v>
      </c>
      <c r="E66" s="138">
        <f>AVERAGEIFS('FOI 2024-25'!$O$2:$O$2000, 'FOI 2024-25'!$K$2:$K$2000, "Adults &amp; Communities")</f>
        <v>8.5411764705882351</v>
      </c>
      <c r="F66" s="139">
        <f>AVERAGEIFS('FOI 2024-25'!$O$2:$O$2000, 'FOI 2024-25'!$K$2:$K$2000, "Children &amp; Families")</f>
        <v>8.5442477876106189</v>
      </c>
      <c r="G66" s="175">
        <f>AVERAGE('FOI 2024-25'!$O$2:$O$2000)</f>
        <v>8.0275862068965509</v>
      </c>
      <c r="H66" s="123"/>
      <c r="I66" s="184" t="s">
        <v>2057</v>
      </c>
      <c r="J66" s="182">
        <f>AVERAGEIFS('EIR 2024-25'!$O$2:$O$1000, 'EIR 2024-25'!$L$2:$L$1000, "Resources")</f>
        <v>7.9411764705882355</v>
      </c>
      <c r="K66" s="138">
        <f>AVERAGEIFS('EIR 2024-25'!$O$2:$O$1000, 'EIR 2024-25'!$L$2:$L$1000, "Growth, Enterprise &amp; Environment")</f>
        <v>8.9099099099099099</v>
      </c>
      <c r="L66" s="129">
        <v>0</v>
      </c>
      <c r="M66" s="130">
        <v>10.67</v>
      </c>
      <c r="N66" s="201">
        <f>AVERAGE('EIR 2024-25'!$O$2:$O$1000)</f>
        <v>8.8636363636363633</v>
      </c>
      <c r="O66" s="123"/>
      <c r="P66" s="123"/>
      <c r="Q66" s="123"/>
      <c r="R66" s="123"/>
      <c r="S66" s="123"/>
      <c r="T66" s="123"/>
      <c r="U66" s="123"/>
      <c r="V66" s="123"/>
      <c r="W66" s="123"/>
      <c r="X66" s="123"/>
      <c r="Y66" s="123"/>
      <c r="Z66" s="123"/>
      <c r="AA66" s="123"/>
      <c r="AB66" s="123"/>
      <c r="AC66" s="123"/>
      <c r="AD66" s="123"/>
      <c r="AE66" s="123"/>
    </row>
    <row r="67" spans="1:31" ht="27.5" thickBot="1" x14ac:dyDescent="0.35">
      <c r="A67" s="123"/>
      <c r="B67" s="186" t="s">
        <v>2058</v>
      </c>
      <c r="C67" s="183">
        <f>SUM(C58+C59+C60)/C62</f>
        <v>0.96551724137931039</v>
      </c>
      <c r="D67" s="137">
        <f>SUM(D58+D59+D60)/D62</f>
        <v>0.93272171253822633</v>
      </c>
      <c r="E67" s="137">
        <f>SUM(E58+E59+E60)/E62</f>
        <v>0.9882352941176471</v>
      </c>
      <c r="F67" s="137">
        <f>SUM(F58+F59+F60)/F62</f>
        <v>0.96902654867256632</v>
      </c>
      <c r="G67" s="176">
        <f>SUM(G58+G59+G60)/G62</f>
        <v>0.95763546798029553</v>
      </c>
      <c r="H67" s="123"/>
      <c r="I67" s="186" t="s">
        <v>2059</v>
      </c>
      <c r="J67" s="183">
        <f>SUM(J58+J59+J60)/J62</f>
        <v>0.94117647058823528</v>
      </c>
      <c r="K67" s="137">
        <f>SUM(K58+K59+K60)/K62</f>
        <v>0.93243243243243246</v>
      </c>
      <c r="L67" s="137">
        <v>0</v>
      </c>
      <c r="M67" s="173">
        <f>SUM(M58+M59+M60)/M62</f>
        <v>1</v>
      </c>
      <c r="N67" s="176">
        <f>SUM(N58+N59+N60)/N62</f>
        <v>0.93388429752066116</v>
      </c>
      <c r="O67" s="123"/>
      <c r="P67" s="123"/>
      <c r="Q67" s="123"/>
      <c r="R67" s="123"/>
      <c r="S67" s="123"/>
      <c r="T67" s="123"/>
      <c r="U67" s="123"/>
      <c r="V67" s="123"/>
      <c r="W67" s="123"/>
      <c r="X67" s="123"/>
      <c r="Y67" s="123"/>
      <c r="Z67" s="123"/>
      <c r="AA67" s="123"/>
      <c r="AB67" s="123"/>
      <c r="AC67" s="123"/>
      <c r="AD67" s="123"/>
      <c r="AE67" s="123"/>
    </row>
    <row r="68" spans="1:31" x14ac:dyDescent="0.3">
      <c r="A68" s="123"/>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row>
    <row r="69" spans="1:31" x14ac:dyDescent="0.3">
      <c r="A69" s="123"/>
      <c r="B69" s="123"/>
      <c r="C69" s="123"/>
      <c r="D69" s="123"/>
      <c r="E69" s="123"/>
      <c r="F69" s="123"/>
      <c r="G69" s="123"/>
      <c r="H69" s="123"/>
      <c r="I69" s="123"/>
      <c r="J69" s="123"/>
      <c r="K69" s="123"/>
      <c r="L69" s="123"/>
      <c r="M69" s="123"/>
      <c r="N69" s="123"/>
      <c r="O69" s="123"/>
      <c r="P69" s="123"/>
      <c r="Q69" s="123"/>
      <c r="R69" s="123"/>
      <c r="S69" s="123"/>
      <c r="T69" s="123"/>
      <c r="U69" s="123"/>
      <c r="V69" s="123"/>
      <c r="W69" s="123"/>
      <c r="X69" s="123"/>
      <c r="Y69" s="123"/>
      <c r="Z69" s="123"/>
      <c r="AA69" s="123"/>
      <c r="AB69" s="123"/>
      <c r="AC69" s="123"/>
      <c r="AD69" s="123"/>
      <c r="AE69" s="123"/>
    </row>
    <row r="70" spans="1:31" x14ac:dyDescent="0.3">
      <c r="A70" s="123"/>
      <c r="B70" s="123"/>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c r="AE70" s="123"/>
    </row>
    <row r="71" spans="1:31" x14ac:dyDescent="0.3">
      <c r="A71" s="123"/>
      <c r="B71" s="123"/>
      <c r="C71" s="123"/>
      <c r="D71" s="123"/>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23"/>
      <c r="AE71" s="123"/>
    </row>
    <row r="72" spans="1:31" x14ac:dyDescent="0.3">
      <c r="A72" s="123"/>
      <c r="B72" s="123"/>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123"/>
    </row>
    <row r="73" spans="1:31" x14ac:dyDescent="0.3">
      <c r="A73" s="123"/>
      <c r="B73" s="123"/>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row>
    <row r="74" spans="1:31" x14ac:dyDescent="0.3">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row>
    <row r="75" spans="1:31" x14ac:dyDescent="0.3">
      <c r="A75" s="123"/>
      <c r="B75" s="123"/>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row>
    <row r="76" spans="1:31" x14ac:dyDescent="0.3">
      <c r="A76" s="123"/>
      <c r="B76" s="123"/>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row>
    <row r="77" spans="1:31" x14ac:dyDescent="0.3">
      <c r="A77" s="123"/>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row>
    <row r="78" spans="1:31" x14ac:dyDescent="0.3">
      <c r="A78" s="123"/>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row>
    <row r="79" spans="1:31" x14ac:dyDescent="0.3">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row>
    <row r="80" spans="1:31" x14ac:dyDescent="0.3">
      <c r="A80" s="123"/>
      <c r="B80" s="123"/>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row>
    <row r="81" spans="1:31" x14ac:dyDescent="0.3">
      <c r="A81" s="123"/>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row>
    <row r="82" spans="1:31" x14ac:dyDescent="0.3">
      <c r="A82" s="123"/>
      <c r="B82" s="123"/>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row>
    <row r="83" spans="1:31" x14ac:dyDescent="0.3">
      <c r="A83" s="123"/>
      <c r="B83" s="123"/>
      <c r="C83" s="123"/>
      <c r="D83" s="123"/>
      <c r="E83" s="123"/>
      <c r="F83" s="123"/>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c r="AE83" s="123"/>
    </row>
    <row r="84" spans="1:31" x14ac:dyDescent="0.3">
      <c r="A84" s="123"/>
      <c r="B84" s="123"/>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row>
  </sheetData>
  <protectedRanges>
    <protectedRange sqref="J19:M29 C6:G15 C19:G29 C32:G41 C45:G54 C58:G67 J6:N15 N19:N28 J32:N41 J45:N54 J58:N67" name="Range1"/>
  </protectedRanges>
  <mergeCells count="12">
    <mergeCell ref="B2:G2"/>
    <mergeCell ref="I2:N2"/>
    <mergeCell ref="B56:F56"/>
    <mergeCell ref="I56:M56"/>
    <mergeCell ref="B30:F30"/>
    <mergeCell ref="I30:M30"/>
    <mergeCell ref="B4:F4"/>
    <mergeCell ref="I4:M4"/>
    <mergeCell ref="B17:F17"/>
    <mergeCell ref="I17:M17"/>
    <mergeCell ref="B43:F43"/>
    <mergeCell ref="I43:M43"/>
  </mergeCells>
  <dataValidations count="2">
    <dataValidation type="whole" operator="greaterThanOrEqual" allowBlank="1" showInputMessage="1" showErrorMessage="1" sqref="C32:F38 C29:G29 J14 J66 C14:F14 J19:M25 N58:N65 L66 J53 L27:M27 G6:G13 L40:M40 C58:F64 L14:M14 J27 C53:F53 J29:M29 J40 G32:G39 J32:M38 G19:G26 J45:M51 J58:M64 G45:G52 G58:G65 C6:F12 C19:F25 C40:F40 C45:F51 C66:F66 J6:M12 N6:N13 N19:N26 N32:N39 N45:N52 L53" xr:uid="{F9FB0E62-0FB3-4FA1-92AE-B4167ED497A3}">
      <formula1>0</formula1>
    </dataValidation>
    <dataValidation operator="greaterThanOrEqual" allowBlank="1" showInputMessage="1" showErrorMessage="1" sqref="M66 M53" xr:uid="{4902058E-A8DF-417F-A1C0-4BCE3410F127}"/>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551A2B975C684890419B59C33EC143" ma:contentTypeVersion="15" ma:contentTypeDescription="Create a new document." ma:contentTypeScope="" ma:versionID="37efe1fb72b5dfe5434c98da71e2c589">
  <xsd:schema xmlns:xsd="http://www.w3.org/2001/XMLSchema" xmlns:xs="http://www.w3.org/2001/XMLSchema" xmlns:p="http://schemas.microsoft.com/office/2006/metadata/properties" xmlns:ns2="48cbc0dd-8fad-44f6-8f87-abbff0569875" xmlns:ns3="bb79d6a0-16ba-4bfc-a829-15108cb3b682" targetNamespace="http://schemas.microsoft.com/office/2006/metadata/properties" ma:root="true" ma:fieldsID="94866ae459f11cb147b0bedd564b18b4" ns2:_="" ns3:_="">
    <xsd:import namespace="48cbc0dd-8fad-44f6-8f87-abbff0569875"/>
    <xsd:import namespace="bb79d6a0-16ba-4bfc-a829-15108cb3b6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cbc0dd-8fad-44f6-8f87-abbff05698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cdfec08-ec91-420d-9d9d-f014eab75a7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b79d6a0-16ba-4bfc-a829-15108cb3b68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946768b-974c-4c43-a4de-95f235ef03e4}" ma:internalName="TaxCatchAll" ma:showField="CatchAllData" ma:web="bb79d6a0-16ba-4bfc-a829-15108cb3b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cbc0dd-8fad-44f6-8f87-abbff0569875">
      <Terms xmlns="http://schemas.microsoft.com/office/infopath/2007/PartnerControls"/>
    </lcf76f155ced4ddcb4097134ff3c332f>
    <TaxCatchAll xmlns="bb79d6a0-16ba-4bfc-a829-15108cb3b682" xsi:nil="true"/>
  </documentManagement>
</p:properties>
</file>

<file path=customXml/itemProps1.xml><?xml version="1.0" encoding="utf-8"?>
<ds:datastoreItem xmlns:ds="http://schemas.openxmlformats.org/officeDocument/2006/customXml" ds:itemID="{9F03B5C0-254E-43CD-9884-C02FDAAC77BB}"/>
</file>

<file path=customXml/itemProps2.xml><?xml version="1.0" encoding="utf-8"?>
<ds:datastoreItem xmlns:ds="http://schemas.openxmlformats.org/officeDocument/2006/customXml" ds:itemID="{950EAE71-72EC-4F43-B6FC-5713047C5468}"/>
</file>

<file path=customXml/itemProps3.xml><?xml version="1.0" encoding="utf-8"?>
<ds:datastoreItem xmlns:ds="http://schemas.openxmlformats.org/officeDocument/2006/customXml" ds:itemID="{AFD6A7E1-AB66-4927-ACF6-40A6E7447C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FOI 2024-25</vt:lpstr>
      <vt:lpstr>EIR 2024-25</vt:lpstr>
      <vt:lpstr>Internal Review 2024-25</vt:lpstr>
      <vt:lpstr>Key data collection</vt:lpstr>
      <vt:lpstr>Additional data collection</vt:lpstr>
      <vt:lpstr>Exemptions &amp; Exceptions</vt:lpstr>
      <vt:lpstr>Stats 24-25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2025-05-06T13:26:06Z</dcterms:created>
  <dcterms:modified xsi:type="dcterms:W3CDTF">2025-05-06T13:30:05Z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0x010100F3551A2B975C684890419B59C33EC143</vt:lpwstr>
  </property>
  <property fmtid="{D5CDD505-2E9C-101B-9397-08002B2CF9AE}" pid="4" name="_AdHocReviewCycleID">
    <vt:i4>2071728741</vt:i4>
  </property>
  <property fmtid="{D5CDD505-2E9C-101B-9397-08002B2CF9AE}" pid="5" name="_NewReviewCycle">
    <vt:lpwstr/>
  </property>
  <property fmtid="{D5CDD505-2E9C-101B-9397-08002B2CF9AE}" pid="6" name="_PreviousAdHocReviewCycleID">
    <vt:i4>985188264</vt:i4>
  </property>
</Properties>
</file>